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filterPrivacy="1" codeName="ThisWorkbook" defaultThemeVersion="124226"/>
  <xr:revisionPtr revIDLastSave="0" documentId="13_ncr:1_{FAD419E8-5BB8-0949-AA3B-A3D5AF2B60FB}" xr6:coauthVersionLast="47" xr6:coauthVersionMax="47" xr10:uidLastSave="{00000000-0000-0000-0000-000000000000}"/>
  <bookViews>
    <workbookView xWindow="30240" yWindow="500" windowWidth="22180" windowHeight="19260" tabRatio="725" firstSheet="1" activeTab="1" xr2:uid="{00000000-000D-0000-FFFF-FFFF00000000}"/>
  </bookViews>
  <sheets>
    <sheet name="CA and US Gas Price" sheetId="44" r:id="rId1"/>
    <sheet name="GasolineMGSData" sheetId="19" r:id="rId2"/>
    <sheet name="overall_comp" sheetId="45" r:id="rId3"/>
    <sheet name="tax_comp" sheetId="46" r:id="rId4"/>
    <sheet name="Fig-MGS" sheetId="21" r:id="rId5"/>
    <sheet name="SpotGasPrices" sheetId="30" r:id="rId6"/>
    <sheet name="Fig-SpotGasPriceDiff" sheetId="3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1" i="19" l="1"/>
  <c r="Q291" i="19" l="1"/>
  <c r="Q290" i="19"/>
  <c r="Q289" i="19"/>
  <c r="Q288" i="19"/>
  <c r="Q287" i="19"/>
  <c r="Q286" i="19"/>
  <c r="Q285" i="19"/>
  <c r="Q284" i="19"/>
  <c r="Q283" i="19"/>
  <c r="Q282" i="19"/>
  <c r="Q281" i="19"/>
  <c r="Q280" i="19"/>
  <c r="Q279" i="19"/>
  <c r="Q278" i="19"/>
  <c r="Q277" i="19"/>
  <c r="Q276" i="19"/>
  <c r="Q275" i="19"/>
  <c r="Q274" i="19"/>
  <c r="Q273" i="19"/>
  <c r="Q272" i="19"/>
  <c r="Q270" i="19"/>
  <c r="Q269" i="19"/>
  <c r="Q268" i="19"/>
  <c r="Q267" i="19"/>
  <c r="Q266" i="19"/>
  <c r="Q265" i="19"/>
  <c r="Q264" i="19"/>
  <c r="Q263" i="19"/>
  <c r="Q262" i="19"/>
  <c r="Q261" i="19"/>
  <c r="Q260" i="19"/>
  <c r="Q259" i="19"/>
  <c r="Q258" i="19"/>
  <c r="Q257" i="19"/>
  <c r="Q256" i="19"/>
  <c r="Q255" i="19"/>
  <c r="Q254" i="19"/>
  <c r="Q253" i="19"/>
  <c r="Q252" i="19"/>
  <c r="Q251" i="19"/>
  <c r="Q250" i="19"/>
  <c r="Q249" i="19"/>
  <c r="Q248" i="19"/>
  <c r="Q247" i="19"/>
  <c r="Q246" i="19"/>
  <c r="Q245" i="19"/>
  <c r="Q244" i="19"/>
  <c r="Q242" i="19"/>
  <c r="Q241" i="19"/>
  <c r="Q240" i="19"/>
  <c r="Q239" i="19"/>
  <c r="Q238" i="19"/>
  <c r="Q237" i="19"/>
  <c r="Q236" i="19"/>
  <c r="Q235" i="19"/>
  <c r="Q234" i="19"/>
  <c r="Q233" i="19"/>
  <c r="Q232" i="19"/>
  <c r="Q231" i="19"/>
  <c r="Q230" i="19"/>
  <c r="Q229" i="19"/>
  <c r="Q228" i="19"/>
  <c r="Q227" i="19"/>
  <c r="Q226" i="19"/>
  <c r="Q225" i="19"/>
  <c r="Q224" i="19"/>
  <c r="Q223" i="19"/>
  <c r="Q222" i="19"/>
  <c r="Q221" i="19"/>
  <c r="Q220" i="19"/>
  <c r="Q219" i="19"/>
  <c r="Q218" i="19"/>
  <c r="Q217" i="19"/>
  <c r="Q216" i="19"/>
  <c r="Q215" i="19"/>
  <c r="Q214" i="19"/>
  <c r="Q213" i="19"/>
  <c r="Q212" i="19"/>
  <c r="Q211" i="19"/>
  <c r="Q210" i="19"/>
  <c r="Q209" i="19"/>
  <c r="Q208" i="19"/>
  <c r="Q207" i="19"/>
  <c r="Q206" i="19"/>
  <c r="Q205" i="19"/>
  <c r="Q204" i="19"/>
  <c r="Q203" i="19"/>
  <c r="Q202" i="19"/>
  <c r="Q201" i="19"/>
  <c r="Q200" i="19"/>
  <c r="Q199" i="19"/>
  <c r="Q198" i="19"/>
  <c r="Q197" i="19"/>
  <c r="Q196" i="19"/>
  <c r="Q195" i="19"/>
  <c r="Q194" i="19"/>
  <c r="Q193" i="19"/>
  <c r="Q192" i="19"/>
  <c r="Q191" i="19"/>
  <c r="Q190" i="19"/>
  <c r="Q189" i="19"/>
  <c r="Q188" i="19"/>
  <c r="Q187" i="19"/>
  <c r="Q186" i="19"/>
  <c r="Q185" i="19"/>
  <c r="Q184" i="19"/>
  <c r="Q183" i="19"/>
  <c r="Q182" i="19"/>
  <c r="Q181" i="19"/>
  <c r="Q180" i="19"/>
  <c r="Q179" i="19"/>
  <c r="Q178" i="19"/>
  <c r="Q177" i="19"/>
  <c r="Q176" i="19"/>
  <c r="Q175" i="19"/>
  <c r="Q174" i="19"/>
  <c r="Q173" i="19"/>
  <c r="Q172" i="19"/>
  <c r="Q171" i="19"/>
  <c r="Q170" i="19"/>
  <c r="Q169" i="19"/>
  <c r="Q168" i="19"/>
  <c r="Q167" i="19"/>
  <c r="Q166" i="19"/>
  <c r="Q165" i="19"/>
  <c r="Q164" i="19"/>
  <c r="Q163" i="19"/>
  <c r="Q162" i="19"/>
  <c r="Q161" i="19"/>
  <c r="Q160" i="19"/>
  <c r="Q159" i="19"/>
  <c r="Q158" i="19"/>
  <c r="Q157" i="19"/>
  <c r="Q156" i="19"/>
  <c r="Q155" i="19"/>
  <c r="Q154" i="19"/>
  <c r="Q153" i="19"/>
  <c r="Q152" i="19"/>
  <c r="Q151" i="19"/>
  <c r="Q150" i="19"/>
  <c r="Q149" i="19"/>
  <c r="Q148" i="19"/>
  <c r="Q147" i="19"/>
  <c r="Q146" i="19"/>
  <c r="Q145" i="19"/>
  <c r="Q144" i="19"/>
  <c r="Q143" i="19"/>
  <c r="Q142" i="19"/>
  <c r="Q141" i="19"/>
  <c r="Q140" i="19"/>
  <c r="Q139" i="19"/>
  <c r="Q138" i="19"/>
  <c r="Q137" i="19"/>
  <c r="Q136" i="19"/>
  <c r="Q135" i="19"/>
  <c r="Q134" i="19"/>
  <c r="Q133" i="19"/>
  <c r="Q132" i="19"/>
  <c r="Q131" i="19"/>
  <c r="Q130" i="19"/>
  <c r="Q129" i="19"/>
  <c r="Q128" i="19"/>
  <c r="Q127" i="19"/>
  <c r="Q126" i="19"/>
  <c r="Q125" i="19"/>
  <c r="Q124" i="19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9"/>
  <c r="Q103" i="19"/>
  <c r="Q102" i="19"/>
  <c r="Q101" i="19"/>
  <c r="Q100" i="19"/>
  <c r="Q99" i="19"/>
  <c r="Q98" i="19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288" i="30" l="1"/>
  <c r="Q287" i="30"/>
  <c r="Q286" i="30"/>
  <c r="Q285" i="30"/>
  <c r="Q284" i="30"/>
  <c r="Q283" i="30"/>
  <c r="Q282" i="30"/>
  <c r="Q281" i="30"/>
  <c r="Q280" i="30"/>
  <c r="Q279" i="30"/>
  <c r="Q278" i="30"/>
  <c r="Q277" i="30"/>
  <c r="Q276" i="30"/>
  <c r="Q275" i="30"/>
  <c r="Q274" i="30"/>
  <c r="Q273" i="30"/>
  <c r="Q272" i="30"/>
  <c r="Q271" i="30"/>
  <c r="Q270" i="30"/>
  <c r="Q269" i="30"/>
  <c r="Q268" i="30"/>
  <c r="Q267" i="30"/>
  <c r="Q266" i="30"/>
  <c r="Q265" i="30"/>
  <c r="Q264" i="30"/>
  <c r="Q263" i="30"/>
  <c r="Q262" i="30"/>
  <c r="Q261" i="30"/>
  <c r="Q260" i="30"/>
  <c r="Q259" i="30"/>
  <c r="Q258" i="30"/>
  <c r="Q257" i="30"/>
  <c r="Q256" i="30"/>
  <c r="Q255" i="30"/>
  <c r="Q254" i="30"/>
  <c r="Q253" i="30"/>
  <c r="Q252" i="30"/>
  <c r="Q251" i="30"/>
  <c r="Q250" i="30"/>
  <c r="Q249" i="30"/>
  <c r="Q248" i="30"/>
  <c r="Q247" i="30"/>
  <c r="Q246" i="30"/>
  <c r="Q245" i="30"/>
  <c r="Q244" i="30"/>
  <c r="Q243" i="30"/>
  <c r="Q242" i="30"/>
  <c r="Q240" i="30"/>
  <c r="Q239" i="30"/>
  <c r="Q238" i="30"/>
  <c r="Q237" i="30"/>
  <c r="Q236" i="30"/>
  <c r="Q235" i="30"/>
  <c r="Q234" i="30"/>
  <c r="Q233" i="30"/>
  <c r="Q232" i="30"/>
  <c r="Q231" i="30"/>
  <c r="Q230" i="30"/>
  <c r="Q229" i="30"/>
  <c r="Q228" i="30"/>
  <c r="Q227" i="30"/>
  <c r="Q226" i="30"/>
  <c r="Q225" i="30"/>
  <c r="Q224" i="30"/>
  <c r="Q223" i="30"/>
  <c r="Q222" i="30"/>
  <c r="Q221" i="30"/>
  <c r="Q220" i="30"/>
  <c r="Q219" i="30"/>
  <c r="Q218" i="30"/>
  <c r="Q217" i="30"/>
  <c r="Q216" i="30"/>
  <c r="Q215" i="30"/>
  <c r="Q214" i="30"/>
  <c r="Q213" i="30"/>
  <c r="Q212" i="30"/>
  <c r="Q211" i="30"/>
  <c r="Q210" i="30"/>
  <c r="Q209" i="30"/>
  <c r="Q208" i="30"/>
  <c r="Q207" i="30"/>
  <c r="Q206" i="30"/>
  <c r="Q205" i="30"/>
  <c r="Q204" i="30"/>
  <c r="Q203" i="30"/>
  <c r="Q202" i="30"/>
  <c r="Q201" i="30"/>
  <c r="Q200" i="30"/>
  <c r="Q199" i="30"/>
  <c r="Q198" i="30"/>
  <c r="Q197" i="30"/>
  <c r="Q196" i="30"/>
  <c r="Q195" i="30"/>
  <c r="Q194" i="30"/>
  <c r="Q193" i="30"/>
  <c r="Q192" i="30"/>
  <c r="Q191" i="30"/>
  <c r="Q190" i="30"/>
  <c r="Q189" i="30"/>
  <c r="Q188" i="30"/>
  <c r="Q187" i="30"/>
  <c r="Q186" i="30"/>
  <c r="Q185" i="30"/>
  <c r="Q184" i="30"/>
  <c r="Q183" i="30"/>
  <c r="Q182" i="30"/>
  <c r="Q181" i="30"/>
  <c r="Q180" i="30"/>
  <c r="Q179" i="30"/>
  <c r="Q178" i="30"/>
  <c r="Q177" i="30"/>
  <c r="Q176" i="30"/>
  <c r="Q175" i="30"/>
  <c r="Q174" i="30"/>
  <c r="Q173" i="30"/>
  <c r="Q172" i="30"/>
  <c r="Q171" i="30"/>
  <c r="Q170" i="30"/>
  <c r="Q169" i="30"/>
  <c r="Q168" i="30"/>
  <c r="Q167" i="30"/>
  <c r="Q166" i="30"/>
  <c r="Q165" i="30"/>
  <c r="Q164" i="30"/>
  <c r="Q163" i="30"/>
  <c r="Q162" i="30"/>
  <c r="Q161" i="30"/>
  <c r="Q160" i="30"/>
  <c r="Q159" i="30"/>
  <c r="Q158" i="30"/>
  <c r="Q157" i="30"/>
  <c r="Q156" i="30"/>
  <c r="Q155" i="30"/>
  <c r="Q154" i="30"/>
  <c r="Q153" i="30"/>
  <c r="Q152" i="30"/>
  <c r="Q151" i="30"/>
  <c r="Q150" i="30"/>
  <c r="Q149" i="30"/>
  <c r="Q148" i="30"/>
  <c r="Q147" i="30"/>
  <c r="Q146" i="30"/>
  <c r="Q145" i="30"/>
  <c r="Q144" i="30"/>
  <c r="Q143" i="30"/>
  <c r="Q142" i="30"/>
  <c r="Q141" i="30"/>
  <c r="Q140" i="30"/>
  <c r="Q139" i="30"/>
  <c r="Q138" i="30"/>
  <c r="Q137" i="30"/>
  <c r="Q136" i="30"/>
  <c r="Q135" i="30"/>
  <c r="Q134" i="30"/>
  <c r="Q133" i="30"/>
  <c r="Q132" i="30"/>
  <c r="Q131" i="30"/>
  <c r="Q130" i="30"/>
  <c r="Q129" i="30"/>
  <c r="Q128" i="30"/>
  <c r="Q127" i="30"/>
  <c r="Q126" i="30"/>
  <c r="Q125" i="30"/>
  <c r="Q124" i="30"/>
  <c r="Q123" i="30"/>
  <c r="Q122" i="30"/>
  <c r="Q121" i="30"/>
  <c r="Q120" i="30"/>
  <c r="Q119" i="30"/>
  <c r="Q118" i="30"/>
  <c r="Q117" i="30"/>
  <c r="Q116" i="30"/>
  <c r="Q115" i="30"/>
  <c r="Q114" i="30"/>
  <c r="Q113" i="30"/>
  <c r="Q112" i="30"/>
  <c r="Q111" i="30"/>
  <c r="Q110" i="30"/>
  <c r="Q109" i="30"/>
  <c r="Q108" i="30"/>
  <c r="Q107" i="30"/>
  <c r="Q106" i="30"/>
  <c r="Q105" i="30"/>
  <c r="Q104" i="30"/>
  <c r="Q103" i="30"/>
  <c r="Q102" i="30"/>
  <c r="Q101" i="30"/>
  <c r="Q100" i="30"/>
  <c r="Q99" i="30"/>
  <c r="Q98" i="30"/>
  <c r="Q97" i="30"/>
  <c r="Q96" i="30"/>
  <c r="Q95" i="30"/>
  <c r="Q94" i="30"/>
  <c r="Q93" i="30"/>
  <c r="Q92" i="30"/>
  <c r="Q91" i="30"/>
  <c r="Q90" i="30"/>
  <c r="Q89" i="30"/>
  <c r="Q88" i="30"/>
  <c r="Q87" i="30"/>
  <c r="Q86" i="30"/>
  <c r="Q85" i="30"/>
  <c r="Q84" i="30"/>
  <c r="Q83" i="30"/>
  <c r="Q82" i="30"/>
  <c r="Q81" i="30"/>
  <c r="Q80" i="30"/>
  <c r="Q79" i="30"/>
  <c r="Q78" i="30"/>
  <c r="Q77" i="30"/>
  <c r="Q76" i="30"/>
  <c r="Q75" i="30"/>
  <c r="Q74" i="30"/>
  <c r="Q73" i="30"/>
  <c r="Q72" i="30"/>
  <c r="Q71" i="30"/>
  <c r="Q70" i="30"/>
  <c r="Q69" i="30"/>
  <c r="Q68" i="30"/>
  <c r="Q67" i="30"/>
  <c r="Q66" i="30"/>
  <c r="Q65" i="30"/>
  <c r="Q64" i="30"/>
  <c r="Q63" i="30"/>
  <c r="Q62" i="30"/>
  <c r="Q61" i="30"/>
  <c r="Q60" i="30"/>
  <c r="Q59" i="30"/>
  <c r="Q58" i="30"/>
  <c r="Q57" i="30"/>
  <c r="Q56" i="30"/>
  <c r="Q55" i="30"/>
  <c r="Q54" i="30"/>
  <c r="Q53" i="30"/>
  <c r="Q52" i="30"/>
  <c r="Q51" i="30"/>
  <c r="Q50" i="30"/>
  <c r="Q49" i="30"/>
  <c r="Q48" i="30"/>
  <c r="Q47" i="30"/>
  <c r="Q46" i="30"/>
  <c r="Q45" i="30"/>
  <c r="Q289" i="30"/>
  <c r="P288" i="30"/>
  <c r="P287" i="30"/>
  <c r="P286" i="30"/>
  <c r="P285" i="30"/>
  <c r="P284" i="30"/>
  <c r="P283" i="30"/>
  <c r="P282" i="30"/>
  <c r="P281" i="30"/>
  <c r="P280" i="30"/>
  <c r="P279" i="30"/>
  <c r="P278" i="30"/>
  <c r="P277" i="30"/>
  <c r="P276" i="30"/>
  <c r="P275" i="30"/>
  <c r="P274" i="30"/>
  <c r="P273" i="30"/>
  <c r="P272" i="30"/>
  <c r="P271" i="30"/>
  <c r="P270" i="30"/>
  <c r="P269" i="30"/>
  <c r="P268" i="30"/>
  <c r="P267" i="30"/>
  <c r="P266" i="30"/>
  <c r="P265" i="30"/>
  <c r="P264" i="30"/>
  <c r="P263" i="30"/>
  <c r="P262" i="30"/>
  <c r="P261" i="30"/>
  <c r="P260" i="30"/>
  <c r="P259" i="30"/>
  <c r="P258" i="30"/>
  <c r="P257" i="30"/>
  <c r="P256" i="30"/>
  <c r="P255" i="30"/>
  <c r="P254" i="30"/>
  <c r="P253" i="30"/>
  <c r="P252" i="30"/>
  <c r="P251" i="30"/>
  <c r="P250" i="30"/>
  <c r="P249" i="30"/>
  <c r="P248" i="30"/>
  <c r="P247" i="30"/>
  <c r="P246" i="30"/>
  <c r="P245" i="30"/>
  <c r="P244" i="30"/>
  <c r="P243" i="30"/>
  <c r="P242" i="30"/>
  <c r="P240" i="30"/>
  <c r="P239" i="30"/>
  <c r="P238" i="30"/>
  <c r="P237" i="30"/>
  <c r="P236" i="30"/>
  <c r="P235" i="30"/>
  <c r="P234" i="30"/>
  <c r="P233" i="30"/>
  <c r="P232" i="30"/>
  <c r="P231" i="30"/>
  <c r="P230" i="30"/>
  <c r="P229" i="30"/>
  <c r="P228" i="30"/>
  <c r="P227" i="30"/>
  <c r="P226" i="30"/>
  <c r="P225" i="30"/>
  <c r="P224" i="30"/>
  <c r="P223" i="30"/>
  <c r="P222" i="30"/>
  <c r="P221" i="30"/>
  <c r="P220" i="30"/>
  <c r="P219" i="30"/>
  <c r="P218" i="30"/>
  <c r="P217" i="30"/>
  <c r="P216" i="30"/>
  <c r="P215" i="30"/>
  <c r="P214" i="30"/>
  <c r="P213" i="30"/>
  <c r="P212" i="30"/>
  <c r="P211" i="30"/>
  <c r="P210" i="30"/>
  <c r="P209" i="30"/>
  <c r="P208" i="30"/>
  <c r="P207" i="30"/>
  <c r="P206" i="30"/>
  <c r="P205" i="30"/>
  <c r="P204" i="30"/>
  <c r="P203" i="30"/>
  <c r="P202" i="30"/>
  <c r="P201" i="30"/>
  <c r="P200" i="30"/>
  <c r="P199" i="30"/>
  <c r="P198" i="30"/>
  <c r="P197" i="30"/>
  <c r="P196" i="30"/>
  <c r="P195" i="30"/>
  <c r="P194" i="30"/>
  <c r="P193" i="30"/>
  <c r="P192" i="30"/>
  <c r="P191" i="30"/>
  <c r="P190" i="30"/>
  <c r="P189" i="30"/>
  <c r="P188" i="30"/>
  <c r="P187" i="30"/>
  <c r="P186" i="30"/>
  <c r="P185" i="30"/>
  <c r="P184" i="30"/>
  <c r="P183" i="30"/>
  <c r="P182" i="30"/>
  <c r="P181" i="30"/>
  <c r="P180" i="30"/>
  <c r="P179" i="30"/>
  <c r="P178" i="30"/>
  <c r="P177" i="30"/>
  <c r="P176" i="30"/>
  <c r="P175" i="30"/>
  <c r="P174" i="30"/>
  <c r="P173" i="30"/>
  <c r="P172" i="30"/>
  <c r="P171" i="30"/>
  <c r="P170" i="30"/>
  <c r="P169" i="30"/>
  <c r="P168" i="30"/>
  <c r="P167" i="30"/>
  <c r="P166" i="30"/>
  <c r="P165" i="30"/>
  <c r="P164" i="30"/>
  <c r="P163" i="30"/>
  <c r="P162" i="30"/>
  <c r="P161" i="30"/>
  <c r="P160" i="30"/>
  <c r="P159" i="30"/>
  <c r="P158" i="30"/>
  <c r="P157" i="30"/>
  <c r="P156" i="30"/>
  <c r="P155" i="30"/>
  <c r="P154" i="30"/>
  <c r="P153" i="30"/>
  <c r="P152" i="30"/>
  <c r="P151" i="30"/>
  <c r="P150" i="30"/>
  <c r="P149" i="30"/>
  <c r="P148" i="30"/>
  <c r="P147" i="30"/>
  <c r="P146" i="30"/>
  <c r="P145" i="30"/>
  <c r="P144" i="30"/>
  <c r="P143" i="30"/>
  <c r="P142" i="30"/>
  <c r="P141" i="30"/>
  <c r="P140" i="30"/>
  <c r="P139" i="30"/>
  <c r="P138" i="30"/>
  <c r="P137" i="30"/>
  <c r="P136" i="30"/>
  <c r="P135" i="30"/>
  <c r="P134" i="30"/>
  <c r="P133" i="30"/>
  <c r="P132" i="30"/>
  <c r="P131" i="30"/>
  <c r="P130" i="30"/>
  <c r="P129" i="30"/>
  <c r="P128" i="30"/>
  <c r="P127" i="30"/>
  <c r="P126" i="30"/>
  <c r="P125" i="30"/>
  <c r="P124" i="30"/>
  <c r="P123" i="30"/>
  <c r="P122" i="30"/>
  <c r="P121" i="30"/>
  <c r="P120" i="30"/>
  <c r="P119" i="30"/>
  <c r="P118" i="30"/>
  <c r="P117" i="30"/>
  <c r="P116" i="30"/>
  <c r="P115" i="30"/>
  <c r="P114" i="30"/>
  <c r="P113" i="30"/>
  <c r="P112" i="30"/>
  <c r="P111" i="30"/>
  <c r="P110" i="30"/>
  <c r="P109" i="30"/>
  <c r="P108" i="30"/>
  <c r="P107" i="30"/>
  <c r="P106" i="30"/>
  <c r="P105" i="30"/>
  <c r="P104" i="30"/>
  <c r="P103" i="30"/>
  <c r="P102" i="30"/>
  <c r="P101" i="30"/>
  <c r="P100" i="30"/>
  <c r="P99" i="30"/>
  <c r="P98" i="30"/>
  <c r="P97" i="30"/>
  <c r="P96" i="30"/>
  <c r="P95" i="30"/>
  <c r="P94" i="30"/>
  <c r="P93" i="30"/>
  <c r="P92" i="30"/>
  <c r="P91" i="30"/>
  <c r="P90" i="30"/>
  <c r="P89" i="30"/>
  <c r="P88" i="30"/>
  <c r="P87" i="30"/>
  <c r="P86" i="30"/>
  <c r="P85" i="30"/>
  <c r="P84" i="30"/>
  <c r="P83" i="30"/>
  <c r="P82" i="30"/>
  <c r="P81" i="30"/>
  <c r="P80" i="30"/>
  <c r="P79" i="30"/>
  <c r="P78" i="30"/>
  <c r="P77" i="30"/>
  <c r="P76" i="30"/>
  <c r="P75" i="30"/>
  <c r="P74" i="30"/>
  <c r="P73" i="30"/>
  <c r="P72" i="30"/>
  <c r="P71" i="30"/>
  <c r="P70" i="30"/>
  <c r="P69" i="30"/>
  <c r="P68" i="30"/>
  <c r="P67" i="30"/>
  <c r="P66" i="30"/>
  <c r="P65" i="30"/>
  <c r="P64" i="30"/>
  <c r="P63" i="30"/>
  <c r="P62" i="30"/>
  <c r="P61" i="30"/>
  <c r="P60" i="30"/>
  <c r="P59" i="30"/>
  <c r="P58" i="30"/>
  <c r="P57" i="30"/>
  <c r="P56" i="30"/>
  <c r="P55" i="30"/>
  <c r="P54" i="30"/>
  <c r="P53" i="30"/>
  <c r="P52" i="30"/>
  <c r="P51" i="30"/>
  <c r="P50" i="30"/>
  <c r="P49" i="30"/>
  <c r="P48" i="30"/>
  <c r="P47" i="30"/>
  <c r="P46" i="30"/>
  <c r="P45" i="30"/>
  <c r="P289" i="30"/>
  <c r="O288" i="30"/>
  <c r="S288" i="30" s="1"/>
  <c r="O287" i="30"/>
  <c r="O286" i="30"/>
  <c r="O285" i="30"/>
  <c r="T285" i="30" s="1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57" i="30"/>
  <c r="O156" i="30"/>
  <c r="O155" i="30"/>
  <c r="O154" i="30"/>
  <c r="O153" i="30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39" i="30"/>
  <c r="O138" i="30"/>
  <c r="O137" i="30"/>
  <c r="O136" i="30"/>
  <c r="O135" i="30"/>
  <c r="O134" i="30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21" i="30"/>
  <c r="O120" i="30"/>
  <c r="O119" i="30"/>
  <c r="O118" i="30"/>
  <c r="O117" i="30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04" i="30"/>
  <c r="O103" i="30"/>
  <c r="O102" i="30"/>
  <c r="O101" i="30"/>
  <c r="O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87" i="30"/>
  <c r="O86" i="30"/>
  <c r="O85" i="30"/>
  <c r="O84" i="30"/>
  <c r="O83" i="30"/>
  <c r="O82" i="30"/>
  <c r="O81" i="30"/>
  <c r="O80" i="30"/>
  <c r="O79" i="30"/>
  <c r="O78" i="30"/>
  <c r="O77" i="30"/>
  <c r="O76" i="30"/>
  <c r="O75" i="30"/>
  <c r="O74" i="30"/>
  <c r="O73" i="30"/>
  <c r="O72" i="30"/>
  <c r="O71" i="30"/>
  <c r="O70" i="30"/>
  <c r="O69" i="30"/>
  <c r="O68" i="30"/>
  <c r="O67" i="30"/>
  <c r="O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289" i="30"/>
  <c r="S289" i="30" s="1"/>
  <c r="S287" i="30"/>
  <c r="T286" i="30"/>
  <c r="T284" i="30"/>
  <c r="AA284" i="30" s="1"/>
  <c r="S284" i="30"/>
  <c r="T288" i="30" l="1"/>
  <c r="U288" i="30" s="1"/>
  <c r="T289" i="30"/>
  <c r="T287" i="30"/>
  <c r="S286" i="30"/>
  <c r="U286" i="30"/>
  <c r="S285" i="30"/>
  <c r="U285" i="30" s="1"/>
  <c r="U287" i="30"/>
  <c r="U289" i="30"/>
  <c r="U284" i="30"/>
  <c r="W284" i="30" s="1"/>
  <c r="Z284" i="30"/>
  <c r="AB284" i="30" s="1"/>
  <c r="AM290" i="19"/>
  <c r="AM289" i="19"/>
  <c r="AM288" i="19"/>
  <c r="AM287" i="19"/>
  <c r="AM286" i="19"/>
  <c r="AM285" i="19"/>
  <c r="AM284" i="19"/>
  <c r="AM283" i="19"/>
  <c r="AM282" i="19"/>
  <c r="AM281" i="19"/>
  <c r="AM280" i="19"/>
  <c r="AM279" i="19"/>
  <c r="AM278" i="19"/>
  <c r="AM277" i="19"/>
  <c r="AM276" i="19"/>
  <c r="AM275" i="19"/>
  <c r="AM274" i="19"/>
  <c r="AM273" i="19"/>
  <c r="AM272" i="19"/>
  <c r="AM271" i="19"/>
  <c r="AM270" i="19"/>
  <c r="AM269" i="19"/>
  <c r="AM268" i="19"/>
  <c r="AM267" i="19"/>
  <c r="AM266" i="19"/>
  <c r="AM265" i="19"/>
  <c r="AM264" i="19"/>
  <c r="AM263" i="19"/>
  <c r="AM262" i="19"/>
  <c r="AM261" i="19"/>
  <c r="AM260" i="19"/>
  <c r="AM259" i="19"/>
  <c r="AM258" i="19"/>
  <c r="AM257" i="19"/>
  <c r="AM256" i="19"/>
  <c r="AM255" i="19"/>
  <c r="AM254" i="19"/>
  <c r="AM253" i="19"/>
  <c r="AM252" i="19"/>
  <c r="AM251" i="19"/>
  <c r="AM250" i="19"/>
  <c r="AM249" i="19"/>
  <c r="AM248" i="19"/>
  <c r="AM247" i="19"/>
  <c r="AM246" i="19"/>
  <c r="AM245" i="19"/>
  <c r="AM244" i="19"/>
  <c r="AM242" i="19"/>
  <c r="AM241" i="19"/>
  <c r="AM240" i="19"/>
  <c r="AM239" i="19"/>
  <c r="AM238" i="19"/>
  <c r="AM237" i="19"/>
  <c r="AM236" i="19"/>
  <c r="AM235" i="19"/>
  <c r="AM234" i="19"/>
  <c r="AM233" i="19"/>
  <c r="AM232" i="19"/>
  <c r="AM231" i="19"/>
  <c r="AM230" i="19"/>
  <c r="AM229" i="19"/>
  <c r="AM228" i="19"/>
  <c r="AM227" i="19"/>
  <c r="AM226" i="19"/>
  <c r="AM225" i="19"/>
  <c r="AM224" i="19"/>
  <c r="AM223" i="19"/>
  <c r="AM222" i="19"/>
  <c r="AM221" i="19"/>
  <c r="AM220" i="19"/>
  <c r="AM219" i="19"/>
  <c r="AM218" i="19"/>
  <c r="AM217" i="19"/>
  <c r="AM216" i="19"/>
  <c r="AM215" i="19"/>
  <c r="AM214" i="19"/>
  <c r="AM213" i="19"/>
  <c r="AM212" i="19"/>
  <c r="AM211" i="19"/>
  <c r="AM210" i="19"/>
  <c r="AM209" i="19"/>
  <c r="AM208" i="19"/>
  <c r="AM207" i="19"/>
  <c r="AM206" i="19"/>
  <c r="AM205" i="19"/>
  <c r="AM204" i="19"/>
  <c r="AM203" i="19"/>
  <c r="AM202" i="19"/>
  <c r="AM201" i="19"/>
  <c r="AM200" i="19"/>
  <c r="AM199" i="19"/>
  <c r="AM198" i="19"/>
  <c r="AM197" i="19"/>
  <c r="AM196" i="19"/>
  <c r="AM195" i="19"/>
  <c r="AM194" i="19"/>
  <c r="AM193" i="19"/>
  <c r="AM192" i="19"/>
  <c r="AM191" i="19"/>
  <c r="AM190" i="19"/>
  <c r="AM189" i="19"/>
  <c r="AM188" i="19"/>
  <c r="AM187" i="19"/>
  <c r="AM186" i="19"/>
  <c r="AM185" i="19"/>
  <c r="AM184" i="19"/>
  <c r="AM183" i="19"/>
  <c r="AM182" i="19"/>
  <c r="AM181" i="19"/>
  <c r="AM180" i="19"/>
  <c r="AM179" i="19"/>
  <c r="AM178" i="19"/>
  <c r="AM177" i="19"/>
  <c r="AM176" i="19"/>
  <c r="AM175" i="19"/>
  <c r="AM174" i="19"/>
  <c r="AM173" i="19"/>
  <c r="AM172" i="19"/>
  <c r="AM171" i="19"/>
  <c r="AM170" i="19"/>
  <c r="AM169" i="19"/>
  <c r="AM168" i="19"/>
  <c r="AM167" i="19"/>
  <c r="AM166" i="19"/>
  <c r="AM165" i="19"/>
  <c r="AM164" i="19"/>
  <c r="AM163" i="19"/>
  <c r="AM162" i="19"/>
  <c r="AM161" i="19"/>
  <c r="AM160" i="19"/>
  <c r="AM159" i="19"/>
  <c r="AM158" i="19"/>
  <c r="AM157" i="19"/>
  <c r="AM156" i="19"/>
  <c r="AM155" i="19"/>
  <c r="AM154" i="19"/>
  <c r="AM153" i="19"/>
  <c r="AM152" i="19"/>
  <c r="AM151" i="19"/>
  <c r="AM150" i="19"/>
  <c r="AM149" i="19"/>
  <c r="AM148" i="19"/>
  <c r="AM147" i="19"/>
  <c r="AM146" i="19"/>
  <c r="AM145" i="19"/>
  <c r="AM144" i="19"/>
  <c r="AM143" i="19"/>
  <c r="AM142" i="19"/>
  <c r="AM141" i="19"/>
  <c r="AM140" i="19"/>
  <c r="AM139" i="19"/>
  <c r="AM138" i="19"/>
  <c r="AM137" i="19"/>
  <c r="AM136" i="19"/>
  <c r="AM135" i="19"/>
  <c r="AM134" i="19"/>
  <c r="AM133" i="19"/>
  <c r="AM132" i="19"/>
  <c r="AM131" i="19"/>
  <c r="AM130" i="19"/>
  <c r="AM129" i="19"/>
  <c r="AM128" i="19"/>
  <c r="AM127" i="19"/>
  <c r="AM126" i="19"/>
  <c r="AM125" i="19"/>
  <c r="AM124" i="19"/>
  <c r="AM123" i="19"/>
  <c r="AM122" i="19"/>
  <c r="AM121" i="19"/>
  <c r="AM120" i="19"/>
  <c r="AM119" i="19"/>
  <c r="AM118" i="19"/>
  <c r="AM117" i="19"/>
  <c r="AM116" i="19"/>
  <c r="AM115" i="19"/>
  <c r="AM114" i="19"/>
  <c r="AM113" i="19"/>
  <c r="AM112" i="19"/>
  <c r="AM111" i="19"/>
  <c r="AM110" i="19"/>
  <c r="AM109" i="19"/>
  <c r="AM108" i="19"/>
  <c r="AM107" i="19"/>
  <c r="AM106" i="19"/>
  <c r="AM105" i="19"/>
  <c r="AM104" i="19"/>
  <c r="AM103" i="19"/>
  <c r="AM102" i="19"/>
  <c r="AM101" i="19"/>
  <c r="AM100" i="19"/>
  <c r="AM99" i="19"/>
  <c r="AM98" i="19"/>
  <c r="AM97" i="19"/>
  <c r="AM96" i="19"/>
  <c r="AM95" i="19"/>
  <c r="AM94" i="19"/>
  <c r="AM93" i="19"/>
  <c r="AM92" i="19"/>
  <c r="AM91" i="19"/>
  <c r="AM90" i="19"/>
  <c r="AM89" i="19"/>
  <c r="AM88" i="19"/>
  <c r="AM87" i="19"/>
  <c r="AM86" i="19"/>
  <c r="AM85" i="19"/>
  <c r="AM84" i="19"/>
  <c r="AM83" i="19"/>
  <c r="AM82" i="19"/>
  <c r="AM81" i="19"/>
  <c r="AM80" i="19"/>
  <c r="AM79" i="19"/>
  <c r="AM78" i="19"/>
  <c r="AM77" i="19"/>
  <c r="AM76" i="19"/>
  <c r="AM75" i="19"/>
  <c r="AM74" i="19"/>
  <c r="AM73" i="19"/>
  <c r="AM72" i="19"/>
  <c r="AM71" i="19"/>
  <c r="AM70" i="19"/>
  <c r="AM69" i="19"/>
  <c r="AM68" i="19"/>
  <c r="AM67" i="19"/>
  <c r="AM66" i="19"/>
  <c r="AM65" i="19"/>
  <c r="AM64" i="19"/>
  <c r="AM63" i="19"/>
  <c r="AM62" i="19"/>
  <c r="AM61" i="19"/>
  <c r="AM60" i="19"/>
  <c r="AM59" i="19"/>
  <c r="AM58" i="19"/>
  <c r="AM57" i="19"/>
  <c r="AM56" i="19"/>
  <c r="AM55" i="19"/>
  <c r="AM54" i="19"/>
  <c r="AM53" i="19"/>
  <c r="AM52" i="19"/>
  <c r="AM51" i="19"/>
  <c r="AM50" i="19"/>
  <c r="AM49" i="19"/>
  <c r="AM48" i="19"/>
  <c r="AM47" i="19"/>
  <c r="AM46" i="19"/>
  <c r="AM45" i="19"/>
  <c r="AM44" i="19"/>
  <c r="AM43" i="19"/>
  <c r="AM42" i="19"/>
  <c r="AM41" i="19"/>
  <c r="AM40" i="19"/>
  <c r="AM39" i="19"/>
  <c r="AM38" i="19"/>
  <c r="AM37" i="19"/>
  <c r="AM36" i="19"/>
  <c r="AM35" i="19"/>
  <c r="AM34" i="19"/>
  <c r="AM33" i="19"/>
  <c r="AM32" i="19"/>
  <c r="AM31" i="19"/>
  <c r="AM30" i="19"/>
  <c r="AM29" i="19"/>
  <c r="AM28" i="19"/>
  <c r="AM27" i="19"/>
  <c r="AM26" i="19"/>
  <c r="AM25" i="19"/>
  <c r="AM24" i="19"/>
  <c r="AM23" i="19"/>
  <c r="AM22" i="19"/>
  <c r="AM21" i="19"/>
  <c r="AM20" i="19"/>
  <c r="AM19" i="19"/>
  <c r="AM18" i="19"/>
  <c r="AM17" i="19"/>
  <c r="AM16" i="19"/>
  <c r="AM15" i="19"/>
  <c r="AM14" i="19"/>
  <c r="AM13" i="19"/>
  <c r="AM12" i="19"/>
  <c r="AM11" i="19"/>
  <c r="AM10" i="19"/>
  <c r="AM9" i="19"/>
  <c r="AM8" i="19"/>
  <c r="AM7" i="19"/>
  <c r="AM6" i="19"/>
  <c r="AM291" i="19"/>
  <c r="AH291" i="19"/>
  <c r="AI291" i="19"/>
  <c r="AC291" i="19"/>
  <c r="AW291" i="19" l="1"/>
  <c r="AA291" i="19" l="1"/>
  <c r="Z291" i="19"/>
  <c r="Y291" i="19"/>
  <c r="AD291" i="19" s="1"/>
  <c r="P291" i="19"/>
  <c r="R291" i="19" l="1"/>
  <c r="T291" i="19"/>
  <c r="AF291" i="19"/>
  <c r="AH290" i="19"/>
  <c r="AI290" i="19" s="1"/>
  <c r="AH289" i="19"/>
  <c r="AI289" i="19" s="1"/>
  <c r="AK291" i="19" l="1"/>
  <c r="AR291" i="19" s="1"/>
  <c r="AT291" i="19" s="1"/>
  <c r="AN291" i="19"/>
  <c r="AO291" i="19" s="1"/>
  <c r="AP291" i="19" s="1"/>
  <c r="AG291" i="19"/>
  <c r="AW290" i="19"/>
  <c r="AI288" i="19"/>
  <c r="AI287" i="19"/>
  <c r="AW288" i="19"/>
  <c r="AC290" i="19"/>
  <c r="AC289" i="19"/>
  <c r="AW289" i="19" l="1"/>
  <c r="AA290" i="19"/>
  <c r="AA289" i="19"/>
  <c r="Z290" i="19"/>
  <c r="Z289" i="19"/>
  <c r="Y290" i="19"/>
  <c r="Y289" i="19"/>
  <c r="AD289" i="19" s="1"/>
  <c r="P290" i="19"/>
  <c r="P289" i="19"/>
  <c r="T290" i="19" l="1"/>
  <c r="AD290" i="19"/>
  <c r="AF290" i="19"/>
  <c r="R289" i="19"/>
  <c r="R290" i="19"/>
  <c r="AG290" i="19"/>
  <c r="T289" i="19"/>
  <c r="AF289" i="19" s="1"/>
  <c r="AI286" i="19"/>
  <c r="AI285" i="19"/>
  <c r="AC288" i="19"/>
  <c r="AK289" i="19" l="1"/>
  <c r="AR289" i="19" s="1"/>
  <c r="AT289" i="19" s="1"/>
  <c r="AN289" i="19"/>
  <c r="AO289" i="19" s="1"/>
  <c r="AP289" i="19" s="1"/>
  <c r="AG289" i="19"/>
  <c r="AK290" i="19"/>
  <c r="AR290" i="19" s="1"/>
  <c r="AT290" i="19" s="1"/>
  <c r="AN290" i="19"/>
  <c r="AO290" i="19" s="1"/>
  <c r="AP290" i="19" s="1"/>
  <c r="AA288" i="19"/>
  <c r="Z288" i="19"/>
  <c r="Y288" i="19"/>
  <c r="P288" i="19"/>
  <c r="R288" i="19" s="1"/>
  <c r="T288" i="19" l="1"/>
  <c r="AF288" i="19" s="1"/>
  <c r="AD288" i="19"/>
  <c r="AG288" i="19" l="1"/>
  <c r="AK288" i="19"/>
  <c r="AR288" i="19" s="1"/>
  <c r="AT288" i="19" s="1"/>
  <c r="AN288" i="19"/>
  <c r="AO288" i="19" s="1"/>
  <c r="AP288" i="19" s="1"/>
  <c r="AW286" i="19"/>
  <c r="AC287" i="19"/>
  <c r="AC286" i="19"/>
  <c r="AW287" i="19" l="1"/>
  <c r="AA287" i="19" l="1"/>
  <c r="AA286" i="19"/>
  <c r="Z287" i="19"/>
  <c r="Y287" i="19"/>
  <c r="Y286" i="19"/>
  <c r="P287" i="19"/>
  <c r="R287" i="19" s="1"/>
  <c r="P286" i="19"/>
  <c r="R286" i="19" s="1"/>
  <c r="T287" i="19" l="1"/>
  <c r="AF287" i="19" s="1"/>
  <c r="AK287" i="19" s="1"/>
  <c r="AR287" i="19" s="1"/>
  <c r="AT287" i="19" s="1"/>
  <c r="AD287" i="19"/>
  <c r="T286" i="19"/>
  <c r="J286" i="19" s="1"/>
  <c r="AN287" i="19" l="1"/>
  <c r="AO287" i="19" s="1"/>
  <c r="AP287" i="19" s="1"/>
  <c r="AG287" i="19"/>
  <c r="R283" i="30"/>
  <c r="T283" i="30"/>
  <c r="AA283" i="30" s="1"/>
  <c r="AC285" i="19"/>
  <c r="S283" i="30" l="1"/>
  <c r="AW285" i="19"/>
  <c r="U283" i="30" l="1"/>
  <c r="W283" i="30" s="1"/>
  <c r="Z283" i="30"/>
  <c r="AB283" i="30" s="1"/>
  <c r="Z286" i="19"/>
  <c r="Z285" i="19"/>
  <c r="Y285" i="19"/>
  <c r="P285" i="19"/>
  <c r="R285" i="19" s="1"/>
  <c r="AF286" i="19" l="1"/>
  <c r="AK286" i="19" s="1"/>
  <c r="AR286" i="19" s="1"/>
  <c r="AT286" i="19" s="1"/>
  <c r="AD286" i="19"/>
  <c r="H286" i="19" s="1"/>
  <c r="T285" i="19"/>
  <c r="J285" i="19" s="1"/>
  <c r="AD285" i="19"/>
  <c r="H285" i="19" s="1"/>
  <c r="T282" i="30"/>
  <c r="AA282" i="30" s="1"/>
  <c r="S282" i="30"/>
  <c r="Z282" i="30" s="1"/>
  <c r="R282" i="30"/>
  <c r="AI284" i="19"/>
  <c r="AI283" i="19"/>
  <c r="AC284" i="19"/>
  <c r="AN286" i="19" l="1"/>
  <c r="AO286" i="19" s="1"/>
  <c r="AP286" i="19" s="1"/>
  <c r="AG286" i="19"/>
  <c r="AF285" i="19"/>
  <c r="AK285" i="19" s="1"/>
  <c r="AR285" i="19" s="1"/>
  <c r="AT285" i="19" s="1"/>
  <c r="AB282" i="30"/>
  <c r="U282" i="30"/>
  <c r="W282" i="30" s="1"/>
  <c r="AW284" i="19"/>
  <c r="AA284" i="19"/>
  <c r="Z284" i="19"/>
  <c r="Y284" i="19"/>
  <c r="P284" i="19"/>
  <c r="R284" i="19" s="1"/>
  <c r="AN285" i="19" l="1"/>
  <c r="AO285" i="19" s="1"/>
  <c r="AP285" i="19" s="1"/>
  <c r="AG285" i="19"/>
  <c r="T284" i="19"/>
  <c r="J284" i="19" s="1"/>
  <c r="AD284" i="19"/>
  <c r="H284" i="19" s="1"/>
  <c r="AF284" i="19"/>
  <c r="AG284" i="19" s="1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AK284" i="19" l="1"/>
  <c r="AR284" i="19" s="1"/>
  <c r="AT284" i="19" s="1"/>
  <c r="AN284" i="19"/>
  <c r="AO284" i="19" s="1"/>
  <c r="AP284" i="19" s="1"/>
  <c r="R281" i="30"/>
  <c r="AC283" i="19"/>
  <c r="AA283" i="19"/>
  <c r="Z283" i="19"/>
  <c r="Y283" i="19"/>
  <c r="T283" i="19" s="1"/>
  <c r="Y282" i="19"/>
  <c r="T282" i="19" s="1"/>
  <c r="P283" i="19"/>
  <c r="R283" i="19" s="1"/>
  <c r="AF283" i="19" l="1"/>
  <c r="AK283" i="19" s="1"/>
  <c r="AR283" i="19" s="1"/>
  <c r="AT283" i="19" s="1"/>
  <c r="AD283" i="19"/>
  <c r="T281" i="30"/>
  <c r="AA281" i="30" s="1"/>
  <c r="J283" i="19"/>
  <c r="H283" i="19"/>
  <c r="S281" i="30"/>
  <c r="AW283" i="19"/>
  <c r="R280" i="30"/>
  <c r="AW276" i="19"/>
  <c r="AW264" i="19"/>
  <c r="AW252" i="19"/>
  <c r="AW240" i="19"/>
  <c r="AW228" i="19"/>
  <c r="AW216" i="19"/>
  <c r="AW204" i="19"/>
  <c r="AW192" i="19"/>
  <c r="AW180" i="19"/>
  <c r="AW168" i="19"/>
  <c r="AW165" i="19"/>
  <c r="AW162" i="19"/>
  <c r="AW156" i="19"/>
  <c r="AW153" i="19"/>
  <c r="AW150" i="19"/>
  <c r="AW144" i="19"/>
  <c r="AW141" i="19"/>
  <c r="AW132" i="19"/>
  <c r="AW129" i="19"/>
  <c r="AW120" i="19"/>
  <c r="AW117" i="19"/>
  <c r="AW108" i="19"/>
  <c r="AW105" i="19"/>
  <c r="AW96" i="19"/>
  <c r="AW93" i="19"/>
  <c r="AW84" i="19"/>
  <c r="AW81" i="19"/>
  <c r="AW72" i="19"/>
  <c r="AW69" i="19"/>
  <c r="AW60" i="19"/>
  <c r="AW57" i="19"/>
  <c r="AW48" i="19"/>
  <c r="AW45" i="19"/>
  <c r="AW36" i="19"/>
  <c r="AW33" i="19"/>
  <c r="AW24" i="19"/>
  <c r="AW21" i="19"/>
  <c r="AW18" i="19"/>
  <c r="AW12" i="19"/>
  <c r="AW9" i="19"/>
  <c r="AW138" i="19"/>
  <c r="AW126" i="19"/>
  <c r="AW114" i="19"/>
  <c r="AW102" i="19"/>
  <c r="AW90" i="19"/>
  <c r="AW78" i="19"/>
  <c r="AW66" i="19"/>
  <c r="AW54" i="19"/>
  <c r="AW42" i="19"/>
  <c r="AW38" i="19"/>
  <c r="AW34" i="19"/>
  <c r="AW30" i="19"/>
  <c r="AW26" i="19"/>
  <c r="AW22" i="19"/>
  <c r="AW14" i="19"/>
  <c r="AW10" i="19"/>
  <c r="AW6" i="19"/>
  <c r="AW275" i="19"/>
  <c r="AI282" i="19"/>
  <c r="AJ282" i="19" s="1"/>
  <c r="AJ283" i="19" s="1"/>
  <c r="AJ284" i="19" s="1"/>
  <c r="AJ285" i="19" s="1"/>
  <c r="AJ286" i="19" s="1"/>
  <c r="AJ287" i="19" s="1"/>
  <c r="AJ288" i="19" s="1"/>
  <c r="AJ289" i="19" s="1"/>
  <c r="AJ290" i="19" s="1"/>
  <c r="AJ291" i="19" s="1"/>
  <c r="AJ292" i="19" s="1"/>
  <c r="AJ293" i="19" s="1"/>
  <c r="AI281" i="19"/>
  <c r="AG283" i="19" l="1"/>
  <c r="AN283" i="19"/>
  <c r="AO283" i="19" s="1"/>
  <c r="AP283" i="19" s="1"/>
  <c r="Z281" i="30"/>
  <c r="AB281" i="30" s="1"/>
  <c r="U281" i="30"/>
  <c r="W281" i="30" s="1"/>
  <c r="T280" i="30"/>
  <c r="AA280" i="30" s="1"/>
  <c r="AW13" i="19"/>
  <c r="AW25" i="19"/>
  <c r="AW37" i="19"/>
  <c r="AW49" i="19"/>
  <c r="AW61" i="19"/>
  <c r="AW73" i="19"/>
  <c r="AW85" i="19"/>
  <c r="AW97" i="19"/>
  <c r="AW109" i="19"/>
  <c r="AW121" i="19"/>
  <c r="AW133" i="19"/>
  <c r="AW145" i="19"/>
  <c r="AW157" i="19"/>
  <c r="AW169" i="19"/>
  <c r="AW181" i="19"/>
  <c r="AW193" i="19"/>
  <c r="AW205" i="19"/>
  <c r="AW217" i="19"/>
  <c r="AW229" i="19"/>
  <c r="AW241" i="19"/>
  <c r="AW253" i="19"/>
  <c r="AW265" i="19"/>
  <c r="AW277" i="19"/>
  <c r="AW50" i="19"/>
  <c r="AW62" i="19"/>
  <c r="AW74" i="19"/>
  <c r="AW86" i="19"/>
  <c r="AW98" i="19"/>
  <c r="AW110" i="19"/>
  <c r="AW122" i="19"/>
  <c r="AW134" i="19"/>
  <c r="AW146" i="19"/>
  <c r="AW158" i="19"/>
  <c r="AW170" i="19"/>
  <c r="AW182" i="19"/>
  <c r="AW194" i="19"/>
  <c r="AW206" i="19"/>
  <c r="AW218" i="19"/>
  <c r="AW230" i="19"/>
  <c r="AW242" i="19"/>
  <c r="AW254" i="19"/>
  <c r="AW266" i="19"/>
  <c r="AW278" i="19"/>
  <c r="AW15" i="19"/>
  <c r="AW27" i="19"/>
  <c r="AW39" i="19"/>
  <c r="AW51" i="19"/>
  <c r="AW63" i="19"/>
  <c r="AW75" i="19"/>
  <c r="AW87" i="19"/>
  <c r="AW99" i="19"/>
  <c r="AW111" i="19"/>
  <c r="AW123" i="19"/>
  <c r="AW135" i="19"/>
  <c r="AW147" i="19"/>
  <c r="AW159" i="19"/>
  <c r="AW171" i="19"/>
  <c r="AW183" i="19"/>
  <c r="AW195" i="19"/>
  <c r="AW207" i="19"/>
  <c r="AW219" i="19"/>
  <c r="AW231" i="19"/>
  <c r="AW255" i="19"/>
  <c r="AW267" i="19"/>
  <c r="AW279" i="19"/>
  <c r="AW16" i="19"/>
  <c r="AW28" i="19"/>
  <c r="AW40" i="19"/>
  <c r="AW52" i="19"/>
  <c r="AW64" i="19"/>
  <c r="AW76" i="19"/>
  <c r="AW88" i="19"/>
  <c r="AW100" i="19"/>
  <c r="AW112" i="19"/>
  <c r="AW124" i="19"/>
  <c r="AW136" i="19"/>
  <c r="AW148" i="19"/>
  <c r="AW160" i="19"/>
  <c r="AW172" i="19"/>
  <c r="AW184" i="19"/>
  <c r="AW196" i="19"/>
  <c r="AW208" i="19"/>
  <c r="AW220" i="19"/>
  <c r="AW232" i="19"/>
  <c r="AW244" i="19"/>
  <c r="AW256" i="19"/>
  <c r="AW268" i="19"/>
  <c r="AW280" i="19"/>
  <c r="AW282" i="19"/>
  <c r="AW17" i="19"/>
  <c r="AW29" i="19"/>
  <c r="AW41" i="19"/>
  <c r="AW53" i="19"/>
  <c r="AW65" i="19"/>
  <c r="AW77" i="19"/>
  <c r="AW89" i="19"/>
  <c r="AW101" i="19"/>
  <c r="AW113" i="19"/>
  <c r="AW125" i="19"/>
  <c r="AW137" i="19"/>
  <c r="AW149" i="19"/>
  <c r="AW161" i="19"/>
  <c r="AW173" i="19"/>
  <c r="AW185" i="19"/>
  <c r="AW197" i="19"/>
  <c r="AW209" i="19"/>
  <c r="AW221" i="19"/>
  <c r="AW233" i="19"/>
  <c r="AW245" i="19"/>
  <c r="AW257" i="19"/>
  <c r="AW269" i="19"/>
  <c r="AW281" i="19"/>
  <c r="AW174" i="19"/>
  <c r="AW186" i="19"/>
  <c r="AW198" i="19"/>
  <c r="AW210" i="19"/>
  <c r="AW222" i="19"/>
  <c r="AW234" i="19"/>
  <c r="AW246" i="19"/>
  <c r="AW258" i="19"/>
  <c r="AW270" i="19"/>
  <c r="AW7" i="19"/>
  <c r="AW19" i="19"/>
  <c r="AW31" i="19"/>
  <c r="AW43" i="19"/>
  <c r="AW55" i="19"/>
  <c r="AW67" i="19"/>
  <c r="AW79" i="19"/>
  <c r="AW91" i="19"/>
  <c r="AW103" i="19"/>
  <c r="AW115" i="19"/>
  <c r="AW127" i="19"/>
  <c r="AW139" i="19"/>
  <c r="AW151" i="19"/>
  <c r="AW163" i="19"/>
  <c r="AW175" i="19"/>
  <c r="AW187" i="19"/>
  <c r="AW199" i="19"/>
  <c r="AW211" i="19"/>
  <c r="AW223" i="19"/>
  <c r="AW235" i="19"/>
  <c r="AW247" i="19"/>
  <c r="AW259" i="19"/>
  <c r="AW271" i="19"/>
  <c r="AW8" i="19"/>
  <c r="AW20" i="19"/>
  <c r="AW32" i="19"/>
  <c r="AW44" i="19"/>
  <c r="AW56" i="19"/>
  <c r="AW68" i="19"/>
  <c r="AW80" i="19"/>
  <c r="AW92" i="19"/>
  <c r="AW104" i="19"/>
  <c r="AW116" i="19"/>
  <c r="AW128" i="19"/>
  <c r="AW140" i="19"/>
  <c r="AW152" i="19"/>
  <c r="AW164" i="19"/>
  <c r="AW176" i="19"/>
  <c r="AW188" i="19"/>
  <c r="AW200" i="19"/>
  <c r="AW212" i="19"/>
  <c r="AW224" i="19"/>
  <c r="AW236" i="19"/>
  <c r="AW248" i="19"/>
  <c r="AW260" i="19"/>
  <c r="AW272" i="19"/>
  <c r="AW177" i="19"/>
  <c r="AW189" i="19"/>
  <c r="AW201" i="19"/>
  <c r="AW213" i="19"/>
  <c r="AW225" i="19"/>
  <c r="AW237" i="19"/>
  <c r="AW249" i="19"/>
  <c r="AW261" i="19"/>
  <c r="AW273" i="19"/>
  <c r="AW46" i="19"/>
  <c r="AW58" i="19"/>
  <c r="AW70" i="19"/>
  <c r="AW82" i="19"/>
  <c r="AW94" i="19"/>
  <c r="AW106" i="19"/>
  <c r="AW118" i="19"/>
  <c r="AW130" i="19"/>
  <c r="AW142" i="19"/>
  <c r="AW154" i="19"/>
  <c r="AW166" i="19"/>
  <c r="AW178" i="19"/>
  <c r="AW190" i="19"/>
  <c r="AW202" i="19"/>
  <c r="AW214" i="19"/>
  <c r="AW226" i="19"/>
  <c r="AW238" i="19"/>
  <c r="AW250" i="19"/>
  <c r="AW262" i="19"/>
  <c r="AW274" i="19"/>
  <c r="AW11" i="19"/>
  <c r="AW23" i="19"/>
  <c r="AW35" i="19"/>
  <c r="AW47" i="19"/>
  <c r="AW59" i="19"/>
  <c r="AW71" i="19"/>
  <c r="AW83" i="19"/>
  <c r="AW95" i="19"/>
  <c r="AW107" i="19"/>
  <c r="AW119" i="19"/>
  <c r="AW131" i="19"/>
  <c r="AW143" i="19"/>
  <c r="AW155" i="19"/>
  <c r="AW167" i="19"/>
  <c r="AW179" i="19"/>
  <c r="AW191" i="19"/>
  <c r="AW203" i="19"/>
  <c r="AW215" i="19"/>
  <c r="AW227" i="19"/>
  <c r="AW239" i="19"/>
  <c r="AW251" i="19"/>
  <c r="AW263" i="19"/>
  <c r="S280" i="30"/>
  <c r="Z280" i="30" s="1"/>
  <c r="U280" i="30"/>
  <c r="W280" i="30" s="1"/>
  <c r="J282" i="19"/>
  <c r="AD282" i="19"/>
  <c r="H282" i="19" s="1"/>
  <c r="AC282" i="19"/>
  <c r="AF282" i="19" s="1"/>
  <c r="AA282" i="19"/>
  <c r="Z282" i="19"/>
  <c r="P282" i="19"/>
  <c r="R282" i="19" s="1"/>
  <c r="AC280" i="30" l="1"/>
  <c r="AC281" i="30" s="1"/>
  <c r="AC282" i="30" s="1"/>
  <c r="AC283" i="30" s="1"/>
  <c r="AB280" i="30"/>
  <c r="V280" i="30"/>
  <c r="V281" i="30" s="1"/>
  <c r="V282" i="30" s="1"/>
  <c r="V283" i="30" s="1"/>
  <c r="V284" i="30" s="1"/>
  <c r="V285" i="30" s="1"/>
  <c r="V286" i="30" s="1"/>
  <c r="V287" i="30" s="1"/>
  <c r="V288" i="30" s="1"/>
  <c r="V289" i="30" s="1"/>
  <c r="X280" i="30"/>
  <c r="X281" i="30" s="1"/>
  <c r="X282" i="30" s="1"/>
  <c r="X283" i="30" s="1"/>
  <c r="AG282" i="19"/>
  <c r="AK282" i="19"/>
  <c r="AR282" i="19" s="1"/>
  <c r="AT282" i="19" s="1"/>
  <c r="AN282" i="19"/>
  <c r="AQ291" i="19" s="1"/>
  <c r="AQ283" i="19"/>
  <c r="AQ282" i="19"/>
  <c r="T279" i="30"/>
  <c r="AA279" i="30" s="1"/>
  <c r="R279" i="30"/>
  <c r="AO282" i="19" l="1"/>
  <c r="AP282" i="19" s="1"/>
  <c r="AQ288" i="19"/>
  <c r="AQ289" i="19"/>
  <c r="AQ290" i="19"/>
  <c r="AQ287" i="19"/>
  <c r="AQ286" i="19"/>
  <c r="AQ284" i="19"/>
  <c r="AQ285" i="19"/>
  <c r="S279" i="30"/>
  <c r="Z279" i="30" s="1"/>
  <c r="AA281" i="19"/>
  <c r="AB279" i="30" l="1"/>
  <c r="U279" i="30"/>
  <c r="W279" i="30" s="1"/>
  <c r="AC281" i="19"/>
  <c r="Z281" i="19" l="1"/>
  <c r="Y281" i="19"/>
  <c r="P281" i="19"/>
  <c r="R281" i="19" s="1"/>
  <c r="AD281" i="19" l="1"/>
  <c r="H281" i="19" s="1"/>
  <c r="T281" i="19"/>
  <c r="J281" i="19" s="1"/>
  <c r="AF281" i="19"/>
  <c r="AG281" i="19" s="1"/>
  <c r="R277" i="30"/>
  <c r="R276" i="30"/>
  <c r="R275" i="30"/>
  <c r="R274" i="30"/>
  <c r="R273" i="30"/>
  <c r="R272" i="30"/>
  <c r="R271" i="30"/>
  <c r="R270" i="30"/>
  <c r="R269" i="30"/>
  <c r="R268" i="30"/>
  <c r="R267" i="30"/>
  <c r="R266" i="30"/>
  <c r="R265" i="30"/>
  <c r="R264" i="30"/>
  <c r="R263" i="30"/>
  <c r="R262" i="30"/>
  <c r="R261" i="30"/>
  <c r="R260" i="30"/>
  <c r="R259" i="30"/>
  <c r="R258" i="30"/>
  <c r="R257" i="30"/>
  <c r="R256" i="30"/>
  <c r="R255" i="30"/>
  <c r="R254" i="30"/>
  <c r="R253" i="30"/>
  <c r="R252" i="30"/>
  <c r="R251" i="30"/>
  <c r="R250" i="30"/>
  <c r="R249" i="30"/>
  <c r="R248" i="30"/>
  <c r="R247" i="30"/>
  <c r="R246" i="30"/>
  <c r="R245" i="30"/>
  <c r="R244" i="30"/>
  <c r="R243" i="30"/>
  <c r="R242" i="30"/>
  <c r="R240" i="30"/>
  <c r="R239" i="30"/>
  <c r="R238" i="30"/>
  <c r="R237" i="30"/>
  <c r="R236" i="30"/>
  <c r="R235" i="30"/>
  <c r="R234" i="30"/>
  <c r="R233" i="30"/>
  <c r="R232" i="30"/>
  <c r="R231" i="30"/>
  <c r="R230" i="30"/>
  <c r="R229" i="30"/>
  <c r="R228" i="30"/>
  <c r="R227" i="30"/>
  <c r="R226" i="30"/>
  <c r="R225" i="30"/>
  <c r="R224" i="30"/>
  <c r="R223" i="30"/>
  <c r="R222" i="30"/>
  <c r="R221" i="30"/>
  <c r="R220" i="30"/>
  <c r="R219" i="30"/>
  <c r="R218" i="30"/>
  <c r="R217" i="30"/>
  <c r="R216" i="30"/>
  <c r="R215" i="30"/>
  <c r="R214" i="30"/>
  <c r="R213" i="30"/>
  <c r="R212" i="30"/>
  <c r="R211" i="30"/>
  <c r="R210" i="30"/>
  <c r="R209" i="30"/>
  <c r="R208" i="30"/>
  <c r="R207" i="30"/>
  <c r="R206" i="30"/>
  <c r="R205" i="30"/>
  <c r="R204" i="30"/>
  <c r="R203" i="30"/>
  <c r="R202" i="30"/>
  <c r="R201" i="30"/>
  <c r="R200" i="30"/>
  <c r="R199" i="30"/>
  <c r="R198" i="30"/>
  <c r="R197" i="30"/>
  <c r="R196" i="30"/>
  <c r="R195" i="30"/>
  <c r="R194" i="30"/>
  <c r="R193" i="30"/>
  <c r="R192" i="30"/>
  <c r="R191" i="30"/>
  <c r="R190" i="30"/>
  <c r="R189" i="30"/>
  <c r="R188" i="30"/>
  <c r="R187" i="30"/>
  <c r="R186" i="30"/>
  <c r="R185" i="30"/>
  <c r="R184" i="30"/>
  <c r="R183" i="30"/>
  <c r="R182" i="30"/>
  <c r="R181" i="30"/>
  <c r="R180" i="30"/>
  <c r="R179" i="30"/>
  <c r="R178" i="30"/>
  <c r="R177" i="30"/>
  <c r="R176" i="30"/>
  <c r="R175" i="30"/>
  <c r="R174" i="30"/>
  <c r="R173" i="30"/>
  <c r="R172" i="30"/>
  <c r="R171" i="30"/>
  <c r="R170" i="30"/>
  <c r="R169" i="30"/>
  <c r="R168" i="30"/>
  <c r="R167" i="30"/>
  <c r="R166" i="30"/>
  <c r="R165" i="30"/>
  <c r="R164" i="30"/>
  <c r="R163" i="30"/>
  <c r="R162" i="30"/>
  <c r="R161" i="30"/>
  <c r="R160" i="30"/>
  <c r="R159" i="30"/>
  <c r="R158" i="30"/>
  <c r="R157" i="30"/>
  <c r="R156" i="30"/>
  <c r="R155" i="30"/>
  <c r="R154" i="30"/>
  <c r="R153" i="30"/>
  <c r="R152" i="30"/>
  <c r="R151" i="30"/>
  <c r="R150" i="30"/>
  <c r="R149" i="30"/>
  <c r="R148" i="30"/>
  <c r="R147" i="30"/>
  <c r="R146" i="30"/>
  <c r="R145" i="30"/>
  <c r="R144" i="30"/>
  <c r="R143" i="30"/>
  <c r="R142" i="30"/>
  <c r="R141" i="30"/>
  <c r="R140" i="30"/>
  <c r="R139" i="30"/>
  <c r="R138" i="30"/>
  <c r="R137" i="30"/>
  <c r="R136" i="30"/>
  <c r="R135" i="30"/>
  <c r="R134" i="30"/>
  <c r="R133" i="30"/>
  <c r="R132" i="30"/>
  <c r="R131" i="30"/>
  <c r="R130" i="30"/>
  <c r="R129" i="30"/>
  <c r="R128" i="30"/>
  <c r="R127" i="30"/>
  <c r="R126" i="30"/>
  <c r="R125" i="30"/>
  <c r="R124" i="30"/>
  <c r="R123" i="30"/>
  <c r="R122" i="30"/>
  <c r="R121" i="30"/>
  <c r="R120" i="30"/>
  <c r="R119" i="30"/>
  <c r="R118" i="30"/>
  <c r="R117" i="30"/>
  <c r="R116" i="30"/>
  <c r="R115" i="30"/>
  <c r="R114" i="30"/>
  <c r="R113" i="30"/>
  <c r="R112" i="30"/>
  <c r="R111" i="30"/>
  <c r="R110" i="30"/>
  <c r="R109" i="30"/>
  <c r="R108" i="30"/>
  <c r="R107" i="30"/>
  <c r="R106" i="30"/>
  <c r="R105" i="30"/>
  <c r="R104" i="30"/>
  <c r="R103" i="30"/>
  <c r="R102" i="30"/>
  <c r="R101" i="30"/>
  <c r="R100" i="30"/>
  <c r="R99" i="30"/>
  <c r="R98" i="30"/>
  <c r="R97" i="30"/>
  <c r="R96" i="30"/>
  <c r="R95" i="30"/>
  <c r="R94" i="30"/>
  <c r="R93" i="30"/>
  <c r="R92" i="30"/>
  <c r="R91" i="30"/>
  <c r="R90" i="30"/>
  <c r="R89" i="30"/>
  <c r="R88" i="30"/>
  <c r="R87" i="30"/>
  <c r="R86" i="30"/>
  <c r="R85" i="30"/>
  <c r="R84" i="30"/>
  <c r="R83" i="30"/>
  <c r="R82" i="30"/>
  <c r="R81" i="30"/>
  <c r="R80" i="30"/>
  <c r="R79" i="30"/>
  <c r="R78" i="30"/>
  <c r="R77" i="30"/>
  <c r="R76" i="30"/>
  <c r="R75" i="30"/>
  <c r="R74" i="30"/>
  <c r="R73" i="30"/>
  <c r="R72" i="30"/>
  <c r="R71" i="30"/>
  <c r="R70" i="30"/>
  <c r="R69" i="30"/>
  <c r="R68" i="30"/>
  <c r="R67" i="30"/>
  <c r="R66" i="30"/>
  <c r="R65" i="30"/>
  <c r="R64" i="30"/>
  <c r="R63" i="30"/>
  <c r="R62" i="30"/>
  <c r="R61" i="30"/>
  <c r="R60" i="30"/>
  <c r="R59" i="30"/>
  <c r="R58" i="30"/>
  <c r="R57" i="30"/>
  <c r="R56" i="30"/>
  <c r="R55" i="30"/>
  <c r="R54" i="30"/>
  <c r="R53" i="30"/>
  <c r="R52" i="30"/>
  <c r="R51" i="30"/>
  <c r="R50" i="30"/>
  <c r="R49" i="30"/>
  <c r="R48" i="30"/>
  <c r="R47" i="30"/>
  <c r="R46" i="30"/>
  <c r="R45" i="30"/>
  <c r="R44" i="30"/>
  <c r="R43" i="30"/>
  <c r="R42" i="30"/>
  <c r="R41" i="30"/>
  <c r="R40" i="30"/>
  <c r="R39" i="30"/>
  <c r="R38" i="30"/>
  <c r="R37" i="30"/>
  <c r="R36" i="30"/>
  <c r="R35" i="30"/>
  <c r="R34" i="30"/>
  <c r="R33" i="30"/>
  <c r="R32" i="30"/>
  <c r="R31" i="30"/>
  <c r="R30" i="30"/>
  <c r="R29" i="30"/>
  <c r="R28" i="30"/>
  <c r="R27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R11" i="30"/>
  <c r="R10" i="30"/>
  <c r="R9" i="30"/>
  <c r="R8" i="30"/>
  <c r="R7" i="30"/>
  <c r="R6" i="30"/>
  <c r="R5" i="30"/>
  <c r="R4" i="30"/>
  <c r="R278" i="30"/>
  <c r="AN281" i="19" l="1"/>
  <c r="AO281" i="19" s="1"/>
  <c r="AP281" i="19" s="1"/>
  <c r="AK281" i="19"/>
  <c r="AR281" i="19" s="1"/>
  <c r="AT281" i="19" s="1"/>
  <c r="T278" i="30"/>
  <c r="AA278" i="30" s="1"/>
  <c r="S278" i="30"/>
  <c r="Z278" i="30" s="1"/>
  <c r="AI278" i="19"/>
  <c r="AI280" i="19"/>
  <c r="AI279" i="19"/>
  <c r="AI277" i="19"/>
  <c r="AI276" i="19"/>
  <c r="AI275" i="19"/>
  <c r="AI274" i="19"/>
  <c r="AI273" i="19"/>
  <c r="AI272" i="19"/>
  <c r="AI271" i="19"/>
  <c r="AI270" i="19"/>
  <c r="AI269" i="19"/>
  <c r="AI268" i="19"/>
  <c r="AI267" i="19"/>
  <c r="AI266" i="19"/>
  <c r="AI265" i="19"/>
  <c r="AI264" i="19"/>
  <c r="AI263" i="19"/>
  <c r="AI262" i="19"/>
  <c r="AI261" i="19"/>
  <c r="AI260" i="19"/>
  <c r="AI259" i="19"/>
  <c r="AI258" i="19"/>
  <c r="AI257" i="19"/>
  <c r="AI256" i="19"/>
  <c r="AI255" i="19"/>
  <c r="AI254" i="19"/>
  <c r="AI253" i="19"/>
  <c r="AI252" i="19"/>
  <c r="AI251" i="19"/>
  <c r="AI250" i="19"/>
  <c r="AI249" i="19"/>
  <c r="AI248" i="19"/>
  <c r="AI247" i="19"/>
  <c r="AI246" i="19"/>
  <c r="AI245" i="19"/>
  <c r="AI244" i="19"/>
  <c r="AI243" i="19"/>
  <c r="AI242" i="19"/>
  <c r="AI241" i="19"/>
  <c r="AI240" i="19"/>
  <c r="AI239" i="19"/>
  <c r="AI238" i="19"/>
  <c r="AI237" i="19"/>
  <c r="AI236" i="19"/>
  <c r="AI235" i="19"/>
  <c r="AI234" i="19"/>
  <c r="AI233" i="19"/>
  <c r="AI232" i="19"/>
  <c r="AI231" i="19"/>
  <c r="AI230" i="19"/>
  <c r="AI229" i="19"/>
  <c r="AI228" i="19"/>
  <c r="AI227" i="19"/>
  <c r="AI226" i="19"/>
  <c r="AI225" i="19"/>
  <c r="AI224" i="19"/>
  <c r="AI223" i="19"/>
  <c r="AI222" i="19"/>
  <c r="AI221" i="19"/>
  <c r="AI220" i="19"/>
  <c r="AI219" i="19"/>
  <c r="AI218" i="19"/>
  <c r="AI217" i="19"/>
  <c r="AI216" i="19"/>
  <c r="AI215" i="19"/>
  <c r="AI214" i="19"/>
  <c r="AI213" i="19"/>
  <c r="AI212" i="19"/>
  <c r="AI211" i="19"/>
  <c r="AI210" i="19"/>
  <c r="AI209" i="19"/>
  <c r="AI208" i="19"/>
  <c r="AI207" i="19"/>
  <c r="AI206" i="19"/>
  <c r="AI205" i="19"/>
  <c r="AI204" i="19"/>
  <c r="AI203" i="19"/>
  <c r="AI202" i="19"/>
  <c r="AI201" i="19"/>
  <c r="AI200" i="19"/>
  <c r="AI199" i="19"/>
  <c r="AI198" i="19"/>
  <c r="AI197" i="19"/>
  <c r="AI196" i="19"/>
  <c r="AI195" i="19"/>
  <c r="AI194" i="19"/>
  <c r="AI193" i="19"/>
  <c r="AI192" i="19"/>
  <c r="AI191" i="19"/>
  <c r="AI190" i="19"/>
  <c r="AI189" i="19"/>
  <c r="AI188" i="19"/>
  <c r="AI187" i="19"/>
  <c r="AI186" i="19"/>
  <c r="AI185" i="19"/>
  <c r="AI184" i="19"/>
  <c r="AI183" i="19"/>
  <c r="AI182" i="19"/>
  <c r="AI181" i="19"/>
  <c r="AI180" i="19"/>
  <c r="AI179" i="19"/>
  <c r="AI178" i="19"/>
  <c r="AI177" i="19"/>
  <c r="AI176" i="19"/>
  <c r="AI175" i="19"/>
  <c r="AI174" i="19"/>
  <c r="AI173" i="19"/>
  <c r="AI172" i="19"/>
  <c r="AI171" i="19"/>
  <c r="AI170" i="19"/>
  <c r="AI169" i="19"/>
  <c r="AI168" i="19"/>
  <c r="AI167" i="19"/>
  <c r="AI166" i="19"/>
  <c r="AI165" i="19"/>
  <c r="AI164" i="19"/>
  <c r="AI163" i="19"/>
  <c r="AI162" i="19"/>
  <c r="AI161" i="19"/>
  <c r="AI160" i="19"/>
  <c r="AI159" i="19"/>
  <c r="AI158" i="19"/>
  <c r="AI157" i="19"/>
  <c r="AI156" i="19"/>
  <c r="AI155" i="19"/>
  <c r="AI154" i="19"/>
  <c r="AI153" i="19"/>
  <c r="AI152" i="19"/>
  <c r="AI151" i="19"/>
  <c r="AI150" i="19"/>
  <c r="AI149" i="19"/>
  <c r="AI148" i="19"/>
  <c r="AI147" i="19"/>
  <c r="AI146" i="19"/>
  <c r="AI145" i="19"/>
  <c r="AI144" i="19"/>
  <c r="AI143" i="19"/>
  <c r="AI142" i="19"/>
  <c r="AI141" i="19"/>
  <c r="AI140" i="19"/>
  <c r="AI139" i="19"/>
  <c r="AI138" i="19"/>
  <c r="AI137" i="19"/>
  <c r="AI136" i="19"/>
  <c r="AI135" i="19"/>
  <c r="AI134" i="19"/>
  <c r="AI133" i="19"/>
  <c r="AI132" i="19"/>
  <c r="AI131" i="19"/>
  <c r="AI130" i="19"/>
  <c r="AI129" i="19"/>
  <c r="AI128" i="19"/>
  <c r="AI127" i="19"/>
  <c r="AI126" i="19"/>
  <c r="AI125" i="19"/>
  <c r="AI124" i="19"/>
  <c r="AI123" i="19"/>
  <c r="AI122" i="19"/>
  <c r="AI121" i="19"/>
  <c r="AI120" i="19"/>
  <c r="AI119" i="19"/>
  <c r="AI118" i="19"/>
  <c r="AI117" i="19"/>
  <c r="AI116" i="19"/>
  <c r="AI115" i="19"/>
  <c r="AI114" i="19"/>
  <c r="AI113" i="19"/>
  <c r="AI112" i="19"/>
  <c r="AI111" i="19"/>
  <c r="AI110" i="19"/>
  <c r="AI109" i="19"/>
  <c r="AI108" i="19"/>
  <c r="AI107" i="19"/>
  <c r="AI106" i="19"/>
  <c r="AI105" i="19"/>
  <c r="AI104" i="19"/>
  <c r="AI103" i="19"/>
  <c r="AI102" i="19"/>
  <c r="AJ126" i="19" l="1"/>
  <c r="AJ127" i="19" s="1"/>
  <c r="AJ128" i="19" s="1"/>
  <c r="AJ129" i="19" s="1"/>
  <c r="AJ130" i="19" s="1"/>
  <c r="AJ131" i="19" s="1"/>
  <c r="AJ132" i="19" s="1"/>
  <c r="AJ133" i="19" s="1"/>
  <c r="AJ134" i="19" s="1"/>
  <c r="AJ135" i="19" s="1"/>
  <c r="AJ136" i="19" s="1"/>
  <c r="AJ137" i="19" s="1"/>
  <c r="AJ150" i="19"/>
  <c r="AJ151" i="19" s="1"/>
  <c r="AJ152" i="19" s="1"/>
  <c r="AJ153" i="19" s="1"/>
  <c r="AJ154" i="19" s="1"/>
  <c r="AJ155" i="19" s="1"/>
  <c r="AJ156" i="19" s="1"/>
  <c r="AJ157" i="19" s="1"/>
  <c r="AJ158" i="19" s="1"/>
  <c r="AJ159" i="19" s="1"/>
  <c r="AJ160" i="19" s="1"/>
  <c r="AJ161" i="19" s="1"/>
  <c r="AJ174" i="19"/>
  <c r="AJ175" i="19" s="1"/>
  <c r="AJ176" i="19" s="1"/>
  <c r="AJ177" i="19" s="1"/>
  <c r="AJ178" i="19" s="1"/>
  <c r="AJ179" i="19" s="1"/>
  <c r="AJ180" i="19" s="1"/>
  <c r="AJ181" i="19" s="1"/>
  <c r="AJ182" i="19" s="1"/>
  <c r="AJ183" i="19" s="1"/>
  <c r="AJ184" i="19" s="1"/>
  <c r="AJ185" i="19" s="1"/>
  <c r="AJ186" i="19"/>
  <c r="AJ187" i="19" s="1"/>
  <c r="AJ188" i="19" s="1"/>
  <c r="AJ189" i="19" s="1"/>
  <c r="AJ190" i="19" s="1"/>
  <c r="AJ191" i="19" s="1"/>
  <c r="AJ192" i="19" s="1"/>
  <c r="AJ193" i="19" s="1"/>
  <c r="AJ194" i="19" s="1"/>
  <c r="AJ195" i="19" s="1"/>
  <c r="AJ196" i="19" s="1"/>
  <c r="AJ197" i="19" s="1"/>
  <c r="AJ198" i="19"/>
  <c r="AJ199" i="19" s="1"/>
  <c r="AJ200" i="19" s="1"/>
  <c r="AJ201" i="19" s="1"/>
  <c r="AJ202" i="19" s="1"/>
  <c r="AJ203" i="19" s="1"/>
  <c r="AJ204" i="19" s="1"/>
  <c r="AJ205" i="19" s="1"/>
  <c r="AJ206" i="19" s="1"/>
  <c r="AJ207" i="19" s="1"/>
  <c r="AJ208" i="19" s="1"/>
  <c r="AJ209" i="19" s="1"/>
  <c r="AJ210" i="19"/>
  <c r="AJ211" i="19" s="1"/>
  <c r="AJ212" i="19" s="1"/>
  <c r="AJ213" i="19" s="1"/>
  <c r="AJ214" i="19" s="1"/>
  <c r="AJ215" i="19" s="1"/>
  <c r="AJ216" i="19" s="1"/>
  <c r="AJ217" i="19" s="1"/>
  <c r="AJ218" i="19" s="1"/>
  <c r="AJ219" i="19" s="1"/>
  <c r="AJ220" i="19" s="1"/>
  <c r="AJ221" i="19" s="1"/>
  <c r="AJ222" i="19"/>
  <c r="AJ223" i="19" s="1"/>
  <c r="AJ224" i="19" s="1"/>
  <c r="AJ225" i="19" s="1"/>
  <c r="AJ226" i="19" s="1"/>
  <c r="AJ227" i="19" s="1"/>
  <c r="AJ228" i="19" s="1"/>
  <c r="AJ229" i="19" s="1"/>
  <c r="AJ230" i="19" s="1"/>
  <c r="AJ231" i="19" s="1"/>
  <c r="AJ232" i="19" s="1"/>
  <c r="AJ233" i="19" s="1"/>
  <c r="AJ234" i="19"/>
  <c r="AJ235" i="19" s="1"/>
  <c r="AJ236" i="19" s="1"/>
  <c r="AJ237" i="19" s="1"/>
  <c r="AJ238" i="19" s="1"/>
  <c r="AJ239" i="19" s="1"/>
  <c r="AJ240" i="19" s="1"/>
  <c r="AJ241" i="19" s="1"/>
  <c r="AJ242" i="19" s="1"/>
  <c r="AJ243" i="19" s="1"/>
  <c r="AJ244" i="19" s="1"/>
  <c r="AJ245" i="19" s="1"/>
  <c r="AJ246" i="19"/>
  <c r="AJ247" i="19" s="1"/>
  <c r="AJ248" i="19" s="1"/>
  <c r="AJ249" i="19" s="1"/>
  <c r="AJ250" i="19" s="1"/>
  <c r="AJ251" i="19" s="1"/>
  <c r="AJ252" i="19" s="1"/>
  <c r="AJ253" i="19" s="1"/>
  <c r="AJ254" i="19" s="1"/>
  <c r="AJ255" i="19" s="1"/>
  <c r="AJ256" i="19" s="1"/>
  <c r="AJ257" i="19" s="1"/>
  <c r="AJ258" i="19"/>
  <c r="AJ259" i="19" s="1"/>
  <c r="AJ260" i="19" s="1"/>
  <c r="AJ261" i="19" s="1"/>
  <c r="AJ262" i="19" s="1"/>
  <c r="AJ263" i="19" s="1"/>
  <c r="AJ264" i="19" s="1"/>
  <c r="AJ265" i="19" s="1"/>
  <c r="AJ266" i="19" s="1"/>
  <c r="AJ267" i="19" s="1"/>
  <c r="AJ268" i="19" s="1"/>
  <c r="AJ269" i="19" s="1"/>
  <c r="AJ270" i="19"/>
  <c r="AJ271" i="19" s="1"/>
  <c r="AJ272" i="19" s="1"/>
  <c r="AJ273" i="19" s="1"/>
  <c r="AJ274" i="19" s="1"/>
  <c r="AJ275" i="19" s="1"/>
  <c r="AJ276" i="19" s="1"/>
  <c r="AJ277" i="19" s="1"/>
  <c r="AJ278" i="19" s="1"/>
  <c r="AJ279" i="19" s="1"/>
  <c r="AJ280" i="19" s="1"/>
  <c r="AJ281" i="19" s="1"/>
  <c r="AJ102" i="19"/>
  <c r="AJ103" i="19" s="1"/>
  <c r="AJ104" i="19" s="1"/>
  <c r="AJ105" i="19" s="1"/>
  <c r="AJ106" i="19" s="1"/>
  <c r="AJ107" i="19" s="1"/>
  <c r="AJ108" i="19" s="1"/>
  <c r="AJ109" i="19" s="1"/>
  <c r="AJ110" i="19" s="1"/>
  <c r="AJ111" i="19" s="1"/>
  <c r="AJ112" i="19" s="1"/>
  <c r="AJ113" i="19" s="1"/>
  <c r="AJ114" i="19"/>
  <c r="AJ115" i="19" s="1"/>
  <c r="AJ116" i="19" s="1"/>
  <c r="AJ117" i="19" s="1"/>
  <c r="AJ118" i="19" s="1"/>
  <c r="AJ119" i="19" s="1"/>
  <c r="AJ120" i="19" s="1"/>
  <c r="AJ121" i="19" s="1"/>
  <c r="AJ122" i="19" s="1"/>
  <c r="AJ123" i="19" s="1"/>
  <c r="AJ124" i="19" s="1"/>
  <c r="AJ125" i="19" s="1"/>
  <c r="AJ138" i="19"/>
  <c r="AJ139" i="19" s="1"/>
  <c r="AJ140" i="19" s="1"/>
  <c r="AJ141" i="19" s="1"/>
  <c r="AJ142" i="19" s="1"/>
  <c r="AJ143" i="19" s="1"/>
  <c r="AJ144" i="19" s="1"/>
  <c r="AJ145" i="19" s="1"/>
  <c r="AJ146" i="19" s="1"/>
  <c r="AJ147" i="19" s="1"/>
  <c r="AJ148" i="19" s="1"/>
  <c r="AJ149" i="19" s="1"/>
  <c r="AJ162" i="19"/>
  <c r="AJ163" i="19" s="1"/>
  <c r="AJ164" i="19" s="1"/>
  <c r="AJ165" i="19" s="1"/>
  <c r="AJ166" i="19" s="1"/>
  <c r="AJ167" i="19" s="1"/>
  <c r="AJ168" i="19" s="1"/>
  <c r="AJ169" i="19" s="1"/>
  <c r="AJ170" i="19" s="1"/>
  <c r="AJ171" i="19" s="1"/>
  <c r="AJ172" i="19" s="1"/>
  <c r="AJ173" i="19" s="1"/>
  <c r="AB278" i="30"/>
  <c r="U278" i="30"/>
  <c r="W278" i="30" s="1"/>
  <c r="AC280" i="19"/>
  <c r="AA280" i="19" l="1"/>
  <c r="Z280" i="19"/>
  <c r="Y280" i="19"/>
  <c r="T280" i="19" s="1"/>
  <c r="P280" i="19"/>
  <c r="R280" i="19" s="1"/>
  <c r="AD280" i="19" l="1"/>
  <c r="H280" i="19" s="1"/>
  <c r="AF280" i="19"/>
  <c r="J280" i="19"/>
  <c r="AZ30" i="19"/>
  <c r="AZ31" i="19" s="1"/>
  <c r="AZ32" i="19" s="1"/>
  <c r="AZ33" i="19" s="1"/>
  <c r="AZ34" i="19" s="1"/>
  <c r="AZ35" i="19" s="1"/>
  <c r="AZ36" i="19" s="1"/>
  <c r="AZ37" i="19" s="1"/>
  <c r="AZ38" i="19" s="1"/>
  <c r="AZ39" i="19" s="1"/>
  <c r="AZ40" i="19" s="1"/>
  <c r="AZ41" i="19" s="1"/>
  <c r="AZ18" i="19"/>
  <c r="AZ19" i="19" s="1"/>
  <c r="AZ20" i="19" s="1"/>
  <c r="AZ21" i="19" s="1"/>
  <c r="AZ22" i="19" s="1"/>
  <c r="AZ23" i="19" s="1"/>
  <c r="AZ24" i="19" s="1"/>
  <c r="AZ25" i="19" s="1"/>
  <c r="AZ26" i="19" s="1"/>
  <c r="AZ27" i="19" s="1"/>
  <c r="AZ28" i="19" s="1"/>
  <c r="AZ29" i="19" s="1"/>
  <c r="AZ6" i="19"/>
  <c r="AZ7" i="19" s="1"/>
  <c r="AZ8" i="19" s="1"/>
  <c r="AZ9" i="19" s="1"/>
  <c r="AZ10" i="19" s="1"/>
  <c r="AZ11" i="19" s="1"/>
  <c r="AZ12" i="19" s="1"/>
  <c r="AZ13" i="19" s="1"/>
  <c r="AZ14" i="19" s="1"/>
  <c r="AZ15" i="19" s="1"/>
  <c r="AZ16" i="19" s="1"/>
  <c r="AZ17" i="19" s="1"/>
  <c r="AK280" i="19" l="1"/>
  <c r="AR280" i="19" s="1"/>
  <c r="AT280" i="19" s="1"/>
  <c r="AN280" i="19"/>
  <c r="AO280" i="19" s="1"/>
  <c r="AP280" i="19" s="1"/>
  <c r="AG280" i="19"/>
  <c r="AY280" i="19" s="1"/>
  <c r="S277" i="30"/>
  <c r="Z277" i="30" s="1"/>
  <c r="T277" i="30"/>
  <c r="AA277" i="30" s="1"/>
  <c r="U277" i="30" l="1"/>
  <c r="W277" i="30" s="1"/>
  <c r="AB277" i="30"/>
  <c r="AC279" i="19"/>
  <c r="AA279" i="19" l="1"/>
  <c r="Z279" i="19"/>
  <c r="Y279" i="19"/>
  <c r="P279" i="19"/>
  <c r="R279" i="19" s="1"/>
  <c r="AD279" i="19" l="1"/>
  <c r="H279" i="19" s="1"/>
  <c r="T279" i="19"/>
  <c r="J279" i="19" s="1"/>
  <c r="T276" i="30"/>
  <c r="AA276" i="30" s="1"/>
  <c r="S275" i="30"/>
  <c r="Z275" i="30" s="1"/>
  <c r="T274" i="30"/>
  <c r="AA274" i="30" s="1"/>
  <c r="S273" i="30"/>
  <c r="Z273" i="30" s="1"/>
  <c r="T273" i="30"/>
  <c r="AA273" i="30" s="1"/>
  <c r="AF279" i="19" l="1"/>
  <c r="AN279" i="19"/>
  <c r="AO279" i="19" s="1"/>
  <c r="AP279" i="19" s="1"/>
  <c r="AK279" i="19"/>
  <c r="AR279" i="19" s="1"/>
  <c r="AT279" i="19" s="1"/>
  <c r="U273" i="30"/>
  <c r="W273" i="30" s="1"/>
  <c r="AB273" i="30"/>
  <c r="AG279" i="19"/>
  <c r="AY279" i="19" s="1"/>
  <c r="T275" i="30"/>
  <c r="S276" i="30"/>
  <c r="Z276" i="30" s="1"/>
  <c r="S274" i="30"/>
  <c r="Z274" i="30" s="1"/>
  <c r="AC278" i="19"/>
  <c r="AC277" i="19"/>
  <c r="AA275" i="30" l="1"/>
  <c r="AB275" i="30" s="1"/>
  <c r="U274" i="30"/>
  <c r="W274" i="30" s="1"/>
  <c r="AB274" i="30"/>
  <c r="U275" i="30"/>
  <c r="W275" i="30" s="1"/>
  <c r="U276" i="30"/>
  <c r="W276" i="30" s="1"/>
  <c r="AB276" i="30"/>
  <c r="AA278" i="19"/>
  <c r="AA277" i="19"/>
  <c r="Z278" i="19"/>
  <c r="Z277" i="19"/>
  <c r="Y278" i="19"/>
  <c r="T278" i="19" s="1"/>
  <c r="Y277" i="19"/>
  <c r="P278" i="19"/>
  <c r="R278" i="19" s="1"/>
  <c r="P277" i="19"/>
  <c r="R277" i="19" s="1"/>
  <c r="AD277" i="19" l="1"/>
  <c r="H277" i="19" s="1"/>
  <c r="T277" i="19"/>
  <c r="J277" i="19" s="1"/>
  <c r="AF278" i="19"/>
  <c r="J278" i="19"/>
  <c r="AD278" i="19"/>
  <c r="H278" i="19" s="1"/>
  <c r="AF277" i="19"/>
  <c r="AC276" i="19"/>
  <c r="AC275" i="19"/>
  <c r="AN278" i="19" l="1"/>
  <c r="AO278" i="19" s="1"/>
  <c r="AP278" i="19" s="1"/>
  <c r="AK278" i="19"/>
  <c r="AR278" i="19" s="1"/>
  <c r="AT278" i="19" s="1"/>
  <c r="AN277" i="19"/>
  <c r="AO277" i="19" s="1"/>
  <c r="AP277" i="19" s="1"/>
  <c r="AK277" i="19"/>
  <c r="AR277" i="19" s="1"/>
  <c r="AT277" i="19" s="1"/>
  <c r="AG278" i="19"/>
  <c r="AY278" i="19" s="1"/>
  <c r="AG277" i="19"/>
  <c r="AY277" i="19" s="1"/>
  <c r="AA275" i="19" l="1"/>
  <c r="AA276" i="19"/>
  <c r="Z276" i="19"/>
  <c r="Z275" i="19"/>
  <c r="Y276" i="19"/>
  <c r="Y275" i="19"/>
  <c r="P276" i="19"/>
  <c r="R276" i="19" s="1"/>
  <c r="P275" i="19"/>
  <c r="R275" i="19" s="1"/>
  <c r="AD275" i="19" l="1"/>
  <c r="H275" i="19" s="1"/>
  <c r="T275" i="19"/>
  <c r="AD276" i="19"/>
  <c r="H276" i="19" s="1"/>
  <c r="T276" i="19"/>
  <c r="J276" i="19"/>
  <c r="J275" i="19"/>
  <c r="AF275" i="19"/>
  <c r="AG275" i="19" s="1"/>
  <c r="AY275" i="19" s="1"/>
  <c r="AF276" i="19"/>
  <c r="AN276" i="19" l="1"/>
  <c r="AO276" i="19" s="1"/>
  <c r="AP276" i="19" s="1"/>
  <c r="AK276" i="19"/>
  <c r="AR276" i="19" s="1"/>
  <c r="AT276" i="19" s="1"/>
  <c r="AN275" i="19"/>
  <c r="AO275" i="19" s="1"/>
  <c r="AP275" i="19" s="1"/>
  <c r="AK275" i="19"/>
  <c r="AR275" i="19" s="1"/>
  <c r="AT275" i="19" s="1"/>
  <c r="AG276" i="19"/>
  <c r="AY276" i="19" s="1"/>
  <c r="T251" i="30"/>
  <c r="AA251" i="30" s="1"/>
  <c r="T75" i="30"/>
  <c r="AA75" i="30" s="1"/>
  <c r="T271" i="30"/>
  <c r="AA271" i="30" s="1"/>
  <c r="T255" i="30"/>
  <c r="AA255" i="30" s="1"/>
  <c r="T238" i="30"/>
  <c r="AA238" i="30" s="1"/>
  <c r="T234" i="30"/>
  <c r="AA234" i="30" s="1"/>
  <c r="S230" i="30"/>
  <c r="Z230" i="30" s="1"/>
  <c r="T226" i="30"/>
  <c r="AA226" i="30" s="1"/>
  <c r="T222" i="30"/>
  <c r="AA222" i="30" s="1"/>
  <c r="S218" i="30"/>
  <c r="Z218" i="30" s="1"/>
  <c r="T214" i="30"/>
  <c r="AA214" i="30" s="1"/>
  <c r="T210" i="30"/>
  <c r="AA210" i="30" s="1"/>
  <c r="S206" i="30"/>
  <c r="Z206" i="30" s="1"/>
  <c r="T202" i="30"/>
  <c r="AA202" i="30" s="1"/>
  <c r="T198" i="30"/>
  <c r="AA198" i="30" s="1"/>
  <c r="S194" i="30"/>
  <c r="Z194" i="30" s="1"/>
  <c r="T190" i="30"/>
  <c r="AA190" i="30" s="1"/>
  <c r="T186" i="30"/>
  <c r="AA186" i="30" s="1"/>
  <c r="S182" i="30"/>
  <c r="Z182" i="30" s="1"/>
  <c r="T178" i="30"/>
  <c r="AA178" i="30" s="1"/>
  <c r="T174" i="30"/>
  <c r="AA174" i="30" s="1"/>
  <c r="S170" i="30"/>
  <c r="Z170" i="30" s="1"/>
  <c r="T166" i="30"/>
  <c r="AA166" i="30" s="1"/>
  <c r="T162" i="30"/>
  <c r="AA162" i="30" s="1"/>
  <c r="S158" i="30"/>
  <c r="Z158" i="30" s="1"/>
  <c r="T154" i="30"/>
  <c r="AA154" i="30" s="1"/>
  <c r="T150" i="30"/>
  <c r="AA150" i="30" s="1"/>
  <c r="S146" i="30"/>
  <c r="Z146" i="30" s="1"/>
  <c r="T142" i="30"/>
  <c r="AA142" i="30" s="1"/>
  <c r="T138" i="30"/>
  <c r="AA138" i="30" s="1"/>
  <c r="S134" i="30"/>
  <c r="Z134" i="30" s="1"/>
  <c r="T130" i="30"/>
  <c r="AA130" i="30" s="1"/>
  <c r="T66" i="30"/>
  <c r="AA66" i="30" s="1"/>
  <c r="T58" i="30"/>
  <c r="AA58" i="30" s="1"/>
  <c r="T54" i="30"/>
  <c r="AA54" i="30" s="1"/>
  <c r="S49" i="30"/>
  <c r="Z49" i="30" s="1"/>
  <c r="T46" i="30"/>
  <c r="AA46" i="30" s="1"/>
  <c r="B41" i="30"/>
  <c r="B42" i="30" s="1"/>
  <c r="B43" i="30" s="1"/>
  <c r="B44" i="30" s="1"/>
  <c r="B29" i="30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17" i="30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5" i="30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S85" i="30" l="1"/>
  <c r="Z85" i="30" s="1"/>
  <c r="S105" i="30"/>
  <c r="Z105" i="30" s="1"/>
  <c r="S109" i="30"/>
  <c r="Z109" i="30" s="1"/>
  <c r="S125" i="30"/>
  <c r="Z125" i="30" s="1"/>
  <c r="S145" i="30"/>
  <c r="Z145" i="30" s="1"/>
  <c r="S165" i="30"/>
  <c r="Z165" i="30" s="1"/>
  <c r="S185" i="30"/>
  <c r="Z185" i="30" s="1"/>
  <c r="S229" i="30"/>
  <c r="Z229" i="30" s="1"/>
  <c r="S242" i="30"/>
  <c r="Z242" i="30" s="1"/>
  <c r="S254" i="30"/>
  <c r="Z254" i="30" s="1"/>
  <c r="S266" i="30"/>
  <c r="Z266" i="30" s="1"/>
  <c r="T55" i="30"/>
  <c r="AA55" i="30" s="1"/>
  <c r="T79" i="30"/>
  <c r="AA79" i="30" s="1"/>
  <c r="T103" i="30"/>
  <c r="AA103" i="30" s="1"/>
  <c r="T167" i="30"/>
  <c r="AA167" i="30" s="1"/>
  <c r="T187" i="30"/>
  <c r="AA187" i="30" s="1"/>
  <c r="T207" i="30"/>
  <c r="AA207" i="30" s="1"/>
  <c r="S227" i="30"/>
  <c r="Z227" i="30" s="1"/>
  <c r="S239" i="30"/>
  <c r="Z239" i="30" s="1"/>
  <c r="T244" i="30"/>
  <c r="AA244" i="30" s="1"/>
  <c r="T248" i="30"/>
  <c r="AA248" i="30" s="1"/>
  <c r="T252" i="30"/>
  <c r="AA252" i="30" s="1"/>
  <c r="T256" i="30"/>
  <c r="AA256" i="30" s="1"/>
  <c r="T260" i="30"/>
  <c r="AA260" i="30" s="1"/>
  <c r="T264" i="30"/>
  <c r="AA264" i="30" s="1"/>
  <c r="T268" i="30"/>
  <c r="AA268" i="30" s="1"/>
  <c r="T272" i="30"/>
  <c r="AA272" i="30" s="1"/>
  <c r="T249" i="30"/>
  <c r="AA249" i="30" s="1"/>
  <c r="T269" i="30"/>
  <c r="AA269" i="30" s="1"/>
  <c r="T246" i="30"/>
  <c r="AA246" i="30" s="1"/>
  <c r="T262" i="30"/>
  <c r="AA262" i="30" s="1"/>
  <c r="T250" i="30"/>
  <c r="AA250" i="30" s="1"/>
  <c r="T258" i="30"/>
  <c r="AA258" i="30" s="1"/>
  <c r="T270" i="30"/>
  <c r="AA270" i="30" s="1"/>
  <c r="T227" i="30"/>
  <c r="T45" i="30"/>
  <c r="AA45" i="30" s="1"/>
  <c r="T53" i="30"/>
  <c r="AA53" i="30" s="1"/>
  <c r="T57" i="30"/>
  <c r="AA57" i="30" s="1"/>
  <c r="T69" i="30"/>
  <c r="AA69" i="30" s="1"/>
  <c r="T77" i="30"/>
  <c r="AA77" i="30" s="1"/>
  <c r="T81" i="30"/>
  <c r="AA81" i="30" s="1"/>
  <c r="T93" i="30"/>
  <c r="AA93" i="30" s="1"/>
  <c r="T101" i="30"/>
  <c r="AA101" i="30" s="1"/>
  <c r="T65" i="30"/>
  <c r="AA65" i="30" s="1"/>
  <c r="S50" i="30"/>
  <c r="Z50" i="30" s="1"/>
  <c r="S62" i="30"/>
  <c r="Z62" i="30" s="1"/>
  <c r="T70" i="30"/>
  <c r="AA70" i="30" s="1"/>
  <c r="S74" i="30"/>
  <c r="Z74" i="30" s="1"/>
  <c r="T78" i="30"/>
  <c r="AA78" i="30" s="1"/>
  <c r="T82" i="30"/>
  <c r="AA82" i="30" s="1"/>
  <c r="S86" i="30"/>
  <c r="Z86" i="30" s="1"/>
  <c r="T90" i="30"/>
  <c r="AA90" i="30" s="1"/>
  <c r="T94" i="30"/>
  <c r="AA94" i="30" s="1"/>
  <c r="S98" i="30"/>
  <c r="Z98" i="30" s="1"/>
  <c r="T102" i="30"/>
  <c r="AA102" i="30" s="1"/>
  <c r="T106" i="30"/>
  <c r="AA106" i="30" s="1"/>
  <c r="S110" i="30"/>
  <c r="Z110" i="30" s="1"/>
  <c r="T114" i="30"/>
  <c r="AA114" i="30" s="1"/>
  <c r="T118" i="30"/>
  <c r="AA118" i="30" s="1"/>
  <c r="S122" i="30"/>
  <c r="Z122" i="30" s="1"/>
  <c r="T126" i="30"/>
  <c r="AA126" i="30" s="1"/>
  <c r="S133" i="30"/>
  <c r="Z133" i="30" s="1"/>
  <c r="T133" i="30"/>
  <c r="AA133" i="30" s="1"/>
  <c r="S149" i="30"/>
  <c r="Z149" i="30" s="1"/>
  <c r="T149" i="30"/>
  <c r="AA149" i="30" s="1"/>
  <c r="S153" i="30"/>
  <c r="Z153" i="30" s="1"/>
  <c r="T153" i="30"/>
  <c r="AA153" i="30" s="1"/>
  <c r="S157" i="30"/>
  <c r="Z157" i="30" s="1"/>
  <c r="T157" i="30"/>
  <c r="AA157" i="30" s="1"/>
  <c r="S161" i="30"/>
  <c r="Z161" i="30" s="1"/>
  <c r="T161" i="30"/>
  <c r="AA161" i="30" s="1"/>
  <c r="S169" i="30"/>
  <c r="Z169" i="30" s="1"/>
  <c r="T169" i="30"/>
  <c r="AA169" i="30" s="1"/>
  <c r="S173" i="30"/>
  <c r="Z173" i="30" s="1"/>
  <c r="T173" i="30"/>
  <c r="AA173" i="30" s="1"/>
  <c r="S177" i="30"/>
  <c r="Z177" i="30" s="1"/>
  <c r="T177" i="30"/>
  <c r="AA177" i="30" s="1"/>
  <c r="S181" i="30"/>
  <c r="Z181" i="30" s="1"/>
  <c r="T181" i="30"/>
  <c r="AA181" i="30" s="1"/>
  <c r="S189" i="30"/>
  <c r="Z189" i="30" s="1"/>
  <c r="T189" i="30"/>
  <c r="AA189" i="30" s="1"/>
  <c r="S193" i="30"/>
  <c r="Z193" i="30" s="1"/>
  <c r="T193" i="30"/>
  <c r="AA193" i="30" s="1"/>
  <c r="S197" i="30"/>
  <c r="Z197" i="30" s="1"/>
  <c r="T197" i="30"/>
  <c r="AA197" i="30" s="1"/>
  <c r="S201" i="30"/>
  <c r="Z201" i="30" s="1"/>
  <c r="T201" i="30"/>
  <c r="AA201" i="30" s="1"/>
  <c r="S205" i="30"/>
  <c r="Z205" i="30" s="1"/>
  <c r="T205" i="30"/>
  <c r="AA205" i="30" s="1"/>
  <c r="S209" i="30"/>
  <c r="Z209" i="30" s="1"/>
  <c r="T209" i="30"/>
  <c r="AA209" i="30" s="1"/>
  <c r="S213" i="30"/>
  <c r="Z213" i="30" s="1"/>
  <c r="T213" i="30"/>
  <c r="AA213" i="30" s="1"/>
  <c r="S217" i="30"/>
  <c r="Z217" i="30" s="1"/>
  <c r="T217" i="30"/>
  <c r="AA217" i="30" s="1"/>
  <c r="S221" i="30"/>
  <c r="Z221" i="30" s="1"/>
  <c r="T221" i="30"/>
  <c r="AA221" i="30" s="1"/>
  <c r="S225" i="30"/>
  <c r="Z225" i="30" s="1"/>
  <c r="T225" i="30"/>
  <c r="AA225" i="30" s="1"/>
  <c r="S233" i="30"/>
  <c r="Z233" i="30" s="1"/>
  <c r="T233" i="30"/>
  <c r="AA233" i="30" s="1"/>
  <c r="S237" i="30"/>
  <c r="Z237" i="30" s="1"/>
  <c r="T237" i="30"/>
  <c r="AA237" i="30" s="1"/>
  <c r="T185" i="30"/>
  <c r="S137" i="30"/>
  <c r="Z137" i="30" s="1"/>
  <c r="T137" i="30"/>
  <c r="AA137" i="30" s="1"/>
  <c r="S141" i="30"/>
  <c r="Z141" i="30" s="1"/>
  <c r="T141" i="30"/>
  <c r="AA141" i="30" s="1"/>
  <c r="T85" i="30"/>
  <c r="S89" i="30"/>
  <c r="Z89" i="30" s="1"/>
  <c r="T89" i="30"/>
  <c r="AA89" i="30" s="1"/>
  <c r="S61" i="30"/>
  <c r="Z61" i="30" s="1"/>
  <c r="T61" i="30"/>
  <c r="AA61" i="30" s="1"/>
  <c r="S117" i="30"/>
  <c r="Z117" i="30" s="1"/>
  <c r="T117" i="30"/>
  <c r="AA117" i="30" s="1"/>
  <c r="T105" i="30"/>
  <c r="S113" i="30"/>
  <c r="Z113" i="30" s="1"/>
  <c r="T113" i="30"/>
  <c r="AA113" i="30" s="1"/>
  <c r="T74" i="30"/>
  <c r="AA74" i="30" s="1"/>
  <c r="T98" i="30"/>
  <c r="AA98" i="30" s="1"/>
  <c r="T110" i="30"/>
  <c r="AA110" i="30" s="1"/>
  <c r="T122" i="30"/>
  <c r="AA122" i="30" s="1"/>
  <c r="T134" i="30"/>
  <c r="T146" i="30"/>
  <c r="T158" i="30"/>
  <c r="T170" i="30"/>
  <c r="T182" i="30"/>
  <c r="T194" i="30"/>
  <c r="T206" i="30"/>
  <c r="T218" i="30"/>
  <c r="T230" i="30"/>
  <c r="T109" i="30"/>
  <c r="AA109" i="30" s="1"/>
  <c r="T229" i="30"/>
  <c r="AA229" i="30" s="1"/>
  <c r="T86" i="30"/>
  <c r="AA86" i="30" s="1"/>
  <c r="S47" i="30"/>
  <c r="Z47" i="30" s="1"/>
  <c r="T47" i="30"/>
  <c r="AA47" i="30" s="1"/>
  <c r="S51" i="30"/>
  <c r="Z51" i="30" s="1"/>
  <c r="T51" i="30"/>
  <c r="AA51" i="30" s="1"/>
  <c r="S55" i="30"/>
  <c r="Z55" i="30" s="1"/>
  <c r="S59" i="30"/>
  <c r="Z59" i="30" s="1"/>
  <c r="T59" i="30"/>
  <c r="AA59" i="30" s="1"/>
  <c r="S63" i="30"/>
  <c r="Z63" i="30" s="1"/>
  <c r="T63" i="30"/>
  <c r="AA63" i="30" s="1"/>
  <c r="S67" i="30"/>
  <c r="Z67" i="30" s="1"/>
  <c r="T67" i="30"/>
  <c r="AA67" i="30" s="1"/>
  <c r="S71" i="30"/>
  <c r="Z71" i="30" s="1"/>
  <c r="T71" i="30"/>
  <c r="AA71" i="30" s="1"/>
  <c r="S75" i="30"/>
  <c r="S79" i="30"/>
  <c r="S83" i="30"/>
  <c r="Z83" i="30" s="1"/>
  <c r="T83" i="30"/>
  <c r="AA83" i="30" s="1"/>
  <c r="S87" i="30"/>
  <c r="Z87" i="30" s="1"/>
  <c r="T87" i="30"/>
  <c r="AA87" i="30" s="1"/>
  <c r="S91" i="30"/>
  <c r="Z91" i="30" s="1"/>
  <c r="T91" i="30"/>
  <c r="AA91" i="30" s="1"/>
  <c r="S95" i="30"/>
  <c r="Z95" i="30" s="1"/>
  <c r="T95" i="30"/>
  <c r="AA95" i="30" s="1"/>
  <c r="S99" i="30"/>
  <c r="Z99" i="30" s="1"/>
  <c r="T99" i="30"/>
  <c r="AA99" i="30" s="1"/>
  <c r="S103" i="30"/>
  <c r="S107" i="30"/>
  <c r="Z107" i="30" s="1"/>
  <c r="T107" i="30"/>
  <c r="AA107" i="30" s="1"/>
  <c r="S111" i="30"/>
  <c r="Z111" i="30" s="1"/>
  <c r="T111" i="30"/>
  <c r="AA111" i="30" s="1"/>
  <c r="S115" i="30"/>
  <c r="Z115" i="30" s="1"/>
  <c r="T115" i="30"/>
  <c r="AA115" i="30" s="1"/>
  <c r="S119" i="30"/>
  <c r="Z119" i="30" s="1"/>
  <c r="T119" i="30"/>
  <c r="AA119" i="30" s="1"/>
  <c r="S123" i="30"/>
  <c r="Z123" i="30" s="1"/>
  <c r="S127" i="30"/>
  <c r="Z127" i="30" s="1"/>
  <c r="T127" i="30"/>
  <c r="AA127" i="30" s="1"/>
  <c r="S131" i="30"/>
  <c r="Z131" i="30" s="1"/>
  <c r="T131" i="30"/>
  <c r="AA131" i="30" s="1"/>
  <c r="S135" i="30"/>
  <c r="Z135" i="30" s="1"/>
  <c r="T135" i="30"/>
  <c r="AA135" i="30" s="1"/>
  <c r="S139" i="30"/>
  <c r="Z139" i="30" s="1"/>
  <c r="T139" i="30"/>
  <c r="AA139" i="30" s="1"/>
  <c r="S143" i="30"/>
  <c r="Z143" i="30" s="1"/>
  <c r="T143" i="30"/>
  <c r="AA143" i="30" s="1"/>
  <c r="S147" i="30"/>
  <c r="Z147" i="30" s="1"/>
  <c r="T147" i="30"/>
  <c r="AA147" i="30" s="1"/>
  <c r="S151" i="30"/>
  <c r="Z151" i="30" s="1"/>
  <c r="T151" i="30"/>
  <c r="AA151" i="30" s="1"/>
  <c r="S155" i="30"/>
  <c r="Z155" i="30" s="1"/>
  <c r="T155" i="30"/>
  <c r="AA155" i="30" s="1"/>
  <c r="S159" i="30"/>
  <c r="Z159" i="30" s="1"/>
  <c r="T159" i="30"/>
  <c r="AA159" i="30" s="1"/>
  <c r="S163" i="30"/>
  <c r="Z163" i="30" s="1"/>
  <c r="T163" i="30"/>
  <c r="AA163" i="30" s="1"/>
  <c r="S167" i="30"/>
  <c r="Z167" i="30" s="1"/>
  <c r="S171" i="30"/>
  <c r="Z171" i="30" s="1"/>
  <c r="T171" i="30"/>
  <c r="AA171" i="30" s="1"/>
  <c r="S175" i="30"/>
  <c r="Z175" i="30" s="1"/>
  <c r="T175" i="30"/>
  <c r="AA175" i="30" s="1"/>
  <c r="S179" i="30"/>
  <c r="Z179" i="30" s="1"/>
  <c r="T179" i="30"/>
  <c r="AA179" i="30" s="1"/>
  <c r="S183" i="30"/>
  <c r="Z183" i="30" s="1"/>
  <c r="T183" i="30"/>
  <c r="AA183" i="30" s="1"/>
  <c r="S187" i="30"/>
  <c r="S191" i="30"/>
  <c r="Z191" i="30" s="1"/>
  <c r="T191" i="30"/>
  <c r="AA191" i="30" s="1"/>
  <c r="S195" i="30"/>
  <c r="Z195" i="30" s="1"/>
  <c r="T195" i="30"/>
  <c r="AA195" i="30" s="1"/>
  <c r="S199" i="30"/>
  <c r="Z199" i="30" s="1"/>
  <c r="T199" i="30"/>
  <c r="AA199" i="30" s="1"/>
  <c r="S203" i="30"/>
  <c r="Z203" i="30" s="1"/>
  <c r="T203" i="30"/>
  <c r="AA203" i="30" s="1"/>
  <c r="S207" i="30"/>
  <c r="S211" i="30"/>
  <c r="Z211" i="30" s="1"/>
  <c r="T211" i="30"/>
  <c r="AA211" i="30" s="1"/>
  <c r="S215" i="30"/>
  <c r="Z215" i="30" s="1"/>
  <c r="T215" i="30"/>
  <c r="AA215" i="30" s="1"/>
  <c r="S219" i="30"/>
  <c r="Z219" i="30" s="1"/>
  <c r="T219" i="30"/>
  <c r="AA219" i="30" s="1"/>
  <c r="S223" i="30"/>
  <c r="Z223" i="30" s="1"/>
  <c r="T223" i="30"/>
  <c r="AA223" i="30" s="1"/>
  <c r="S231" i="30"/>
  <c r="Z231" i="30" s="1"/>
  <c r="T231" i="30"/>
  <c r="AA231" i="30" s="1"/>
  <c r="S235" i="30"/>
  <c r="Z235" i="30" s="1"/>
  <c r="T235" i="30"/>
  <c r="AA235" i="30" s="1"/>
  <c r="T123" i="30"/>
  <c r="AA123" i="30" s="1"/>
  <c r="S73" i="30"/>
  <c r="Z73" i="30" s="1"/>
  <c r="T73" i="30"/>
  <c r="AA73" i="30" s="1"/>
  <c r="S97" i="30"/>
  <c r="Z97" i="30" s="1"/>
  <c r="T97" i="30"/>
  <c r="AA97" i="30" s="1"/>
  <c r="T62" i="30"/>
  <c r="T125" i="30"/>
  <c r="T145" i="30"/>
  <c r="AA145" i="30" s="1"/>
  <c r="S129" i="30"/>
  <c r="Z129" i="30" s="1"/>
  <c r="T129" i="30"/>
  <c r="AA129" i="30" s="1"/>
  <c r="T52" i="30"/>
  <c r="AA52" i="30" s="1"/>
  <c r="T60" i="30"/>
  <c r="AA60" i="30" s="1"/>
  <c r="T68" i="30"/>
  <c r="AA68" i="30" s="1"/>
  <c r="T76" i="30"/>
  <c r="AA76" i="30" s="1"/>
  <c r="T84" i="30"/>
  <c r="AA84" i="30" s="1"/>
  <c r="T92" i="30"/>
  <c r="AA92" i="30" s="1"/>
  <c r="T100" i="30"/>
  <c r="AA100" i="30" s="1"/>
  <c r="T104" i="30"/>
  <c r="AA104" i="30" s="1"/>
  <c r="T112" i="30"/>
  <c r="AA112" i="30" s="1"/>
  <c r="T116" i="30"/>
  <c r="AA116" i="30" s="1"/>
  <c r="T120" i="30"/>
  <c r="AA120" i="30" s="1"/>
  <c r="T128" i="30"/>
  <c r="AA128" i="30" s="1"/>
  <c r="T132" i="30"/>
  <c r="AA132" i="30" s="1"/>
  <c r="T136" i="30"/>
  <c r="AA136" i="30" s="1"/>
  <c r="T140" i="30"/>
  <c r="AA140" i="30" s="1"/>
  <c r="T144" i="30"/>
  <c r="AA144" i="30" s="1"/>
  <c r="T148" i="30"/>
  <c r="AA148" i="30" s="1"/>
  <c r="T152" i="30"/>
  <c r="AA152" i="30" s="1"/>
  <c r="T156" i="30"/>
  <c r="AA156" i="30" s="1"/>
  <c r="T160" i="30"/>
  <c r="AA160" i="30" s="1"/>
  <c r="T164" i="30"/>
  <c r="AA164" i="30" s="1"/>
  <c r="T168" i="30"/>
  <c r="AA168" i="30" s="1"/>
  <c r="T172" i="30"/>
  <c r="AA172" i="30" s="1"/>
  <c r="T176" i="30"/>
  <c r="AA176" i="30" s="1"/>
  <c r="T180" i="30"/>
  <c r="AA180" i="30" s="1"/>
  <c r="T184" i="30"/>
  <c r="AA184" i="30" s="1"/>
  <c r="T188" i="30"/>
  <c r="AA188" i="30" s="1"/>
  <c r="T192" i="30"/>
  <c r="AA192" i="30" s="1"/>
  <c r="T196" i="30"/>
  <c r="AA196" i="30" s="1"/>
  <c r="T200" i="30"/>
  <c r="AA200" i="30" s="1"/>
  <c r="T204" i="30"/>
  <c r="AA204" i="30" s="1"/>
  <c r="T208" i="30"/>
  <c r="AA208" i="30" s="1"/>
  <c r="T212" i="30"/>
  <c r="AA212" i="30" s="1"/>
  <c r="T216" i="30"/>
  <c r="AA216" i="30" s="1"/>
  <c r="T220" i="30"/>
  <c r="AA220" i="30" s="1"/>
  <c r="T224" i="30"/>
  <c r="AA224" i="30" s="1"/>
  <c r="T228" i="30"/>
  <c r="AA228" i="30" s="1"/>
  <c r="T232" i="30"/>
  <c r="AA232" i="30" s="1"/>
  <c r="T236" i="30"/>
  <c r="AA236" i="30" s="1"/>
  <c r="T240" i="30"/>
  <c r="AA240" i="30" s="1"/>
  <c r="T245" i="30"/>
  <c r="AA245" i="30" s="1"/>
  <c r="T253" i="30"/>
  <c r="AA253" i="30" s="1"/>
  <c r="T257" i="30"/>
  <c r="AA257" i="30" s="1"/>
  <c r="T261" i="30"/>
  <c r="AA261" i="30" s="1"/>
  <c r="T265" i="30"/>
  <c r="AA265" i="30" s="1"/>
  <c r="T49" i="30"/>
  <c r="S121" i="30"/>
  <c r="Z121" i="30" s="1"/>
  <c r="T121" i="30"/>
  <c r="AA121" i="30" s="1"/>
  <c r="T50" i="30"/>
  <c r="AA50" i="30" s="1"/>
  <c r="T48" i="30"/>
  <c r="AA48" i="30" s="1"/>
  <c r="T56" i="30"/>
  <c r="AA56" i="30" s="1"/>
  <c r="T64" i="30"/>
  <c r="AA64" i="30" s="1"/>
  <c r="T72" i="30"/>
  <c r="AA72" i="30" s="1"/>
  <c r="T80" i="30"/>
  <c r="AA80" i="30" s="1"/>
  <c r="T88" i="30"/>
  <c r="AA88" i="30" s="1"/>
  <c r="T96" i="30"/>
  <c r="AA96" i="30" s="1"/>
  <c r="T108" i="30"/>
  <c r="AA108" i="30" s="1"/>
  <c r="T124" i="30"/>
  <c r="AA124" i="30" s="1"/>
  <c r="T165" i="30"/>
  <c r="T242" i="30"/>
  <c r="AA242" i="30" s="1"/>
  <c r="T254" i="30"/>
  <c r="AA254" i="30" s="1"/>
  <c r="T266" i="30"/>
  <c r="AA266" i="30" s="1"/>
  <c r="S243" i="30"/>
  <c r="Z243" i="30" s="1"/>
  <c r="S247" i="30"/>
  <c r="Z247" i="30" s="1"/>
  <c r="S251" i="30"/>
  <c r="Z251" i="30" s="1"/>
  <c r="S255" i="30"/>
  <c r="Z255" i="30" s="1"/>
  <c r="S259" i="30"/>
  <c r="Z259" i="30" s="1"/>
  <c r="S263" i="30"/>
  <c r="Z263" i="30" s="1"/>
  <c r="S267" i="30"/>
  <c r="Z267" i="30" s="1"/>
  <c r="S271" i="30"/>
  <c r="Z271" i="30" s="1"/>
  <c r="T259" i="30"/>
  <c r="AA259" i="30" s="1"/>
  <c r="T239" i="30"/>
  <c r="AA239" i="30" s="1"/>
  <c r="T263" i="30"/>
  <c r="AA263" i="30" s="1"/>
  <c r="T243" i="30"/>
  <c r="AA243" i="30" s="1"/>
  <c r="S245" i="30"/>
  <c r="Z245" i="30" s="1"/>
  <c r="S249" i="30"/>
  <c r="S253" i="30"/>
  <c r="Z253" i="30" s="1"/>
  <c r="S257" i="30"/>
  <c r="Z257" i="30" s="1"/>
  <c r="S261" i="30"/>
  <c r="Z261" i="30" s="1"/>
  <c r="S265" i="30"/>
  <c r="Z265" i="30" s="1"/>
  <c r="S269" i="30"/>
  <c r="T247" i="30"/>
  <c r="AA247" i="30" s="1"/>
  <c r="T267" i="30"/>
  <c r="AA267" i="30" s="1"/>
  <c r="S45" i="30"/>
  <c r="Z45" i="30" s="1"/>
  <c r="S57" i="30"/>
  <c r="S69" i="30"/>
  <c r="Z69" i="30" s="1"/>
  <c r="S81" i="30"/>
  <c r="Z81" i="30" s="1"/>
  <c r="S93" i="30"/>
  <c r="Z93" i="30" s="1"/>
  <c r="S68" i="30"/>
  <c r="S200" i="30"/>
  <c r="S248" i="30"/>
  <c r="Z248" i="30" s="1"/>
  <c r="S152" i="30"/>
  <c r="Z152" i="30" s="1"/>
  <c r="S46" i="30"/>
  <c r="S52" i="30"/>
  <c r="Z52" i="30" s="1"/>
  <c r="S58" i="30"/>
  <c r="S64" i="30"/>
  <c r="Z64" i="30" s="1"/>
  <c r="S70" i="30"/>
  <c r="Z70" i="30" s="1"/>
  <c r="S76" i="30"/>
  <c r="Z76" i="30" s="1"/>
  <c r="S82" i="30"/>
  <c r="S88" i="30"/>
  <c r="Z88" i="30" s="1"/>
  <c r="S94" i="30"/>
  <c r="Z94" i="30" s="1"/>
  <c r="S100" i="30"/>
  <c r="Z100" i="30" s="1"/>
  <c r="S106" i="30"/>
  <c r="Z106" i="30" s="1"/>
  <c r="S112" i="30"/>
  <c r="Z112" i="30" s="1"/>
  <c r="S118" i="30"/>
  <c r="Z118" i="30" s="1"/>
  <c r="S124" i="30"/>
  <c r="Z124" i="30" s="1"/>
  <c r="S130" i="30"/>
  <c r="S136" i="30"/>
  <c r="Z136" i="30" s="1"/>
  <c r="S142" i="30"/>
  <c r="S148" i="30"/>
  <c r="Z148" i="30" s="1"/>
  <c r="S154" i="30"/>
  <c r="S160" i="30"/>
  <c r="Z160" i="30" s="1"/>
  <c r="S166" i="30"/>
  <c r="S172" i="30"/>
  <c r="Z172" i="30" s="1"/>
  <c r="S178" i="30"/>
  <c r="S184" i="30"/>
  <c r="Z184" i="30" s="1"/>
  <c r="S190" i="30"/>
  <c r="S196" i="30"/>
  <c r="Z196" i="30" s="1"/>
  <c r="S202" i="30"/>
  <c r="S208" i="30"/>
  <c r="Z208" i="30" s="1"/>
  <c r="S214" i="30"/>
  <c r="S220" i="30"/>
  <c r="Z220" i="30" s="1"/>
  <c r="S226" i="30"/>
  <c r="S232" i="30"/>
  <c r="Z232" i="30" s="1"/>
  <c r="S238" i="30"/>
  <c r="S244" i="30"/>
  <c r="Z244" i="30" s="1"/>
  <c r="S250" i="30"/>
  <c r="Z250" i="30" s="1"/>
  <c r="S256" i="30"/>
  <c r="Z256" i="30" s="1"/>
  <c r="S262" i="30"/>
  <c r="Z262" i="30" s="1"/>
  <c r="S268" i="30"/>
  <c r="Z268" i="30" s="1"/>
  <c r="S56" i="30"/>
  <c r="Z56" i="30" s="1"/>
  <c r="S92" i="30"/>
  <c r="Z92" i="30" s="1"/>
  <c r="S116" i="30"/>
  <c r="Z116" i="30" s="1"/>
  <c r="S188" i="30"/>
  <c r="Z188" i="30" s="1"/>
  <c r="S53" i="30"/>
  <c r="Z53" i="30" s="1"/>
  <c r="S65" i="30"/>
  <c r="Z65" i="30" s="1"/>
  <c r="S77" i="30"/>
  <c r="S101" i="30"/>
  <c r="S104" i="30"/>
  <c r="Z104" i="30" s="1"/>
  <c r="S128" i="30"/>
  <c r="Z128" i="30" s="1"/>
  <c r="S176" i="30"/>
  <c r="Z176" i="30" s="1"/>
  <c r="S224" i="30"/>
  <c r="Z224" i="30" s="1"/>
  <c r="S80" i="30"/>
  <c r="Z80" i="30" s="1"/>
  <c r="S260" i="30"/>
  <c r="Z260" i="30" s="1"/>
  <c r="S48" i="30"/>
  <c r="Z48" i="30" s="1"/>
  <c r="S54" i="30"/>
  <c r="S60" i="30"/>
  <c r="Z60" i="30" s="1"/>
  <c r="S66" i="30"/>
  <c r="S72" i="30"/>
  <c r="Z72" i="30" s="1"/>
  <c r="S78" i="30"/>
  <c r="S84" i="30"/>
  <c r="Z84" i="30" s="1"/>
  <c r="S90" i="30"/>
  <c r="Z90" i="30" s="1"/>
  <c r="S96" i="30"/>
  <c r="Z96" i="30" s="1"/>
  <c r="S102" i="30"/>
  <c r="S108" i="30"/>
  <c r="Z108" i="30" s="1"/>
  <c r="S114" i="30"/>
  <c r="Z114" i="30" s="1"/>
  <c r="S120" i="30"/>
  <c r="Z120" i="30" s="1"/>
  <c r="S126" i="30"/>
  <c r="Z126" i="30" s="1"/>
  <c r="S132" i="30"/>
  <c r="Z132" i="30" s="1"/>
  <c r="S138" i="30"/>
  <c r="S144" i="30"/>
  <c r="Z144" i="30" s="1"/>
  <c r="S150" i="30"/>
  <c r="S156" i="30"/>
  <c r="Z156" i="30" s="1"/>
  <c r="S162" i="30"/>
  <c r="S168" i="30"/>
  <c r="Z168" i="30" s="1"/>
  <c r="S174" i="30"/>
  <c r="S180" i="30"/>
  <c r="Z180" i="30" s="1"/>
  <c r="S186" i="30"/>
  <c r="S192" i="30"/>
  <c r="Z192" i="30" s="1"/>
  <c r="S198" i="30"/>
  <c r="S204" i="30"/>
  <c r="Z204" i="30" s="1"/>
  <c r="S210" i="30"/>
  <c r="S216" i="30"/>
  <c r="Z216" i="30" s="1"/>
  <c r="S222" i="30"/>
  <c r="S228" i="30"/>
  <c r="Z228" i="30" s="1"/>
  <c r="S234" i="30"/>
  <c r="S240" i="30"/>
  <c r="Z240" i="30" s="1"/>
  <c r="S246" i="30"/>
  <c r="S252" i="30"/>
  <c r="Z252" i="30" s="1"/>
  <c r="S258" i="30"/>
  <c r="Z258" i="30" s="1"/>
  <c r="S264" i="30"/>
  <c r="Z264" i="30" s="1"/>
  <c r="S270" i="30"/>
  <c r="Z270" i="30" s="1"/>
  <c r="S140" i="30"/>
  <c r="S212" i="30"/>
  <c r="Z212" i="30" s="1"/>
  <c r="S272" i="30"/>
  <c r="Z272" i="30" s="1"/>
  <c r="S164" i="30"/>
  <c r="Z164" i="30" s="1"/>
  <c r="S236" i="30"/>
  <c r="Z236" i="30" s="1"/>
  <c r="AC274" i="19"/>
  <c r="Z190" i="30" l="1"/>
  <c r="AB190" i="30" s="1"/>
  <c r="Z46" i="30"/>
  <c r="AB46" i="30" s="1"/>
  <c r="Z269" i="30"/>
  <c r="AB269" i="30" s="1"/>
  <c r="AA125" i="30"/>
  <c r="AB125" i="30" s="1"/>
  <c r="AA230" i="30"/>
  <c r="AB230" i="30" s="1"/>
  <c r="AA227" i="30"/>
  <c r="AB227" i="30" s="1"/>
  <c r="Z162" i="30"/>
  <c r="AB162" i="30" s="1"/>
  <c r="AA62" i="30"/>
  <c r="AB62" i="30" s="1"/>
  <c r="AA218" i="30"/>
  <c r="AB218" i="30" s="1"/>
  <c r="Z178" i="30"/>
  <c r="AB178" i="30" s="1"/>
  <c r="AA206" i="30"/>
  <c r="AB206" i="30" s="1"/>
  <c r="Z234" i="30"/>
  <c r="AB234" i="30" s="1"/>
  <c r="Z222" i="30"/>
  <c r="AB222" i="30" s="1"/>
  <c r="Z150" i="30"/>
  <c r="AB150" i="30" s="1"/>
  <c r="Z78" i="30"/>
  <c r="AB78" i="30" s="1"/>
  <c r="Z101" i="30"/>
  <c r="AB101" i="30" s="1"/>
  <c r="Z200" i="30"/>
  <c r="AB200" i="30" s="1"/>
  <c r="AA194" i="30"/>
  <c r="AB194" i="30" s="1"/>
  <c r="AA105" i="30"/>
  <c r="AB105" i="30" s="1"/>
  <c r="AA185" i="30"/>
  <c r="Z210" i="30"/>
  <c r="AB210" i="30" s="1"/>
  <c r="Z138" i="30"/>
  <c r="AB138" i="30" s="1"/>
  <c r="Z66" i="30"/>
  <c r="AB66" i="30" s="1"/>
  <c r="Z249" i="30"/>
  <c r="AB249" i="30" s="1"/>
  <c r="AA170" i="30"/>
  <c r="AB170" i="30" s="1"/>
  <c r="AA49" i="30"/>
  <c r="AB49" i="30" s="1"/>
  <c r="Z77" i="30"/>
  <c r="AB77" i="30" s="1"/>
  <c r="Z187" i="30"/>
  <c r="AB187" i="30" s="1"/>
  <c r="Z140" i="30"/>
  <c r="AB140" i="30" s="1"/>
  <c r="Z226" i="30"/>
  <c r="Z154" i="30"/>
  <c r="AB154" i="30" s="1"/>
  <c r="Z82" i="30"/>
  <c r="AB82" i="30" s="1"/>
  <c r="Z79" i="30"/>
  <c r="AB79" i="30" s="1"/>
  <c r="AA158" i="30"/>
  <c r="AB158" i="30" s="1"/>
  <c r="AB166" i="30"/>
  <c r="Z166" i="30"/>
  <c r="Z198" i="30"/>
  <c r="Z54" i="30"/>
  <c r="AB54" i="30" s="1"/>
  <c r="Z207" i="30"/>
  <c r="AB207" i="30" s="1"/>
  <c r="Z103" i="30"/>
  <c r="AB103" i="30" s="1"/>
  <c r="Z75" i="30"/>
  <c r="AB75" i="30" s="1"/>
  <c r="AA146" i="30"/>
  <c r="AB146" i="30" s="1"/>
  <c r="Z246" i="30"/>
  <c r="AB246" i="30" s="1"/>
  <c r="Z238" i="30"/>
  <c r="AB238" i="30" s="1"/>
  <c r="Z68" i="30"/>
  <c r="AB68" i="30" s="1"/>
  <c r="AA182" i="30"/>
  <c r="AB182" i="30" s="1"/>
  <c r="Z214" i="30"/>
  <c r="AB214" i="30" s="1"/>
  <c r="Z142" i="30"/>
  <c r="AB142" i="30" s="1"/>
  <c r="Z57" i="30"/>
  <c r="AA134" i="30"/>
  <c r="AB134" i="30" s="1"/>
  <c r="Z102" i="30"/>
  <c r="AB102" i="30" s="1"/>
  <c r="Z186" i="30"/>
  <c r="AB186" i="30" s="1"/>
  <c r="Z174" i="30"/>
  <c r="AB174" i="30" s="1"/>
  <c r="Z202" i="30"/>
  <c r="AB202" i="30" s="1"/>
  <c r="Z130" i="30"/>
  <c r="AB130" i="30" s="1"/>
  <c r="Z58" i="30"/>
  <c r="AB58" i="30" s="1"/>
  <c r="AA165" i="30"/>
  <c r="AB165" i="30" s="1"/>
  <c r="AA85" i="30"/>
  <c r="AB85" i="30" s="1"/>
  <c r="AB253" i="30"/>
  <c r="AB270" i="30"/>
  <c r="AB168" i="30"/>
  <c r="AB216" i="30"/>
  <c r="AB116" i="30"/>
  <c r="AB109" i="30"/>
  <c r="AB106" i="30"/>
  <c r="AB167" i="30"/>
  <c r="AB65" i="30"/>
  <c r="AB69" i="30"/>
  <c r="AB177" i="30"/>
  <c r="AB114" i="30"/>
  <c r="AB265" i="30"/>
  <c r="AB164" i="30"/>
  <c r="AB98" i="30"/>
  <c r="AB108" i="30"/>
  <c r="AB50" i="30"/>
  <c r="AB239" i="30"/>
  <c r="AB242" i="30"/>
  <c r="AB145" i="30"/>
  <c r="AB257" i="30"/>
  <c r="AB48" i="30"/>
  <c r="AB74" i="30"/>
  <c r="U247" i="30"/>
  <c r="W247" i="30" s="1"/>
  <c r="AB247" i="30"/>
  <c r="AB141" i="30"/>
  <c r="AB191" i="30"/>
  <c r="AB163" i="30"/>
  <c r="AB139" i="30"/>
  <c r="AB87" i="30"/>
  <c r="AB59" i="30"/>
  <c r="AB217" i="30"/>
  <c r="U266" i="30"/>
  <c r="W266" i="30" s="1"/>
  <c r="AB266" i="30"/>
  <c r="AB55" i="30"/>
  <c r="U254" i="30"/>
  <c r="W254" i="30" s="1"/>
  <c r="AB254" i="30"/>
  <c r="AB245" i="30"/>
  <c r="U264" i="30"/>
  <c r="W264" i="30" s="1"/>
  <c r="AB264" i="30"/>
  <c r="AB97" i="30"/>
  <c r="AB70" i="30"/>
  <c r="AB192" i="30"/>
  <c r="U258" i="30"/>
  <c r="W258" i="30" s="1"/>
  <c r="AB258" i="30"/>
  <c r="U260" i="30"/>
  <c r="W260" i="30" s="1"/>
  <c r="AB260" i="30"/>
  <c r="U268" i="30"/>
  <c r="W268" i="30" s="1"/>
  <c r="U271" i="30"/>
  <c r="W271" i="30" s="1"/>
  <c r="AB271" i="30"/>
  <c r="U252" i="30"/>
  <c r="W252" i="30" s="1"/>
  <c r="AB252" i="30"/>
  <c r="U262" i="30"/>
  <c r="W262" i="30" s="1"/>
  <c r="AB262" i="30"/>
  <c r="AB267" i="30"/>
  <c r="AB123" i="30"/>
  <c r="AB122" i="30"/>
  <c r="AB263" i="30"/>
  <c r="U265" i="30"/>
  <c r="W265" i="30" s="1"/>
  <c r="U250" i="30"/>
  <c r="W250" i="30" s="1"/>
  <c r="AB250" i="30"/>
  <c r="U248" i="30"/>
  <c r="W248" i="30" s="1"/>
  <c r="AB248" i="30"/>
  <c r="U261" i="30"/>
  <c r="W261" i="30" s="1"/>
  <c r="AB261" i="30"/>
  <c r="U259" i="30"/>
  <c r="W259" i="30" s="1"/>
  <c r="AB259" i="30"/>
  <c r="AB229" i="30"/>
  <c r="AB110" i="30"/>
  <c r="U251" i="30"/>
  <c r="W251" i="30" s="1"/>
  <c r="AB251" i="30"/>
  <c r="AB188" i="30"/>
  <c r="U256" i="30"/>
  <c r="W256" i="30" s="1"/>
  <c r="U272" i="30"/>
  <c r="W272" i="30" s="1"/>
  <c r="AB272" i="30"/>
  <c r="AB144" i="30"/>
  <c r="AB72" i="30"/>
  <c r="U244" i="30"/>
  <c r="W244" i="30" s="1"/>
  <c r="U255" i="30"/>
  <c r="W255" i="30" s="1"/>
  <c r="AB255" i="30"/>
  <c r="AB147" i="30"/>
  <c r="AB173" i="30"/>
  <c r="AB204" i="30"/>
  <c r="U249" i="30"/>
  <c r="W249" i="30" s="1"/>
  <c r="U270" i="30"/>
  <c r="W270" i="30" s="1"/>
  <c r="AB243" i="30"/>
  <c r="AB199" i="30"/>
  <c r="AB120" i="30"/>
  <c r="AB180" i="30"/>
  <c r="AB137" i="30"/>
  <c r="AB131" i="30"/>
  <c r="U246" i="30"/>
  <c r="W246" i="30" s="1"/>
  <c r="AB224" i="30"/>
  <c r="AB128" i="30"/>
  <c r="AB118" i="30"/>
  <c r="U269" i="30"/>
  <c r="W269" i="30" s="1"/>
  <c r="AB176" i="30"/>
  <c r="AB155" i="30"/>
  <c r="AB90" i="30"/>
  <c r="U263" i="30"/>
  <c r="W263" i="30" s="1"/>
  <c r="AB203" i="30"/>
  <c r="AB151" i="30"/>
  <c r="U257" i="30"/>
  <c r="W257" i="30" s="1"/>
  <c r="U253" i="30"/>
  <c r="W253" i="30" s="1"/>
  <c r="AB132" i="30"/>
  <c r="AB127" i="30"/>
  <c r="AB99" i="30"/>
  <c r="AB71" i="30"/>
  <c r="AB86" i="30"/>
  <c r="AB67" i="30"/>
  <c r="AB94" i="30"/>
  <c r="AB119" i="30"/>
  <c r="AB89" i="30"/>
  <c r="AB95" i="30"/>
  <c r="AB60" i="30"/>
  <c r="AB93" i="30"/>
  <c r="AB126" i="30"/>
  <c r="AB53" i="30"/>
  <c r="AB81" i="30"/>
  <c r="AB172" i="30"/>
  <c r="AB100" i="30"/>
  <c r="AB235" i="30"/>
  <c r="AB179" i="30"/>
  <c r="AB47" i="30"/>
  <c r="AB225" i="30"/>
  <c r="AB201" i="30"/>
  <c r="AB149" i="30"/>
  <c r="AB88" i="30"/>
  <c r="AC88" i="30"/>
  <c r="AC89" i="30" s="1"/>
  <c r="AC90" i="30" s="1"/>
  <c r="AC91" i="30" s="1"/>
  <c r="AC92" i="30" s="1"/>
  <c r="AC93" i="30" s="1"/>
  <c r="AC94" i="30" s="1"/>
  <c r="AC95" i="30" s="1"/>
  <c r="AC96" i="30" s="1"/>
  <c r="AC97" i="30" s="1"/>
  <c r="AC98" i="30" s="1"/>
  <c r="AC99" i="30" s="1"/>
  <c r="AB231" i="30"/>
  <c r="AB175" i="30"/>
  <c r="AB221" i="30"/>
  <c r="AB197" i="30"/>
  <c r="AB133" i="30"/>
  <c r="AB117" i="30"/>
  <c r="AB169" i="30"/>
  <c r="AB212" i="30"/>
  <c r="AB76" i="30"/>
  <c r="AB193" i="30"/>
  <c r="U245" i="30"/>
  <c r="W245" i="30" s="1"/>
  <c r="AB223" i="30"/>
  <c r="AB195" i="30"/>
  <c r="AB143" i="30"/>
  <c r="AB91" i="30"/>
  <c r="AB63" i="30"/>
  <c r="AB61" i="30"/>
  <c r="AB171" i="30"/>
  <c r="AB80" i="30"/>
  <c r="AB92" i="30"/>
  <c r="AB208" i="30"/>
  <c r="AB136" i="30"/>
  <c r="AB64" i="30"/>
  <c r="AB45" i="30"/>
  <c r="AB219" i="30"/>
  <c r="AB115" i="30"/>
  <c r="AB213" i="30"/>
  <c r="AB189" i="30"/>
  <c r="AB161" i="30"/>
  <c r="AB160" i="30"/>
  <c r="AB148" i="30"/>
  <c r="AB96" i="30"/>
  <c r="AB196" i="30"/>
  <c r="AB124" i="30"/>
  <c r="AB52" i="30"/>
  <c r="AB215" i="30"/>
  <c r="AB111" i="30"/>
  <c r="AB237" i="30"/>
  <c r="AB209" i="30"/>
  <c r="AB157" i="30"/>
  <c r="AB232" i="30"/>
  <c r="AB220" i="30"/>
  <c r="AB240" i="30"/>
  <c r="AB121" i="30"/>
  <c r="AB129" i="30"/>
  <c r="AB73" i="30"/>
  <c r="AB159" i="30"/>
  <c r="AB135" i="30"/>
  <c r="AB83" i="30"/>
  <c r="AB181" i="30"/>
  <c r="AB56" i="30"/>
  <c r="AB236" i="30"/>
  <c r="AB228" i="30"/>
  <c r="AB156" i="30"/>
  <c r="AB84" i="30"/>
  <c r="AB104" i="30"/>
  <c r="AB184" i="30"/>
  <c r="AB112" i="30"/>
  <c r="AC112" i="30"/>
  <c r="AC113" i="30" s="1"/>
  <c r="AC114" i="30" s="1"/>
  <c r="AC115" i="30" s="1"/>
  <c r="AC116" i="30" s="1"/>
  <c r="AC117" i="30" s="1"/>
  <c r="AC118" i="30" s="1"/>
  <c r="AC119" i="30" s="1"/>
  <c r="AC120" i="30" s="1"/>
  <c r="AC121" i="30" s="1"/>
  <c r="AC122" i="30" s="1"/>
  <c r="AC123" i="30" s="1"/>
  <c r="AB152" i="30"/>
  <c r="U267" i="30"/>
  <c r="W267" i="30" s="1"/>
  <c r="AB211" i="30"/>
  <c r="AB183" i="30"/>
  <c r="AB107" i="30"/>
  <c r="AB51" i="30"/>
  <c r="AB113" i="30"/>
  <c r="AB233" i="30"/>
  <c r="AB205" i="30"/>
  <c r="AB153" i="30"/>
  <c r="V256" i="30"/>
  <c r="V244" i="30"/>
  <c r="V268" i="30"/>
  <c r="AA274" i="19"/>
  <c r="Z274" i="19"/>
  <c r="Y274" i="19"/>
  <c r="P274" i="19"/>
  <c r="R274" i="19" s="1"/>
  <c r="AC136" i="30" l="1"/>
  <c r="AC137" i="30" s="1"/>
  <c r="AC138" i="30" s="1"/>
  <c r="AC139" i="30" s="1"/>
  <c r="AC140" i="30" s="1"/>
  <c r="AC141" i="30" s="1"/>
  <c r="AC142" i="30" s="1"/>
  <c r="AC143" i="30" s="1"/>
  <c r="AC144" i="30" s="1"/>
  <c r="AC145" i="30" s="1"/>
  <c r="AC146" i="30" s="1"/>
  <c r="AC147" i="30" s="1"/>
  <c r="AC208" i="30"/>
  <c r="AC209" i="30" s="1"/>
  <c r="AC210" i="30" s="1"/>
  <c r="AC211" i="30" s="1"/>
  <c r="AC212" i="30" s="1"/>
  <c r="AC213" i="30" s="1"/>
  <c r="AC214" i="30" s="1"/>
  <c r="AC215" i="30" s="1"/>
  <c r="AC216" i="30" s="1"/>
  <c r="AC217" i="30" s="1"/>
  <c r="AC218" i="30" s="1"/>
  <c r="AC219" i="30" s="1"/>
  <c r="AC160" i="30"/>
  <c r="AC161" i="30" s="1"/>
  <c r="AC162" i="30" s="1"/>
  <c r="AC163" i="30" s="1"/>
  <c r="AC164" i="30" s="1"/>
  <c r="AC165" i="30" s="1"/>
  <c r="AC166" i="30" s="1"/>
  <c r="AC167" i="30" s="1"/>
  <c r="AC168" i="30" s="1"/>
  <c r="AC169" i="30" s="1"/>
  <c r="AC170" i="30" s="1"/>
  <c r="AC171" i="30" s="1"/>
  <c r="AC196" i="30"/>
  <c r="AC197" i="30" s="1"/>
  <c r="AC198" i="30" s="1"/>
  <c r="AC199" i="30" s="1"/>
  <c r="AC200" i="30" s="1"/>
  <c r="AC201" i="30" s="1"/>
  <c r="AC202" i="30" s="1"/>
  <c r="AC203" i="30" s="1"/>
  <c r="AC204" i="30" s="1"/>
  <c r="AC205" i="30" s="1"/>
  <c r="AC206" i="30" s="1"/>
  <c r="AC207" i="30" s="1"/>
  <c r="AC100" i="30"/>
  <c r="AC101" i="30" s="1"/>
  <c r="AC102" i="30" s="1"/>
  <c r="AC103" i="30" s="1"/>
  <c r="AC104" i="30" s="1"/>
  <c r="AC105" i="30" s="1"/>
  <c r="AC106" i="30" s="1"/>
  <c r="AC107" i="30" s="1"/>
  <c r="AC108" i="30" s="1"/>
  <c r="AC109" i="30" s="1"/>
  <c r="AC110" i="30" s="1"/>
  <c r="AC111" i="30" s="1"/>
  <c r="AC45" i="30"/>
  <c r="AC46" i="30" s="1"/>
  <c r="AC47" i="30" s="1"/>
  <c r="AC48" i="30" s="1"/>
  <c r="AC49" i="30" s="1"/>
  <c r="AC50" i="30" s="1"/>
  <c r="AC51" i="30" s="1"/>
  <c r="AC172" i="30"/>
  <c r="AC173" i="30" s="1"/>
  <c r="AC174" i="30" s="1"/>
  <c r="AC175" i="30" s="1"/>
  <c r="AC176" i="30" s="1"/>
  <c r="AC177" i="30" s="1"/>
  <c r="AC178" i="30" s="1"/>
  <c r="AC179" i="30" s="1"/>
  <c r="AC180" i="30" s="1"/>
  <c r="AC181" i="30" s="1"/>
  <c r="AC182" i="30" s="1"/>
  <c r="AC183" i="30" s="1"/>
  <c r="AC52" i="30"/>
  <c r="AC53" i="30" s="1"/>
  <c r="AC54" i="30" s="1"/>
  <c r="AC55" i="30" s="1"/>
  <c r="AC56" i="30" s="1"/>
  <c r="AC57" i="30" s="1"/>
  <c r="AC58" i="30" s="1"/>
  <c r="AC59" i="30" s="1"/>
  <c r="AC60" i="30" s="1"/>
  <c r="AC61" i="30" s="1"/>
  <c r="AC62" i="30" s="1"/>
  <c r="AC63" i="30" s="1"/>
  <c r="AC220" i="30"/>
  <c r="AC221" i="30" s="1"/>
  <c r="AC222" i="30" s="1"/>
  <c r="AC223" i="30" s="1"/>
  <c r="AC224" i="30" s="1"/>
  <c r="AC225" i="30" s="1"/>
  <c r="AC226" i="30" s="1"/>
  <c r="AC227" i="30" s="1"/>
  <c r="AC228" i="30" s="1"/>
  <c r="AC229" i="30" s="1"/>
  <c r="AC230" i="30" s="1"/>
  <c r="AC231" i="30" s="1"/>
  <c r="AC124" i="30"/>
  <c r="AC125" i="30" s="1"/>
  <c r="AC126" i="30" s="1"/>
  <c r="AC127" i="30" s="1"/>
  <c r="AC128" i="30" s="1"/>
  <c r="AC129" i="30" s="1"/>
  <c r="AC130" i="30" s="1"/>
  <c r="AC131" i="30" s="1"/>
  <c r="AC132" i="30" s="1"/>
  <c r="AC133" i="30" s="1"/>
  <c r="AC134" i="30" s="1"/>
  <c r="AC135" i="30" s="1"/>
  <c r="AC148" i="30"/>
  <c r="AC149" i="30" s="1"/>
  <c r="AC150" i="30" s="1"/>
  <c r="AC151" i="30" s="1"/>
  <c r="AC152" i="30" s="1"/>
  <c r="AC153" i="30" s="1"/>
  <c r="AC154" i="30" s="1"/>
  <c r="AC155" i="30" s="1"/>
  <c r="AC156" i="30" s="1"/>
  <c r="AC157" i="30" s="1"/>
  <c r="AC158" i="30" s="1"/>
  <c r="AC159" i="30" s="1"/>
  <c r="AC184" i="30"/>
  <c r="AC185" i="30" s="1"/>
  <c r="AC186" i="30" s="1"/>
  <c r="AC187" i="30" s="1"/>
  <c r="AC188" i="30" s="1"/>
  <c r="AC189" i="30" s="1"/>
  <c r="AC190" i="30" s="1"/>
  <c r="AC191" i="30" s="1"/>
  <c r="AC192" i="30" s="1"/>
  <c r="AC193" i="30" s="1"/>
  <c r="AC194" i="30" s="1"/>
  <c r="AC195" i="30" s="1"/>
  <c r="AD274" i="19"/>
  <c r="H274" i="19" s="1"/>
  <c r="T274" i="19"/>
  <c r="AB57" i="30"/>
  <c r="AB198" i="30"/>
  <c r="AB226" i="30"/>
  <c r="AC64" i="30"/>
  <c r="AC65" i="30" s="1"/>
  <c r="AC66" i="30" s="1"/>
  <c r="AC67" i="30" s="1"/>
  <c r="AC68" i="30" s="1"/>
  <c r="AC69" i="30" s="1"/>
  <c r="AC70" i="30" s="1"/>
  <c r="AC71" i="30" s="1"/>
  <c r="AC72" i="30" s="1"/>
  <c r="AC73" i="30" s="1"/>
  <c r="AC74" i="30" s="1"/>
  <c r="AC75" i="30" s="1"/>
  <c r="AC76" i="30"/>
  <c r="AC77" i="30" s="1"/>
  <c r="AC78" i="30" s="1"/>
  <c r="AC79" i="30" s="1"/>
  <c r="AC80" i="30" s="1"/>
  <c r="AC81" i="30" s="1"/>
  <c r="AC82" i="30" s="1"/>
  <c r="AC83" i="30" s="1"/>
  <c r="AC84" i="30" s="1"/>
  <c r="AC85" i="30" s="1"/>
  <c r="AC86" i="30" s="1"/>
  <c r="AC87" i="30" s="1"/>
  <c r="AB185" i="30"/>
  <c r="AB268" i="30"/>
  <c r="AC268" i="30"/>
  <c r="AB244" i="30"/>
  <c r="AC244" i="30"/>
  <c r="AB256" i="30"/>
  <c r="AC256" i="30"/>
  <c r="X256" i="30"/>
  <c r="X257" i="30" s="1"/>
  <c r="X258" i="30" s="1"/>
  <c r="X259" i="30" s="1"/>
  <c r="X260" i="30" s="1"/>
  <c r="X261" i="30" s="1"/>
  <c r="X262" i="30" s="1"/>
  <c r="X263" i="30" s="1"/>
  <c r="X264" i="30" s="1"/>
  <c r="X265" i="30" s="1"/>
  <c r="X266" i="30" s="1"/>
  <c r="X267" i="30" s="1"/>
  <c r="X268" i="30"/>
  <c r="X269" i="30" s="1"/>
  <c r="X270" i="30" s="1"/>
  <c r="X271" i="30" s="1"/>
  <c r="X272" i="30" s="1"/>
  <c r="X273" i="30" s="1"/>
  <c r="X274" i="30" s="1"/>
  <c r="X275" i="30" s="1"/>
  <c r="X276" i="30" s="1"/>
  <c r="X277" i="30" s="1"/>
  <c r="X278" i="30" s="1"/>
  <c r="X279" i="30" s="1"/>
  <c r="X244" i="30"/>
  <c r="X245" i="30" s="1"/>
  <c r="X246" i="30" s="1"/>
  <c r="X247" i="30" s="1"/>
  <c r="X248" i="30" s="1"/>
  <c r="X249" i="30" s="1"/>
  <c r="X250" i="30" s="1"/>
  <c r="X251" i="30" s="1"/>
  <c r="X252" i="30" s="1"/>
  <c r="X253" i="30" s="1"/>
  <c r="X254" i="30" s="1"/>
  <c r="X255" i="30" s="1"/>
  <c r="AF274" i="19"/>
  <c r="J274" i="19"/>
  <c r="J328" i="19"/>
  <c r="J327" i="19"/>
  <c r="J326" i="19"/>
  <c r="AN274" i="19" l="1"/>
  <c r="AO274" i="19" s="1"/>
  <c r="AP274" i="19" s="1"/>
  <c r="AK274" i="19"/>
  <c r="AR274" i="19" s="1"/>
  <c r="AT274" i="19" s="1"/>
  <c r="AG274" i="19"/>
  <c r="AY274" i="19" s="1"/>
  <c r="AA273" i="19" l="1"/>
  <c r="Z273" i="19"/>
  <c r="Y273" i="19"/>
  <c r="T273" i="19" s="1"/>
  <c r="P273" i="19"/>
  <c r="R273" i="19" s="1"/>
  <c r="AC272" i="19"/>
  <c r="AD273" i="19" l="1"/>
  <c r="H273" i="19" s="1"/>
  <c r="AC273" i="19"/>
  <c r="AF273" i="19" s="1"/>
  <c r="AK273" i="19" s="1"/>
  <c r="AR273" i="19" s="1"/>
  <c r="AT273" i="19" s="1"/>
  <c r="AA272" i="19"/>
  <c r="Z272" i="19"/>
  <c r="Y272" i="19"/>
  <c r="P272" i="19"/>
  <c r="R272" i="19" s="1"/>
  <c r="AD272" i="19" l="1"/>
  <c r="T272" i="19"/>
  <c r="H272" i="19"/>
  <c r="J273" i="19"/>
  <c r="J272" i="19"/>
  <c r="AF272" i="19"/>
  <c r="AG273" i="19"/>
  <c r="AY273" i="19" s="1"/>
  <c r="AN273" i="19"/>
  <c r="AO273" i="19" s="1"/>
  <c r="AP273" i="19" s="1"/>
  <c r="AC271" i="19"/>
  <c r="AC270" i="19"/>
  <c r="AN272" i="19" l="1"/>
  <c r="AO272" i="19" s="1"/>
  <c r="AP272" i="19" s="1"/>
  <c r="AK272" i="19"/>
  <c r="AR272" i="19" s="1"/>
  <c r="AT272" i="19" s="1"/>
  <c r="AG272" i="19"/>
  <c r="AA271" i="19"/>
  <c r="AA270" i="19"/>
  <c r="Z271" i="19"/>
  <c r="Z270" i="19"/>
  <c r="Y271" i="19"/>
  <c r="T271" i="19" s="1"/>
  <c r="Y270" i="19"/>
  <c r="P271" i="19"/>
  <c r="R271" i="19" s="1"/>
  <c r="P270" i="19"/>
  <c r="R270" i="19" s="1"/>
  <c r="C281" i="19"/>
  <c r="C293" i="19" s="1"/>
  <c r="C280" i="19"/>
  <c r="C292" i="19" s="1"/>
  <c r="C279" i="19"/>
  <c r="C291" i="19" s="1"/>
  <c r="C278" i="19"/>
  <c r="C290" i="19" s="1"/>
  <c r="C277" i="19"/>
  <c r="C289" i="19" s="1"/>
  <c r="C276" i="19"/>
  <c r="C288" i="19" s="1"/>
  <c r="C275" i="19"/>
  <c r="C287" i="19" s="1"/>
  <c r="C274" i="19"/>
  <c r="C286" i="19" s="1"/>
  <c r="C273" i="19"/>
  <c r="C285" i="19" s="1"/>
  <c r="C272" i="19"/>
  <c r="C284" i="19" s="1"/>
  <c r="C271" i="19"/>
  <c r="C283" i="19" s="1"/>
  <c r="C270" i="19"/>
  <c r="C282" i="19" s="1"/>
  <c r="AY272" i="19" l="1"/>
  <c r="I270" i="30"/>
  <c r="AD270" i="19"/>
  <c r="H270" i="19" s="1"/>
  <c r="T270" i="19"/>
  <c r="AD271" i="19"/>
  <c r="H271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J270" i="19"/>
  <c r="J271" i="19"/>
  <c r="AF270" i="19"/>
  <c r="AG270" i="19" s="1"/>
  <c r="AF271" i="19"/>
  <c r="AC269" i="19"/>
  <c r="AC268" i="19"/>
  <c r="AY270" i="19" l="1"/>
  <c r="I268" i="30"/>
  <c r="AN271" i="19"/>
  <c r="AO271" i="19" s="1"/>
  <c r="AP271" i="19" s="1"/>
  <c r="AK271" i="19"/>
  <c r="AR271" i="19" s="1"/>
  <c r="AT271" i="19" s="1"/>
  <c r="I270" i="19"/>
  <c r="I271" i="19" s="1"/>
  <c r="I272" i="19" s="1"/>
  <c r="I273" i="19" s="1"/>
  <c r="I274" i="19" s="1"/>
  <c r="I275" i="19" s="1"/>
  <c r="I276" i="19" s="1"/>
  <c r="I277" i="19" s="1"/>
  <c r="I278" i="19" s="1"/>
  <c r="I279" i="19" s="1"/>
  <c r="I280" i="19" s="1"/>
  <c r="I281" i="19" s="1"/>
  <c r="AN270" i="19"/>
  <c r="AO270" i="19" s="1"/>
  <c r="AP270" i="19" s="1"/>
  <c r="AK270" i="19"/>
  <c r="AR270" i="19" s="1"/>
  <c r="AT270" i="19" s="1"/>
  <c r="AG271" i="19"/>
  <c r="AA267" i="19"/>
  <c r="AA269" i="19"/>
  <c r="AA268" i="19"/>
  <c r="Z269" i="19"/>
  <c r="Z268" i="19"/>
  <c r="Y269" i="19"/>
  <c r="T269" i="19" s="1"/>
  <c r="Y268" i="19"/>
  <c r="T268" i="19" s="1"/>
  <c r="P269" i="19"/>
  <c r="R269" i="19" s="1"/>
  <c r="P268" i="19"/>
  <c r="R268" i="19" s="1"/>
  <c r="AY271" i="19" l="1"/>
  <c r="AZ270" i="19" s="1"/>
  <c r="AZ271" i="19" s="1"/>
  <c r="AZ272" i="19" s="1"/>
  <c r="AZ273" i="19" s="1"/>
  <c r="AZ274" i="19" s="1"/>
  <c r="AZ275" i="19" s="1"/>
  <c r="AZ276" i="19" s="1"/>
  <c r="AZ277" i="19" s="1"/>
  <c r="AZ278" i="19" s="1"/>
  <c r="AZ279" i="19" s="1"/>
  <c r="AZ280" i="19" s="1"/>
  <c r="I269" i="30"/>
  <c r="J268" i="30" s="1"/>
  <c r="J269" i="30" s="1"/>
  <c r="J270" i="30" s="1"/>
  <c r="J271" i="30" s="1"/>
  <c r="J272" i="30" s="1"/>
  <c r="J273" i="30" s="1"/>
  <c r="J274" i="30" s="1"/>
  <c r="J275" i="30" s="1"/>
  <c r="J276" i="30" s="1"/>
  <c r="J277" i="30" s="1"/>
  <c r="J278" i="30" s="1"/>
  <c r="J279" i="30" s="1"/>
  <c r="AD269" i="19"/>
  <c r="H269" i="19" s="1"/>
  <c r="J268" i="19"/>
  <c r="AQ270" i="19"/>
  <c r="AQ271" i="19" s="1"/>
  <c r="AQ272" i="19" s="1"/>
  <c r="AQ273" i="19" s="1"/>
  <c r="AQ274" i="19" s="1"/>
  <c r="AQ275" i="19" s="1"/>
  <c r="AQ276" i="19" s="1"/>
  <c r="AQ277" i="19" s="1"/>
  <c r="AQ278" i="19" s="1"/>
  <c r="AQ279" i="19" s="1"/>
  <c r="AQ280" i="19" s="1"/>
  <c r="AQ281" i="19" s="1"/>
  <c r="J269" i="19"/>
  <c r="AF268" i="19"/>
  <c r="AG268" i="19" s="1"/>
  <c r="AF269" i="19"/>
  <c r="AG269" i="19" s="1"/>
  <c r="AD268" i="19"/>
  <c r="H268" i="19" s="1"/>
  <c r="AC267" i="19"/>
  <c r="AC266" i="19"/>
  <c r="AC265" i="19"/>
  <c r="AC264" i="19"/>
  <c r="AC263" i="19"/>
  <c r="AY269" i="19" l="1"/>
  <c r="I267" i="30"/>
  <c r="AY268" i="19"/>
  <c r="I266" i="30"/>
  <c r="AN268" i="19"/>
  <c r="AO268" i="19" s="1"/>
  <c r="AP268" i="19" s="1"/>
  <c r="AK268" i="19"/>
  <c r="AR268" i="19" s="1"/>
  <c r="AT268" i="19" s="1"/>
  <c r="AN269" i="19"/>
  <c r="AO269" i="19" s="1"/>
  <c r="AP269" i="19" s="1"/>
  <c r="AK269" i="19"/>
  <c r="AR269" i="19" s="1"/>
  <c r="AT269" i="19" s="1"/>
  <c r="Z267" i="19"/>
  <c r="Z266" i="19"/>
  <c r="Z265" i="19"/>
  <c r="Z264" i="19"/>
  <c r="Z263" i="19"/>
  <c r="Y267" i="19"/>
  <c r="Y266" i="19"/>
  <c r="T266" i="19" s="1"/>
  <c r="Y265" i="19"/>
  <c r="T265" i="19" s="1"/>
  <c r="Y264" i="19"/>
  <c r="T264" i="19" s="1"/>
  <c r="Y263" i="19"/>
  <c r="T263" i="19" s="1"/>
  <c r="P267" i="19"/>
  <c r="R267" i="19" s="1"/>
  <c r="P266" i="19"/>
  <c r="R266" i="19" s="1"/>
  <c r="P265" i="19"/>
  <c r="R265" i="19" s="1"/>
  <c r="P264" i="19"/>
  <c r="R264" i="19" s="1"/>
  <c r="P263" i="19"/>
  <c r="R263" i="19" s="1"/>
  <c r="AD267" i="19" l="1"/>
  <c r="H267" i="19" s="1"/>
  <c r="T267" i="19"/>
  <c r="AF267" i="19" s="1"/>
  <c r="J266" i="19"/>
  <c r="J263" i="19"/>
  <c r="J265" i="19"/>
  <c r="AF263" i="19"/>
  <c r="AN263" i="19" s="1"/>
  <c r="AO263" i="19" s="1"/>
  <c r="AP263" i="19" s="1"/>
  <c r="J264" i="19"/>
  <c r="J267" i="19"/>
  <c r="AF266" i="19"/>
  <c r="AD264" i="19"/>
  <c r="H264" i="19" s="1"/>
  <c r="AF264" i="19"/>
  <c r="AF265" i="19"/>
  <c r="AG265" i="19" s="1"/>
  <c r="AD263" i="19"/>
  <c r="H263" i="19" s="1"/>
  <c r="AD265" i="19"/>
  <c r="H265" i="19" s="1"/>
  <c r="AD266" i="19"/>
  <c r="H266" i="19" s="1"/>
  <c r="AK263" i="19" l="1"/>
  <c r="AR263" i="19" s="1"/>
  <c r="AT263" i="19" s="1"/>
  <c r="AY265" i="19"/>
  <c r="I263" i="30"/>
  <c r="AG263" i="19"/>
  <c r="AG267" i="19"/>
  <c r="AK267" i="19"/>
  <c r="AR267" i="19" s="1"/>
  <c r="AT267" i="19" s="1"/>
  <c r="AN267" i="19"/>
  <c r="AO267" i="19" s="1"/>
  <c r="AP267" i="19" s="1"/>
  <c r="AK265" i="19"/>
  <c r="AR265" i="19" s="1"/>
  <c r="AT265" i="19" s="1"/>
  <c r="AN265" i="19"/>
  <c r="AO265" i="19" s="1"/>
  <c r="AP265" i="19" s="1"/>
  <c r="AK264" i="19"/>
  <c r="AR264" i="19" s="1"/>
  <c r="AT264" i="19" s="1"/>
  <c r="AN264" i="19"/>
  <c r="AO264" i="19" s="1"/>
  <c r="AP264" i="19" s="1"/>
  <c r="AN266" i="19"/>
  <c r="AO266" i="19" s="1"/>
  <c r="AP266" i="19" s="1"/>
  <c r="AK266" i="19"/>
  <c r="AR266" i="19" s="1"/>
  <c r="AT266" i="19" s="1"/>
  <c r="AG264" i="19"/>
  <c r="AG266" i="19"/>
  <c r="AY266" i="19" l="1"/>
  <c r="I264" i="30"/>
  <c r="AY263" i="19"/>
  <c r="I261" i="30"/>
  <c r="AY264" i="19"/>
  <c r="I262" i="30"/>
  <c r="AY267" i="19"/>
  <c r="I265" i="30"/>
  <c r="AC262" i="19"/>
  <c r="AC261" i="19"/>
  <c r="AC260" i="19"/>
  <c r="AC259" i="19"/>
  <c r="AC258" i="19"/>
  <c r="AC257" i="19"/>
  <c r="AC256" i="19"/>
  <c r="AC255" i="19"/>
  <c r="AA255" i="19" l="1"/>
  <c r="AA256" i="19"/>
  <c r="AA257" i="19"/>
  <c r="AA258" i="19"/>
  <c r="AA259" i="19"/>
  <c r="AA260" i="19"/>
  <c r="AA261" i="19"/>
  <c r="Z262" i="19"/>
  <c r="Z261" i="19"/>
  <c r="Z260" i="19"/>
  <c r="Z259" i="19"/>
  <c r="Z258" i="19"/>
  <c r="Z257" i="19"/>
  <c r="Z256" i="19"/>
  <c r="Z255" i="19"/>
  <c r="Y262" i="19"/>
  <c r="T262" i="19" s="1"/>
  <c r="Y261" i="19"/>
  <c r="T261" i="19" s="1"/>
  <c r="Y260" i="19"/>
  <c r="T260" i="19" s="1"/>
  <c r="Y259" i="19"/>
  <c r="T259" i="19" s="1"/>
  <c r="Y258" i="19"/>
  <c r="T258" i="19" s="1"/>
  <c r="Y257" i="19"/>
  <c r="T257" i="19" s="1"/>
  <c r="Y256" i="19"/>
  <c r="T256" i="19" s="1"/>
  <c r="Y255" i="19"/>
  <c r="T255" i="19" s="1"/>
  <c r="P262" i="19"/>
  <c r="R262" i="19" s="1"/>
  <c r="P261" i="19"/>
  <c r="R261" i="19" s="1"/>
  <c r="P260" i="19"/>
  <c r="R260" i="19" s="1"/>
  <c r="P259" i="19"/>
  <c r="R259" i="19" s="1"/>
  <c r="P258" i="19"/>
  <c r="R258" i="19" s="1"/>
  <c r="P257" i="19"/>
  <c r="R257" i="19" s="1"/>
  <c r="P256" i="19"/>
  <c r="R256" i="19" s="1"/>
  <c r="P255" i="19"/>
  <c r="R255" i="19" s="1"/>
  <c r="J259" i="19" l="1"/>
  <c r="J260" i="19"/>
  <c r="J258" i="19"/>
  <c r="J261" i="19"/>
  <c r="AF255" i="19"/>
  <c r="AK255" i="19" s="1"/>
  <c r="AR255" i="19" s="1"/>
  <c r="AT255" i="19" s="1"/>
  <c r="AF258" i="19"/>
  <c r="AK258" i="19" s="1"/>
  <c r="AR258" i="19" s="1"/>
  <c r="AT258" i="19" s="1"/>
  <c r="J262" i="19"/>
  <c r="J255" i="19"/>
  <c r="J256" i="19"/>
  <c r="AF256" i="19"/>
  <c r="AG256" i="19" s="1"/>
  <c r="J257" i="19"/>
  <c r="AF257" i="19"/>
  <c r="AG257" i="19" s="1"/>
  <c r="I255" i="30" s="1"/>
  <c r="AF260" i="19"/>
  <c r="AG260" i="19" s="1"/>
  <c r="AD255" i="19"/>
  <c r="H255" i="19" s="1"/>
  <c r="AF261" i="19"/>
  <c r="AD257" i="19"/>
  <c r="H257" i="19" s="1"/>
  <c r="AD258" i="19"/>
  <c r="H258" i="19" s="1"/>
  <c r="AD259" i="19"/>
  <c r="H259" i="19" s="1"/>
  <c r="AD260" i="19"/>
  <c r="H260" i="19" s="1"/>
  <c r="AF259" i="19"/>
  <c r="AD256" i="19"/>
  <c r="H256" i="19" s="1"/>
  <c r="AF262" i="19"/>
  <c r="AD261" i="19"/>
  <c r="H261" i="19" s="1"/>
  <c r="AD262" i="19"/>
  <c r="H262" i="19" s="1"/>
  <c r="AC254" i="19"/>
  <c r="AC253" i="19"/>
  <c r="AC252" i="19"/>
  <c r="AC251" i="19"/>
  <c r="AC250" i="19"/>
  <c r="AY256" i="19" l="1"/>
  <c r="I254" i="30"/>
  <c r="AG255" i="19"/>
  <c r="AY257" i="19"/>
  <c r="AY260" i="19"/>
  <c r="I258" i="30"/>
  <c r="AN256" i="19"/>
  <c r="AO256" i="19" s="1"/>
  <c r="AP256" i="19" s="1"/>
  <c r="AK256" i="19"/>
  <c r="AR256" i="19" s="1"/>
  <c r="AT256" i="19" s="1"/>
  <c r="AN255" i="19"/>
  <c r="AO255" i="19" s="1"/>
  <c r="AP255" i="19" s="1"/>
  <c r="AG258" i="19"/>
  <c r="I258" i="19"/>
  <c r="I259" i="19" s="1"/>
  <c r="I260" i="19" s="1"/>
  <c r="I261" i="19" s="1"/>
  <c r="I262" i="19" s="1"/>
  <c r="I263" i="19" s="1"/>
  <c r="I264" i="19" s="1"/>
  <c r="I265" i="19" s="1"/>
  <c r="I266" i="19" s="1"/>
  <c r="I267" i="19" s="1"/>
  <c r="I268" i="19" s="1"/>
  <c r="I269" i="19" s="1"/>
  <c r="G258" i="19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AN258" i="19"/>
  <c r="AO258" i="19" s="1"/>
  <c r="AP258" i="19" s="1"/>
  <c r="AK261" i="19"/>
  <c r="AR261" i="19" s="1"/>
  <c r="AT261" i="19" s="1"/>
  <c r="AN261" i="19"/>
  <c r="AO261" i="19" s="1"/>
  <c r="AP261" i="19" s="1"/>
  <c r="AK259" i="19"/>
  <c r="AR259" i="19" s="1"/>
  <c r="AT259" i="19" s="1"/>
  <c r="AN259" i="19"/>
  <c r="AO259" i="19" s="1"/>
  <c r="AP259" i="19" s="1"/>
  <c r="AK260" i="19"/>
  <c r="AR260" i="19" s="1"/>
  <c r="AT260" i="19" s="1"/>
  <c r="AN260" i="19"/>
  <c r="AO260" i="19" s="1"/>
  <c r="AP260" i="19" s="1"/>
  <c r="AG259" i="19"/>
  <c r="AG261" i="19"/>
  <c r="AK257" i="19"/>
  <c r="AR257" i="19" s="1"/>
  <c r="AT257" i="19" s="1"/>
  <c r="AN257" i="19"/>
  <c r="AO257" i="19" s="1"/>
  <c r="AP257" i="19" s="1"/>
  <c r="AK262" i="19"/>
  <c r="AR262" i="19" s="1"/>
  <c r="AT262" i="19" s="1"/>
  <c r="AN262" i="19"/>
  <c r="AO262" i="19" s="1"/>
  <c r="AP262" i="19" s="1"/>
  <c r="AG262" i="19"/>
  <c r="AA250" i="19"/>
  <c r="AA251" i="19"/>
  <c r="AA252" i="19"/>
  <c r="AA253" i="19"/>
  <c r="Z254" i="19"/>
  <c r="Z253" i="19"/>
  <c r="Z252" i="19"/>
  <c r="Z251" i="19"/>
  <c r="Z250" i="19"/>
  <c r="Y254" i="19"/>
  <c r="T254" i="19" s="1"/>
  <c r="Y253" i="19"/>
  <c r="T253" i="19" s="1"/>
  <c r="Y252" i="19"/>
  <c r="T252" i="19" s="1"/>
  <c r="Y251" i="19"/>
  <c r="T251" i="19" s="1"/>
  <c r="Y250" i="19"/>
  <c r="T250" i="19" s="1"/>
  <c r="P254" i="19"/>
  <c r="R254" i="19" s="1"/>
  <c r="P253" i="19"/>
  <c r="R253" i="19" s="1"/>
  <c r="P252" i="19"/>
  <c r="R252" i="19" s="1"/>
  <c r="P251" i="19"/>
  <c r="R251" i="19" s="1"/>
  <c r="P250" i="19"/>
  <c r="R250" i="19" s="1"/>
  <c r="AY259" i="19" l="1"/>
  <c r="I257" i="30"/>
  <c r="AY261" i="19"/>
  <c r="I259" i="30"/>
  <c r="AY255" i="19"/>
  <c r="I253" i="30"/>
  <c r="AY258" i="19"/>
  <c r="I256" i="30"/>
  <c r="AY262" i="19"/>
  <c r="AZ258" i="19" s="1"/>
  <c r="AZ259" i="19" s="1"/>
  <c r="AZ260" i="19" s="1"/>
  <c r="AZ261" i="19" s="1"/>
  <c r="AZ262" i="19" s="1"/>
  <c r="AZ263" i="19" s="1"/>
  <c r="AZ264" i="19" s="1"/>
  <c r="AZ265" i="19" s="1"/>
  <c r="AZ266" i="19" s="1"/>
  <c r="AZ267" i="19" s="1"/>
  <c r="AZ268" i="19" s="1"/>
  <c r="AZ269" i="19" s="1"/>
  <c r="I260" i="30"/>
  <c r="J253" i="19"/>
  <c r="J254" i="19"/>
  <c r="J252" i="19"/>
  <c r="AD251" i="19"/>
  <c r="H251" i="19" s="1"/>
  <c r="AF252" i="19"/>
  <c r="AN252" i="19" s="1"/>
  <c r="AO252" i="19" s="1"/>
  <c r="AP252" i="19" s="1"/>
  <c r="J250" i="19"/>
  <c r="AF253" i="19"/>
  <c r="AG253" i="19" s="1"/>
  <c r="AD250" i="19"/>
  <c r="H250" i="19" s="1"/>
  <c r="J251" i="19"/>
  <c r="AQ258" i="19"/>
  <c r="AD252" i="19"/>
  <c r="H252" i="19" s="1"/>
  <c r="AD253" i="19"/>
  <c r="H253" i="19" s="1"/>
  <c r="AF254" i="19"/>
  <c r="AK254" i="19" s="1"/>
  <c r="AR254" i="19" s="1"/>
  <c r="AT254" i="19" s="1"/>
  <c r="AD254" i="19"/>
  <c r="H254" i="19" s="1"/>
  <c r="AF250" i="19"/>
  <c r="AG250" i="19" s="1"/>
  <c r="AF251" i="19"/>
  <c r="AG251" i="19" s="1"/>
  <c r="J256" i="30" l="1"/>
  <c r="J257" i="30" s="1"/>
  <c r="J258" i="30" s="1"/>
  <c r="J259" i="30" s="1"/>
  <c r="J260" i="30" s="1"/>
  <c r="J261" i="30" s="1"/>
  <c r="J262" i="30" s="1"/>
  <c r="J263" i="30" s="1"/>
  <c r="J264" i="30" s="1"/>
  <c r="J265" i="30" s="1"/>
  <c r="J266" i="30" s="1"/>
  <c r="J267" i="30" s="1"/>
  <c r="AY251" i="19"/>
  <c r="I249" i="30"/>
  <c r="AY253" i="19"/>
  <c r="I251" i="30"/>
  <c r="AY250" i="19"/>
  <c r="I248" i="30"/>
  <c r="AK253" i="19"/>
  <c r="AR253" i="19" s="1"/>
  <c r="AT253" i="19" s="1"/>
  <c r="AN253" i="19"/>
  <c r="AO253" i="19" s="1"/>
  <c r="AP253" i="19" s="1"/>
  <c r="AN254" i="19"/>
  <c r="AO254" i="19" s="1"/>
  <c r="AP254" i="19" s="1"/>
  <c r="AG252" i="19"/>
  <c r="AK252" i="19"/>
  <c r="AR252" i="19" s="1"/>
  <c r="AT252" i="19" s="1"/>
  <c r="AG254" i="19"/>
  <c r="AN251" i="19"/>
  <c r="AO251" i="19" s="1"/>
  <c r="AP251" i="19" s="1"/>
  <c r="AK251" i="19"/>
  <c r="AR251" i="19" s="1"/>
  <c r="AT251" i="19" s="1"/>
  <c r="AN250" i="19"/>
  <c r="AO250" i="19" s="1"/>
  <c r="AP250" i="19" s="1"/>
  <c r="AK250" i="19"/>
  <c r="AR250" i="19" s="1"/>
  <c r="AT250" i="19" s="1"/>
  <c r="AC249" i="19"/>
  <c r="AC248" i="19"/>
  <c r="AC247" i="19"/>
  <c r="AC246" i="19"/>
  <c r="AY252" i="19" l="1"/>
  <c r="I250" i="30"/>
  <c r="AY254" i="19"/>
  <c r="I252" i="30"/>
  <c r="Z249" i="19"/>
  <c r="Z248" i="19"/>
  <c r="Z247" i="19"/>
  <c r="Z246" i="19"/>
  <c r="Y249" i="19"/>
  <c r="Y248" i="19"/>
  <c r="Y247" i="19"/>
  <c r="Y246" i="19"/>
  <c r="P249" i="19"/>
  <c r="R249" i="19" s="1"/>
  <c r="P248" i="19"/>
  <c r="R248" i="19" s="1"/>
  <c r="P247" i="19"/>
  <c r="R247" i="19" s="1"/>
  <c r="P246" i="19"/>
  <c r="R246" i="19" s="1"/>
  <c r="AD248" i="19" l="1"/>
  <c r="H248" i="19" s="1"/>
  <c r="T248" i="19"/>
  <c r="AF248" i="19" s="1"/>
  <c r="AD246" i="19"/>
  <c r="H246" i="19" s="1"/>
  <c r="T246" i="19"/>
  <c r="AF246" i="19" s="1"/>
  <c r="AD247" i="19"/>
  <c r="H247" i="19" s="1"/>
  <c r="T247" i="19"/>
  <c r="AF247" i="19" s="1"/>
  <c r="AD249" i="19"/>
  <c r="H249" i="19" s="1"/>
  <c r="T249" i="19"/>
  <c r="AF249" i="19" s="1"/>
  <c r="AK249" i="19" s="1"/>
  <c r="AR249" i="19" s="1"/>
  <c r="AT249" i="19" s="1"/>
  <c r="J246" i="19"/>
  <c r="J247" i="19"/>
  <c r="J248" i="19"/>
  <c r="J249" i="19"/>
  <c r="Y241" i="30"/>
  <c r="B230" i="30"/>
  <c r="B231" i="30" s="1"/>
  <c r="B232" i="30" s="1"/>
  <c r="B233" i="30" s="1"/>
  <c r="B234" i="30" s="1"/>
  <c r="B235" i="30" s="1"/>
  <c r="B236" i="30" s="1"/>
  <c r="B237" i="30" s="1"/>
  <c r="B238" i="30" s="1"/>
  <c r="B239" i="30" s="1"/>
  <c r="B240" i="30" s="1"/>
  <c r="B241" i="30" s="1"/>
  <c r="B242" i="30" s="1"/>
  <c r="B243" i="30" s="1"/>
  <c r="B244" i="30" s="1"/>
  <c r="B245" i="30" s="1"/>
  <c r="B246" i="30" s="1"/>
  <c r="B247" i="30" s="1"/>
  <c r="B248" i="30" s="1"/>
  <c r="B249" i="30" s="1"/>
  <c r="B250" i="30" s="1"/>
  <c r="B251" i="30" s="1"/>
  <c r="B252" i="30" s="1"/>
  <c r="B253" i="30" s="1"/>
  <c r="B254" i="30" s="1"/>
  <c r="B255" i="30" s="1"/>
  <c r="B256" i="30" s="1"/>
  <c r="B257" i="30" s="1"/>
  <c r="B258" i="30" s="1"/>
  <c r="B259" i="30" s="1"/>
  <c r="B260" i="30" s="1"/>
  <c r="B261" i="30" s="1"/>
  <c r="B262" i="30" s="1"/>
  <c r="B263" i="30" s="1"/>
  <c r="B264" i="30" s="1"/>
  <c r="B265" i="30" s="1"/>
  <c r="B266" i="30" s="1"/>
  <c r="B267" i="30" s="1"/>
  <c r="B268" i="30" s="1"/>
  <c r="B269" i="30" s="1"/>
  <c r="B270" i="30" s="1"/>
  <c r="B271" i="30" s="1"/>
  <c r="B272" i="30" s="1"/>
  <c r="B273" i="30" s="1"/>
  <c r="B274" i="30" s="1"/>
  <c r="B275" i="30" s="1"/>
  <c r="B276" i="30" s="1"/>
  <c r="B277" i="30" s="1"/>
  <c r="B278" i="30" s="1"/>
  <c r="B279" i="30" s="1"/>
  <c r="B280" i="30" s="1"/>
  <c r="B281" i="30" s="1"/>
  <c r="B282" i="30" s="1"/>
  <c r="B283" i="30" s="1"/>
  <c r="B284" i="30" s="1"/>
  <c r="B285" i="30" s="1"/>
  <c r="B286" i="30" s="1"/>
  <c r="B287" i="30" s="1"/>
  <c r="B288" i="30" s="1"/>
  <c r="B289" i="30" s="1"/>
  <c r="B290" i="30" s="1"/>
  <c r="B291" i="30" s="1"/>
  <c r="U223" i="30"/>
  <c r="W223" i="30" s="1"/>
  <c r="U219" i="30"/>
  <c r="W219" i="30" s="1"/>
  <c r="U217" i="30"/>
  <c r="W217" i="30" s="1"/>
  <c r="U208" i="30"/>
  <c r="W208" i="30" s="1"/>
  <c r="U191" i="30"/>
  <c r="W191" i="30" s="1"/>
  <c r="U189" i="30"/>
  <c r="W189" i="30" s="1"/>
  <c r="U168" i="30"/>
  <c r="W168" i="30" s="1"/>
  <c r="U152" i="30"/>
  <c r="W152" i="30" s="1"/>
  <c r="U137" i="30"/>
  <c r="W137" i="30" s="1"/>
  <c r="U128" i="30"/>
  <c r="W128" i="30" s="1"/>
  <c r="U125" i="30"/>
  <c r="W125" i="30" s="1"/>
  <c r="U124" i="30"/>
  <c r="W124" i="30" s="1"/>
  <c r="U119" i="30"/>
  <c r="W119" i="30" s="1"/>
  <c r="U112" i="30"/>
  <c r="W112" i="30" s="1"/>
  <c r="U100" i="30"/>
  <c r="W100" i="30" s="1"/>
  <c r="U77" i="30"/>
  <c r="W77" i="30" s="1"/>
  <c r="U72" i="30"/>
  <c r="W72" i="30" s="1"/>
  <c r="U69" i="30"/>
  <c r="W69" i="30" s="1"/>
  <c r="A69" i="30"/>
  <c r="A81" i="30" s="1"/>
  <c r="A93" i="30" s="1"/>
  <c r="A105" i="30" s="1"/>
  <c r="A117" i="30" s="1"/>
  <c r="A129" i="30" s="1"/>
  <c r="A141" i="30" s="1"/>
  <c r="A153" i="30" s="1"/>
  <c r="A165" i="30" s="1"/>
  <c r="A177" i="30" s="1"/>
  <c r="A189" i="30" s="1"/>
  <c r="A201" i="30" s="1"/>
  <c r="A213" i="30" s="1"/>
  <c r="A225" i="30" s="1"/>
  <c r="U64" i="30"/>
  <c r="W64" i="30" s="1"/>
  <c r="O241" i="30" l="1"/>
  <c r="P241" i="30"/>
  <c r="Q241" i="30"/>
  <c r="G246" i="19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R241" i="30"/>
  <c r="AN249" i="19"/>
  <c r="AO249" i="19" s="1"/>
  <c r="AP249" i="19" s="1"/>
  <c r="U79" i="30"/>
  <c r="W79" i="30" s="1"/>
  <c r="U102" i="30"/>
  <c r="W102" i="30" s="1"/>
  <c r="U113" i="30"/>
  <c r="W113" i="30" s="1"/>
  <c r="U179" i="30"/>
  <c r="W179" i="30" s="1"/>
  <c r="U195" i="30"/>
  <c r="W195" i="30" s="1"/>
  <c r="U212" i="30"/>
  <c r="W212" i="30" s="1"/>
  <c r="U48" i="30"/>
  <c r="W48" i="30" s="1"/>
  <c r="U54" i="30"/>
  <c r="W54" i="30" s="1"/>
  <c r="U60" i="30"/>
  <c r="W60" i="30" s="1"/>
  <c r="U65" i="30"/>
  <c r="W65" i="30" s="1"/>
  <c r="U80" i="30"/>
  <c r="W80" i="30" s="1"/>
  <c r="U91" i="30"/>
  <c r="W91" i="30" s="1"/>
  <c r="U97" i="30"/>
  <c r="W97" i="30" s="1"/>
  <c r="U103" i="30"/>
  <c r="W103" i="30" s="1"/>
  <c r="U114" i="30"/>
  <c r="W114" i="30" s="1"/>
  <c r="U140" i="30"/>
  <c r="W140" i="30" s="1"/>
  <c r="U157" i="30"/>
  <c r="W157" i="30" s="1"/>
  <c r="U163" i="30"/>
  <c r="W163" i="30" s="1"/>
  <c r="U180" i="30"/>
  <c r="W180" i="30" s="1"/>
  <c r="U196" i="30"/>
  <c r="W196" i="30" s="1"/>
  <c r="U213" i="30"/>
  <c r="W213" i="30" s="1"/>
  <c r="U235" i="30"/>
  <c r="W235" i="30" s="1"/>
  <c r="U55" i="30"/>
  <c r="W55" i="30" s="1"/>
  <c r="U146" i="30"/>
  <c r="W146" i="30" s="1"/>
  <c r="U169" i="30"/>
  <c r="W169" i="30" s="1"/>
  <c r="U186" i="30"/>
  <c r="W186" i="30" s="1"/>
  <c r="U61" i="30"/>
  <c r="W61" i="30" s="1"/>
  <c r="U70" i="30"/>
  <c r="W70" i="30" s="1"/>
  <c r="U81" i="30"/>
  <c r="W81" i="30" s="1"/>
  <c r="U92" i="30"/>
  <c r="W92" i="30" s="1"/>
  <c r="U98" i="30"/>
  <c r="W98" i="30" s="1"/>
  <c r="U120" i="30"/>
  <c r="W120" i="30" s="1"/>
  <c r="U130" i="30"/>
  <c r="W130" i="30" s="1"/>
  <c r="U141" i="30"/>
  <c r="W141" i="30" s="1"/>
  <c r="U158" i="30"/>
  <c r="W158" i="30" s="1"/>
  <c r="U164" i="30"/>
  <c r="W164" i="30" s="1"/>
  <c r="U181" i="30"/>
  <c r="W181" i="30" s="1"/>
  <c r="U214" i="30"/>
  <c r="W214" i="30" s="1"/>
  <c r="U230" i="30"/>
  <c r="W230" i="30" s="1"/>
  <c r="U236" i="30"/>
  <c r="W236" i="30" s="1"/>
  <c r="U115" i="30"/>
  <c r="W115" i="30" s="1"/>
  <c r="U56" i="30"/>
  <c r="W56" i="30" s="1"/>
  <c r="U225" i="30"/>
  <c r="W225" i="30" s="1"/>
  <c r="U62" i="30"/>
  <c r="W62" i="30" s="1"/>
  <c r="U71" i="30"/>
  <c r="W71" i="30" s="1"/>
  <c r="U93" i="30"/>
  <c r="W93" i="30" s="1"/>
  <c r="U99" i="30"/>
  <c r="W99" i="30" s="1"/>
  <c r="U121" i="30"/>
  <c r="W121" i="30" s="1"/>
  <c r="U126" i="30"/>
  <c r="W126" i="30" s="1"/>
  <c r="U131" i="30"/>
  <c r="W131" i="30" s="1"/>
  <c r="U142" i="30"/>
  <c r="W142" i="30" s="1"/>
  <c r="U153" i="30"/>
  <c r="W153" i="30" s="1"/>
  <c r="U159" i="30"/>
  <c r="W159" i="30" s="1"/>
  <c r="U165" i="30"/>
  <c r="W165" i="30" s="1"/>
  <c r="U182" i="30"/>
  <c r="W182" i="30" s="1"/>
  <c r="U187" i="30"/>
  <c r="W187" i="30" s="1"/>
  <c r="U192" i="30"/>
  <c r="W192" i="30" s="1"/>
  <c r="U209" i="30"/>
  <c r="W209" i="30" s="1"/>
  <c r="U215" i="30"/>
  <c r="W215" i="30" s="1"/>
  <c r="U220" i="30"/>
  <c r="W220" i="30" s="1"/>
  <c r="U231" i="30"/>
  <c r="W231" i="30" s="1"/>
  <c r="U202" i="30"/>
  <c r="W202" i="30" s="1"/>
  <c r="U66" i="30"/>
  <c r="W66" i="30" s="1"/>
  <c r="U176" i="30"/>
  <c r="W176" i="30" s="1"/>
  <c r="U203" i="30"/>
  <c r="W203" i="30" s="1"/>
  <c r="U45" i="30"/>
  <c r="W45" i="30" s="1"/>
  <c r="U51" i="30"/>
  <c r="W51" i="30" s="1"/>
  <c r="U57" i="30"/>
  <c r="W57" i="30" s="1"/>
  <c r="U82" i="30"/>
  <c r="W82" i="30" s="1"/>
  <c r="U88" i="30"/>
  <c r="W88" i="30" s="1"/>
  <c r="U105" i="30"/>
  <c r="W105" i="30" s="1"/>
  <c r="U116" i="30"/>
  <c r="W116" i="30" s="1"/>
  <c r="U148" i="30"/>
  <c r="W148" i="30" s="1"/>
  <c r="U171" i="30"/>
  <c r="W171" i="30" s="1"/>
  <c r="U177" i="30"/>
  <c r="W177" i="30" s="1"/>
  <c r="U198" i="30"/>
  <c r="W198" i="30" s="1"/>
  <c r="U204" i="30"/>
  <c r="W204" i="30" s="1"/>
  <c r="U226" i="30"/>
  <c r="W226" i="30" s="1"/>
  <c r="U237" i="30"/>
  <c r="W237" i="30" s="1"/>
  <c r="U242" i="30"/>
  <c r="W242" i="30" s="1"/>
  <c r="U87" i="30"/>
  <c r="W87" i="30" s="1"/>
  <c r="U110" i="30"/>
  <c r="W110" i="30" s="1"/>
  <c r="U136" i="30"/>
  <c r="W136" i="30" s="1"/>
  <c r="U63" i="30"/>
  <c r="W63" i="30" s="1"/>
  <c r="U67" i="30"/>
  <c r="W67" i="30" s="1"/>
  <c r="U94" i="30"/>
  <c r="W94" i="30" s="1"/>
  <c r="U111" i="30"/>
  <c r="W111" i="30" s="1"/>
  <c r="U122" i="30"/>
  <c r="W122" i="30" s="1"/>
  <c r="U127" i="30"/>
  <c r="W127" i="30" s="1"/>
  <c r="U132" i="30"/>
  <c r="W132" i="30" s="1"/>
  <c r="U154" i="30"/>
  <c r="W154" i="30" s="1"/>
  <c r="U160" i="30"/>
  <c r="W160" i="30" s="1"/>
  <c r="U166" i="30"/>
  <c r="W166" i="30" s="1"/>
  <c r="U188" i="30"/>
  <c r="W188" i="30" s="1"/>
  <c r="U193" i="30"/>
  <c r="W193" i="30" s="1"/>
  <c r="U210" i="30"/>
  <c r="W210" i="30" s="1"/>
  <c r="U216" i="30"/>
  <c r="W216" i="30" s="1"/>
  <c r="U221" i="30"/>
  <c r="W221" i="30" s="1"/>
  <c r="U232" i="30"/>
  <c r="W232" i="30" s="1"/>
  <c r="U49" i="30"/>
  <c r="W49" i="30" s="1"/>
  <c r="U86" i="30"/>
  <c r="W86" i="30" s="1"/>
  <c r="U46" i="30"/>
  <c r="W46" i="30" s="1"/>
  <c r="U52" i="30"/>
  <c r="W52" i="30" s="1"/>
  <c r="U58" i="30"/>
  <c r="W58" i="30" s="1"/>
  <c r="U83" i="30"/>
  <c r="W83" i="30" s="1"/>
  <c r="U89" i="30"/>
  <c r="W89" i="30" s="1"/>
  <c r="U106" i="30"/>
  <c r="W106" i="30" s="1"/>
  <c r="U117" i="30"/>
  <c r="W117" i="30" s="1"/>
  <c r="U143" i="30"/>
  <c r="W143" i="30" s="1"/>
  <c r="U149" i="30"/>
  <c r="W149" i="30" s="1"/>
  <c r="U172" i="30"/>
  <c r="W172" i="30" s="1"/>
  <c r="U178" i="30"/>
  <c r="W178" i="30" s="1"/>
  <c r="U183" i="30"/>
  <c r="W183" i="30" s="1"/>
  <c r="U199" i="30"/>
  <c r="W199" i="30" s="1"/>
  <c r="U205" i="30"/>
  <c r="W205" i="30" s="1"/>
  <c r="U227" i="30"/>
  <c r="W227" i="30" s="1"/>
  <c r="U238" i="30"/>
  <c r="W238" i="30" s="1"/>
  <c r="U109" i="30"/>
  <c r="W109" i="30" s="1"/>
  <c r="U175" i="30"/>
  <c r="W175" i="30" s="1"/>
  <c r="U224" i="30"/>
  <c r="W224" i="30" s="1"/>
  <c r="U197" i="30"/>
  <c r="W197" i="30" s="1"/>
  <c r="U68" i="30"/>
  <c r="W68" i="30" s="1"/>
  <c r="U78" i="30"/>
  <c r="W78" i="30" s="1"/>
  <c r="U95" i="30"/>
  <c r="W95" i="30" s="1"/>
  <c r="U101" i="30"/>
  <c r="W101" i="30" s="1"/>
  <c r="U123" i="30"/>
  <c r="W123" i="30" s="1"/>
  <c r="U138" i="30"/>
  <c r="W138" i="30" s="1"/>
  <c r="U155" i="30"/>
  <c r="W155" i="30" s="1"/>
  <c r="U161" i="30"/>
  <c r="W161" i="30" s="1"/>
  <c r="U167" i="30"/>
  <c r="W167" i="30" s="1"/>
  <c r="U194" i="30"/>
  <c r="W194" i="30" s="1"/>
  <c r="U211" i="30"/>
  <c r="W211" i="30" s="1"/>
  <c r="U222" i="30"/>
  <c r="W222" i="30" s="1"/>
  <c r="U233" i="30"/>
  <c r="W233" i="30" s="1"/>
  <c r="U243" i="30"/>
  <c r="W243" i="30" s="1"/>
  <c r="U135" i="30"/>
  <c r="W135" i="30" s="1"/>
  <c r="U50" i="30"/>
  <c r="W50" i="30" s="1"/>
  <c r="U76" i="30"/>
  <c r="W76" i="30" s="1"/>
  <c r="U104" i="30"/>
  <c r="W104" i="30" s="1"/>
  <c r="U147" i="30"/>
  <c r="W147" i="30" s="1"/>
  <c r="U170" i="30"/>
  <c r="W170" i="30" s="1"/>
  <c r="U47" i="30"/>
  <c r="W47" i="30" s="1"/>
  <c r="U53" i="30"/>
  <c r="W53" i="30" s="1"/>
  <c r="U59" i="30"/>
  <c r="W59" i="30" s="1"/>
  <c r="U73" i="30"/>
  <c r="W73" i="30" s="1"/>
  <c r="U84" i="30"/>
  <c r="W84" i="30" s="1"/>
  <c r="U107" i="30"/>
  <c r="W107" i="30" s="1"/>
  <c r="U118" i="30"/>
  <c r="W118" i="30" s="1"/>
  <c r="U133" i="30"/>
  <c r="W133" i="30" s="1"/>
  <c r="U144" i="30"/>
  <c r="W144" i="30" s="1"/>
  <c r="U150" i="30"/>
  <c r="W150" i="30" s="1"/>
  <c r="U173" i="30"/>
  <c r="W173" i="30" s="1"/>
  <c r="U184" i="30"/>
  <c r="W184" i="30" s="1"/>
  <c r="U200" i="30"/>
  <c r="W200" i="30" s="1"/>
  <c r="U206" i="30"/>
  <c r="W206" i="30" s="1"/>
  <c r="U228" i="30"/>
  <c r="W228" i="30" s="1"/>
  <c r="U239" i="30"/>
  <c r="W239" i="30" s="1"/>
  <c r="U75" i="30"/>
  <c r="W75" i="30" s="1"/>
  <c r="U90" i="30"/>
  <c r="W90" i="30" s="1"/>
  <c r="U156" i="30"/>
  <c r="W156" i="30" s="1"/>
  <c r="U234" i="30"/>
  <c r="W234" i="30" s="1"/>
  <c r="U96" i="30"/>
  <c r="W96" i="30" s="1"/>
  <c r="U139" i="30"/>
  <c r="W139" i="30" s="1"/>
  <c r="U162" i="30"/>
  <c r="W162" i="30" s="1"/>
  <c r="U74" i="30"/>
  <c r="W74" i="30" s="1"/>
  <c r="U85" i="30"/>
  <c r="W85" i="30" s="1"/>
  <c r="U108" i="30"/>
  <c r="W108" i="30" s="1"/>
  <c r="U129" i="30"/>
  <c r="W129" i="30" s="1"/>
  <c r="U134" i="30"/>
  <c r="W134" i="30" s="1"/>
  <c r="U145" i="30"/>
  <c r="W145" i="30" s="1"/>
  <c r="U151" i="30"/>
  <c r="W151" i="30" s="1"/>
  <c r="U174" i="30"/>
  <c r="W174" i="30" s="1"/>
  <c r="U185" i="30"/>
  <c r="W185" i="30" s="1"/>
  <c r="U190" i="30"/>
  <c r="W190" i="30" s="1"/>
  <c r="U201" i="30"/>
  <c r="W201" i="30" s="1"/>
  <c r="U207" i="30"/>
  <c r="W207" i="30" s="1"/>
  <c r="U218" i="30"/>
  <c r="W218" i="30" s="1"/>
  <c r="U229" i="30"/>
  <c r="W229" i="30" s="1"/>
  <c r="U240" i="30"/>
  <c r="W240" i="30" s="1"/>
  <c r="V208" i="30"/>
  <c r="V209" i="30" s="1"/>
  <c r="V210" i="30" s="1"/>
  <c r="V211" i="30" s="1"/>
  <c r="V212" i="30" s="1"/>
  <c r="V213" i="30" s="1"/>
  <c r="V214" i="30" s="1"/>
  <c r="V215" i="30" s="1"/>
  <c r="V216" i="30" s="1"/>
  <c r="V217" i="30" s="1"/>
  <c r="V218" i="30" s="1"/>
  <c r="V219" i="30" s="1"/>
  <c r="V124" i="30"/>
  <c r="V125" i="30" s="1"/>
  <c r="V126" i="30" s="1"/>
  <c r="V127" i="30" s="1"/>
  <c r="V128" i="30" s="1"/>
  <c r="V129" i="30" s="1"/>
  <c r="V130" i="30" s="1"/>
  <c r="V131" i="30" s="1"/>
  <c r="V132" i="30" s="1"/>
  <c r="V133" i="30" s="1"/>
  <c r="V134" i="30" s="1"/>
  <c r="V135" i="30" s="1"/>
  <c r="V52" i="30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136" i="30"/>
  <c r="V137" i="30" s="1"/>
  <c r="V138" i="30" s="1"/>
  <c r="V139" i="30" s="1"/>
  <c r="V140" i="30" s="1"/>
  <c r="V141" i="30" s="1"/>
  <c r="V142" i="30" s="1"/>
  <c r="V143" i="30" s="1"/>
  <c r="V144" i="30" s="1"/>
  <c r="V145" i="30" s="1"/>
  <c r="V146" i="30" s="1"/>
  <c r="V147" i="30" s="1"/>
  <c r="V220" i="30"/>
  <c r="V221" i="30" s="1"/>
  <c r="V222" i="30" s="1"/>
  <c r="V223" i="30" s="1"/>
  <c r="V224" i="30" s="1"/>
  <c r="V225" i="30" s="1"/>
  <c r="V226" i="30" s="1"/>
  <c r="V227" i="30" s="1"/>
  <c r="V228" i="30" s="1"/>
  <c r="V229" i="30" s="1"/>
  <c r="V230" i="30" s="1"/>
  <c r="V231" i="30" s="1"/>
  <c r="V45" i="30"/>
  <c r="V46" i="30" s="1"/>
  <c r="V47" i="30" s="1"/>
  <c r="V48" i="30" s="1"/>
  <c r="V49" i="30" s="1"/>
  <c r="V50" i="30" s="1"/>
  <c r="V51" i="30" s="1"/>
  <c r="V196" i="30"/>
  <c r="V197" i="30" s="1"/>
  <c r="V198" i="30" s="1"/>
  <c r="V199" i="30" s="1"/>
  <c r="V200" i="30" s="1"/>
  <c r="V201" i="30" s="1"/>
  <c r="V202" i="30" s="1"/>
  <c r="V203" i="30" s="1"/>
  <c r="V204" i="30" s="1"/>
  <c r="V205" i="30" s="1"/>
  <c r="V206" i="30" s="1"/>
  <c r="V207" i="30" s="1"/>
  <c r="I246" i="19"/>
  <c r="I247" i="19" s="1"/>
  <c r="I248" i="19" s="1"/>
  <c r="I249" i="19" s="1"/>
  <c r="I250" i="19" s="1"/>
  <c r="I251" i="19" s="1"/>
  <c r="I252" i="19" s="1"/>
  <c r="I253" i="19" s="1"/>
  <c r="I254" i="19" s="1"/>
  <c r="I255" i="19" s="1"/>
  <c r="I256" i="19" s="1"/>
  <c r="I257" i="19" s="1"/>
  <c r="AK248" i="19"/>
  <c r="AR248" i="19" s="1"/>
  <c r="AT248" i="19" s="1"/>
  <c r="AN248" i="19"/>
  <c r="AO248" i="19" s="1"/>
  <c r="AP248" i="19" s="1"/>
  <c r="AG248" i="19"/>
  <c r="AK247" i="19"/>
  <c r="AR247" i="19" s="1"/>
  <c r="AT247" i="19" s="1"/>
  <c r="AN247" i="19"/>
  <c r="AO247" i="19" s="1"/>
  <c r="AP247" i="19" s="1"/>
  <c r="AG247" i="19"/>
  <c r="AK246" i="19"/>
  <c r="AR246" i="19" s="1"/>
  <c r="AT246" i="19" s="1"/>
  <c r="AN246" i="19"/>
  <c r="AO246" i="19" s="1"/>
  <c r="AP246" i="19" s="1"/>
  <c r="AG249" i="19"/>
  <c r="AG246" i="19"/>
  <c r="AQ259" i="19"/>
  <c r="AQ260" i="19" s="1"/>
  <c r="AQ261" i="19" s="1"/>
  <c r="AQ262" i="19" s="1"/>
  <c r="AQ263" i="19" s="1"/>
  <c r="AQ264" i="19" s="1"/>
  <c r="AQ265" i="19" s="1"/>
  <c r="AQ266" i="19" s="1"/>
  <c r="AQ267" i="19" s="1"/>
  <c r="AQ268" i="19" s="1"/>
  <c r="AQ269" i="19" s="1"/>
  <c r="V64" i="30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/>
  <c r="V77" i="30" s="1"/>
  <c r="V78" i="30" s="1"/>
  <c r="V79" i="30" s="1"/>
  <c r="V80" i="30" s="1"/>
  <c r="V81" i="30" s="1"/>
  <c r="V82" i="30" s="1"/>
  <c r="V83" i="30" s="1"/>
  <c r="V84" i="30" s="1"/>
  <c r="V85" i="30" s="1"/>
  <c r="V86" i="30" s="1"/>
  <c r="V87" i="30" s="1"/>
  <c r="V112" i="30"/>
  <c r="V113" i="30" s="1"/>
  <c r="V114" i="30" s="1"/>
  <c r="V115" i="30" s="1"/>
  <c r="V116" i="30" s="1"/>
  <c r="V117" i="30" s="1"/>
  <c r="V118" i="30" s="1"/>
  <c r="V119" i="30" s="1"/>
  <c r="V120" i="30" s="1"/>
  <c r="V121" i="30" s="1"/>
  <c r="V122" i="30" s="1"/>
  <c r="V123" i="30" s="1"/>
  <c r="V88" i="30"/>
  <c r="V89" i="30" s="1"/>
  <c r="V90" i="30" s="1"/>
  <c r="V91" i="30" s="1"/>
  <c r="V92" i="30" s="1"/>
  <c r="V93" i="30" s="1"/>
  <c r="V94" i="30" s="1"/>
  <c r="V95" i="30" s="1"/>
  <c r="V96" i="30" s="1"/>
  <c r="V97" i="30" s="1"/>
  <c r="V98" i="30" s="1"/>
  <c r="V99" i="30" s="1"/>
  <c r="V100" i="30"/>
  <c r="V101" i="30" s="1"/>
  <c r="V102" i="30" s="1"/>
  <c r="V103" i="30" s="1"/>
  <c r="V104" i="30" s="1"/>
  <c r="V105" i="30" s="1"/>
  <c r="V106" i="30" s="1"/>
  <c r="V107" i="30" s="1"/>
  <c r="V108" i="30" s="1"/>
  <c r="V109" i="30" s="1"/>
  <c r="V110" i="30" s="1"/>
  <c r="V111" i="30" s="1"/>
  <c r="V148" i="30"/>
  <c r="V149" i="30" s="1"/>
  <c r="V150" i="30" s="1"/>
  <c r="V151" i="30" s="1"/>
  <c r="V152" i="30" s="1"/>
  <c r="V153" i="30" s="1"/>
  <c r="V154" i="30" s="1"/>
  <c r="V155" i="30" s="1"/>
  <c r="V156" i="30" s="1"/>
  <c r="V157" i="30" s="1"/>
  <c r="V158" i="30" s="1"/>
  <c r="V159" i="30" s="1"/>
  <c r="V160" i="30"/>
  <c r="V161" i="30" s="1"/>
  <c r="V162" i="30" s="1"/>
  <c r="V163" i="30" s="1"/>
  <c r="V164" i="30" s="1"/>
  <c r="V165" i="30" s="1"/>
  <c r="V166" i="30" s="1"/>
  <c r="V167" i="30" s="1"/>
  <c r="V168" i="30" s="1"/>
  <c r="V169" i="30" s="1"/>
  <c r="V170" i="30" s="1"/>
  <c r="V171" i="30" s="1"/>
  <c r="V172" i="30"/>
  <c r="V173" i="30" s="1"/>
  <c r="V174" i="30" s="1"/>
  <c r="V175" i="30" s="1"/>
  <c r="V176" i="30" s="1"/>
  <c r="V177" i="30" s="1"/>
  <c r="V178" i="30" s="1"/>
  <c r="V179" i="30" s="1"/>
  <c r="V180" i="30" s="1"/>
  <c r="V181" i="30" s="1"/>
  <c r="V182" i="30" s="1"/>
  <c r="V183" i="30" s="1"/>
  <c r="V184" i="30"/>
  <c r="V185" i="30" s="1"/>
  <c r="V186" i="30" s="1"/>
  <c r="V187" i="30" s="1"/>
  <c r="V188" i="30" s="1"/>
  <c r="V189" i="30" s="1"/>
  <c r="V190" i="30" s="1"/>
  <c r="V191" i="30" s="1"/>
  <c r="V192" i="30" s="1"/>
  <c r="V193" i="30" s="1"/>
  <c r="V194" i="30" s="1"/>
  <c r="V195" i="30" s="1"/>
  <c r="AC245" i="19"/>
  <c r="AY246" i="19" l="1"/>
  <c r="I244" i="30"/>
  <c r="AY249" i="19"/>
  <c r="I247" i="30"/>
  <c r="AY248" i="19"/>
  <c r="I246" i="30"/>
  <c r="AY247" i="19"/>
  <c r="I245" i="30"/>
  <c r="AZ246" i="19"/>
  <c r="AZ247" i="19" s="1"/>
  <c r="AZ248" i="19" s="1"/>
  <c r="AZ249" i="19" s="1"/>
  <c r="AZ250" i="19" s="1"/>
  <c r="AZ251" i="19" s="1"/>
  <c r="AZ252" i="19" s="1"/>
  <c r="AZ253" i="19" s="1"/>
  <c r="AZ254" i="19" s="1"/>
  <c r="AZ255" i="19" s="1"/>
  <c r="AZ256" i="19" s="1"/>
  <c r="AZ257" i="19" s="1"/>
  <c r="X112" i="30"/>
  <c r="X113" i="30" s="1"/>
  <c r="X114" i="30" s="1"/>
  <c r="X115" i="30" s="1"/>
  <c r="X116" i="30" s="1"/>
  <c r="X117" i="30" s="1"/>
  <c r="X118" i="30" s="1"/>
  <c r="X119" i="30" s="1"/>
  <c r="X120" i="30" s="1"/>
  <c r="X121" i="30" s="1"/>
  <c r="X122" i="30" s="1"/>
  <c r="X123" i="30" s="1"/>
  <c r="X124" i="30"/>
  <c r="X125" i="30" s="1"/>
  <c r="X126" i="30" s="1"/>
  <c r="X127" i="30" s="1"/>
  <c r="X128" i="30" s="1"/>
  <c r="X129" i="30" s="1"/>
  <c r="X130" i="30" s="1"/>
  <c r="X131" i="30" s="1"/>
  <c r="X132" i="30" s="1"/>
  <c r="X133" i="30" s="1"/>
  <c r="X134" i="30" s="1"/>
  <c r="X135" i="30" s="1"/>
  <c r="X208" i="30"/>
  <c r="X209" i="30" s="1"/>
  <c r="X210" i="30" s="1"/>
  <c r="X211" i="30" s="1"/>
  <c r="X212" i="30" s="1"/>
  <c r="X213" i="30" s="1"/>
  <c r="X214" i="30" s="1"/>
  <c r="X215" i="30" s="1"/>
  <c r="X216" i="30" s="1"/>
  <c r="X217" i="30" s="1"/>
  <c r="X218" i="30" s="1"/>
  <c r="X219" i="30" s="1"/>
  <c r="X64" i="30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100" i="30"/>
  <c r="X101" i="30" s="1"/>
  <c r="X102" i="30" s="1"/>
  <c r="X103" i="30" s="1"/>
  <c r="X104" i="30" s="1"/>
  <c r="X105" i="30" s="1"/>
  <c r="X106" i="30" s="1"/>
  <c r="X107" i="30" s="1"/>
  <c r="X108" i="30" s="1"/>
  <c r="X109" i="30" s="1"/>
  <c r="X110" i="30" s="1"/>
  <c r="X111" i="30" s="1"/>
  <c r="X148" i="30"/>
  <c r="X149" i="30" s="1"/>
  <c r="X150" i="30" s="1"/>
  <c r="X151" i="30" s="1"/>
  <c r="X152" i="30" s="1"/>
  <c r="X153" i="30" s="1"/>
  <c r="X154" i="30" s="1"/>
  <c r="X155" i="30" s="1"/>
  <c r="X156" i="30" s="1"/>
  <c r="X157" i="30" s="1"/>
  <c r="X158" i="30" s="1"/>
  <c r="X159" i="30" s="1"/>
  <c r="X220" i="30"/>
  <c r="X221" i="30" s="1"/>
  <c r="X222" i="30" s="1"/>
  <c r="X223" i="30" s="1"/>
  <c r="X224" i="30" s="1"/>
  <c r="X225" i="30" s="1"/>
  <c r="X226" i="30" s="1"/>
  <c r="X227" i="30" s="1"/>
  <c r="X228" i="30" s="1"/>
  <c r="X229" i="30" s="1"/>
  <c r="X230" i="30" s="1"/>
  <c r="X231" i="30" s="1"/>
  <c r="X136" i="30"/>
  <c r="X137" i="30" s="1"/>
  <c r="X138" i="30" s="1"/>
  <c r="X139" i="30" s="1"/>
  <c r="X140" i="30" s="1"/>
  <c r="X141" i="30" s="1"/>
  <c r="X142" i="30" s="1"/>
  <c r="X143" i="30" s="1"/>
  <c r="X144" i="30" s="1"/>
  <c r="X145" i="30" s="1"/>
  <c r="X146" i="30" s="1"/>
  <c r="X147" i="30" s="1"/>
  <c r="X88" i="30"/>
  <c r="X89" i="30" s="1"/>
  <c r="X90" i="30" s="1"/>
  <c r="X91" i="30" s="1"/>
  <c r="X92" i="30" s="1"/>
  <c r="X93" i="30" s="1"/>
  <c r="X94" i="30" s="1"/>
  <c r="X95" i="30" s="1"/>
  <c r="X96" i="30" s="1"/>
  <c r="X97" i="30" s="1"/>
  <c r="X98" i="30" s="1"/>
  <c r="X99" i="30" s="1"/>
  <c r="X184" i="30"/>
  <c r="X185" i="30" s="1"/>
  <c r="X186" i="30" s="1"/>
  <c r="X187" i="30" s="1"/>
  <c r="X188" i="30" s="1"/>
  <c r="X189" i="30" s="1"/>
  <c r="X190" i="30" s="1"/>
  <c r="X191" i="30" s="1"/>
  <c r="X192" i="30" s="1"/>
  <c r="X193" i="30" s="1"/>
  <c r="X194" i="30" s="1"/>
  <c r="X195" i="30" s="1"/>
  <c r="X160" i="30"/>
  <c r="X161" i="30" s="1"/>
  <c r="X162" i="30" s="1"/>
  <c r="X163" i="30" s="1"/>
  <c r="X164" i="30" s="1"/>
  <c r="X165" i="30" s="1"/>
  <c r="X166" i="30" s="1"/>
  <c r="X167" i="30" s="1"/>
  <c r="X168" i="30" s="1"/>
  <c r="X169" i="30" s="1"/>
  <c r="X170" i="30" s="1"/>
  <c r="X171" i="30" s="1"/>
  <c r="X196" i="30"/>
  <c r="X197" i="30" s="1"/>
  <c r="X198" i="30" s="1"/>
  <c r="X199" i="30" s="1"/>
  <c r="X200" i="30" s="1"/>
  <c r="X201" i="30" s="1"/>
  <c r="X202" i="30" s="1"/>
  <c r="X203" i="30" s="1"/>
  <c r="X204" i="30" s="1"/>
  <c r="X205" i="30" s="1"/>
  <c r="X206" i="30" s="1"/>
  <c r="X207" i="30" s="1"/>
  <c r="X52" i="30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76" i="30"/>
  <c r="X77" i="30" s="1"/>
  <c r="X78" i="30" s="1"/>
  <c r="X79" i="30" s="1"/>
  <c r="X80" i="30" s="1"/>
  <c r="X81" i="30" s="1"/>
  <c r="X82" i="30" s="1"/>
  <c r="X83" i="30" s="1"/>
  <c r="X84" i="30" s="1"/>
  <c r="X85" i="30" s="1"/>
  <c r="X86" i="30" s="1"/>
  <c r="X87" i="30" s="1"/>
  <c r="X45" i="30"/>
  <c r="X46" i="30" s="1"/>
  <c r="X47" i="30" s="1"/>
  <c r="X48" i="30" s="1"/>
  <c r="X49" i="30" s="1"/>
  <c r="X50" i="30" s="1"/>
  <c r="X51" i="30" s="1"/>
  <c r="X172" i="30"/>
  <c r="X173" i="30" s="1"/>
  <c r="X174" i="30" s="1"/>
  <c r="X175" i="30" s="1"/>
  <c r="X176" i="30" s="1"/>
  <c r="X177" i="30" s="1"/>
  <c r="X178" i="30" s="1"/>
  <c r="X179" i="30" s="1"/>
  <c r="X180" i="30" s="1"/>
  <c r="X181" i="30" s="1"/>
  <c r="X182" i="30" s="1"/>
  <c r="X183" i="30" s="1"/>
  <c r="AQ249" i="19"/>
  <c r="S241" i="30"/>
  <c r="Z241" i="30" s="1"/>
  <c r="T241" i="30"/>
  <c r="AA241" i="30" s="1"/>
  <c r="AQ253" i="19"/>
  <c r="AQ254" i="19"/>
  <c r="AQ248" i="19"/>
  <c r="AQ251" i="19"/>
  <c r="AQ255" i="19"/>
  <c r="AQ256" i="19"/>
  <c r="AQ257" i="19"/>
  <c r="AQ247" i="19"/>
  <c r="AQ246" i="19"/>
  <c r="AQ252" i="19"/>
  <c r="AQ250" i="19"/>
  <c r="Z245" i="19"/>
  <c r="Y245" i="19"/>
  <c r="T245" i="19" s="1"/>
  <c r="P245" i="19"/>
  <c r="R245" i="19" s="1"/>
  <c r="J244" i="30" l="1"/>
  <c r="J245" i="30" s="1"/>
  <c r="J246" i="30" s="1"/>
  <c r="J247" i="30" s="1"/>
  <c r="J248" i="30" s="1"/>
  <c r="J249" i="30" s="1"/>
  <c r="J250" i="30" s="1"/>
  <c r="J251" i="30" s="1"/>
  <c r="J252" i="30" s="1"/>
  <c r="J253" i="30" s="1"/>
  <c r="J254" i="30" s="1"/>
  <c r="J255" i="30" s="1"/>
  <c r="J245" i="19"/>
  <c r="AF245" i="19"/>
  <c r="AB241" i="30"/>
  <c r="AC232" i="30"/>
  <c r="AC233" i="30" s="1"/>
  <c r="AC234" i="30" s="1"/>
  <c r="AC235" i="30" s="1"/>
  <c r="AC236" i="30" s="1"/>
  <c r="AC237" i="30" s="1"/>
  <c r="AC238" i="30" s="1"/>
  <c r="AC239" i="30" s="1"/>
  <c r="AC240" i="30" s="1"/>
  <c r="AC241" i="30" s="1"/>
  <c r="AC242" i="30" s="1"/>
  <c r="AC243" i="30" s="1"/>
  <c r="AC245" i="30" s="1"/>
  <c r="AC246" i="30" s="1"/>
  <c r="AC247" i="30" s="1"/>
  <c r="AC248" i="30" s="1"/>
  <c r="AC249" i="30" s="1"/>
  <c r="AC250" i="30" s="1"/>
  <c r="AC251" i="30" s="1"/>
  <c r="AC252" i="30" s="1"/>
  <c r="AC253" i="30" s="1"/>
  <c r="AC254" i="30" s="1"/>
  <c r="AC255" i="30" s="1"/>
  <c r="AC257" i="30" s="1"/>
  <c r="AC258" i="30" s="1"/>
  <c r="AC259" i="30" s="1"/>
  <c r="AC260" i="30" s="1"/>
  <c r="AC261" i="30" s="1"/>
  <c r="AC262" i="30" s="1"/>
  <c r="AC263" i="30" s="1"/>
  <c r="AC264" i="30" s="1"/>
  <c r="AC265" i="30" s="1"/>
  <c r="AC266" i="30" s="1"/>
  <c r="AC267" i="30" s="1"/>
  <c r="AC269" i="30" s="1"/>
  <c r="AC270" i="30" s="1"/>
  <c r="AC271" i="30" s="1"/>
  <c r="AC272" i="30" s="1"/>
  <c r="AC273" i="30" s="1"/>
  <c r="AC274" i="30" s="1"/>
  <c r="AC275" i="30" s="1"/>
  <c r="AC276" i="30" s="1"/>
  <c r="AC277" i="30" s="1"/>
  <c r="AC278" i="30" s="1"/>
  <c r="AC279" i="30" s="1"/>
  <c r="U241" i="30"/>
  <c r="V232" i="30"/>
  <c r="V233" i="30" s="1"/>
  <c r="V234" i="30" s="1"/>
  <c r="V235" i="30" s="1"/>
  <c r="V236" i="30" s="1"/>
  <c r="V237" i="30" s="1"/>
  <c r="V238" i="30" s="1"/>
  <c r="V239" i="30" s="1"/>
  <c r="V240" i="30" s="1"/>
  <c r="V241" i="30" s="1"/>
  <c r="V242" i="30" s="1"/>
  <c r="V243" i="30" s="1"/>
  <c r="V245" i="30" s="1"/>
  <c r="V246" i="30" s="1"/>
  <c r="V247" i="30" s="1"/>
  <c r="V248" i="30" s="1"/>
  <c r="V249" i="30" s="1"/>
  <c r="V250" i="30" s="1"/>
  <c r="V251" i="30" s="1"/>
  <c r="V252" i="30" s="1"/>
  <c r="V253" i="30" s="1"/>
  <c r="V254" i="30" s="1"/>
  <c r="V255" i="30" s="1"/>
  <c r="V257" i="30" s="1"/>
  <c r="V258" i="30" s="1"/>
  <c r="V259" i="30" s="1"/>
  <c r="V260" i="30" s="1"/>
  <c r="V261" i="30" s="1"/>
  <c r="V262" i="30" s="1"/>
  <c r="V263" i="30" s="1"/>
  <c r="V264" i="30" s="1"/>
  <c r="V265" i="30" s="1"/>
  <c r="V266" i="30" s="1"/>
  <c r="V267" i="30" s="1"/>
  <c r="V269" i="30" s="1"/>
  <c r="V270" i="30" s="1"/>
  <c r="V271" i="30" s="1"/>
  <c r="V272" i="30" s="1"/>
  <c r="V273" i="30" s="1"/>
  <c r="V274" i="30" s="1"/>
  <c r="V275" i="30" s="1"/>
  <c r="V276" i="30" s="1"/>
  <c r="V277" i="30" s="1"/>
  <c r="V278" i="30" s="1"/>
  <c r="V279" i="30" s="1"/>
  <c r="AD245" i="19"/>
  <c r="H245" i="19" s="1"/>
  <c r="AG245" i="19"/>
  <c r="AN245" i="19"/>
  <c r="AO245" i="19" s="1"/>
  <c r="AP245" i="19" s="1"/>
  <c r="AK245" i="19"/>
  <c r="AR245" i="19" s="1"/>
  <c r="AT245" i="19" s="1"/>
  <c r="AL243" i="19"/>
  <c r="AC244" i="19"/>
  <c r="AC243" i="19"/>
  <c r="Z244" i="19"/>
  <c r="Z243" i="19"/>
  <c r="Z242" i="19"/>
  <c r="Z241" i="19"/>
  <c r="Y244" i="19"/>
  <c r="T244" i="19" s="1"/>
  <c r="Y243" i="19"/>
  <c r="T243" i="19" s="1"/>
  <c r="P244" i="19"/>
  <c r="R244" i="19" s="1"/>
  <c r="P243" i="19"/>
  <c r="R243" i="19" s="1"/>
  <c r="AC242" i="19"/>
  <c r="AC241" i="19"/>
  <c r="Y242" i="19"/>
  <c r="Y241" i="19"/>
  <c r="S242" i="19"/>
  <c r="S241" i="19"/>
  <c r="T241" i="19" s="1"/>
  <c r="P242" i="19"/>
  <c r="R242" i="19" s="1"/>
  <c r="P241" i="19"/>
  <c r="R241" i="19" s="1"/>
  <c r="AC240" i="19"/>
  <c r="AC239" i="19"/>
  <c r="Z240" i="19"/>
  <c r="Z239" i="19"/>
  <c r="Y240" i="19"/>
  <c r="Y239" i="19"/>
  <c r="S240" i="19"/>
  <c r="S239" i="19"/>
  <c r="P240" i="19"/>
  <c r="R240" i="19" s="1"/>
  <c r="P239" i="19"/>
  <c r="R239" i="19" s="1"/>
  <c r="Z236" i="19"/>
  <c r="Z237" i="19"/>
  <c r="AC238" i="19"/>
  <c r="Z238" i="19"/>
  <c r="Y238" i="19"/>
  <c r="S238" i="19"/>
  <c r="T238" i="19" s="1"/>
  <c r="P238" i="19"/>
  <c r="R238" i="19" s="1"/>
  <c r="AC237" i="19"/>
  <c r="Z235" i="19"/>
  <c r="Y237" i="19"/>
  <c r="S237" i="19"/>
  <c r="T237" i="19" s="1"/>
  <c r="P237" i="19"/>
  <c r="R237" i="19" s="1"/>
  <c r="AC236" i="19"/>
  <c r="AC235" i="19"/>
  <c r="AC234" i="19"/>
  <c r="Z234" i="19"/>
  <c r="Y236" i="19"/>
  <c r="Y235" i="19"/>
  <c r="Y234" i="19"/>
  <c r="S236" i="19"/>
  <c r="S235" i="19"/>
  <c r="S234" i="19"/>
  <c r="P236" i="19"/>
  <c r="R236" i="19" s="1"/>
  <c r="P235" i="19"/>
  <c r="R235" i="19" s="1"/>
  <c r="P234" i="19"/>
  <c r="R234" i="19" s="1"/>
  <c r="AC233" i="19"/>
  <c r="Z233" i="19"/>
  <c r="Y233" i="19"/>
  <c r="T233" i="19" s="1"/>
  <c r="P233" i="19"/>
  <c r="R233" i="19" s="1"/>
  <c r="AC232" i="19"/>
  <c r="AC231" i="19"/>
  <c r="Z232" i="19"/>
  <c r="Z231" i="19"/>
  <c r="Y232" i="19"/>
  <c r="T232" i="19" s="1"/>
  <c r="Y231" i="19"/>
  <c r="T231" i="19" s="1"/>
  <c r="P232" i="19"/>
  <c r="R232" i="19" s="1"/>
  <c r="P231" i="19"/>
  <c r="R231" i="19" s="1"/>
  <c r="Y230" i="19"/>
  <c r="T230" i="19" s="1"/>
  <c r="Y229" i="19"/>
  <c r="T229" i="19" s="1"/>
  <c r="Y228" i="19"/>
  <c r="T228" i="19" s="1"/>
  <c r="Y227" i="19"/>
  <c r="T227" i="19" s="1"/>
  <c r="Y226" i="19"/>
  <c r="T226" i="19" s="1"/>
  <c r="Y225" i="19"/>
  <c r="T225" i="19" s="1"/>
  <c r="Y224" i="19"/>
  <c r="T224" i="19" s="1"/>
  <c r="Y223" i="19"/>
  <c r="T223" i="19" s="1"/>
  <c r="Y222" i="19"/>
  <c r="T222" i="19" s="1"/>
  <c r="Y221" i="19"/>
  <c r="T221" i="19" s="1"/>
  <c r="Y220" i="19"/>
  <c r="T220" i="19" s="1"/>
  <c r="Y219" i="19"/>
  <c r="Y218" i="19"/>
  <c r="Y217" i="19"/>
  <c r="Y216" i="19"/>
  <c r="Y215" i="19"/>
  <c r="Y214" i="19"/>
  <c r="Y213" i="19"/>
  <c r="Y212" i="19"/>
  <c r="Y211" i="19"/>
  <c r="Y210" i="19"/>
  <c r="Y209" i="19"/>
  <c r="Y208" i="19"/>
  <c r="Y207" i="19"/>
  <c r="Y206" i="19"/>
  <c r="Y205" i="19"/>
  <c r="Y204" i="19"/>
  <c r="Y203" i="19"/>
  <c r="Y202" i="19"/>
  <c r="Y201" i="19"/>
  <c r="Y200" i="19"/>
  <c r="Y199" i="19"/>
  <c r="Y198" i="19"/>
  <c r="Y197" i="19"/>
  <c r="Y196" i="19"/>
  <c r="Y195" i="19"/>
  <c r="Y194" i="19"/>
  <c r="Y193" i="19"/>
  <c r="Y192" i="19"/>
  <c r="Y191" i="19"/>
  <c r="Y190" i="19"/>
  <c r="Y189" i="19"/>
  <c r="Y188" i="19"/>
  <c r="Y187" i="19"/>
  <c r="Y186" i="19"/>
  <c r="Y185" i="19"/>
  <c r="Y184" i="19"/>
  <c r="Y183" i="19"/>
  <c r="Y182" i="19"/>
  <c r="Y181" i="19"/>
  <c r="Y180" i="19"/>
  <c r="Y179" i="19"/>
  <c r="Y178" i="19"/>
  <c r="Y177" i="19"/>
  <c r="Y176" i="19"/>
  <c r="Y175" i="19"/>
  <c r="Y174" i="19"/>
  <c r="Y173" i="19"/>
  <c r="Y172" i="19"/>
  <c r="Y171" i="19"/>
  <c r="Y170" i="19"/>
  <c r="Y169" i="19"/>
  <c r="Y168" i="19"/>
  <c r="Y167" i="19"/>
  <c r="Y166" i="19"/>
  <c r="Y165" i="19"/>
  <c r="Y164" i="19"/>
  <c r="Y163" i="19"/>
  <c r="Y162" i="19"/>
  <c r="Y161" i="19"/>
  <c r="Y160" i="19"/>
  <c r="Y159" i="19"/>
  <c r="Y158" i="19"/>
  <c r="Y157" i="19"/>
  <c r="Y156" i="19"/>
  <c r="Y155" i="19"/>
  <c r="Y154" i="19"/>
  <c r="Y153" i="19"/>
  <c r="Y152" i="19"/>
  <c r="Y151" i="19"/>
  <c r="Y150" i="19"/>
  <c r="Y149" i="19"/>
  <c r="Y148" i="19"/>
  <c r="Y147" i="19"/>
  <c r="Y146" i="19"/>
  <c r="Y145" i="19"/>
  <c r="Y144" i="19"/>
  <c r="Y143" i="19"/>
  <c r="Y142" i="19"/>
  <c r="Y141" i="19"/>
  <c r="Y140" i="19"/>
  <c r="Y139" i="19"/>
  <c r="Y138" i="19"/>
  <c r="Y137" i="19"/>
  <c r="Y136" i="19"/>
  <c r="Y135" i="19"/>
  <c r="Y134" i="19"/>
  <c r="Y133" i="19"/>
  <c r="Y132" i="19"/>
  <c r="Y131" i="19"/>
  <c r="Y130" i="19"/>
  <c r="Y129" i="19"/>
  <c r="Y128" i="19"/>
  <c r="Y127" i="19"/>
  <c r="Y126" i="19"/>
  <c r="Y125" i="19"/>
  <c r="Y124" i="19"/>
  <c r="Y123" i="19"/>
  <c r="Y122" i="19"/>
  <c r="Y121" i="19"/>
  <c r="Y120" i="19"/>
  <c r="Y119" i="19"/>
  <c r="Y118" i="19"/>
  <c r="Y117" i="19"/>
  <c r="Y116" i="19"/>
  <c r="Y115" i="19"/>
  <c r="Y114" i="19"/>
  <c r="Y113" i="19"/>
  <c r="Y112" i="19"/>
  <c r="Y111" i="19"/>
  <c r="Y110" i="19"/>
  <c r="Y109" i="19"/>
  <c r="Y108" i="19"/>
  <c r="Y107" i="19"/>
  <c r="Y106" i="19"/>
  <c r="Y105" i="19"/>
  <c r="Y104" i="19"/>
  <c r="Y103" i="19"/>
  <c r="Y102" i="19"/>
  <c r="Y101" i="19"/>
  <c r="Y100" i="19"/>
  <c r="Y99" i="19"/>
  <c r="Y98" i="19"/>
  <c r="Y97" i="19"/>
  <c r="Y96" i="19"/>
  <c r="Y95" i="19"/>
  <c r="Y94" i="19"/>
  <c r="Y93" i="19"/>
  <c r="Y92" i="19"/>
  <c r="Y91" i="19"/>
  <c r="Y90" i="19"/>
  <c r="Y89" i="19"/>
  <c r="Y88" i="19"/>
  <c r="Y87" i="19"/>
  <c r="Y86" i="19"/>
  <c r="Y85" i="19"/>
  <c r="Y84" i="19"/>
  <c r="Y83" i="19"/>
  <c r="Y82" i="19"/>
  <c r="Y81" i="19"/>
  <c r="Y80" i="19"/>
  <c r="Y79" i="19"/>
  <c r="Y78" i="19"/>
  <c r="Y77" i="19"/>
  <c r="Y76" i="19"/>
  <c r="Y75" i="19"/>
  <c r="Y74" i="19"/>
  <c r="Y73" i="19"/>
  <c r="Y72" i="19"/>
  <c r="Y71" i="19"/>
  <c r="Y70" i="19"/>
  <c r="Y69" i="19"/>
  <c r="Y68" i="19"/>
  <c r="Y67" i="19"/>
  <c r="Y66" i="19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Y35" i="19"/>
  <c r="Y34" i="19"/>
  <c r="Y33" i="19"/>
  <c r="Y32" i="19"/>
  <c r="Y31" i="19"/>
  <c r="Y30" i="19"/>
  <c r="Y29" i="19"/>
  <c r="Y28" i="19"/>
  <c r="Y27" i="19"/>
  <c r="Y26" i="19"/>
  <c r="Y25" i="19"/>
  <c r="Y24" i="19"/>
  <c r="Y23" i="19"/>
  <c r="Y22" i="19"/>
  <c r="Y21" i="19"/>
  <c r="Y20" i="19"/>
  <c r="Y19" i="19"/>
  <c r="Y18" i="19"/>
  <c r="Y17" i="19"/>
  <c r="Y16" i="19"/>
  <c r="Y15" i="19"/>
  <c r="Y14" i="19"/>
  <c r="Y13" i="19"/>
  <c r="Y12" i="19"/>
  <c r="Y11" i="19"/>
  <c r="Y10" i="19"/>
  <c r="Y9" i="19"/>
  <c r="Y8" i="19"/>
  <c r="Y7" i="19"/>
  <c r="Y6" i="19"/>
  <c r="AC230" i="19"/>
  <c r="Z230" i="19"/>
  <c r="Z229" i="19"/>
  <c r="Z228" i="19"/>
  <c r="Z227" i="19"/>
  <c r="AD227" i="19" s="1"/>
  <c r="H227" i="19" s="1"/>
  <c r="Z226" i="19"/>
  <c r="AD226" i="19" s="1"/>
  <c r="H226" i="19" s="1"/>
  <c r="Z225" i="19"/>
  <c r="Z224" i="19"/>
  <c r="Z223" i="19"/>
  <c r="Z222" i="19"/>
  <c r="AD222" i="19" s="1"/>
  <c r="H222" i="19" s="1"/>
  <c r="P230" i="19"/>
  <c r="R230" i="19" s="1"/>
  <c r="P229" i="19"/>
  <c r="R229" i="19" s="1"/>
  <c r="P228" i="19"/>
  <c r="R228" i="19" s="1"/>
  <c r="P227" i="19"/>
  <c r="R227" i="19" s="1"/>
  <c r="P226" i="19"/>
  <c r="R226" i="19" s="1"/>
  <c r="AC229" i="19"/>
  <c r="AC228" i="19"/>
  <c r="AC227" i="19"/>
  <c r="AC226" i="19"/>
  <c r="AC225" i="19"/>
  <c r="AC224" i="19"/>
  <c r="P225" i="19"/>
  <c r="R225" i="19" s="1"/>
  <c r="P224" i="19"/>
  <c r="R224" i="19" s="1"/>
  <c r="P223" i="19"/>
  <c r="R223" i="19" s="1"/>
  <c r="AC223" i="19"/>
  <c r="A23" i="19"/>
  <c r="A35" i="19" s="1"/>
  <c r="A47" i="19" s="1"/>
  <c r="A59" i="19" s="1"/>
  <c r="A71" i="19" s="1"/>
  <c r="A83" i="19" s="1"/>
  <c r="A95" i="19" s="1"/>
  <c r="A107" i="19" s="1"/>
  <c r="A119" i="19" s="1"/>
  <c r="A131" i="19" s="1"/>
  <c r="A143" i="19" s="1"/>
  <c r="A155" i="19" s="1"/>
  <c r="A167" i="19" s="1"/>
  <c r="A179" i="19" s="1"/>
  <c r="A191" i="19" s="1"/>
  <c r="A203" i="19" s="1"/>
  <c r="A215" i="19" s="1"/>
  <c r="AC222" i="19"/>
  <c r="Z221" i="19"/>
  <c r="Z220" i="19"/>
  <c r="P222" i="19"/>
  <c r="R222" i="19" s="1"/>
  <c r="P221" i="19"/>
  <c r="R221" i="19" s="1"/>
  <c r="P220" i="19"/>
  <c r="R220" i="19" s="1"/>
  <c r="C188" i="19"/>
  <c r="C189" i="19" s="1"/>
  <c r="C190" i="19" s="1"/>
  <c r="C191" i="19" s="1"/>
  <c r="C192" i="19" s="1"/>
  <c r="C193" i="19" s="1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C214" i="19" s="1"/>
  <c r="C215" i="19" s="1"/>
  <c r="C216" i="19" s="1"/>
  <c r="C217" i="19" s="1"/>
  <c r="C218" i="19" s="1"/>
  <c r="C219" i="19" s="1"/>
  <c r="C220" i="19" s="1"/>
  <c r="C221" i="19" s="1"/>
  <c r="B215" i="19"/>
  <c r="B263" i="19"/>
  <c r="B227" i="19"/>
  <c r="B191" i="19"/>
  <c r="B179" i="19"/>
  <c r="B167" i="19"/>
  <c r="B155" i="19"/>
  <c r="B143" i="19"/>
  <c r="B131" i="19"/>
  <c r="B119" i="19"/>
  <c r="B107" i="19"/>
  <c r="B95" i="19"/>
  <c r="B83" i="19"/>
  <c r="B71" i="19"/>
  <c r="B59" i="19"/>
  <c r="B47" i="19"/>
  <c r="B35" i="19"/>
  <c r="B23" i="19"/>
  <c r="B11" i="19"/>
  <c r="P219" i="19"/>
  <c r="R219" i="19" s="1"/>
  <c r="P218" i="19"/>
  <c r="R218" i="19" s="1"/>
  <c r="P217" i="19"/>
  <c r="R217" i="19" s="1"/>
  <c r="P216" i="19"/>
  <c r="R216" i="19" s="1"/>
  <c r="AC221" i="19"/>
  <c r="AC220" i="19"/>
  <c r="AC219" i="19"/>
  <c r="P215" i="19"/>
  <c r="R215" i="19" s="1"/>
  <c r="P214" i="19"/>
  <c r="R214" i="19" s="1"/>
  <c r="P213" i="19"/>
  <c r="R213" i="19" s="1"/>
  <c r="P212" i="19"/>
  <c r="R212" i="19" s="1"/>
  <c r="P211" i="19"/>
  <c r="R211" i="19" s="1"/>
  <c r="P210" i="19"/>
  <c r="R210" i="19" s="1"/>
  <c r="P209" i="19"/>
  <c r="R209" i="19" s="1"/>
  <c r="P208" i="19"/>
  <c r="R208" i="19" s="1"/>
  <c r="P207" i="19"/>
  <c r="R207" i="19" s="1"/>
  <c r="P206" i="19"/>
  <c r="R206" i="19" s="1"/>
  <c r="P205" i="19"/>
  <c r="R205" i="19" s="1"/>
  <c r="P204" i="19"/>
  <c r="R204" i="19" s="1"/>
  <c r="P203" i="19"/>
  <c r="R203" i="19" s="1"/>
  <c r="P202" i="19"/>
  <c r="R202" i="19" s="1"/>
  <c r="P201" i="19"/>
  <c r="R201" i="19" s="1"/>
  <c r="P200" i="19"/>
  <c r="R200" i="19" s="1"/>
  <c r="P199" i="19"/>
  <c r="R199" i="19" s="1"/>
  <c r="P198" i="19"/>
  <c r="R198" i="19" s="1"/>
  <c r="P197" i="19"/>
  <c r="R197" i="19" s="1"/>
  <c r="P196" i="19"/>
  <c r="R196" i="19" s="1"/>
  <c r="P195" i="19"/>
  <c r="R195" i="19" s="1"/>
  <c r="P194" i="19"/>
  <c r="R194" i="19" s="1"/>
  <c r="P193" i="19"/>
  <c r="R193" i="19" s="1"/>
  <c r="P192" i="19"/>
  <c r="R192" i="19" s="1"/>
  <c r="P191" i="19"/>
  <c r="R191" i="19" s="1"/>
  <c r="P190" i="19"/>
  <c r="R190" i="19" s="1"/>
  <c r="P189" i="19"/>
  <c r="R189" i="19" s="1"/>
  <c r="P188" i="19"/>
  <c r="R188" i="19" s="1"/>
  <c r="P187" i="19"/>
  <c r="R187" i="19" s="1"/>
  <c r="P186" i="19"/>
  <c r="R186" i="19" s="1"/>
  <c r="P185" i="19"/>
  <c r="R185" i="19" s="1"/>
  <c r="P184" i="19"/>
  <c r="R184" i="19" s="1"/>
  <c r="P183" i="19"/>
  <c r="R183" i="19" s="1"/>
  <c r="P182" i="19"/>
  <c r="R182" i="19" s="1"/>
  <c r="P181" i="19"/>
  <c r="R181" i="19" s="1"/>
  <c r="P180" i="19"/>
  <c r="R180" i="19" s="1"/>
  <c r="P179" i="19"/>
  <c r="R179" i="19" s="1"/>
  <c r="P178" i="19"/>
  <c r="R178" i="19" s="1"/>
  <c r="P177" i="19"/>
  <c r="R177" i="19" s="1"/>
  <c r="P176" i="19"/>
  <c r="R176" i="19" s="1"/>
  <c r="P175" i="19"/>
  <c r="R175" i="19" s="1"/>
  <c r="P174" i="19"/>
  <c r="R174" i="19" s="1"/>
  <c r="P173" i="19"/>
  <c r="R173" i="19" s="1"/>
  <c r="P172" i="19"/>
  <c r="R172" i="19" s="1"/>
  <c r="P171" i="19"/>
  <c r="R171" i="19" s="1"/>
  <c r="P170" i="19"/>
  <c r="R170" i="19" s="1"/>
  <c r="P169" i="19"/>
  <c r="R169" i="19" s="1"/>
  <c r="P168" i="19"/>
  <c r="R168" i="19" s="1"/>
  <c r="P167" i="19"/>
  <c r="R167" i="19" s="1"/>
  <c r="P166" i="19"/>
  <c r="R166" i="19" s="1"/>
  <c r="P165" i="19"/>
  <c r="R165" i="19" s="1"/>
  <c r="P164" i="19"/>
  <c r="R164" i="19" s="1"/>
  <c r="P163" i="19"/>
  <c r="R163" i="19" s="1"/>
  <c r="P162" i="19"/>
  <c r="R162" i="19" s="1"/>
  <c r="P161" i="19"/>
  <c r="R161" i="19" s="1"/>
  <c r="P160" i="19"/>
  <c r="R160" i="19" s="1"/>
  <c r="P159" i="19"/>
  <c r="R159" i="19" s="1"/>
  <c r="P158" i="19"/>
  <c r="R158" i="19" s="1"/>
  <c r="P157" i="19"/>
  <c r="R157" i="19" s="1"/>
  <c r="P156" i="19"/>
  <c r="R156" i="19" s="1"/>
  <c r="P155" i="19"/>
  <c r="R155" i="19" s="1"/>
  <c r="P154" i="19"/>
  <c r="R154" i="19" s="1"/>
  <c r="P153" i="19"/>
  <c r="R153" i="19" s="1"/>
  <c r="P152" i="19"/>
  <c r="R152" i="19" s="1"/>
  <c r="P151" i="19"/>
  <c r="R151" i="19" s="1"/>
  <c r="P150" i="19"/>
  <c r="R150" i="19" s="1"/>
  <c r="P149" i="19"/>
  <c r="R149" i="19" s="1"/>
  <c r="P148" i="19"/>
  <c r="R148" i="19" s="1"/>
  <c r="P147" i="19"/>
  <c r="R147" i="19" s="1"/>
  <c r="P146" i="19"/>
  <c r="R146" i="19" s="1"/>
  <c r="P145" i="19"/>
  <c r="R145" i="19" s="1"/>
  <c r="P144" i="19"/>
  <c r="R144" i="19" s="1"/>
  <c r="P143" i="19"/>
  <c r="R143" i="19" s="1"/>
  <c r="P142" i="19"/>
  <c r="R142" i="19" s="1"/>
  <c r="P141" i="19"/>
  <c r="R141" i="19" s="1"/>
  <c r="P140" i="19"/>
  <c r="R140" i="19" s="1"/>
  <c r="P139" i="19"/>
  <c r="R139" i="19" s="1"/>
  <c r="P138" i="19"/>
  <c r="R138" i="19" s="1"/>
  <c r="P137" i="19"/>
  <c r="R137" i="19" s="1"/>
  <c r="P136" i="19"/>
  <c r="R136" i="19" s="1"/>
  <c r="P135" i="19"/>
  <c r="R135" i="19" s="1"/>
  <c r="P134" i="19"/>
  <c r="R134" i="19" s="1"/>
  <c r="P133" i="19"/>
  <c r="R133" i="19" s="1"/>
  <c r="P132" i="19"/>
  <c r="R132" i="19" s="1"/>
  <c r="P131" i="19"/>
  <c r="R131" i="19" s="1"/>
  <c r="P130" i="19"/>
  <c r="R130" i="19" s="1"/>
  <c r="P129" i="19"/>
  <c r="R129" i="19" s="1"/>
  <c r="P128" i="19"/>
  <c r="R128" i="19" s="1"/>
  <c r="P127" i="19"/>
  <c r="R127" i="19" s="1"/>
  <c r="P126" i="19"/>
  <c r="R126" i="19" s="1"/>
  <c r="P125" i="19"/>
  <c r="R125" i="19" s="1"/>
  <c r="P124" i="19"/>
  <c r="R124" i="19" s="1"/>
  <c r="P123" i="19"/>
  <c r="R123" i="19" s="1"/>
  <c r="P122" i="19"/>
  <c r="R122" i="19" s="1"/>
  <c r="P121" i="19"/>
  <c r="R121" i="19" s="1"/>
  <c r="P120" i="19"/>
  <c r="R120" i="19" s="1"/>
  <c r="P119" i="19"/>
  <c r="R119" i="19" s="1"/>
  <c r="P118" i="19"/>
  <c r="R118" i="19" s="1"/>
  <c r="P117" i="19"/>
  <c r="R117" i="19" s="1"/>
  <c r="P116" i="19"/>
  <c r="R116" i="19" s="1"/>
  <c r="P115" i="19"/>
  <c r="R115" i="19" s="1"/>
  <c r="P114" i="19"/>
  <c r="R114" i="19" s="1"/>
  <c r="P113" i="19"/>
  <c r="R113" i="19" s="1"/>
  <c r="P112" i="19"/>
  <c r="R112" i="19" s="1"/>
  <c r="P111" i="19"/>
  <c r="R111" i="19" s="1"/>
  <c r="P110" i="19"/>
  <c r="R110" i="19" s="1"/>
  <c r="P109" i="19"/>
  <c r="R109" i="19" s="1"/>
  <c r="P108" i="19"/>
  <c r="R108" i="19" s="1"/>
  <c r="P107" i="19"/>
  <c r="R107" i="19" s="1"/>
  <c r="P106" i="19"/>
  <c r="R106" i="19" s="1"/>
  <c r="P105" i="19"/>
  <c r="R105" i="19" s="1"/>
  <c r="P104" i="19"/>
  <c r="R104" i="19" s="1"/>
  <c r="P103" i="19"/>
  <c r="R103" i="19" s="1"/>
  <c r="P102" i="19"/>
  <c r="R102" i="19" s="1"/>
  <c r="P101" i="19"/>
  <c r="R101" i="19" s="1"/>
  <c r="P100" i="19"/>
  <c r="R100" i="19" s="1"/>
  <c r="P99" i="19"/>
  <c r="R99" i="19" s="1"/>
  <c r="P98" i="19"/>
  <c r="R98" i="19" s="1"/>
  <c r="P97" i="19"/>
  <c r="R97" i="19" s="1"/>
  <c r="P96" i="19"/>
  <c r="R96" i="19" s="1"/>
  <c r="P95" i="19"/>
  <c r="R95" i="19" s="1"/>
  <c r="P94" i="19"/>
  <c r="R94" i="19" s="1"/>
  <c r="P93" i="19"/>
  <c r="R93" i="19" s="1"/>
  <c r="P92" i="19"/>
  <c r="R92" i="19" s="1"/>
  <c r="P91" i="19"/>
  <c r="R91" i="19" s="1"/>
  <c r="P90" i="19"/>
  <c r="R90" i="19" s="1"/>
  <c r="P89" i="19"/>
  <c r="R89" i="19" s="1"/>
  <c r="P88" i="19"/>
  <c r="R88" i="19" s="1"/>
  <c r="P87" i="19"/>
  <c r="R87" i="19" s="1"/>
  <c r="P86" i="19"/>
  <c r="R86" i="19" s="1"/>
  <c r="P85" i="19"/>
  <c r="R85" i="19" s="1"/>
  <c r="P84" i="19"/>
  <c r="R84" i="19" s="1"/>
  <c r="P83" i="19"/>
  <c r="R83" i="19" s="1"/>
  <c r="P82" i="19"/>
  <c r="R82" i="19" s="1"/>
  <c r="P81" i="19"/>
  <c r="R81" i="19" s="1"/>
  <c r="P80" i="19"/>
  <c r="R80" i="19" s="1"/>
  <c r="P79" i="19"/>
  <c r="R79" i="19" s="1"/>
  <c r="P78" i="19"/>
  <c r="R78" i="19" s="1"/>
  <c r="P77" i="19"/>
  <c r="R77" i="19" s="1"/>
  <c r="P76" i="19"/>
  <c r="R76" i="19" s="1"/>
  <c r="P75" i="19"/>
  <c r="R75" i="19" s="1"/>
  <c r="P74" i="19"/>
  <c r="R74" i="19" s="1"/>
  <c r="P73" i="19"/>
  <c r="R73" i="19" s="1"/>
  <c r="P72" i="19"/>
  <c r="R72" i="19" s="1"/>
  <c r="P71" i="19"/>
  <c r="R71" i="19" s="1"/>
  <c r="P70" i="19"/>
  <c r="R70" i="19" s="1"/>
  <c r="P69" i="19"/>
  <c r="R69" i="19" s="1"/>
  <c r="P68" i="19"/>
  <c r="R68" i="19" s="1"/>
  <c r="P67" i="19"/>
  <c r="R67" i="19" s="1"/>
  <c r="P66" i="19"/>
  <c r="R66" i="19" s="1"/>
  <c r="P65" i="19"/>
  <c r="R65" i="19" s="1"/>
  <c r="P64" i="19"/>
  <c r="R64" i="19" s="1"/>
  <c r="P63" i="19"/>
  <c r="R63" i="19" s="1"/>
  <c r="P62" i="19"/>
  <c r="R62" i="19" s="1"/>
  <c r="P61" i="19"/>
  <c r="R61" i="19" s="1"/>
  <c r="P60" i="19"/>
  <c r="R60" i="19" s="1"/>
  <c r="P59" i="19"/>
  <c r="R59" i="19" s="1"/>
  <c r="P58" i="19"/>
  <c r="R58" i="19" s="1"/>
  <c r="P57" i="19"/>
  <c r="R57" i="19" s="1"/>
  <c r="P56" i="19"/>
  <c r="R56" i="19" s="1"/>
  <c r="P55" i="19"/>
  <c r="R55" i="19" s="1"/>
  <c r="P54" i="19"/>
  <c r="R54" i="19" s="1"/>
  <c r="P53" i="19"/>
  <c r="R53" i="19" s="1"/>
  <c r="P52" i="19"/>
  <c r="R52" i="19" s="1"/>
  <c r="P51" i="19"/>
  <c r="R51" i="19" s="1"/>
  <c r="P50" i="19"/>
  <c r="R50" i="19" s="1"/>
  <c r="P49" i="19"/>
  <c r="R49" i="19" s="1"/>
  <c r="P48" i="19"/>
  <c r="R48" i="19" s="1"/>
  <c r="P47" i="19"/>
  <c r="R47" i="19" s="1"/>
  <c r="P46" i="19"/>
  <c r="R46" i="19" s="1"/>
  <c r="P45" i="19"/>
  <c r="R45" i="19" s="1"/>
  <c r="P44" i="19"/>
  <c r="R44" i="19" s="1"/>
  <c r="P43" i="19"/>
  <c r="R43" i="19" s="1"/>
  <c r="P42" i="19"/>
  <c r="R42" i="19" s="1"/>
  <c r="P41" i="19"/>
  <c r="R41" i="19" s="1"/>
  <c r="P40" i="19"/>
  <c r="R40" i="19" s="1"/>
  <c r="P39" i="19"/>
  <c r="R39" i="19" s="1"/>
  <c r="P38" i="19"/>
  <c r="R38" i="19" s="1"/>
  <c r="P37" i="19"/>
  <c r="R37" i="19" s="1"/>
  <c r="P36" i="19"/>
  <c r="R36" i="19" s="1"/>
  <c r="P35" i="19"/>
  <c r="R35" i="19" s="1"/>
  <c r="P34" i="19"/>
  <c r="R34" i="19" s="1"/>
  <c r="P33" i="19"/>
  <c r="R33" i="19" s="1"/>
  <c r="P32" i="19"/>
  <c r="R32" i="19" s="1"/>
  <c r="P31" i="19"/>
  <c r="R31" i="19" s="1"/>
  <c r="P30" i="19"/>
  <c r="R30" i="19" s="1"/>
  <c r="P29" i="19"/>
  <c r="R29" i="19" s="1"/>
  <c r="P28" i="19"/>
  <c r="R28" i="19" s="1"/>
  <c r="P27" i="19"/>
  <c r="R27" i="19" s="1"/>
  <c r="P26" i="19"/>
  <c r="R26" i="19" s="1"/>
  <c r="P25" i="19"/>
  <c r="R25" i="19" s="1"/>
  <c r="P24" i="19"/>
  <c r="R24" i="19" s="1"/>
  <c r="P23" i="19"/>
  <c r="R23" i="19" s="1"/>
  <c r="P22" i="19"/>
  <c r="R22" i="19" s="1"/>
  <c r="P21" i="19"/>
  <c r="R21" i="19" s="1"/>
  <c r="P20" i="19"/>
  <c r="R20" i="19" s="1"/>
  <c r="P19" i="19"/>
  <c r="R19" i="19" s="1"/>
  <c r="P18" i="19"/>
  <c r="R18" i="19" s="1"/>
  <c r="P17" i="19"/>
  <c r="R17" i="19" s="1"/>
  <c r="P16" i="19"/>
  <c r="R16" i="19" s="1"/>
  <c r="P15" i="19"/>
  <c r="R15" i="19" s="1"/>
  <c r="P14" i="19"/>
  <c r="R14" i="19" s="1"/>
  <c r="P13" i="19"/>
  <c r="R13" i="19" s="1"/>
  <c r="P12" i="19"/>
  <c r="R12" i="19" s="1"/>
  <c r="P11" i="19"/>
  <c r="R11" i="19" s="1"/>
  <c r="P10" i="19"/>
  <c r="R10" i="19" s="1"/>
  <c r="P9" i="19"/>
  <c r="R9" i="19" s="1"/>
  <c r="P8" i="19"/>
  <c r="R8" i="19" s="1"/>
  <c r="P7" i="19"/>
  <c r="R7" i="19" s="1"/>
  <c r="P6" i="19"/>
  <c r="R6" i="19" s="1"/>
  <c r="AC218" i="19"/>
  <c r="AC217" i="19"/>
  <c r="AC216" i="19"/>
  <c r="AC215" i="19"/>
  <c r="AC214" i="19"/>
  <c r="AC213" i="19"/>
  <c r="AC212" i="19"/>
  <c r="AC211" i="19"/>
  <c r="AC210" i="19"/>
  <c r="AC209" i="19"/>
  <c r="AC208" i="19"/>
  <c r="AC207" i="19"/>
  <c r="AC206" i="19"/>
  <c r="AC205" i="19"/>
  <c r="AC204" i="19"/>
  <c r="AC203" i="19"/>
  <c r="AC202" i="19"/>
  <c r="AC201" i="19"/>
  <c r="AC200" i="19"/>
  <c r="AC199" i="19"/>
  <c r="AC198" i="19"/>
  <c r="AC197" i="19"/>
  <c r="AC196" i="19"/>
  <c r="AC195" i="19"/>
  <c r="AC194" i="19"/>
  <c r="AC193" i="19"/>
  <c r="AC192" i="19"/>
  <c r="AC191" i="19"/>
  <c r="AC190" i="19"/>
  <c r="AC189" i="19"/>
  <c r="AC188" i="19"/>
  <c r="AC187" i="19"/>
  <c r="AC186" i="19"/>
  <c r="AC185" i="19"/>
  <c r="AC184" i="19"/>
  <c r="AC183" i="19"/>
  <c r="AC182" i="19"/>
  <c r="AC181" i="19"/>
  <c r="AC180" i="19"/>
  <c r="AC179" i="19"/>
  <c r="AC178" i="19"/>
  <c r="AC177" i="19"/>
  <c r="AC176" i="19"/>
  <c r="AC175" i="19"/>
  <c r="AC174" i="19"/>
  <c r="AC173" i="19"/>
  <c r="AC172" i="19"/>
  <c r="AC171" i="19"/>
  <c r="AC170" i="19"/>
  <c r="AC169" i="19"/>
  <c r="AC168" i="19"/>
  <c r="AC167" i="19"/>
  <c r="AC166" i="19"/>
  <c r="AC165" i="19"/>
  <c r="AC164" i="19"/>
  <c r="AC163" i="19"/>
  <c r="AC162" i="19"/>
  <c r="AC161" i="19"/>
  <c r="AC160" i="19"/>
  <c r="AC159" i="19"/>
  <c r="AC158" i="19"/>
  <c r="AC157" i="19"/>
  <c r="AC156" i="19"/>
  <c r="AC155" i="19"/>
  <c r="AC154" i="19"/>
  <c r="AC153" i="19"/>
  <c r="AC152" i="19"/>
  <c r="AC151" i="19"/>
  <c r="AC150" i="19"/>
  <c r="AC149" i="19"/>
  <c r="AC148" i="19"/>
  <c r="AC147" i="19"/>
  <c r="AC146" i="19"/>
  <c r="AC145" i="19"/>
  <c r="AC144" i="19"/>
  <c r="AC143" i="19"/>
  <c r="AC142" i="19"/>
  <c r="AC141" i="19"/>
  <c r="AC140" i="19"/>
  <c r="AC139" i="19"/>
  <c r="AC138" i="19"/>
  <c r="AC137" i="19"/>
  <c r="AC136" i="19"/>
  <c r="AC135" i="19"/>
  <c r="AC134" i="19"/>
  <c r="AC133" i="19"/>
  <c r="AC132" i="19"/>
  <c r="AC131" i="19"/>
  <c r="AC130" i="19"/>
  <c r="AC129" i="19"/>
  <c r="AC128" i="19"/>
  <c r="AC127" i="19"/>
  <c r="AC126" i="19"/>
  <c r="AC125" i="19"/>
  <c r="AC124" i="19"/>
  <c r="AC123" i="19"/>
  <c r="AC122" i="19"/>
  <c r="AC121" i="19"/>
  <c r="AC120" i="19"/>
  <c r="AC119" i="19"/>
  <c r="AC118" i="19"/>
  <c r="AC117" i="19"/>
  <c r="AC116" i="19"/>
  <c r="AC115" i="19"/>
  <c r="AC114" i="19"/>
  <c r="AC113" i="19"/>
  <c r="AC112" i="19"/>
  <c r="AC111" i="19"/>
  <c r="AC110" i="19"/>
  <c r="AC109" i="19"/>
  <c r="AC108" i="19"/>
  <c r="AC107" i="19"/>
  <c r="AC106" i="19"/>
  <c r="AC105" i="19"/>
  <c r="AC104" i="19"/>
  <c r="AC103" i="19"/>
  <c r="AC102" i="19"/>
  <c r="AC101" i="19"/>
  <c r="AC100" i="19"/>
  <c r="AC99" i="19"/>
  <c r="AC98" i="19"/>
  <c r="AC97" i="19"/>
  <c r="AC96" i="19"/>
  <c r="AC95" i="19"/>
  <c r="AC94" i="19"/>
  <c r="AC93" i="19"/>
  <c r="AC92" i="19"/>
  <c r="AC91" i="19"/>
  <c r="AC90" i="19"/>
  <c r="AC89" i="19"/>
  <c r="AC88" i="19"/>
  <c r="AC87" i="19"/>
  <c r="AC86" i="19"/>
  <c r="AC85" i="19"/>
  <c r="AC84" i="19"/>
  <c r="AC83" i="19"/>
  <c r="AC82" i="19"/>
  <c r="AC81" i="19"/>
  <c r="AC80" i="19"/>
  <c r="AC79" i="19"/>
  <c r="AC78" i="19"/>
  <c r="AC77" i="19"/>
  <c r="AC76" i="19"/>
  <c r="AC75" i="19"/>
  <c r="AC74" i="19"/>
  <c r="AC73" i="19"/>
  <c r="AC72" i="19"/>
  <c r="AC71" i="19"/>
  <c r="AC70" i="19"/>
  <c r="AC69" i="19"/>
  <c r="AC68" i="19"/>
  <c r="AC67" i="19"/>
  <c r="AC66" i="19"/>
  <c r="AC65" i="19"/>
  <c r="AC64" i="19"/>
  <c r="AC63" i="19"/>
  <c r="AC62" i="19"/>
  <c r="AC61" i="19"/>
  <c r="AC60" i="19"/>
  <c r="AC59" i="19"/>
  <c r="AC58" i="19"/>
  <c r="AC57" i="19"/>
  <c r="AC56" i="19"/>
  <c r="AC55" i="19"/>
  <c r="AC54" i="19"/>
  <c r="AC53" i="19"/>
  <c r="AC52" i="19"/>
  <c r="AC51" i="19"/>
  <c r="AC50" i="19"/>
  <c r="AC49" i="19"/>
  <c r="AC48" i="19"/>
  <c r="AC47" i="19"/>
  <c r="AC46" i="19"/>
  <c r="AC45" i="19"/>
  <c r="AC44" i="19"/>
  <c r="AC43" i="19"/>
  <c r="AC42" i="19"/>
  <c r="AC41" i="19"/>
  <c r="AC40" i="19"/>
  <c r="AC39" i="19"/>
  <c r="AC38" i="19"/>
  <c r="AC37" i="19"/>
  <c r="AC36" i="19"/>
  <c r="AC35" i="19"/>
  <c r="AC34" i="19"/>
  <c r="AC33" i="19"/>
  <c r="AC32" i="19"/>
  <c r="AC31" i="19"/>
  <c r="AC30" i="19"/>
  <c r="AC29" i="19"/>
  <c r="AC28" i="19"/>
  <c r="AC27" i="19"/>
  <c r="AC26" i="19"/>
  <c r="AC25" i="19"/>
  <c r="AC24" i="19"/>
  <c r="AC23" i="19"/>
  <c r="AC22" i="19"/>
  <c r="AC21" i="19"/>
  <c r="AC20" i="19"/>
  <c r="AC19" i="19"/>
  <c r="AC18" i="19"/>
  <c r="AC17" i="19"/>
  <c r="AC16" i="19"/>
  <c r="AC15" i="19"/>
  <c r="AC14" i="19"/>
  <c r="AC13" i="19"/>
  <c r="AC12" i="19"/>
  <c r="AC11" i="19"/>
  <c r="AC10" i="19"/>
  <c r="AC9" i="19"/>
  <c r="AC8" i="19"/>
  <c r="AC7" i="19"/>
  <c r="AC6" i="19"/>
  <c r="T236" i="19" l="1"/>
  <c r="Q243" i="19"/>
  <c r="AM243" i="19"/>
  <c r="AW243" i="19"/>
  <c r="AY245" i="19"/>
  <c r="I243" i="30"/>
  <c r="T235" i="19"/>
  <c r="AF235" i="19" s="1"/>
  <c r="AG235" i="19" s="1"/>
  <c r="T240" i="19"/>
  <c r="AD7" i="19"/>
  <c r="T7" i="19"/>
  <c r="AD19" i="19"/>
  <c r="T19" i="19"/>
  <c r="AF19" i="19" s="1"/>
  <c r="AN19" i="19" s="1"/>
  <c r="AD31" i="19"/>
  <c r="T31" i="19"/>
  <c r="AF31" i="19" s="1"/>
  <c r="AN31" i="19" s="1"/>
  <c r="AD43" i="19"/>
  <c r="T43" i="19"/>
  <c r="AD55" i="19"/>
  <c r="T55" i="19"/>
  <c r="AD67" i="19"/>
  <c r="T67" i="19"/>
  <c r="AD79" i="19"/>
  <c r="T79" i="19"/>
  <c r="AD91" i="19"/>
  <c r="T91" i="19"/>
  <c r="AF91" i="19" s="1"/>
  <c r="AN91" i="19" s="1"/>
  <c r="AD103" i="19"/>
  <c r="T103" i="19"/>
  <c r="AF103" i="19" s="1"/>
  <c r="AN103" i="19" s="1"/>
  <c r="AD115" i="19"/>
  <c r="T115" i="19"/>
  <c r="AD127" i="19"/>
  <c r="H127" i="19" s="1"/>
  <c r="T127" i="19"/>
  <c r="AD139" i="19"/>
  <c r="H139" i="19" s="1"/>
  <c r="T139" i="19"/>
  <c r="AD151" i="19"/>
  <c r="H151" i="19" s="1"/>
  <c r="T151" i="19"/>
  <c r="J151" i="19" s="1"/>
  <c r="AD163" i="19"/>
  <c r="H163" i="19" s="1"/>
  <c r="T163" i="19"/>
  <c r="J163" i="19" s="1"/>
  <c r="AD175" i="19"/>
  <c r="H175" i="19" s="1"/>
  <c r="T175" i="19"/>
  <c r="J175" i="19" s="1"/>
  <c r="AD187" i="19"/>
  <c r="H187" i="19" s="1"/>
  <c r="T187" i="19"/>
  <c r="AD199" i="19"/>
  <c r="H199" i="19" s="1"/>
  <c r="T199" i="19"/>
  <c r="J199" i="19" s="1"/>
  <c r="AD211" i="19"/>
  <c r="H211" i="19" s="1"/>
  <c r="T211" i="19"/>
  <c r="AF211" i="19" s="1"/>
  <c r="AK211" i="19" s="1"/>
  <c r="AR211" i="19" s="1"/>
  <c r="AT211" i="19" s="1"/>
  <c r="AD8" i="19"/>
  <c r="T8" i="19"/>
  <c r="AF8" i="19" s="1"/>
  <c r="AG8" i="19" s="1"/>
  <c r="AD20" i="19"/>
  <c r="T20" i="19"/>
  <c r="AF20" i="19" s="1"/>
  <c r="AN20" i="19" s="1"/>
  <c r="AD32" i="19"/>
  <c r="T32" i="19"/>
  <c r="AF32" i="19" s="1"/>
  <c r="AN32" i="19" s="1"/>
  <c r="AD44" i="19"/>
  <c r="T44" i="19"/>
  <c r="AD56" i="19"/>
  <c r="T56" i="19"/>
  <c r="AF56" i="19" s="1"/>
  <c r="AN56" i="19" s="1"/>
  <c r="AD68" i="19"/>
  <c r="T68" i="19"/>
  <c r="AD80" i="19"/>
  <c r="T80" i="19"/>
  <c r="AF80" i="19" s="1"/>
  <c r="AN80" i="19" s="1"/>
  <c r="AD92" i="19"/>
  <c r="T92" i="19"/>
  <c r="AF92" i="19" s="1"/>
  <c r="AN92" i="19" s="1"/>
  <c r="AD104" i="19"/>
  <c r="T104" i="19"/>
  <c r="AF104" i="19" s="1"/>
  <c r="AK104" i="19" s="1"/>
  <c r="AR104" i="19" s="1"/>
  <c r="AT104" i="19" s="1"/>
  <c r="AD116" i="19"/>
  <c r="T116" i="19"/>
  <c r="AD128" i="19"/>
  <c r="H128" i="19" s="1"/>
  <c r="T128" i="19"/>
  <c r="AD140" i="19"/>
  <c r="H140" i="19" s="1"/>
  <c r="T140" i="19"/>
  <c r="AF140" i="19" s="1"/>
  <c r="AG140" i="19" s="1"/>
  <c r="AD152" i="19"/>
  <c r="H152" i="19" s="1"/>
  <c r="T152" i="19"/>
  <c r="AD164" i="19"/>
  <c r="H164" i="19" s="1"/>
  <c r="T164" i="19"/>
  <c r="AF164" i="19" s="1"/>
  <c r="AG164" i="19" s="1"/>
  <c r="AD176" i="19"/>
  <c r="H176" i="19" s="1"/>
  <c r="T176" i="19"/>
  <c r="J176" i="19" s="1"/>
  <c r="AD188" i="19"/>
  <c r="H188" i="19" s="1"/>
  <c r="T188" i="19"/>
  <c r="AD200" i="19"/>
  <c r="H200" i="19" s="1"/>
  <c r="T200" i="19"/>
  <c r="AD212" i="19"/>
  <c r="H212" i="19" s="1"/>
  <c r="T212" i="19"/>
  <c r="J212" i="19" s="1"/>
  <c r="AD9" i="19"/>
  <c r="T9" i="19"/>
  <c r="AD21" i="19"/>
  <c r="T21" i="19"/>
  <c r="AF21" i="19" s="1"/>
  <c r="AN21" i="19" s="1"/>
  <c r="AD33" i="19"/>
  <c r="T33" i="19"/>
  <c r="AF33" i="19" s="1"/>
  <c r="AN33" i="19" s="1"/>
  <c r="AD45" i="19"/>
  <c r="T45" i="19"/>
  <c r="AD57" i="19"/>
  <c r="T57" i="19"/>
  <c r="AD69" i="19"/>
  <c r="T69" i="19"/>
  <c r="AF69" i="19" s="1"/>
  <c r="AN69" i="19" s="1"/>
  <c r="AD81" i="19"/>
  <c r="T81" i="19"/>
  <c r="AD93" i="19"/>
  <c r="T93" i="19"/>
  <c r="AD105" i="19"/>
  <c r="T105" i="19"/>
  <c r="AF105" i="19" s="1"/>
  <c r="AN105" i="19" s="1"/>
  <c r="AD117" i="19"/>
  <c r="T117" i="19"/>
  <c r="AD129" i="19"/>
  <c r="H129" i="19" s="1"/>
  <c r="T129" i="19"/>
  <c r="AF129" i="19" s="1"/>
  <c r="AG129" i="19" s="1"/>
  <c r="AD141" i="19"/>
  <c r="H141" i="19" s="1"/>
  <c r="T141" i="19"/>
  <c r="AF141" i="19" s="1"/>
  <c r="AN141" i="19" s="1"/>
  <c r="AD153" i="19"/>
  <c r="H153" i="19" s="1"/>
  <c r="T153" i="19"/>
  <c r="AF153" i="19" s="1"/>
  <c r="AN153" i="19" s="1"/>
  <c r="AD165" i="19"/>
  <c r="H165" i="19" s="1"/>
  <c r="T165" i="19"/>
  <c r="AF165" i="19" s="1"/>
  <c r="AG165" i="19" s="1"/>
  <c r="AD177" i="19"/>
  <c r="H177" i="19" s="1"/>
  <c r="T177" i="19"/>
  <c r="AF177" i="19" s="1"/>
  <c r="AG177" i="19" s="1"/>
  <c r="AD189" i="19"/>
  <c r="H189" i="19" s="1"/>
  <c r="T189" i="19"/>
  <c r="AD201" i="19"/>
  <c r="H201" i="19" s="1"/>
  <c r="T201" i="19"/>
  <c r="AD213" i="19"/>
  <c r="H213" i="19" s="1"/>
  <c r="T213" i="19"/>
  <c r="AF213" i="19" s="1"/>
  <c r="AN213" i="19" s="1"/>
  <c r="AO213" i="19" s="1"/>
  <c r="AP213" i="19" s="1"/>
  <c r="AD10" i="19"/>
  <c r="T10" i="19"/>
  <c r="AD22" i="19"/>
  <c r="T22" i="19"/>
  <c r="AF22" i="19" s="1"/>
  <c r="AN22" i="19" s="1"/>
  <c r="AD34" i="19"/>
  <c r="T34" i="19"/>
  <c r="AF34" i="19" s="1"/>
  <c r="AN34" i="19" s="1"/>
  <c r="AD46" i="19"/>
  <c r="T46" i="19"/>
  <c r="AD58" i="19"/>
  <c r="T58" i="19"/>
  <c r="AF58" i="19" s="1"/>
  <c r="AN58" i="19" s="1"/>
  <c r="AD70" i="19"/>
  <c r="T70" i="19"/>
  <c r="AD82" i="19"/>
  <c r="T82" i="19"/>
  <c r="AD94" i="19"/>
  <c r="T94" i="19"/>
  <c r="AD106" i="19"/>
  <c r="T106" i="19"/>
  <c r="AF106" i="19" s="1"/>
  <c r="AN106" i="19" s="1"/>
  <c r="AD118" i="19"/>
  <c r="T118" i="19"/>
  <c r="AD130" i="19"/>
  <c r="H130" i="19" s="1"/>
  <c r="T130" i="19"/>
  <c r="AD142" i="19"/>
  <c r="H142" i="19" s="1"/>
  <c r="T142" i="19"/>
  <c r="AD154" i="19"/>
  <c r="H154" i="19" s="1"/>
  <c r="T154" i="19"/>
  <c r="J154" i="19" s="1"/>
  <c r="AD166" i="19"/>
  <c r="H166" i="19" s="1"/>
  <c r="T166" i="19"/>
  <c r="J166" i="19" s="1"/>
  <c r="AD178" i="19"/>
  <c r="H178" i="19" s="1"/>
  <c r="T178" i="19"/>
  <c r="J178" i="19" s="1"/>
  <c r="AD190" i="19"/>
  <c r="H190" i="19" s="1"/>
  <c r="T190" i="19"/>
  <c r="AD202" i="19"/>
  <c r="H202" i="19" s="1"/>
  <c r="T202" i="19"/>
  <c r="J202" i="19" s="1"/>
  <c r="AD214" i="19"/>
  <c r="H214" i="19" s="1"/>
  <c r="T214" i="19"/>
  <c r="J214" i="19" s="1"/>
  <c r="AD11" i="19"/>
  <c r="T11" i="19"/>
  <c r="AF11" i="19" s="1"/>
  <c r="AN11" i="19" s="1"/>
  <c r="AD23" i="19"/>
  <c r="T23" i="19"/>
  <c r="AF23" i="19" s="1"/>
  <c r="AN23" i="19" s="1"/>
  <c r="AD35" i="19"/>
  <c r="T35" i="19"/>
  <c r="AF35" i="19" s="1"/>
  <c r="AN35" i="19" s="1"/>
  <c r="AD47" i="19"/>
  <c r="T47" i="19"/>
  <c r="AD59" i="19"/>
  <c r="T59" i="19"/>
  <c r="AD71" i="19"/>
  <c r="T71" i="19"/>
  <c r="AD83" i="19"/>
  <c r="T83" i="19"/>
  <c r="AF83" i="19" s="1"/>
  <c r="AN83" i="19" s="1"/>
  <c r="AD95" i="19"/>
  <c r="T95" i="19"/>
  <c r="AF95" i="19" s="1"/>
  <c r="AN95" i="19" s="1"/>
  <c r="AD107" i="19"/>
  <c r="T107" i="19"/>
  <c r="AF107" i="19" s="1"/>
  <c r="AN107" i="19" s="1"/>
  <c r="AD119" i="19"/>
  <c r="T119" i="19"/>
  <c r="AD131" i="19"/>
  <c r="H131" i="19" s="1"/>
  <c r="T131" i="19"/>
  <c r="AF131" i="19" s="1"/>
  <c r="AN131" i="19" s="1"/>
  <c r="AD143" i="19"/>
  <c r="H143" i="19" s="1"/>
  <c r="T143" i="19"/>
  <c r="J143" i="19" s="1"/>
  <c r="AD155" i="19"/>
  <c r="H155" i="19" s="1"/>
  <c r="T155" i="19"/>
  <c r="J155" i="19" s="1"/>
  <c r="AD167" i="19"/>
  <c r="H167" i="19" s="1"/>
  <c r="T167" i="19"/>
  <c r="AF167" i="19" s="1"/>
  <c r="AG167" i="19" s="1"/>
  <c r="AD179" i="19"/>
  <c r="H179" i="19" s="1"/>
  <c r="T179" i="19"/>
  <c r="J179" i="19" s="1"/>
  <c r="AD191" i="19"/>
  <c r="H191" i="19" s="1"/>
  <c r="T191" i="19"/>
  <c r="AD203" i="19"/>
  <c r="H203" i="19" s="1"/>
  <c r="T203" i="19"/>
  <c r="J203" i="19" s="1"/>
  <c r="AD215" i="19"/>
  <c r="H215" i="19" s="1"/>
  <c r="T215" i="19"/>
  <c r="J215" i="19" s="1"/>
  <c r="AD12" i="19"/>
  <c r="T12" i="19"/>
  <c r="AF12" i="19" s="1"/>
  <c r="AN12" i="19" s="1"/>
  <c r="AD24" i="19"/>
  <c r="T24" i="19"/>
  <c r="AF24" i="19" s="1"/>
  <c r="AN24" i="19" s="1"/>
  <c r="AD36" i="19"/>
  <c r="T36" i="19"/>
  <c r="AD48" i="19"/>
  <c r="T48" i="19"/>
  <c r="AD60" i="19"/>
  <c r="T60" i="19"/>
  <c r="AF60" i="19" s="1"/>
  <c r="AN60" i="19" s="1"/>
  <c r="AD72" i="19"/>
  <c r="T72" i="19"/>
  <c r="AF72" i="19" s="1"/>
  <c r="AN72" i="19" s="1"/>
  <c r="AD84" i="19"/>
  <c r="T84" i="19"/>
  <c r="AD96" i="19"/>
  <c r="T96" i="19"/>
  <c r="AF96" i="19" s="1"/>
  <c r="AN96" i="19" s="1"/>
  <c r="AD108" i="19"/>
  <c r="T108" i="19"/>
  <c r="AF108" i="19" s="1"/>
  <c r="AD120" i="19"/>
  <c r="T120" i="19"/>
  <c r="AD132" i="19"/>
  <c r="H132" i="19" s="1"/>
  <c r="T132" i="19"/>
  <c r="AF132" i="19" s="1"/>
  <c r="AN132" i="19" s="1"/>
  <c r="AD144" i="19"/>
  <c r="H144" i="19" s="1"/>
  <c r="T144" i="19"/>
  <c r="AF144" i="19" s="1"/>
  <c r="AD156" i="19"/>
  <c r="H156" i="19" s="1"/>
  <c r="T156" i="19"/>
  <c r="AD168" i="19"/>
  <c r="H168" i="19" s="1"/>
  <c r="T168" i="19"/>
  <c r="AF168" i="19" s="1"/>
  <c r="AD180" i="19"/>
  <c r="H180" i="19" s="1"/>
  <c r="T180" i="19"/>
  <c r="AF180" i="19" s="1"/>
  <c r="AD192" i="19"/>
  <c r="H192" i="19" s="1"/>
  <c r="T192" i="19"/>
  <c r="AD204" i="19"/>
  <c r="H204" i="19" s="1"/>
  <c r="T204" i="19"/>
  <c r="J204" i="19" s="1"/>
  <c r="AD216" i="19"/>
  <c r="H216" i="19" s="1"/>
  <c r="T216" i="19"/>
  <c r="AF216" i="19" s="1"/>
  <c r="AD13" i="19"/>
  <c r="T13" i="19"/>
  <c r="AD25" i="19"/>
  <c r="T25" i="19"/>
  <c r="AF25" i="19" s="1"/>
  <c r="AN25" i="19" s="1"/>
  <c r="AD37" i="19"/>
  <c r="T37" i="19"/>
  <c r="AF37" i="19" s="1"/>
  <c r="AN37" i="19" s="1"/>
  <c r="AD49" i="19"/>
  <c r="T49" i="19"/>
  <c r="AD61" i="19"/>
  <c r="T61" i="19"/>
  <c r="AD73" i="19"/>
  <c r="T73" i="19"/>
  <c r="AF73" i="19" s="1"/>
  <c r="AN73" i="19" s="1"/>
  <c r="AD85" i="19"/>
  <c r="T85" i="19"/>
  <c r="AF85" i="19" s="1"/>
  <c r="AN85" i="19" s="1"/>
  <c r="AD97" i="19"/>
  <c r="T97" i="19"/>
  <c r="AF97" i="19" s="1"/>
  <c r="AN97" i="19" s="1"/>
  <c r="AD109" i="19"/>
  <c r="T109" i="19"/>
  <c r="AF109" i="19" s="1"/>
  <c r="AD121" i="19"/>
  <c r="T121" i="19"/>
  <c r="AD133" i="19"/>
  <c r="H133" i="19" s="1"/>
  <c r="T133" i="19"/>
  <c r="J133" i="19" s="1"/>
  <c r="AD145" i="19"/>
  <c r="H145" i="19" s="1"/>
  <c r="T145" i="19"/>
  <c r="J145" i="19" s="1"/>
  <c r="AD157" i="19"/>
  <c r="H157" i="19" s="1"/>
  <c r="T157" i="19"/>
  <c r="J157" i="19" s="1"/>
  <c r="AD169" i="19"/>
  <c r="H169" i="19" s="1"/>
  <c r="T169" i="19"/>
  <c r="J169" i="19" s="1"/>
  <c r="AD181" i="19"/>
  <c r="H181" i="19" s="1"/>
  <c r="T181" i="19"/>
  <c r="AF181" i="19" s="1"/>
  <c r="AN181" i="19" s="1"/>
  <c r="AD193" i="19"/>
  <c r="H193" i="19" s="1"/>
  <c r="T193" i="19"/>
  <c r="AD205" i="19"/>
  <c r="H205" i="19" s="1"/>
  <c r="T205" i="19"/>
  <c r="J205" i="19" s="1"/>
  <c r="AD217" i="19"/>
  <c r="H217" i="19" s="1"/>
  <c r="T217" i="19"/>
  <c r="AF217" i="19" s="1"/>
  <c r="AD14" i="19"/>
  <c r="T14" i="19"/>
  <c r="AF14" i="19" s="1"/>
  <c r="AN14" i="19" s="1"/>
  <c r="AD26" i="19"/>
  <c r="T26" i="19"/>
  <c r="AF26" i="19" s="1"/>
  <c r="AN26" i="19" s="1"/>
  <c r="AD38" i="19"/>
  <c r="T38" i="19"/>
  <c r="AF38" i="19" s="1"/>
  <c r="AN38" i="19" s="1"/>
  <c r="AD50" i="19"/>
  <c r="T50" i="19"/>
  <c r="AD62" i="19"/>
  <c r="T62" i="19"/>
  <c r="AD74" i="19"/>
  <c r="T74" i="19"/>
  <c r="AF74" i="19" s="1"/>
  <c r="AN74" i="19" s="1"/>
  <c r="AD86" i="19"/>
  <c r="T86" i="19"/>
  <c r="AD98" i="19"/>
  <c r="T98" i="19"/>
  <c r="AF98" i="19" s="1"/>
  <c r="AN98" i="19" s="1"/>
  <c r="AD110" i="19"/>
  <c r="T110" i="19"/>
  <c r="AF110" i="19" s="1"/>
  <c r="AN110" i="19" s="1"/>
  <c r="AD122" i="19"/>
  <c r="T122" i="19"/>
  <c r="AD134" i="19"/>
  <c r="H134" i="19" s="1"/>
  <c r="T134" i="19"/>
  <c r="J134" i="19" s="1"/>
  <c r="AD146" i="19"/>
  <c r="H146" i="19" s="1"/>
  <c r="T146" i="19"/>
  <c r="AF146" i="19" s="1"/>
  <c r="AN146" i="19" s="1"/>
  <c r="AD158" i="19"/>
  <c r="H158" i="19" s="1"/>
  <c r="T158" i="19"/>
  <c r="AD170" i="19"/>
  <c r="H170" i="19" s="1"/>
  <c r="T170" i="19"/>
  <c r="AF170" i="19" s="1"/>
  <c r="AD182" i="19"/>
  <c r="H182" i="19" s="1"/>
  <c r="T182" i="19"/>
  <c r="AF182" i="19" s="1"/>
  <c r="AN182" i="19" s="1"/>
  <c r="AD194" i="19"/>
  <c r="H194" i="19" s="1"/>
  <c r="T194" i="19"/>
  <c r="AD206" i="19"/>
  <c r="H206" i="19" s="1"/>
  <c r="T206" i="19"/>
  <c r="AF206" i="19" s="1"/>
  <c r="AN206" i="19" s="1"/>
  <c r="AO206" i="19" s="1"/>
  <c r="AP206" i="19" s="1"/>
  <c r="AD218" i="19"/>
  <c r="H218" i="19" s="1"/>
  <c r="T218" i="19"/>
  <c r="J218" i="19" s="1"/>
  <c r="AD15" i="19"/>
  <c r="T15" i="19"/>
  <c r="AF15" i="19" s="1"/>
  <c r="AN15" i="19" s="1"/>
  <c r="AD27" i="19"/>
  <c r="T27" i="19"/>
  <c r="AF27" i="19" s="1"/>
  <c r="AN27" i="19" s="1"/>
  <c r="AD39" i="19"/>
  <c r="T39" i="19"/>
  <c r="AF39" i="19" s="1"/>
  <c r="AN39" i="19" s="1"/>
  <c r="AD51" i="19"/>
  <c r="T51" i="19"/>
  <c r="AD63" i="19"/>
  <c r="T63" i="19"/>
  <c r="AF63" i="19" s="1"/>
  <c r="AN63" i="19" s="1"/>
  <c r="AD75" i="19"/>
  <c r="T75" i="19"/>
  <c r="AF75" i="19" s="1"/>
  <c r="AN75" i="19" s="1"/>
  <c r="AD87" i="19"/>
  <c r="T87" i="19"/>
  <c r="AF87" i="19" s="1"/>
  <c r="AN87" i="19" s="1"/>
  <c r="AD99" i="19"/>
  <c r="T99" i="19"/>
  <c r="AF99" i="19" s="1"/>
  <c r="AN99" i="19" s="1"/>
  <c r="AD111" i="19"/>
  <c r="T111" i="19"/>
  <c r="AF111" i="19" s="1"/>
  <c r="AK111" i="19" s="1"/>
  <c r="AR111" i="19" s="1"/>
  <c r="AT111" i="19" s="1"/>
  <c r="AD123" i="19"/>
  <c r="T123" i="19"/>
  <c r="AD135" i="19"/>
  <c r="H135" i="19" s="1"/>
  <c r="T135" i="19"/>
  <c r="J135" i="19" s="1"/>
  <c r="AD147" i="19"/>
  <c r="H147" i="19" s="1"/>
  <c r="T147" i="19"/>
  <c r="AD159" i="19"/>
  <c r="H159" i="19" s="1"/>
  <c r="T159" i="19"/>
  <c r="AF159" i="19" s="1"/>
  <c r="AG159" i="19" s="1"/>
  <c r="AD171" i="19"/>
  <c r="H171" i="19" s="1"/>
  <c r="T171" i="19"/>
  <c r="J171" i="19" s="1"/>
  <c r="AD183" i="19"/>
  <c r="H183" i="19" s="1"/>
  <c r="T183" i="19"/>
  <c r="J183" i="19" s="1"/>
  <c r="AD195" i="19"/>
  <c r="H195" i="19" s="1"/>
  <c r="T195" i="19"/>
  <c r="J195" i="19" s="1"/>
  <c r="AD207" i="19"/>
  <c r="H207" i="19" s="1"/>
  <c r="T207" i="19"/>
  <c r="AD219" i="19"/>
  <c r="H219" i="19" s="1"/>
  <c r="T219" i="19"/>
  <c r="AF219" i="19" s="1"/>
  <c r="AN219" i="19" s="1"/>
  <c r="AO219" i="19" s="1"/>
  <c r="AP219" i="19" s="1"/>
  <c r="AD16" i="19"/>
  <c r="T16" i="19"/>
  <c r="AD28" i="19"/>
  <c r="T28" i="19"/>
  <c r="AF28" i="19" s="1"/>
  <c r="AN28" i="19" s="1"/>
  <c r="AD40" i="19"/>
  <c r="T40" i="19"/>
  <c r="AF40" i="19" s="1"/>
  <c r="AN40" i="19" s="1"/>
  <c r="AD52" i="19"/>
  <c r="T52" i="19"/>
  <c r="AD64" i="19"/>
  <c r="T64" i="19"/>
  <c r="AF64" i="19" s="1"/>
  <c r="AN64" i="19" s="1"/>
  <c r="AD76" i="19"/>
  <c r="T76" i="19"/>
  <c r="AD88" i="19"/>
  <c r="T88" i="19"/>
  <c r="AD100" i="19"/>
  <c r="T100" i="19"/>
  <c r="AF100" i="19" s="1"/>
  <c r="AN100" i="19" s="1"/>
  <c r="AD112" i="19"/>
  <c r="T112" i="19"/>
  <c r="AF112" i="19" s="1"/>
  <c r="AN112" i="19" s="1"/>
  <c r="AD124" i="19"/>
  <c r="T124" i="19"/>
  <c r="AD136" i="19"/>
  <c r="H136" i="19" s="1"/>
  <c r="T136" i="19"/>
  <c r="J136" i="19" s="1"/>
  <c r="AD148" i="19"/>
  <c r="H148" i="19" s="1"/>
  <c r="T148" i="19"/>
  <c r="J148" i="19" s="1"/>
  <c r="AD160" i="19"/>
  <c r="H160" i="19" s="1"/>
  <c r="T160" i="19"/>
  <c r="AF160" i="19" s="1"/>
  <c r="AN160" i="19" s="1"/>
  <c r="AD172" i="19"/>
  <c r="H172" i="19" s="1"/>
  <c r="T172" i="19"/>
  <c r="AF172" i="19" s="1"/>
  <c r="AG172" i="19" s="1"/>
  <c r="AD184" i="19"/>
  <c r="H184" i="19" s="1"/>
  <c r="T184" i="19"/>
  <c r="J184" i="19" s="1"/>
  <c r="AD196" i="19"/>
  <c r="H196" i="19" s="1"/>
  <c r="T196" i="19"/>
  <c r="AD208" i="19"/>
  <c r="H208" i="19" s="1"/>
  <c r="T208" i="19"/>
  <c r="AD17" i="19"/>
  <c r="T17" i="19"/>
  <c r="AF17" i="19" s="1"/>
  <c r="AN17" i="19" s="1"/>
  <c r="AD29" i="19"/>
  <c r="T29" i="19"/>
  <c r="AD41" i="19"/>
  <c r="T41" i="19"/>
  <c r="AF41" i="19" s="1"/>
  <c r="AN41" i="19" s="1"/>
  <c r="AD53" i="19"/>
  <c r="T53" i="19"/>
  <c r="AF53" i="19" s="1"/>
  <c r="AN53" i="19" s="1"/>
  <c r="AD65" i="19"/>
  <c r="T65" i="19"/>
  <c r="AD77" i="19"/>
  <c r="T77" i="19"/>
  <c r="AF77" i="19" s="1"/>
  <c r="AN77" i="19" s="1"/>
  <c r="AD89" i="19"/>
  <c r="T89" i="19"/>
  <c r="AD101" i="19"/>
  <c r="T101" i="19"/>
  <c r="AF101" i="19" s="1"/>
  <c r="AN101" i="19" s="1"/>
  <c r="AD113" i="19"/>
  <c r="T113" i="19"/>
  <c r="AF113" i="19" s="1"/>
  <c r="AK113" i="19" s="1"/>
  <c r="AR113" i="19" s="1"/>
  <c r="AT113" i="19" s="1"/>
  <c r="AD125" i="19"/>
  <c r="T125" i="19"/>
  <c r="AF125" i="19" s="1"/>
  <c r="AK125" i="19" s="1"/>
  <c r="AR125" i="19" s="1"/>
  <c r="AT125" i="19" s="1"/>
  <c r="AD137" i="19"/>
  <c r="H137" i="19" s="1"/>
  <c r="T137" i="19"/>
  <c r="J137" i="19" s="1"/>
  <c r="AD149" i="19"/>
  <c r="H149" i="19" s="1"/>
  <c r="T149" i="19"/>
  <c r="J149" i="19" s="1"/>
  <c r="AD161" i="19"/>
  <c r="H161" i="19" s="1"/>
  <c r="T161" i="19"/>
  <c r="J161" i="19" s="1"/>
  <c r="AD173" i="19"/>
  <c r="H173" i="19" s="1"/>
  <c r="T173" i="19"/>
  <c r="AF173" i="19" s="1"/>
  <c r="AK173" i="19" s="1"/>
  <c r="AR173" i="19" s="1"/>
  <c r="AT173" i="19" s="1"/>
  <c r="AD185" i="19"/>
  <c r="H185" i="19" s="1"/>
  <c r="T185" i="19"/>
  <c r="AF185" i="19" s="1"/>
  <c r="AN185" i="19" s="1"/>
  <c r="AD197" i="19"/>
  <c r="H197" i="19" s="1"/>
  <c r="T197" i="19"/>
  <c r="J197" i="19" s="1"/>
  <c r="AD209" i="19"/>
  <c r="H209" i="19" s="1"/>
  <c r="T209" i="19"/>
  <c r="AF209" i="19" s="1"/>
  <c r="AN209" i="19" s="1"/>
  <c r="AO209" i="19" s="1"/>
  <c r="AP209" i="19" s="1"/>
  <c r="T242" i="19"/>
  <c r="AF10" i="19"/>
  <c r="AN10" i="19" s="1"/>
  <c r="AD6" i="19"/>
  <c r="T6" i="19"/>
  <c r="AD18" i="19"/>
  <c r="T18" i="19"/>
  <c r="AD30" i="19"/>
  <c r="T30" i="19"/>
  <c r="AF30" i="19" s="1"/>
  <c r="AN30" i="19" s="1"/>
  <c r="AD42" i="19"/>
  <c r="T42" i="19"/>
  <c r="AF42" i="19" s="1"/>
  <c r="AN42" i="19" s="1"/>
  <c r="AD54" i="19"/>
  <c r="T54" i="19"/>
  <c r="AF54" i="19" s="1"/>
  <c r="AN54" i="19" s="1"/>
  <c r="AD66" i="19"/>
  <c r="T66" i="19"/>
  <c r="AD78" i="19"/>
  <c r="T78" i="19"/>
  <c r="AD90" i="19"/>
  <c r="T90" i="19"/>
  <c r="AF90" i="19" s="1"/>
  <c r="AN90" i="19" s="1"/>
  <c r="AD102" i="19"/>
  <c r="T102" i="19"/>
  <c r="AF102" i="19" s="1"/>
  <c r="AD114" i="19"/>
  <c r="T114" i="19"/>
  <c r="AF114" i="19" s="1"/>
  <c r="AD126" i="19"/>
  <c r="H126" i="19" s="1"/>
  <c r="T126" i="19"/>
  <c r="AF126" i="19" s="1"/>
  <c r="AD138" i="19"/>
  <c r="H138" i="19" s="1"/>
  <c r="T138" i="19"/>
  <c r="J138" i="19" s="1"/>
  <c r="AD150" i="19"/>
  <c r="H150" i="19" s="1"/>
  <c r="T150" i="19"/>
  <c r="J150" i="19" s="1"/>
  <c r="AD162" i="19"/>
  <c r="H162" i="19" s="1"/>
  <c r="T162" i="19"/>
  <c r="J162" i="19" s="1"/>
  <c r="AD174" i="19"/>
  <c r="H174" i="19" s="1"/>
  <c r="T174" i="19"/>
  <c r="J174" i="19" s="1"/>
  <c r="AD186" i="19"/>
  <c r="H186" i="19" s="1"/>
  <c r="T186" i="19"/>
  <c r="J186" i="19" s="1"/>
  <c r="AD198" i="19"/>
  <c r="H198" i="19" s="1"/>
  <c r="T198" i="19"/>
  <c r="AD210" i="19"/>
  <c r="H210" i="19" s="1"/>
  <c r="T210" i="19"/>
  <c r="AF210" i="19" s="1"/>
  <c r="AN210" i="19" s="1"/>
  <c r="AO210" i="19" s="1"/>
  <c r="AP210" i="19" s="1"/>
  <c r="T234" i="19"/>
  <c r="J234" i="19" s="1"/>
  <c r="T239" i="19"/>
  <c r="AF239" i="19" s="1"/>
  <c r="AK239" i="19" s="1"/>
  <c r="AR239" i="19" s="1"/>
  <c r="AT239" i="19" s="1"/>
  <c r="J147" i="19"/>
  <c r="J159" i="19"/>
  <c r="J207" i="19"/>
  <c r="J233" i="19"/>
  <c r="J221" i="19"/>
  <c r="J219" i="19"/>
  <c r="W241" i="30"/>
  <c r="X232" i="30" s="1"/>
  <c r="X233" i="30" s="1"/>
  <c r="X234" i="30" s="1"/>
  <c r="X235" i="30" s="1"/>
  <c r="X236" i="30" s="1"/>
  <c r="X237" i="30" s="1"/>
  <c r="X238" i="30" s="1"/>
  <c r="X239" i="30" s="1"/>
  <c r="X240" i="30" s="1"/>
  <c r="X241" i="30" s="1"/>
  <c r="X242" i="30" s="1"/>
  <c r="X243" i="30" s="1"/>
  <c r="J130" i="19"/>
  <c r="J142" i="19"/>
  <c r="J190" i="19"/>
  <c r="J236" i="19"/>
  <c r="J132" i="19"/>
  <c r="J144" i="19"/>
  <c r="J156" i="19"/>
  <c r="J180" i="19"/>
  <c r="J192" i="19"/>
  <c r="J193" i="19"/>
  <c r="J224" i="19"/>
  <c r="J158" i="19"/>
  <c r="J182" i="19"/>
  <c r="J194" i="19"/>
  <c r="J239" i="19"/>
  <c r="J223" i="19"/>
  <c r="J230" i="19"/>
  <c r="AF120" i="19"/>
  <c r="AG120" i="19" s="1"/>
  <c r="AF156" i="19"/>
  <c r="AG156" i="19" s="1"/>
  <c r="AF192" i="19"/>
  <c r="AN192" i="19" s="1"/>
  <c r="AO192" i="19" s="1"/>
  <c r="AP192" i="19" s="1"/>
  <c r="AF204" i="19"/>
  <c r="AN204" i="19" s="1"/>
  <c r="AO204" i="19" s="1"/>
  <c r="AP204" i="19" s="1"/>
  <c r="J217" i="19"/>
  <c r="J225" i="19"/>
  <c r="J198" i="19"/>
  <c r="AF84" i="19"/>
  <c r="AN84" i="19" s="1"/>
  <c r="AF6" i="19"/>
  <c r="AN6" i="19" s="1"/>
  <c r="AF18" i="19"/>
  <c r="AN18" i="19" s="1"/>
  <c r="AF66" i="19"/>
  <c r="AG66" i="19" s="1"/>
  <c r="AF78" i="19"/>
  <c r="AG78" i="19" s="1"/>
  <c r="AF36" i="19"/>
  <c r="AN36" i="19" s="1"/>
  <c r="AF48" i="19"/>
  <c r="AN48" i="19" s="1"/>
  <c r="J232" i="19"/>
  <c r="J237" i="19"/>
  <c r="J242" i="19"/>
  <c r="J244" i="19"/>
  <c r="J238" i="19"/>
  <c r="J220" i="19"/>
  <c r="J240" i="19"/>
  <c r="J196" i="19"/>
  <c r="J208" i="19"/>
  <c r="J226" i="19"/>
  <c r="AF138" i="19"/>
  <c r="AN138" i="19" s="1"/>
  <c r="AF67" i="19"/>
  <c r="AN67" i="19" s="1"/>
  <c r="J131" i="19"/>
  <c r="J191" i="19"/>
  <c r="J231" i="19"/>
  <c r="J241" i="19"/>
  <c r="J243" i="19"/>
  <c r="AF86" i="19"/>
  <c r="AN86" i="19" s="1"/>
  <c r="AF94" i="19"/>
  <c r="AN94" i="19" s="1"/>
  <c r="AF194" i="19"/>
  <c r="AN194" i="19" s="1"/>
  <c r="AO194" i="19" s="1"/>
  <c r="AP194" i="19" s="1"/>
  <c r="J222" i="19"/>
  <c r="AD220" i="19"/>
  <c r="H220" i="19" s="1"/>
  <c r="AF50" i="19"/>
  <c r="AN50" i="19" s="1"/>
  <c r="AF62" i="19"/>
  <c r="AN62" i="19" s="1"/>
  <c r="J127" i="19"/>
  <c r="J139" i="19"/>
  <c r="J187" i="19"/>
  <c r="J227" i="19"/>
  <c r="J128" i="19"/>
  <c r="J140" i="19"/>
  <c r="J152" i="19"/>
  <c r="J188" i="19"/>
  <c r="J200" i="19"/>
  <c r="J228" i="19"/>
  <c r="AF198" i="19"/>
  <c r="J129" i="19"/>
  <c r="J141" i="19"/>
  <c r="J153" i="19"/>
  <c r="J189" i="19"/>
  <c r="J201" i="19"/>
  <c r="J213" i="19"/>
  <c r="J229" i="19"/>
  <c r="AF44" i="19"/>
  <c r="AN44" i="19" s="1"/>
  <c r="AF128" i="19"/>
  <c r="AG128" i="19" s="1"/>
  <c r="AF152" i="19"/>
  <c r="AK152" i="19" s="1"/>
  <c r="AR152" i="19" s="1"/>
  <c r="AT152" i="19" s="1"/>
  <c r="AF200" i="19"/>
  <c r="AG200" i="19" s="1"/>
  <c r="AF119" i="19"/>
  <c r="AN119" i="19" s="1"/>
  <c r="J235" i="19"/>
  <c r="AF88" i="19"/>
  <c r="AN88" i="19" s="1"/>
  <c r="AF124" i="19"/>
  <c r="AN124" i="19" s="1"/>
  <c r="AF118" i="19"/>
  <c r="AN118" i="19" s="1"/>
  <c r="AF205" i="19"/>
  <c r="AK205" i="19" s="1"/>
  <c r="AR205" i="19" s="1"/>
  <c r="AT205" i="19" s="1"/>
  <c r="AF115" i="19"/>
  <c r="AN115" i="19" s="1"/>
  <c r="AD234" i="19"/>
  <c r="H234" i="19" s="1"/>
  <c r="AD237" i="19"/>
  <c r="H237" i="19" s="1"/>
  <c r="AF193" i="19"/>
  <c r="AK193" i="19" s="1"/>
  <c r="AR193" i="19" s="1"/>
  <c r="AT193" i="19" s="1"/>
  <c r="AF121" i="19"/>
  <c r="AN121" i="19" s="1"/>
  <c r="AF7" i="19"/>
  <c r="AN7" i="19" s="1"/>
  <c r="AF89" i="19"/>
  <c r="AN89" i="19" s="1"/>
  <c r="AF49" i="19"/>
  <c r="AN49" i="19" s="1"/>
  <c r="AF79" i="19"/>
  <c r="AN79" i="19" s="1"/>
  <c r="AF225" i="19"/>
  <c r="AK225" i="19" s="1"/>
  <c r="AR225" i="19" s="1"/>
  <c r="AT225" i="19" s="1"/>
  <c r="AD241" i="19"/>
  <c r="H241" i="19" s="1"/>
  <c r="AD221" i="19"/>
  <c r="H221" i="19" s="1"/>
  <c r="AF82" i="19"/>
  <c r="AN82" i="19" s="1"/>
  <c r="AF130" i="19"/>
  <c r="AN130" i="19" s="1"/>
  <c r="AF202" i="19"/>
  <c r="AK202" i="19" s="1"/>
  <c r="AR202" i="19" s="1"/>
  <c r="AT202" i="19" s="1"/>
  <c r="AD240" i="19"/>
  <c r="H240" i="19" s="1"/>
  <c r="AF137" i="19"/>
  <c r="AG137" i="19" s="1"/>
  <c r="AF158" i="19"/>
  <c r="AN158" i="19" s="1"/>
  <c r="AF244" i="19"/>
  <c r="AN244" i="19" s="1"/>
  <c r="AO244" i="19" s="1"/>
  <c r="AP244" i="19" s="1"/>
  <c r="AF43" i="19"/>
  <c r="AN43" i="19" s="1"/>
  <c r="AF191" i="19"/>
  <c r="AG191" i="19" s="1"/>
  <c r="AF214" i="19"/>
  <c r="AN214" i="19" s="1"/>
  <c r="AO214" i="19" s="1"/>
  <c r="AP214" i="19" s="1"/>
  <c r="AF220" i="19"/>
  <c r="AK220" i="19" s="1"/>
  <c r="AR220" i="19" s="1"/>
  <c r="AT220" i="19" s="1"/>
  <c r="AD228" i="19"/>
  <c r="H228" i="19" s="1"/>
  <c r="AF65" i="19"/>
  <c r="AN65" i="19" s="1"/>
  <c r="AF76" i="19"/>
  <c r="AN76" i="19" s="1"/>
  <c r="AF127" i="19"/>
  <c r="AN127" i="19" s="1"/>
  <c r="AD230" i="19"/>
  <c r="H230" i="19" s="1"/>
  <c r="AF46" i="19"/>
  <c r="AN46" i="19" s="1"/>
  <c r="AF142" i="19"/>
  <c r="AG142" i="19" s="1"/>
  <c r="AF226" i="19"/>
  <c r="AG226" i="19" s="1"/>
  <c r="AF13" i="19"/>
  <c r="AN13" i="19" s="1"/>
  <c r="AF47" i="19"/>
  <c r="AN47" i="19" s="1"/>
  <c r="AF196" i="19"/>
  <c r="AK196" i="19" s="1"/>
  <c r="AR196" i="19" s="1"/>
  <c r="AT196" i="19" s="1"/>
  <c r="AF224" i="19"/>
  <c r="AG224" i="19" s="1"/>
  <c r="AD235" i="19"/>
  <c r="H235" i="19" s="1"/>
  <c r="AF52" i="19"/>
  <c r="AN52" i="19" s="1"/>
  <c r="AF190" i="19"/>
  <c r="AN190" i="19" s="1"/>
  <c r="AO190" i="19" s="1"/>
  <c r="AP190" i="19" s="1"/>
  <c r="AF59" i="19"/>
  <c r="AN59" i="19" s="1"/>
  <c r="AF208" i="19"/>
  <c r="AG208" i="19" s="1"/>
  <c r="AF16" i="19"/>
  <c r="AN16" i="19" s="1"/>
  <c r="AF70" i="19"/>
  <c r="AN70" i="19" s="1"/>
  <c r="AF122" i="19"/>
  <c r="AN122" i="19" s="1"/>
  <c r="AF187" i="19"/>
  <c r="AK187" i="19" s="1"/>
  <c r="AR187" i="19" s="1"/>
  <c r="AF240" i="19"/>
  <c r="AK240" i="19" s="1"/>
  <c r="AR240" i="19" s="1"/>
  <c r="AT240" i="19" s="1"/>
  <c r="AF199" i="19"/>
  <c r="AG199" i="19" s="1"/>
  <c r="AF221" i="19"/>
  <c r="AN221" i="19" s="1"/>
  <c r="AO221" i="19" s="1"/>
  <c r="AP221" i="19" s="1"/>
  <c r="AF234" i="19"/>
  <c r="AG234" i="19" s="1"/>
  <c r="AF29" i="19"/>
  <c r="AN29" i="19" s="1"/>
  <c r="AD239" i="19"/>
  <c r="H239" i="19" s="1"/>
  <c r="AD242" i="19"/>
  <c r="H242" i="19" s="1"/>
  <c r="AF227" i="19"/>
  <c r="AG227" i="19" s="1"/>
  <c r="AD225" i="19"/>
  <c r="H225" i="19" s="1"/>
  <c r="AF55" i="19"/>
  <c r="AN55" i="19" s="1"/>
  <c r="AF139" i="19"/>
  <c r="AG139" i="19" s="1"/>
  <c r="AF201" i="19"/>
  <c r="AN201" i="19" s="1"/>
  <c r="AO201" i="19" s="1"/>
  <c r="AP201" i="19" s="1"/>
  <c r="AF116" i="19"/>
  <c r="AK116" i="19" s="1"/>
  <c r="AR116" i="19" s="1"/>
  <c r="AT116" i="19" s="1"/>
  <c r="AF188" i="19"/>
  <c r="AG188" i="19" s="1"/>
  <c r="AF212" i="19"/>
  <c r="AF222" i="19"/>
  <c r="AK222" i="19" s="1"/>
  <c r="AR222" i="19" s="1"/>
  <c r="AT222" i="19" s="1"/>
  <c r="AF9" i="19"/>
  <c r="AN9" i="19" s="1"/>
  <c r="AF45" i="19"/>
  <c r="AN45" i="19" s="1"/>
  <c r="AF57" i="19"/>
  <c r="AN57" i="19" s="1"/>
  <c r="AF93" i="19"/>
  <c r="AN93" i="19" s="1"/>
  <c r="AF117" i="19"/>
  <c r="AN117" i="19" s="1"/>
  <c r="AF135" i="19"/>
  <c r="AN135" i="19" s="1"/>
  <c r="AF147" i="19"/>
  <c r="AN147" i="19" s="1"/>
  <c r="AF207" i="19"/>
  <c r="AN207" i="19" s="1"/>
  <c r="AO207" i="19" s="1"/>
  <c r="AP207" i="19" s="1"/>
  <c r="AD224" i="19"/>
  <c r="H224" i="19" s="1"/>
  <c r="AD233" i="19"/>
  <c r="H233" i="19" s="1"/>
  <c r="AF51" i="19"/>
  <c r="AN51" i="19" s="1"/>
  <c r="AD231" i="19"/>
  <c r="H231" i="19" s="1"/>
  <c r="AF230" i="19"/>
  <c r="AK230" i="19" s="1"/>
  <c r="AR230" i="19" s="1"/>
  <c r="AT230" i="19" s="1"/>
  <c r="AF243" i="19"/>
  <c r="AK243" i="19" s="1"/>
  <c r="AR243" i="19" s="1"/>
  <c r="AT243" i="19" s="1"/>
  <c r="AG192" i="19"/>
  <c r="AN120" i="19"/>
  <c r="AK120" i="19"/>
  <c r="AR120" i="19" s="1"/>
  <c r="AT120" i="19" s="1"/>
  <c r="AF189" i="19"/>
  <c r="AG189" i="19" s="1"/>
  <c r="AF195" i="19"/>
  <c r="AF61" i="19"/>
  <c r="AN61" i="19" s="1"/>
  <c r="AF71" i="19"/>
  <c r="AN71" i="19" s="1"/>
  <c r="AF81" i="19"/>
  <c r="AN81" i="19" s="1"/>
  <c r="AF228" i="19"/>
  <c r="AG228" i="19" s="1"/>
  <c r="AF123" i="19"/>
  <c r="AG123" i="19" s="1"/>
  <c r="AF143" i="19"/>
  <c r="AG143" i="19" s="1"/>
  <c r="AK214" i="19"/>
  <c r="AR214" i="19" s="1"/>
  <c r="AT214" i="19" s="1"/>
  <c r="AF231" i="19"/>
  <c r="AF229" i="19"/>
  <c r="AD229" i="19"/>
  <c r="H229" i="19" s="1"/>
  <c r="AF237" i="19"/>
  <c r="AG237" i="19" s="1"/>
  <c r="AF68" i="19"/>
  <c r="AN68" i="19" s="1"/>
  <c r="AD223" i="19"/>
  <c r="H223" i="19" s="1"/>
  <c r="AF223" i="19"/>
  <c r="AF238" i="19"/>
  <c r="AG238" i="19" s="1"/>
  <c r="AF236" i="19"/>
  <c r="AD244" i="19"/>
  <c r="H244" i="19" s="1"/>
  <c r="AD232" i="19"/>
  <c r="H232" i="19" s="1"/>
  <c r="AF232" i="19"/>
  <c r="AF241" i="19"/>
  <c r="AG241" i="19" s="1"/>
  <c r="AF242" i="19"/>
  <c r="AG242" i="19" s="1"/>
  <c r="AD236" i="19"/>
  <c r="H236" i="19" s="1"/>
  <c r="AD238" i="19"/>
  <c r="H238" i="19" s="1"/>
  <c r="AD243" i="19"/>
  <c r="H243" i="19" s="1"/>
  <c r="AF233" i="19"/>
  <c r="AG102" i="19" l="1"/>
  <c r="AN102" i="19"/>
  <c r="AK102" i="19"/>
  <c r="AR102" i="19" s="1"/>
  <c r="AT102" i="19" s="1"/>
  <c r="AG168" i="19"/>
  <c r="AK168" i="19"/>
  <c r="AR168" i="19" s="1"/>
  <c r="AT168" i="19" s="1"/>
  <c r="AN168" i="19"/>
  <c r="AN170" i="19"/>
  <c r="AK170" i="19"/>
  <c r="AR170" i="19" s="1"/>
  <c r="AT170" i="19" s="1"/>
  <c r="AG144" i="19"/>
  <c r="AY144" i="19" s="1"/>
  <c r="AK144" i="19"/>
  <c r="AR144" i="19" s="1"/>
  <c r="AT144" i="19" s="1"/>
  <c r="AN144" i="19"/>
  <c r="AK192" i="19"/>
  <c r="AR192" i="19" s="1"/>
  <c r="AT192" i="19" s="1"/>
  <c r="AF171" i="19"/>
  <c r="AG171" i="19" s="1"/>
  <c r="J164" i="19"/>
  <c r="AF150" i="19"/>
  <c r="AN150" i="19" s="1"/>
  <c r="J168" i="19"/>
  <c r="AG10" i="19"/>
  <c r="AG225" i="19"/>
  <c r="AF218" i="19"/>
  <c r="AN218" i="19" s="1"/>
  <c r="AO218" i="19" s="1"/>
  <c r="AP218" i="19" s="1"/>
  <c r="J146" i="19"/>
  <c r="AF169" i="19"/>
  <c r="AN169" i="19" s="1"/>
  <c r="AF215" i="19"/>
  <c r="AF166" i="19"/>
  <c r="AN166" i="19" s="1"/>
  <c r="AF203" i="19"/>
  <c r="AG203" i="19" s="1"/>
  <c r="AF154" i="19"/>
  <c r="AN154" i="19" s="1"/>
  <c r="J211" i="19"/>
  <c r="J172" i="19"/>
  <c r="J210" i="19"/>
  <c r="J173" i="19"/>
  <c r="J170" i="19"/>
  <c r="AF148" i="19"/>
  <c r="AG148" i="19" s="1"/>
  <c r="AF145" i="19"/>
  <c r="AK145" i="19" s="1"/>
  <c r="AR145" i="19" s="1"/>
  <c r="AT145" i="19" s="1"/>
  <c r="AF163" i="19"/>
  <c r="AG163" i="19" s="1"/>
  <c r="I161" i="30" s="1"/>
  <c r="AF155" i="19"/>
  <c r="AN155" i="19" s="1"/>
  <c r="AF161" i="19"/>
  <c r="AN161" i="19" s="1"/>
  <c r="AF151" i="19"/>
  <c r="AN151" i="19" s="1"/>
  <c r="AN66" i="19"/>
  <c r="AF186" i="19"/>
  <c r="AN186" i="19" s="1"/>
  <c r="AO186" i="19" s="1"/>
  <c r="AP186" i="19" s="1"/>
  <c r="AF134" i="19"/>
  <c r="AG134" i="19" s="1"/>
  <c r="J160" i="19"/>
  <c r="J185" i="19"/>
  <c r="AF133" i="19"/>
  <c r="AN133" i="19" s="1"/>
  <c r="AF157" i="19"/>
  <c r="AN157" i="19" s="1"/>
  <c r="AF174" i="19"/>
  <c r="AN174" i="19" s="1"/>
  <c r="J167" i="19"/>
  <c r="J165" i="19"/>
  <c r="I162" i="19" s="1"/>
  <c r="I163" i="19" s="1"/>
  <c r="I164" i="19" s="1"/>
  <c r="I165" i="19" s="1"/>
  <c r="I166" i="19" s="1"/>
  <c r="I167" i="19" s="1"/>
  <c r="I168" i="19" s="1"/>
  <c r="I169" i="19" s="1"/>
  <c r="I170" i="19" s="1"/>
  <c r="I171" i="19" s="1"/>
  <c r="I172" i="19" s="1"/>
  <c r="I173" i="19" s="1"/>
  <c r="AF136" i="19"/>
  <c r="AN136" i="19" s="1"/>
  <c r="AF149" i="19"/>
  <c r="AN149" i="19" s="1"/>
  <c r="J216" i="19"/>
  <c r="G174" i="19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62" i="19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50" i="19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AN109" i="19"/>
  <c r="AK109" i="19"/>
  <c r="AR109" i="19" s="1"/>
  <c r="AT109" i="19" s="1"/>
  <c r="AG108" i="19"/>
  <c r="AN108" i="19"/>
  <c r="AK108" i="19"/>
  <c r="AR108" i="19" s="1"/>
  <c r="AT108" i="19" s="1"/>
  <c r="AG114" i="19"/>
  <c r="AK114" i="19"/>
  <c r="AR114" i="19" s="1"/>
  <c r="AT114" i="19" s="1"/>
  <c r="AG180" i="19"/>
  <c r="AK180" i="19"/>
  <c r="AR180" i="19" s="1"/>
  <c r="AT180" i="19" s="1"/>
  <c r="AN180" i="19"/>
  <c r="AY177" i="19"/>
  <c r="I175" i="30"/>
  <c r="I142" i="30"/>
  <c r="AY164" i="19"/>
  <c r="I162" i="30"/>
  <c r="AF183" i="19"/>
  <c r="AG183" i="19" s="1"/>
  <c r="AF179" i="19"/>
  <c r="AG179" i="19" s="1"/>
  <c r="AY140" i="19"/>
  <c r="I138" i="30"/>
  <c r="AY192" i="19"/>
  <c r="I190" i="30"/>
  <c r="AY171" i="19"/>
  <c r="I169" i="30"/>
  <c r="AF184" i="19"/>
  <c r="AN184" i="19" s="1"/>
  <c r="AF175" i="19"/>
  <c r="AK175" i="19" s="1"/>
  <c r="AR175" i="19" s="1"/>
  <c r="AT175" i="19" s="1"/>
  <c r="AY102" i="19"/>
  <c r="I100" i="30"/>
  <c r="AY167" i="19"/>
  <c r="I165" i="30"/>
  <c r="AY137" i="19"/>
  <c r="I135" i="30"/>
  <c r="AF178" i="19"/>
  <c r="AN178" i="19" s="1"/>
  <c r="AY208" i="19"/>
  <c r="I206" i="30"/>
  <c r="AY200" i="19"/>
  <c r="I198" i="30"/>
  <c r="AY134" i="19"/>
  <c r="I132" i="30"/>
  <c r="AY78" i="19"/>
  <c r="I76" i="30"/>
  <c r="AY120" i="19"/>
  <c r="I118" i="30"/>
  <c r="AY142" i="19"/>
  <c r="I140" i="30"/>
  <c r="AN235" i="19"/>
  <c r="AO235" i="19" s="1"/>
  <c r="AP235" i="19" s="1"/>
  <c r="AF176" i="19"/>
  <c r="AK176" i="19" s="1"/>
  <c r="AR176" i="19" s="1"/>
  <c r="AT176" i="19" s="1"/>
  <c r="J177" i="19"/>
  <c r="AY66" i="19"/>
  <c r="I64" i="30"/>
  <c r="AY225" i="19"/>
  <c r="I223" i="30"/>
  <c r="AY156" i="19"/>
  <c r="I154" i="30"/>
  <c r="AY159" i="19"/>
  <c r="I157" i="30"/>
  <c r="AY237" i="19"/>
  <c r="I235" i="30"/>
  <c r="AY143" i="19"/>
  <c r="I141" i="30"/>
  <c r="AY139" i="19"/>
  <c r="I137" i="30"/>
  <c r="AF197" i="19"/>
  <c r="AN197" i="19" s="1"/>
  <c r="AO197" i="19" s="1"/>
  <c r="AP197" i="19" s="1"/>
  <c r="AY148" i="19"/>
  <c r="I146" i="30"/>
  <c r="AK204" i="19"/>
  <c r="AR204" i="19" s="1"/>
  <c r="AT204" i="19" s="1"/>
  <c r="J181" i="19"/>
  <c r="AY228" i="19"/>
  <c r="I226" i="30"/>
  <c r="AY235" i="19"/>
  <c r="I233" i="30"/>
  <c r="AY128" i="19"/>
  <c r="I126" i="30"/>
  <c r="AK156" i="19"/>
  <c r="AR156" i="19" s="1"/>
  <c r="AT156" i="19" s="1"/>
  <c r="AY234" i="19"/>
  <c r="I232" i="30"/>
  <c r="AY129" i="19"/>
  <c r="I127" i="30"/>
  <c r="AY227" i="19"/>
  <c r="I225" i="30"/>
  <c r="AY203" i="19"/>
  <c r="I201" i="30"/>
  <c r="AY172" i="19"/>
  <c r="I170" i="30"/>
  <c r="G126" i="19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AY242" i="19"/>
  <c r="I240" i="30"/>
  <c r="AY226" i="19"/>
  <c r="I224" i="30"/>
  <c r="AY163" i="19"/>
  <c r="AY165" i="19"/>
  <c r="I163" i="30"/>
  <c r="AN225" i="19"/>
  <c r="AO225" i="19" s="1"/>
  <c r="AP225" i="19" s="1"/>
  <c r="AK128" i="19"/>
  <c r="AR128" i="19" s="1"/>
  <c r="AT128" i="19" s="1"/>
  <c r="AY189" i="19"/>
  <c r="I187" i="30"/>
  <c r="AK200" i="19"/>
  <c r="AR200" i="19" s="1"/>
  <c r="AT200" i="19" s="1"/>
  <c r="AY191" i="19"/>
  <c r="I189" i="30"/>
  <c r="J206" i="19"/>
  <c r="AY241" i="19"/>
  <c r="I239" i="30"/>
  <c r="AY123" i="19"/>
  <c r="I121" i="30"/>
  <c r="AY224" i="19"/>
  <c r="I222" i="30"/>
  <c r="AY238" i="19"/>
  <c r="I236" i="30"/>
  <c r="AN156" i="19"/>
  <c r="AN128" i="19"/>
  <c r="AK146" i="19"/>
  <c r="AR146" i="19" s="1"/>
  <c r="AT146" i="19" s="1"/>
  <c r="AG194" i="19"/>
  <c r="AY188" i="19"/>
  <c r="I186" i="30"/>
  <c r="AY199" i="19"/>
  <c r="I197" i="30"/>
  <c r="AF162" i="19"/>
  <c r="AY168" i="19"/>
  <c r="I166" i="30"/>
  <c r="G138" i="19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98" i="19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AG217" i="19"/>
  <c r="AN217" i="19"/>
  <c r="AO217" i="19" s="1"/>
  <c r="AP217" i="19" s="1"/>
  <c r="AK217" i="19"/>
  <c r="AR217" i="19" s="1"/>
  <c r="AT217" i="19" s="1"/>
  <c r="AN216" i="19"/>
  <c r="AO216" i="19" s="1"/>
  <c r="AP216" i="19" s="1"/>
  <c r="AG216" i="19"/>
  <c r="AK216" i="19"/>
  <c r="AR216" i="19" s="1"/>
  <c r="AT216" i="19" s="1"/>
  <c r="AN126" i="19"/>
  <c r="AK126" i="19"/>
  <c r="AR126" i="19" s="1"/>
  <c r="AT126" i="19" s="1"/>
  <c r="J209" i="19"/>
  <c r="AK181" i="19"/>
  <c r="AR181" i="19" s="1"/>
  <c r="AT181" i="19" s="1"/>
  <c r="AK186" i="19"/>
  <c r="AR186" i="19" s="1"/>
  <c r="AT186" i="19" s="1"/>
  <c r="J126" i="19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AG74" i="19"/>
  <c r="AK151" i="19"/>
  <c r="AR151" i="19" s="1"/>
  <c r="AT151" i="19" s="1"/>
  <c r="AN8" i="19"/>
  <c r="AN78" i="19"/>
  <c r="AG186" i="19"/>
  <c r="AG41" i="19"/>
  <c r="AG121" i="19"/>
  <c r="AG162" i="19"/>
  <c r="AG109" i="19"/>
  <c r="AG138" i="19"/>
  <c r="AN175" i="19"/>
  <c r="AG181" i="19"/>
  <c r="AG85" i="19"/>
  <c r="AG170" i="19"/>
  <c r="AG73" i="19"/>
  <c r="AG72" i="19"/>
  <c r="AG35" i="19"/>
  <c r="AG32" i="19"/>
  <c r="AG146" i="19"/>
  <c r="AG67" i="19"/>
  <c r="AG145" i="19"/>
  <c r="AG42" i="19"/>
  <c r="AG133" i="19"/>
  <c r="AG89" i="19"/>
  <c r="AG99" i="19"/>
  <c r="AK134" i="19"/>
  <c r="AR134" i="19" s="1"/>
  <c r="AT134" i="19" s="1"/>
  <c r="AG204" i="19"/>
  <c r="AG110" i="19"/>
  <c r="AG38" i="19"/>
  <c r="AG61" i="19"/>
  <c r="AG107" i="19"/>
  <c r="AG23" i="19"/>
  <c r="AG178" i="19"/>
  <c r="AG130" i="19"/>
  <c r="AG58" i="19"/>
  <c r="AG117" i="19"/>
  <c r="AG45" i="19"/>
  <c r="AG92" i="19"/>
  <c r="AG100" i="19"/>
  <c r="AG87" i="19"/>
  <c r="AN134" i="19"/>
  <c r="AG158" i="19"/>
  <c r="AG26" i="19"/>
  <c r="AG132" i="19"/>
  <c r="AG60" i="19"/>
  <c r="AG11" i="19"/>
  <c r="AG33" i="19"/>
  <c r="AG127" i="19"/>
  <c r="AG55" i="19"/>
  <c r="AG77" i="19"/>
  <c r="AG88" i="19"/>
  <c r="AK172" i="19"/>
  <c r="AR172" i="19" s="1"/>
  <c r="AT172" i="19" s="1"/>
  <c r="AG14" i="19"/>
  <c r="AG49" i="19"/>
  <c r="AG95" i="19"/>
  <c r="AG118" i="19"/>
  <c r="AG46" i="19"/>
  <c r="AG21" i="19"/>
  <c r="AG152" i="19"/>
  <c r="AG80" i="19"/>
  <c r="AG115" i="19"/>
  <c r="AG43" i="19"/>
  <c r="AG54" i="19"/>
  <c r="AG185" i="19"/>
  <c r="AG75" i="19"/>
  <c r="AN172" i="19"/>
  <c r="AN152" i="19"/>
  <c r="AK110" i="19"/>
  <c r="AR110" i="19" s="1"/>
  <c r="AT110" i="19" s="1"/>
  <c r="AN114" i="19"/>
  <c r="AG98" i="19"/>
  <c r="AG37" i="19"/>
  <c r="AG83" i="19"/>
  <c r="AG34" i="19"/>
  <c r="AG105" i="19"/>
  <c r="AG9" i="19"/>
  <c r="AG31" i="19"/>
  <c r="AG174" i="19"/>
  <c r="AG65" i="19"/>
  <c r="AG76" i="19"/>
  <c r="AG86" i="19"/>
  <c r="AG25" i="19"/>
  <c r="AG48" i="19"/>
  <c r="AG155" i="19"/>
  <c r="AG22" i="19"/>
  <c r="AG103" i="19"/>
  <c r="AG19" i="19"/>
  <c r="AG30" i="19"/>
  <c r="AG184" i="19"/>
  <c r="AG147" i="19"/>
  <c r="AG63" i="19"/>
  <c r="AK115" i="19"/>
  <c r="AR115" i="19" s="1"/>
  <c r="AT115" i="19" s="1"/>
  <c r="AK124" i="19"/>
  <c r="AR124" i="19" s="1"/>
  <c r="AT124" i="19" s="1"/>
  <c r="AG157" i="19"/>
  <c r="AG13" i="19"/>
  <c r="AG36" i="19"/>
  <c r="AG71" i="19"/>
  <c r="AG106" i="19"/>
  <c r="AG93" i="19"/>
  <c r="AG68" i="19"/>
  <c r="AG7" i="19"/>
  <c r="AG150" i="19"/>
  <c r="AG6" i="19"/>
  <c r="AG53" i="19"/>
  <c r="AG64" i="19"/>
  <c r="AG97" i="19"/>
  <c r="AG24" i="19"/>
  <c r="AG154" i="19"/>
  <c r="AG153" i="19"/>
  <c r="AG81" i="19"/>
  <c r="AG90" i="19"/>
  <c r="AG173" i="19"/>
  <c r="AG125" i="19"/>
  <c r="AG160" i="19"/>
  <c r="AG135" i="19"/>
  <c r="AG51" i="19"/>
  <c r="AG182" i="19"/>
  <c r="AG12" i="19"/>
  <c r="AG59" i="19"/>
  <c r="AG94" i="19"/>
  <c r="AG56" i="19"/>
  <c r="AG91" i="19"/>
  <c r="AG126" i="19"/>
  <c r="AG113" i="19"/>
  <c r="AG52" i="19"/>
  <c r="AG62" i="19"/>
  <c r="AG96" i="19"/>
  <c r="AG131" i="19"/>
  <c r="AG82" i="19"/>
  <c r="AG69" i="19"/>
  <c r="AG116" i="19"/>
  <c r="AG44" i="19"/>
  <c r="AG151" i="19"/>
  <c r="AG79" i="19"/>
  <c r="AG18" i="19"/>
  <c r="AG29" i="19"/>
  <c r="AG40" i="19"/>
  <c r="AG39" i="19"/>
  <c r="AK235" i="19"/>
  <c r="AR235" i="19" s="1"/>
  <c r="AT235" i="19" s="1"/>
  <c r="AK154" i="19"/>
  <c r="AR154" i="19" s="1"/>
  <c r="AT154" i="19" s="1"/>
  <c r="AK209" i="19"/>
  <c r="AR209" i="19" s="1"/>
  <c r="AT209" i="19" s="1"/>
  <c r="AG84" i="19"/>
  <c r="AG119" i="19"/>
  <c r="AG47" i="19"/>
  <c r="AG141" i="19"/>
  <c r="AG17" i="19"/>
  <c r="AG124" i="19"/>
  <c r="AG28" i="19"/>
  <c r="AG111" i="19"/>
  <c r="AG27" i="19"/>
  <c r="AG122" i="19"/>
  <c r="AG50" i="19"/>
  <c r="AG70" i="19"/>
  <c r="AG57" i="19"/>
  <c r="AG176" i="19"/>
  <c r="AG104" i="19"/>
  <c r="AG20" i="19"/>
  <c r="AG101" i="19"/>
  <c r="AG112" i="19"/>
  <c r="AG16" i="19"/>
  <c r="AG15" i="19"/>
  <c r="AU187" i="19"/>
  <c r="AV187" i="19" s="1"/>
  <c r="AT187" i="19"/>
  <c r="AK174" i="19"/>
  <c r="AR174" i="19" s="1"/>
  <c r="AT174" i="19" s="1"/>
  <c r="AK155" i="19"/>
  <c r="AR155" i="19" s="1"/>
  <c r="AT155" i="19" s="1"/>
  <c r="AN202" i="19"/>
  <c r="AO202" i="19" s="1"/>
  <c r="AP202" i="19" s="1"/>
  <c r="AK132" i="19"/>
  <c r="AR132" i="19" s="1"/>
  <c r="AT132" i="19" s="1"/>
  <c r="AK118" i="19"/>
  <c r="AR118" i="19" s="1"/>
  <c r="AT118" i="19" s="1"/>
  <c r="AK194" i="19"/>
  <c r="AR194" i="19" s="1"/>
  <c r="AT194" i="19" s="1"/>
  <c r="G210" i="19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AK112" i="19"/>
  <c r="AR112" i="19" s="1"/>
  <c r="AT112" i="19" s="1"/>
  <c r="AN200" i="19"/>
  <c r="AO200" i="19" s="1"/>
  <c r="AP200" i="19" s="1"/>
  <c r="AN234" i="19"/>
  <c r="AO234" i="19" s="1"/>
  <c r="AP234" i="19" s="1"/>
  <c r="AK138" i="19"/>
  <c r="AR138" i="19" s="1"/>
  <c r="AT138" i="19" s="1"/>
  <c r="G234" i="19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I210" i="19"/>
  <c r="I211" i="19" s="1"/>
  <c r="I212" i="19" s="1"/>
  <c r="I213" i="19" s="1"/>
  <c r="I214" i="19" s="1"/>
  <c r="I215" i="19" s="1"/>
  <c r="I216" i="19" s="1"/>
  <c r="I217" i="19" s="1"/>
  <c r="I218" i="19" s="1"/>
  <c r="I219" i="19" s="1"/>
  <c r="I220" i="19" s="1"/>
  <c r="I221" i="19" s="1"/>
  <c r="I186" i="19"/>
  <c r="I187" i="19" s="1"/>
  <c r="I188" i="19" s="1"/>
  <c r="I189" i="19" s="1"/>
  <c r="I190" i="19" s="1"/>
  <c r="I191" i="19" s="1"/>
  <c r="I192" i="19" s="1"/>
  <c r="I193" i="19" s="1"/>
  <c r="I194" i="19" s="1"/>
  <c r="I195" i="19" s="1"/>
  <c r="I196" i="19" s="1"/>
  <c r="I197" i="19" s="1"/>
  <c r="G222" i="19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AG193" i="19"/>
  <c r="AN193" i="19"/>
  <c r="AO193" i="19" s="1"/>
  <c r="AP193" i="19" s="1"/>
  <c r="AG206" i="19"/>
  <c r="AK206" i="19"/>
  <c r="AR206" i="19" s="1"/>
  <c r="AT206" i="19" s="1"/>
  <c r="I234" i="19"/>
  <c r="I235" i="19" s="1"/>
  <c r="I236" i="19" s="1"/>
  <c r="I237" i="19" s="1"/>
  <c r="I238" i="19" s="1"/>
  <c r="I239" i="19" s="1"/>
  <c r="I240" i="19" s="1"/>
  <c r="I241" i="19" s="1"/>
  <c r="I242" i="19" s="1"/>
  <c r="I243" i="19" s="1"/>
  <c r="I244" i="19" s="1"/>
  <c r="I245" i="19" s="1"/>
  <c r="AG240" i="19"/>
  <c r="AK119" i="19"/>
  <c r="AR119" i="19" s="1"/>
  <c r="AT119" i="19" s="1"/>
  <c r="AN208" i="19"/>
  <c r="AO208" i="19" s="1"/>
  <c r="AP208" i="19" s="1"/>
  <c r="AN240" i="19"/>
  <c r="AO240" i="19" s="1"/>
  <c r="AP240" i="19" s="1"/>
  <c r="AN176" i="19"/>
  <c r="AK201" i="19"/>
  <c r="AR201" i="19" s="1"/>
  <c r="AT201" i="19" s="1"/>
  <c r="AK150" i="19"/>
  <c r="AR150" i="19" s="1"/>
  <c r="AT150" i="19" s="1"/>
  <c r="AG201" i="19"/>
  <c r="AK182" i="19"/>
  <c r="AR182" i="19" s="1"/>
  <c r="AT182" i="19" s="1"/>
  <c r="AK131" i="19"/>
  <c r="AR131" i="19" s="1"/>
  <c r="AT131" i="19" s="1"/>
  <c r="AK106" i="19"/>
  <c r="AR106" i="19" s="1"/>
  <c r="AT106" i="19" s="1"/>
  <c r="AN116" i="19"/>
  <c r="AG209" i="19"/>
  <c r="I222" i="19"/>
  <c r="I223" i="19" s="1"/>
  <c r="I224" i="19" s="1"/>
  <c r="I225" i="19" s="1"/>
  <c r="I226" i="19" s="1"/>
  <c r="I227" i="19" s="1"/>
  <c r="I228" i="19" s="1"/>
  <c r="I229" i="19" s="1"/>
  <c r="I230" i="19" s="1"/>
  <c r="I231" i="19" s="1"/>
  <c r="I232" i="19" s="1"/>
  <c r="I233" i="19" s="1"/>
  <c r="I150" i="19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38" i="19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AG205" i="19"/>
  <c r="AN205" i="19"/>
  <c r="AO205" i="19" s="1"/>
  <c r="AP205" i="19" s="1"/>
  <c r="AN198" i="19"/>
  <c r="AO198" i="19" s="1"/>
  <c r="AP198" i="19" s="1"/>
  <c r="AG198" i="19"/>
  <c r="AK130" i="19"/>
  <c r="AR130" i="19" s="1"/>
  <c r="AT130" i="19" s="1"/>
  <c r="AG210" i="19"/>
  <c r="AK210" i="19"/>
  <c r="AR210" i="19" s="1"/>
  <c r="AT210" i="19" s="1"/>
  <c r="AK198" i="19"/>
  <c r="AR198" i="19" s="1"/>
  <c r="AT198" i="19" s="1"/>
  <c r="AK234" i="19"/>
  <c r="AR234" i="19" s="1"/>
  <c r="AT234" i="19" s="1"/>
  <c r="AK226" i="19"/>
  <c r="AR226" i="19" s="1"/>
  <c r="AT226" i="19" s="1"/>
  <c r="AK184" i="19"/>
  <c r="AR184" i="19" s="1"/>
  <c r="AT184" i="19" s="1"/>
  <c r="AG187" i="19"/>
  <c r="AN187" i="19"/>
  <c r="AO187" i="19" s="1"/>
  <c r="AP187" i="19" s="1"/>
  <c r="AN226" i="19"/>
  <c r="AO226" i="19" s="1"/>
  <c r="AP226" i="19" s="1"/>
  <c r="AK160" i="19"/>
  <c r="AR160" i="19" s="1"/>
  <c r="AT160" i="19" s="1"/>
  <c r="AK190" i="19"/>
  <c r="AR190" i="19" s="1"/>
  <c r="AT190" i="19" s="1"/>
  <c r="AG190" i="19"/>
  <c r="AK127" i="19"/>
  <c r="AR127" i="19" s="1"/>
  <c r="AT127" i="19" s="1"/>
  <c r="AK178" i="19"/>
  <c r="AR178" i="19" s="1"/>
  <c r="AT178" i="19" s="1"/>
  <c r="AQ42" i="19"/>
  <c r="AQ43" i="19" s="1"/>
  <c r="AQ44" i="19" s="1"/>
  <c r="AQ45" i="19" s="1"/>
  <c r="AQ46" i="19" s="1"/>
  <c r="AQ47" i="19" s="1"/>
  <c r="AQ48" i="19" s="1"/>
  <c r="AQ49" i="19" s="1"/>
  <c r="AQ50" i="19" s="1"/>
  <c r="AQ51" i="19" s="1"/>
  <c r="AQ52" i="19" s="1"/>
  <c r="AQ53" i="19" s="1"/>
  <c r="AQ90" i="19"/>
  <c r="AQ91" i="19" s="1"/>
  <c r="AQ92" i="19" s="1"/>
  <c r="AQ93" i="19" s="1"/>
  <c r="AQ94" i="19" s="1"/>
  <c r="AQ95" i="19" s="1"/>
  <c r="AQ96" i="19" s="1"/>
  <c r="AQ97" i="19" s="1"/>
  <c r="AQ98" i="19" s="1"/>
  <c r="AQ99" i="19" s="1"/>
  <c r="AQ100" i="19" s="1"/>
  <c r="AQ101" i="19" s="1"/>
  <c r="AN173" i="19"/>
  <c r="AK103" i="19"/>
  <c r="AR103" i="19" s="1"/>
  <c r="AT103" i="19" s="1"/>
  <c r="AK121" i="19"/>
  <c r="AR121" i="19" s="1"/>
  <c r="AT121" i="19" s="1"/>
  <c r="AK218" i="19"/>
  <c r="AR218" i="19" s="1"/>
  <c r="AT218" i="19" s="1"/>
  <c r="AG211" i="19"/>
  <c r="AN222" i="19"/>
  <c r="AO222" i="19" s="1"/>
  <c r="AP222" i="19" s="1"/>
  <c r="AK149" i="19"/>
  <c r="AR149" i="19" s="1"/>
  <c r="AT149" i="19" s="1"/>
  <c r="AN230" i="19"/>
  <c r="AO230" i="19" s="1"/>
  <c r="AP230" i="19" s="1"/>
  <c r="AQ30" i="19"/>
  <c r="AQ31" i="19" s="1"/>
  <c r="AQ32" i="19" s="1"/>
  <c r="AQ33" i="19" s="1"/>
  <c r="AQ34" i="19" s="1"/>
  <c r="AQ35" i="19" s="1"/>
  <c r="AQ36" i="19" s="1"/>
  <c r="AQ37" i="19" s="1"/>
  <c r="AQ38" i="19" s="1"/>
  <c r="AQ39" i="19" s="1"/>
  <c r="AQ40" i="19" s="1"/>
  <c r="AQ41" i="19" s="1"/>
  <c r="AQ66" i="19"/>
  <c r="AQ67" i="19" s="1"/>
  <c r="AQ68" i="19" s="1"/>
  <c r="AQ69" i="19" s="1"/>
  <c r="AQ70" i="19" s="1"/>
  <c r="AQ71" i="19" s="1"/>
  <c r="AQ72" i="19" s="1"/>
  <c r="AQ73" i="19" s="1"/>
  <c r="AQ74" i="19" s="1"/>
  <c r="AQ75" i="19" s="1"/>
  <c r="AQ76" i="19" s="1"/>
  <c r="AQ77" i="19" s="1"/>
  <c r="AK107" i="19"/>
  <c r="AR107" i="19" s="1"/>
  <c r="AT107" i="19" s="1"/>
  <c r="AN125" i="19"/>
  <c r="AG222" i="19"/>
  <c r="AK213" i="19"/>
  <c r="AR213" i="19" s="1"/>
  <c r="AT213" i="19" s="1"/>
  <c r="AK157" i="19"/>
  <c r="AR157" i="19" s="1"/>
  <c r="AT157" i="19" s="1"/>
  <c r="AG218" i="19"/>
  <c r="AK185" i="19"/>
  <c r="AR185" i="19" s="1"/>
  <c r="AT185" i="19" s="1"/>
  <c r="AK208" i="19"/>
  <c r="AR208" i="19" s="1"/>
  <c r="AT208" i="19" s="1"/>
  <c r="AG202" i="19"/>
  <c r="AG213" i="19"/>
  <c r="AK224" i="19"/>
  <c r="AR224" i="19" s="1"/>
  <c r="AT224" i="19" s="1"/>
  <c r="AN224" i="19"/>
  <c r="AO224" i="19" s="1"/>
  <c r="AP224" i="19" s="1"/>
  <c r="AK169" i="19"/>
  <c r="AR169" i="19" s="1"/>
  <c r="AT169" i="19" s="1"/>
  <c r="AN148" i="19"/>
  <c r="AK148" i="19"/>
  <c r="AR148" i="19" s="1"/>
  <c r="AT148" i="19" s="1"/>
  <c r="AN113" i="19"/>
  <c r="AN167" i="19"/>
  <c r="AK167" i="19"/>
  <c r="AR167" i="19" s="1"/>
  <c r="AT167" i="19" s="1"/>
  <c r="AG239" i="19"/>
  <c r="AK158" i="19"/>
  <c r="AR158" i="19" s="1"/>
  <c r="AT158" i="19" s="1"/>
  <c r="AG221" i="19"/>
  <c r="AN191" i="19"/>
  <c r="AO191" i="19" s="1"/>
  <c r="AP191" i="19" s="1"/>
  <c r="AK191" i="19"/>
  <c r="AR191" i="19" s="1"/>
  <c r="AT191" i="19" s="1"/>
  <c r="AN188" i="19"/>
  <c r="AO188" i="19" s="1"/>
  <c r="AP188" i="19" s="1"/>
  <c r="AN239" i="19"/>
  <c r="AO239" i="19" s="1"/>
  <c r="AP239" i="19" s="1"/>
  <c r="AG214" i="19"/>
  <c r="AN227" i="19"/>
  <c r="AO227" i="19" s="1"/>
  <c r="AP227" i="19" s="1"/>
  <c r="AQ6" i="19"/>
  <c r="AQ7" i="19" s="1"/>
  <c r="AQ8" i="19" s="1"/>
  <c r="AQ9" i="19" s="1"/>
  <c r="AQ10" i="19" s="1"/>
  <c r="AQ11" i="19" s="1"/>
  <c r="AQ12" i="19" s="1"/>
  <c r="AQ13" i="19" s="1"/>
  <c r="AQ14" i="19" s="1"/>
  <c r="AQ15" i="19" s="1"/>
  <c r="AQ16" i="19" s="1"/>
  <c r="AQ17" i="19" s="1"/>
  <c r="AN196" i="19"/>
  <c r="AO196" i="19" s="1"/>
  <c r="AP196" i="19" s="1"/>
  <c r="AK188" i="19"/>
  <c r="AR188" i="19" s="1"/>
  <c r="AT188" i="19" s="1"/>
  <c r="AG244" i="19"/>
  <c r="AK227" i="19"/>
  <c r="AR227" i="19" s="1"/>
  <c r="AT227" i="19" s="1"/>
  <c r="AK122" i="19"/>
  <c r="AR122" i="19" s="1"/>
  <c r="AT122" i="19" s="1"/>
  <c r="AK219" i="19"/>
  <c r="AR219" i="19" s="1"/>
  <c r="AT219" i="19" s="1"/>
  <c r="AN199" i="19"/>
  <c r="AO199" i="19" s="1"/>
  <c r="AP199" i="19" s="1"/>
  <c r="AK199" i="19"/>
  <c r="AR199" i="19" s="1"/>
  <c r="AT199" i="19" s="1"/>
  <c r="AG230" i="19"/>
  <c r="AK244" i="19"/>
  <c r="AR244" i="19" s="1"/>
  <c r="AT244" i="19" s="1"/>
  <c r="AN220" i="19"/>
  <c r="AO220" i="19" s="1"/>
  <c r="AP220" i="19" s="1"/>
  <c r="AK203" i="19"/>
  <c r="AR203" i="19" s="1"/>
  <c r="AT203" i="19" s="1"/>
  <c r="AK197" i="19"/>
  <c r="AR197" i="19" s="1"/>
  <c r="AT197" i="19" s="1"/>
  <c r="AK135" i="19"/>
  <c r="AR135" i="19" s="1"/>
  <c r="AT135" i="19" s="1"/>
  <c r="AG219" i="19"/>
  <c r="AG196" i="19"/>
  <c r="AG220" i="19"/>
  <c r="AN203" i="19"/>
  <c r="AO203" i="19" s="1"/>
  <c r="AP203" i="19" s="1"/>
  <c r="AG197" i="19"/>
  <c r="AK141" i="19"/>
  <c r="AR141" i="19" s="1"/>
  <c r="AT141" i="19" s="1"/>
  <c r="AK133" i="19"/>
  <c r="AR133" i="19" s="1"/>
  <c r="AT133" i="19" s="1"/>
  <c r="AN111" i="19"/>
  <c r="AN142" i="19"/>
  <c r="AK142" i="19"/>
  <c r="AR142" i="19" s="1"/>
  <c r="AT142" i="19" s="1"/>
  <c r="AQ18" i="19"/>
  <c r="AQ19" i="19" s="1"/>
  <c r="AQ20" i="19" s="1"/>
  <c r="AQ21" i="19" s="1"/>
  <c r="AQ22" i="19" s="1"/>
  <c r="AQ23" i="19" s="1"/>
  <c r="AQ24" i="19" s="1"/>
  <c r="AQ25" i="19" s="1"/>
  <c r="AQ26" i="19" s="1"/>
  <c r="AQ27" i="19" s="1"/>
  <c r="AQ28" i="19" s="1"/>
  <c r="AQ29" i="19" s="1"/>
  <c r="AK221" i="19"/>
  <c r="AR221" i="19" s="1"/>
  <c r="AT221" i="19" s="1"/>
  <c r="AN137" i="19"/>
  <c r="AK137" i="19"/>
  <c r="AR137" i="19" s="1"/>
  <c r="AT137" i="19" s="1"/>
  <c r="AN243" i="19"/>
  <c r="AO243" i="19" s="1"/>
  <c r="AP243" i="19" s="1"/>
  <c r="AN211" i="19"/>
  <c r="AO211" i="19" s="1"/>
  <c r="AP211" i="19" s="1"/>
  <c r="AK207" i="19"/>
  <c r="AR207" i="19" s="1"/>
  <c r="AT207" i="19" s="1"/>
  <c r="AK153" i="19"/>
  <c r="AR153" i="19" s="1"/>
  <c r="AT153" i="19" s="1"/>
  <c r="AN215" i="19"/>
  <c r="AO215" i="19" s="1"/>
  <c r="AP215" i="19" s="1"/>
  <c r="AK215" i="19"/>
  <c r="AR215" i="19" s="1"/>
  <c r="AT215" i="19" s="1"/>
  <c r="AG215" i="19"/>
  <c r="AQ78" i="19"/>
  <c r="AQ79" i="19" s="1"/>
  <c r="AQ80" i="19" s="1"/>
  <c r="AQ81" i="19" s="1"/>
  <c r="AQ82" i="19" s="1"/>
  <c r="AQ83" i="19" s="1"/>
  <c r="AQ84" i="19" s="1"/>
  <c r="AQ85" i="19" s="1"/>
  <c r="AQ86" i="19" s="1"/>
  <c r="AQ87" i="19" s="1"/>
  <c r="AQ88" i="19" s="1"/>
  <c r="AQ89" i="19" s="1"/>
  <c r="AG243" i="19"/>
  <c r="AG207" i="19"/>
  <c r="AN139" i="19"/>
  <c r="AK139" i="19"/>
  <c r="AR139" i="19" s="1"/>
  <c r="AT139" i="19" s="1"/>
  <c r="AN104" i="19"/>
  <c r="AK117" i="19"/>
  <c r="AR117" i="19" s="1"/>
  <c r="AT117" i="19" s="1"/>
  <c r="AK147" i="19"/>
  <c r="AR147" i="19" s="1"/>
  <c r="AT147" i="19" s="1"/>
  <c r="AN171" i="19"/>
  <c r="AK171" i="19"/>
  <c r="AR171" i="19" s="1"/>
  <c r="AT171" i="19" s="1"/>
  <c r="AQ54" i="19"/>
  <c r="AQ55" i="19" s="1"/>
  <c r="AQ56" i="19" s="1"/>
  <c r="AQ57" i="19" s="1"/>
  <c r="AQ58" i="19" s="1"/>
  <c r="AQ59" i="19" s="1"/>
  <c r="AQ60" i="19" s="1"/>
  <c r="AQ61" i="19" s="1"/>
  <c r="AQ62" i="19" s="1"/>
  <c r="AQ63" i="19" s="1"/>
  <c r="AQ64" i="19" s="1"/>
  <c r="AQ65" i="19" s="1"/>
  <c r="AK105" i="19"/>
  <c r="AR105" i="19" s="1"/>
  <c r="AT105" i="19" s="1"/>
  <c r="AN212" i="19"/>
  <c r="AO212" i="19" s="1"/>
  <c r="AP212" i="19" s="1"/>
  <c r="AG212" i="19"/>
  <c r="AK212" i="19"/>
  <c r="AR212" i="19" s="1"/>
  <c r="AT212" i="19" s="1"/>
  <c r="AN163" i="19"/>
  <c r="AK163" i="19"/>
  <c r="AR163" i="19" s="1"/>
  <c r="AT163" i="19" s="1"/>
  <c r="AN236" i="19"/>
  <c r="AO236" i="19" s="1"/>
  <c r="AP236" i="19" s="1"/>
  <c r="AK236" i="19"/>
  <c r="AR236" i="19" s="1"/>
  <c r="AT236" i="19" s="1"/>
  <c r="AG236" i="19"/>
  <c r="AK242" i="19"/>
  <c r="AR242" i="19" s="1"/>
  <c r="AT242" i="19" s="1"/>
  <c r="AN242" i="19"/>
  <c r="AO242" i="19" s="1"/>
  <c r="AP242" i="19" s="1"/>
  <c r="AN195" i="19"/>
  <c r="AO195" i="19" s="1"/>
  <c r="AP195" i="19" s="1"/>
  <c r="AG195" i="19"/>
  <c r="AK195" i="19"/>
  <c r="AR195" i="19" s="1"/>
  <c r="AT195" i="19" s="1"/>
  <c r="AN129" i="19"/>
  <c r="AK129" i="19"/>
  <c r="AR129" i="19" s="1"/>
  <c r="AT129" i="19" s="1"/>
  <c r="AN143" i="19"/>
  <c r="AK143" i="19"/>
  <c r="AR143" i="19" s="1"/>
  <c r="AT143" i="19" s="1"/>
  <c r="AU102" i="19"/>
  <c r="AK231" i="19"/>
  <c r="AR231" i="19" s="1"/>
  <c r="AT231" i="19" s="1"/>
  <c r="AN231" i="19"/>
  <c r="AO231" i="19" s="1"/>
  <c r="AP231" i="19" s="1"/>
  <c r="AG231" i="19"/>
  <c r="AK229" i="19"/>
  <c r="AR229" i="19" s="1"/>
  <c r="AT229" i="19" s="1"/>
  <c r="AN229" i="19"/>
  <c r="AO229" i="19" s="1"/>
  <c r="AP229" i="19" s="1"/>
  <c r="AN179" i="19"/>
  <c r="AK179" i="19"/>
  <c r="AR179" i="19" s="1"/>
  <c r="AT179" i="19" s="1"/>
  <c r="AK228" i="19"/>
  <c r="AR228" i="19" s="1"/>
  <c r="AT228" i="19" s="1"/>
  <c r="AN228" i="19"/>
  <c r="AO228" i="19" s="1"/>
  <c r="AP228" i="19" s="1"/>
  <c r="AN189" i="19"/>
  <c r="AO189" i="19" s="1"/>
  <c r="AP189" i="19" s="1"/>
  <c r="AK189" i="19"/>
  <c r="AR189" i="19" s="1"/>
  <c r="AT189" i="19" s="1"/>
  <c r="AN165" i="19"/>
  <c r="AK165" i="19"/>
  <c r="AR165" i="19" s="1"/>
  <c r="AT165" i="19" s="1"/>
  <c r="AG229" i="19"/>
  <c r="AN123" i="19"/>
  <c r="AK123" i="19"/>
  <c r="AR123" i="19" s="1"/>
  <c r="AT123" i="19" s="1"/>
  <c r="AN183" i="19"/>
  <c r="AK183" i="19"/>
  <c r="AR183" i="19" s="1"/>
  <c r="AT183" i="19" s="1"/>
  <c r="AK238" i="19"/>
  <c r="AR238" i="19" s="1"/>
  <c r="AT238" i="19" s="1"/>
  <c r="AN238" i="19"/>
  <c r="AO238" i="19" s="1"/>
  <c r="AP238" i="19" s="1"/>
  <c r="AK237" i="19"/>
  <c r="AR237" i="19" s="1"/>
  <c r="AT237" i="19" s="1"/>
  <c r="AN237" i="19"/>
  <c r="AO237" i="19" s="1"/>
  <c r="AP237" i="19" s="1"/>
  <c r="AN233" i="19"/>
  <c r="AO233" i="19" s="1"/>
  <c r="AP233" i="19" s="1"/>
  <c r="AG233" i="19"/>
  <c r="AK233" i="19"/>
  <c r="AR233" i="19" s="1"/>
  <c r="AT233" i="19" s="1"/>
  <c r="AN241" i="19"/>
  <c r="AO241" i="19" s="1"/>
  <c r="AP241" i="19" s="1"/>
  <c r="AK241" i="19"/>
  <c r="AR241" i="19" s="1"/>
  <c r="AT241" i="19" s="1"/>
  <c r="AN223" i="19"/>
  <c r="AO223" i="19" s="1"/>
  <c r="AP223" i="19" s="1"/>
  <c r="AK223" i="19"/>
  <c r="AR223" i="19" s="1"/>
  <c r="AT223" i="19" s="1"/>
  <c r="AG223" i="19"/>
  <c r="AN159" i="19"/>
  <c r="AK159" i="19"/>
  <c r="AR159" i="19" s="1"/>
  <c r="AT159" i="19" s="1"/>
  <c r="AN232" i="19"/>
  <c r="AO232" i="19" s="1"/>
  <c r="AP232" i="19" s="1"/>
  <c r="AK232" i="19"/>
  <c r="AR232" i="19" s="1"/>
  <c r="AT232" i="19" s="1"/>
  <c r="AG232" i="19"/>
  <c r="AN140" i="19"/>
  <c r="AK140" i="19"/>
  <c r="AR140" i="19" s="1"/>
  <c r="AT140" i="19" s="1"/>
  <c r="AN177" i="19"/>
  <c r="AK177" i="19"/>
  <c r="AR177" i="19" s="1"/>
  <c r="AT177" i="19" s="1"/>
  <c r="AN164" i="19"/>
  <c r="AK164" i="19"/>
  <c r="AR164" i="19" s="1"/>
  <c r="AT164" i="19" s="1"/>
  <c r="AG169" i="19" l="1"/>
  <c r="AK166" i="19"/>
  <c r="AR166" i="19" s="1"/>
  <c r="AT166" i="19" s="1"/>
  <c r="AK136" i="19"/>
  <c r="AR136" i="19" s="1"/>
  <c r="AT136" i="19" s="1"/>
  <c r="AG166" i="19"/>
  <c r="AK161" i="19"/>
  <c r="AR161" i="19" s="1"/>
  <c r="AT161" i="19" s="1"/>
  <c r="AG136" i="19"/>
  <c r="AY136" i="19" s="1"/>
  <c r="AG161" i="19"/>
  <c r="AG175" i="19"/>
  <c r="AY175" i="19" s="1"/>
  <c r="AN145" i="19"/>
  <c r="AQ138" i="19" s="1"/>
  <c r="AQ139" i="19" s="1"/>
  <c r="AQ140" i="19" s="1"/>
  <c r="AQ141" i="19" s="1"/>
  <c r="AQ142" i="19" s="1"/>
  <c r="AQ143" i="19" s="1"/>
  <c r="AQ144" i="19" s="1"/>
  <c r="AQ145" i="19" s="1"/>
  <c r="AQ146" i="19" s="1"/>
  <c r="AQ147" i="19" s="1"/>
  <c r="AQ148" i="19" s="1"/>
  <c r="AQ149" i="19" s="1"/>
  <c r="AG149" i="19"/>
  <c r="AY149" i="19" s="1"/>
  <c r="I198" i="19"/>
  <c r="I199" i="19" s="1"/>
  <c r="I200" i="19" s="1"/>
  <c r="I201" i="19" s="1"/>
  <c r="I202" i="19" s="1"/>
  <c r="I203" i="19" s="1"/>
  <c r="I204" i="19" s="1"/>
  <c r="I205" i="19" s="1"/>
  <c r="I206" i="19" s="1"/>
  <c r="I207" i="19" s="1"/>
  <c r="I208" i="19" s="1"/>
  <c r="I209" i="19" s="1"/>
  <c r="I174" i="19"/>
  <c r="I175" i="19" s="1"/>
  <c r="I176" i="19" s="1"/>
  <c r="I177" i="19" s="1"/>
  <c r="I178" i="19" s="1"/>
  <c r="I179" i="19" s="1"/>
  <c r="I180" i="19" s="1"/>
  <c r="I181" i="19" s="1"/>
  <c r="I182" i="19" s="1"/>
  <c r="I183" i="19" s="1"/>
  <c r="I184" i="19" s="1"/>
  <c r="I185" i="19" s="1"/>
  <c r="AY202" i="19"/>
  <c r="I200" i="30"/>
  <c r="AY111" i="19"/>
  <c r="I109" i="30"/>
  <c r="AY132" i="19"/>
  <c r="I130" i="30"/>
  <c r="AY219" i="19"/>
  <c r="I217" i="30"/>
  <c r="AY244" i="19"/>
  <c r="I242" i="30"/>
  <c r="AY62" i="19"/>
  <c r="I60" i="30"/>
  <c r="AY160" i="19"/>
  <c r="I158" i="30"/>
  <c r="AY150" i="19"/>
  <c r="I148" i="30"/>
  <c r="AY63" i="19"/>
  <c r="I61" i="30"/>
  <c r="AY65" i="19"/>
  <c r="I63" i="30"/>
  <c r="AY95" i="19"/>
  <c r="I93" i="30"/>
  <c r="AY67" i="19"/>
  <c r="I65" i="30"/>
  <c r="AY109" i="19"/>
  <c r="I107" i="30"/>
  <c r="AY178" i="19"/>
  <c r="I176" i="30"/>
  <c r="AY145" i="19"/>
  <c r="I143" i="30"/>
  <c r="AY207" i="19"/>
  <c r="I205" i="30"/>
  <c r="AY239" i="19"/>
  <c r="I237" i="30"/>
  <c r="AY211" i="19"/>
  <c r="I209" i="30"/>
  <c r="AY198" i="19"/>
  <c r="I196" i="30"/>
  <c r="AY112" i="19"/>
  <c r="I110" i="30"/>
  <c r="AY124" i="19"/>
  <c r="I122" i="30"/>
  <c r="AY52" i="19"/>
  <c r="I50" i="30"/>
  <c r="AY125" i="19"/>
  <c r="I123" i="30"/>
  <c r="AY147" i="19"/>
  <c r="I145" i="30"/>
  <c r="AY174" i="19"/>
  <c r="I172" i="30"/>
  <c r="AY75" i="19"/>
  <c r="I73" i="30"/>
  <c r="AY49" i="19"/>
  <c r="I47" i="30"/>
  <c r="AY158" i="19"/>
  <c r="I156" i="30"/>
  <c r="AY107" i="19"/>
  <c r="I105" i="30"/>
  <c r="AY146" i="19"/>
  <c r="I144" i="30"/>
  <c r="AY162" i="19"/>
  <c r="I160" i="30"/>
  <c r="AN162" i="19"/>
  <c r="AK162" i="19"/>
  <c r="AR162" i="19" s="1"/>
  <c r="AT162" i="19" s="1"/>
  <c r="AY210" i="19"/>
  <c r="I208" i="30"/>
  <c r="AY212" i="19"/>
  <c r="I210" i="30"/>
  <c r="AY243" i="19"/>
  <c r="I241" i="30"/>
  <c r="AY218" i="19"/>
  <c r="I216" i="30"/>
  <c r="AY206" i="19"/>
  <c r="I204" i="30"/>
  <c r="AY101" i="19"/>
  <c r="I99" i="30"/>
  <c r="AY161" i="19"/>
  <c r="I159" i="30"/>
  <c r="AY113" i="19"/>
  <c r="I111" i="30"/>
  <c r="AY173" i="19"/>
  <c r="I171" i="30"/>
  <c r="AY184" i="19"/>
  <c r="I182" i="30"/>
  <c r="AY185" i="19"/>
  <c r="I183" i="30"/>
  <c r="AY61" i="19"/>
  <c r="I59" i="30"/>
  <c r="AY121" i="19"/>
  <c r="I119" i="30"/>
  <c r="AY141" i="19"/>
  <c r="I139" i="30"/>
  <c r="AY126" i="19"/>
  <c r="I124" i="30"/>
  <c r="AY90" i="19"/>
  <c r="I88" i="30"/>
  <c r="AY68" i="19"/>
  <c r="I66" i="30"/>
  <c r="AY54" i="19"/>
  <c r="I52" i="30"/>
  <c r="I147" i="30"/>
  <c r="AY180" i="19"/>
  <c r="I178" i="30"/>
  <c r="AY240" i="19"/>
  <c r="I238" i="30"/>
  <c r="AY223" i="19"/>
  <c r="I221" i="30"/>
  <c r="AY195" i="19"/>
  <c r="I193" i="30"/>
  <c r="AY215" i="19"/>
  <c r="I213" i="30"/>
  <c r="AY187" i="19"/>
  <c r="I185" i="30"/>
  <c r="AY205" i="19"/>
  <c r="I203" i="30"/>
  <c r="AY201" i="19"/>
  <c r="I199" i="30"/>
  <c r="AY193" i="19"/>
  <c r="I191" i="30"/>
  <c r="AY104" i="19"/>
  <c r="I102" i="30"/>
  <c r="AY47" i="19"/>
  <c r="I45" i="30"/>
  <c r="AY79" i="19"/>
  <c r="I77" i="30"/>
  <c r="AY91" i="19"/>
  <c r="I89" i="30"/>
  <c r="AY81" i="19"/>
  <c r="I79" i="30"/>
  <c r="AY93" i="19"/>
  <c r="I91" i="30"/>
  <c r="AY105" i="19"/>
  <c r="I103" i="30"/>
  <c r="AY88" i="19"/>
  <c r="I86" i="30"/>
  <c r="AY87" i="19"/>
  <c r="I85" i="30"/>
  <c r="AY110" i="19"/>
  <c r="I108" i="30"/>
  <c r="AY169" i="19"/>
  <c r="I167" i="30"/>
  <c r="AY186" i="19"/>
  <c r="I184" i="30"/>
  <c r="AY216" i="19"/>
  <c r="I214" i="30"/>
  <c r="AY214" i="19"/>
  <c r="I212" i="30"/>
  <c r="AY222" i="19"/>
  <c r="I220" i="30"/>
  <c r="AY176" i="19"/>
  <c r="I174" i="30"/>
  <c r="AY119" i="19"/>
  <c r="I117" i="30"/>
  <c r="AY151" i="19"/>
  <c r="I149" i="30"/>
  <c r="AY56" i="19"/>
  <c r="I54" i="30"/>
  <c r="AY153" i="19"/>
  <c r="I151" i="30"/>
  <c r="AY106" i="19"/>
  <c r="I104" i="30"/>
  <c r="AY103" i="19"/>
  <c r="I101" i="30"/>
  <c r="AY115" i="19"/>
  <c r="I113" i="30"/>
  <c r="AY77" i="19"/>
  <c r="I75" i="30"/>
  <c r="AY100" i="19"/>
  <c r="I98" i="30"/>
  <c r="AY204" i="19"/>
  <c r="I202" i="30"/>
  <c r="AY72" i="19"/>
  <c r="I70" i="30"/>
  <c r="AY179" i="19"/>
  <c r="I177" i="30"/>
  <c r="AY114" i="19"/>
  <c r="I112" i="30"/>
  <c r="AY221" i="19"/>
  <c r="I219" i="30"/>
  <c r="AY135" i="19"/>
  <c r="I133" i="30"/>
  <c r="AY230" i="19"/>
  <c r="I228" i="30"/>
  <c r="AY57" i="19"/>
  <c r="I55" i="30"/>
  <c r="AY84" i="19"/>
  <c r="I82" i="30"/>
  <c r="AY94" i="19"/>
  <c r="I92" i="30"/>
  <c r="AY154" i="19"/>
  <c r="I152" i="30"/>
  <c r="AY71" i="19"/>
  <c r="I69" i="30"/>
  <c r="AY83" i="19"/>
  <c r="I81" i="30"/>
  <c r="AY80" i="19"/>
  <c r="I78" i="30"/>
  <c r="AY55" i="19"/>
  <c r="I53" i="30"/>
  <c r="AY92" i="19"/>
  <c r="I90" i="30"/>
  <c r="AY73" i="19"/>
  <c r="I71" i="30"/>
  <c r="AY194" i="19"/>
  <c r="I192" i="30"/>
  <c r="AY183" i="19"/>
  <c r="I181" i="30"/>
  <c r="AY232" i="19"/>
  <c r="I230" i="30"/>
  <c r="AY76" i="19"/>
  <c r="I74" i="30"/>
  <c r="AY70" i="19"/>
  <c r="I68" i="30"/>
  <c r="AY116" i="19"/>
  <c r="I114" i="30"/>
  <c r="AY59" i="19"/>
  <c r="I57" i="30"/>
  <c r="AY155" i="19"/>
  <c r="I153" i="30"/>
  <c r="AY152" i="19"/>
  <c r="I150" i="30"/>
  <c r="AY127" i="19"/>
  <c r="I125" i="30"/>
  <c r="AY99" i="19"/>
  <c r="I97" i="30"/>
  <c r="AY170" i="19"/>
  <c r="I168" i="30"/>
  <c r="AY96" i="19"/>
  <c r="I94" i="30"/>
  <c r="AY231" i="19"/>
  <c r="I229" i="30"/>
  <c r="AY229" i="19"/>
  <c r="I227" i="30"/>
  <c r="AY236" i="19"/>
  <c r="I234" i="30"/>
  <c r="AY197" i="19"/>
  <c r="I195" i="30"/>
  <c r="AY50" i="19"/>
  <c r="I48" i="30"/>
  <c r="AY69" i="19"/>
  <c r="I67" i="30"/>
  <c r="AY97" i="19"/>
  <c r="I95" i="30"/>
  <c r="AY48" i="19"/>
  <c r="I46" i="30"/>
  <c r="AY98" i="19"/>
  <c r="I96" i="30"/>
  <c r="AY117" i="19"/>
  <c r="I115" i="30"/>
  <c r="AY89" i="19"/>
  <c r="I87" i="30"/>
  <c r="AY85" i="19"/>
  <c r="I83" i="30"/>
  <c r="AY74" i="19"/>
  <c r="I72" i="30"/>
  <c r="AY217" i="19"/>
  <c r="I215" i="30"/>
  <c r="AY108" i="19"/>
  <c r="I106" i="30"/>
  <c r="AY209" i="19"/>
  <c r="I207" i="30"/>
  <c r="AY122" i="19"/>
  <c r="I120" i="30"/>
  <c r="AY82" i="19"/>
  <c r="I80" i="30"/>
  <c r="AY182" i="19"/>
  <c r="I180" i="30"/>
  <c r="AY64" i="19"/>
  <c r="I62" i="30"/>
  <c r="AY157" i="19"/>
  <c r="I155" i="30"/>
  <c r="AY58" i="19"/>
  <c r="I56" i="30"/>
  <c r="AY133" i="19"/>
  <c r="I131" i="30"/>
  <c r="AY181" i="19"/>
  <c r="I179" i="30"/>
  <c r="AY196" i="19"/>
  <c r="I194" i="30"/>
  <c r="AY166" i="19"/>
  <c r="I164" i="30"/>
  <c r="AY138" i="19"/>
  <c r="I136" i="30"/>
  <c r="AY233" i="19"/>
  <c r="I231" i="30"/>
  <c r="AY220" i="19"/>
  <c r="I218" i="30"/>
  <c r="AY213" i="19"/>
  <c r="I211" i="30"/>
  <c r="AY190" i="19"/>
  <c r="I188" i="30"/>
  <c r="AY131" i="19"/>
  <c r="I129" i="30"/>
  <c r="AY51" i="19"/>
  <c r="I49" i="30"/>
  <c r="AY53" i="19"/>
  <c r="I51" i="30"/>
  <c r="AY86" i="19"/>
  <c r="I84" i="30"/>
  <c r="AY118" i="19"/>
  <c r="I116" i="30"/>
  <c r="AY60" i="19"/>
  <c r="I58" i="30"/>
  <c r="AY130" i="19"/>
  <c r="I128" i="30"/>
  <c r="AQ238" i="19"/>
  <c r="AQ242" i="19"/>
  <c r="AQ240" i="19"/>
  <c r="AQ243" i="19"/>
  <c r="AQ244" i="19"/>
  <c r="AQ245" i="19"/>
  <c r="AQ239" i="19"/>
  <c r="AQ241" i="19"/>
  <c r="AQ234" i="19"/>
  <c r="AQ235" i="19"/>
  <c r="AQ237" i="19"/>
  <c r="AQ236" i="19"/>
  <c r="AQ150" i="19"/>
  <c r="AQ151" i="19" s="1"/>
  <c r="AQ152" i="19" s="1"/>
  <c r="AQ153" i="19" s="1"/>
  <c r="AQ154" i="19" s="1"/>
  <c r="AQ155" i="19" s="1"/>
  <c r="AQ156" i="19" s="1"/>
  <c r="AQ157" i="19" s="1"/>
  <c r="AQ158" i="19" s="1"/>
  <c r="AQ159" i="19" s="1"/>
  <c r="AQ160" i="19" s="1"/>
  <c r="AQ161" i="19" s="1"/>
  <c r="AQ198" i="19"/>
  <c r="AQ199" i="19" s="1"/>
  <c r="AQ200" i="19" s="1"/>
  <c r="AQ201" i="19" s="1"/>
  <c r="AQ202" i="19" s="1"/>
  <c r="AQ203" i="19" s="1"/>
  <c r="AQ204" i="19" s="1"/>
  <c r="AQ205" i="19" s="1"/>
  <c r="AQ206" i="19" s="1"/>
  <c r="AQ207" i="19" s="1"/>
  <c r="AQ208" i="19" s="1"/>
  <c r="AQ209" i="19" s="1"/>
  <c r="AQ126" i="19"/>
  <c r="AQ127" i="19" s="1"/>
  <c r="AQ128" i="19" s="1"/>
  <c r="AQ129" i="19" s="1"/>
  <c r="AQ130" i="19" s="1"/>
  <c r="AQ131" i="19" s="1"/>
  <c r="AQ132" i="19" s="1"/>
  <c r="AQ133" i="19" s="1"/>
  <c r="AQ134" i="19" s="1"/>
  <c r="AQ135" i="19" s="1"/>
  <c r="AQ136" i="19" s="1"/>
  <c r="AQ137" i="19" s="1"/>
  <c r="AU188" i="19"/>
  <c r="AQ114" i="19"/>
  <c r="AQ115" i="19" s="1"/>
  <c r="AQ116" i="19" s="1"/>
  <c r="AQ117" i="19" s="1"/>
  <c r="AQ118" i="19" s="1"/>
  <c r="AQ119" i="19" s="1"/>
  <c r="AQ120" i="19" s="1"/>
  <c r="AQ121" i="19" s="1"/>
  <c r="AQ122" i="19" s="1"/>
  <c r="AQ123" i="19" s="1"/>
  <c r="AQ124" i="19" s="1"/>
  <c r="AQ125" i="19" s="1"/>
  <c r="AQ186" i="19"/>
  <c r="AQ187" i="19" s="1"/>
  <c r="AQ188" i="19" s="1"/>
  <c r="AQ189" i="19" s="1"/>
  <c r="AQ190" i="19" s="1"/>
  <c r="AQ191" i="19" s="1"/>
  <c r="AQ192" i="19" s="1"/>
  <c r="AQ193" i="19" s="1"/>
  <c r="AQ194" i="19" s="1"/>
  <c r="AQ195" i="19" s="1"/>
  <c r="AQ196" i="19" s="1"/>
  <c r="AQ197" i="19" s="1"/>
  <c r="AQ102" i="19"/>
  <c r="AQ103" i="19" s="1"/>
  <c r="AQ104" i="19" s="1"/>
  <c r="AQ105" i="19" s="1"/>
  <c r="AQ106" i="19" s="1"/>
  <c r="AQ107" i="19" s="1"/>
  <c r="AQ108" i="19" s="1"/>
  <c r="AQ109" i="19" s="1"/>
  <c r="AQ110" i="19" s="1"/>
  <c r="AQ111" i="19" s="1"/>
  <c r="AQ112" i="19" s="1"/>
  <c r="AQ113" i="19" s="1"/>
  <c r="AQ210" i="19"/>
  <c r="AQ211" i="19" s="1"/>
  <c r="AQ212" i="19" s="1"/>
  <c r="AQ213" i="19" s="1"/>
  <c r="AQ214" i="19" s="1"/>
  <c r="AQ215" i="19" s="1"/>
  <c r="AQ216" i="19" s="1"/>
  <c r="AQ217" i="19" s="1"/>
  <c r="AQ218" i="19" s="1"/>
  <c r="AQ219" i="19" s="1"/>
  <c r="AQ220" i="19" s="1"/>
  <c r="AQ221" i="19" s="1"/>
  <c r="AQ227" i="19"/>
  <c r="AQ226" i="19"/>
  <c r="AQ162" i="19"/>
  <c r="AQ163" i="19" s="1"/>
  <c r="AQ164" i="19" s="1"/>
  <c r="AQ165" i="19" s="1"/>
  <c r="AQ166" i="19" s="1"/>
  <c r="AQ167" i="19" s="1"/>
  <c r="AQ168" i="19" s="1"/>
  <c r="AQ169" i="19" s="1"/>
  <c r="AQ170" i="19" s="1"/>
  <c r="AQ171" i="19" s="1"/>
  <c r="AQ172" i="19" s="1"/>
  <c r="AQ173" i="19" s="1"/>
  <c r="AQ233" i="19"/>
  <c r="AQ229" i="19"/>
  <c r="AQ232" i="19"/>
  <c r="AQ223" i="19"/>
  <c r="AQ225" i="19"/>
  <c r="AQ230" i="19"/>
  <c r="AQ174" i="19"/>
  <c r="AQ175" i="19" s="1"/>
  <c r="AQ176" i="19" s="1"/>
  <c r="AQ177" i="19" s="1"/>
  <c r="AQ178" i="19" s="1"/>
  <c r="AQ179" i="19" s="1"/>
  <c r="AQ180" i="19" s="1"/>
  <c r="AQ181" i="19" s="1"/>
  <c r="AQ182" i="19" s="1"/>
  <c r="AQ183" i="19" s="1"/>
  <c r="AQ184" i="19" s="1"/>
  <c r="AQ185" i="19" s="1"/>
  <c r="AQ224" i="19"/>
  <c r="AQ228" i="19"/>
  <c r="AQ231" i="19"/>
  <c r="AQ222" i="19"/>
  <c r="AU103" i="19"/>
  <c r="AV102" i="19"/>
  <c r="I134" i="30" l="1"/>
  <c r="AZ162" i="19"/>
  <c r="AZ163" i="19" s="1"/>
  <c r="AZ164" i="19" s="1"/>
  <c r="AZ165" i="19" s="1"/>
  <c r="AZ166" i="19" s="1"/>
  <c r="AZ167" i="19" s="1"/>
  <c r="AZ168" i="19" s="1"/>
  <c r="AZ169" i="19" s="1"/>
  <c r="AZ170" i="19" s="1"/>
  <c r="AZ171" i="19" s="1"/>
  <c r="AZ172" i="19" s="1"/>
  <c r="AZ173" i="19" s="1"/>
  <c r="I173" i="30"/>
  <c r="AZ186" i="19"/>
  <c r="AZ187" i="19" s="1"/>
  <c r="AZ188" i="19" s="1"/>
  <c r="AZ189" i="19" s="1"/>
  <c r="AZ190" i="19" s="1"/>
  <c r="AZ191" i="19" s="1"/>
  <c r="AZ192" i="19" s="1"/>
  <c r="AZ193" i="19" s="1"/>
  <c r="AZ194" i="19" s="1"/>
  <c r="AZ195" i="19" s="1"/>
  <c r="AZ196" i="19" s="1"/>
  <c r="AZ197" i="19" s="1"/>
  <c r="AZ114" i="19"/>
  <c r="AZ115" i="19" s="1"/>
  <c r="AZ116" i="19" s="1"/>
  <c r="AZ117" i="19" s="1"/>
  <c r="AZ118" i="19" s="1"/>
  <c r="AZ119" i="19" s="1"/>
  <c r="AZ120" i="19" s="1"/>
  <c r="AZ121" i="19" s="1"/>
  <c r="AZ122" i="19" s="1"/>
  <c r="AZ123" i="19" s="1"/>
  <c r="AZ124" i="19" s="1"/>
  <c r="AZ125" i="19" s="1"/>
  <c r="J196" i="30"/>
  <c r="J197" i="30" s="1"/>
  <c r="J198" i="30" s="1"/>
  <c r="J199" i="30" s="1"/>
  <c r="J200" i="30" s="1"/>
  <c r="J201" i="30" s="1"/>
  <c r="J202" i="30" s="1"/>
  <c r="J203" i="30" s="1"/>
  <c r="J204" i="30" s="1"/>
  <c r="J205" i="30" s="1"/>
  <c r="J206" i="30" s="1"/>
  <c r="J207" i="30" s="1"/>
  <c r="AZ138" i="19"/>
  <c r="AZ139" i="19" s="1"/>
  <c r="AZ140" i="19" s="1"/>
  <c r="AZ141" i="19" s="1"/>
  <c r="AZ142" i="19" s="1"/>
  <c r="AZ143" i="19" s="1"/>
  <c r="AZ144" i="19" s="1"/>
  <c r="AZ145" i="19" s="1"/>
  <c r="AZ146" i="19" s="1"/>
  <c r="AZ147" i="19" s="1"/>
  <c r="AZ148" i="19" s="1"/>
  <c r="AZ149" i="19" s="1"/>
  <c r="AZ90" i="19"/>
  <c r="AZ91" i="19" s="1"/>
  <c r="AZ92" i="19" s="1"/>
  <c r="AZ93" i="19" s="1"/>
  <c r="AZ94" i="19" s="1"/>
  <c r="AZ95" i="19" s="1"/>
  <c r="AZ96" i="19" s="1"/>
  <c r="AZ97" i="19" s="1"/>
  <c r="AZ98" i="19" s="1"/>
  <c r="AZ99" i="19" s="1"/>
  <c r="AZ100" i="19" s="1"/>
  <c r="AZ101" i="19" s="1"/>
  <c r="AZ234" i="19"/>
  <c r="AZ235" i="19" s="1"/>
  <c r="AZ236" i="19" s="1"/>
  <c r="AZ237" i="19" s="1"/>
  <c r="AZ238" i="19" s="1"/>
  <c r="AZ239" i="19" s="1"/>
  <c r="AZ240" i="19" s="1"/>
  <c r="AZ241" i="19" s="1"/>
  <c r="AZ242" i="19" s="1"/>
  <c r="AZ243" i="19" s="1"/>
  <c r="AZ244" i="19" s="1"/>
  <c r="AZ245" i="19" s="1"/>
  <c r="AZ198" i="19"/>
  <c r="AZ199" i="19" s="1"/>
  <c r="AZ200" i="19" s="1"/>
  <c r="AZ201" i="19" s="1"/>
  <c r="AZ202" i="19" s="1"/>
  <c r="AZ203" i="19" s="1"/>
  <c r="AZ204" i="19" s="1"/>
  <c r="AZ205" i="19" s="1"/>
  <c r="AZ206" i="19" s="1"/>
  <c r="AZ207" i="19" s="1"/>
  <c r="AZ208" i="19" s="1"/>
  <c r="AZ209" i="19" s="1"/>
  <c r="AZ126" i="19"/>
  <c r="AZ127" i="19" s="1"/>
  <c r="AZ128" i="19" s="1"/>
  <c r="AZ129" i="19" s="1"/>
  <c r="AZ130" i="19" s="1"/>
  <c r="AZ131" i="19" s="1"/>
  <c r="AZ132" i="19" s="1"/>
  <c r="AZ133" i="19" s="1"/>
  <c r="AZ134" i="19" s="1"/>
  <c r="AZ135" i="19" s="1"/>
  <c r="AZ136" i="19" s="1"/>
  <c r="AZ137" i="19" s="1"/>
  <c r="AZ54" i="19"/>
  <c r="AZ55" i="19" s="1"/>
  <c r="AZ56" i="19" s="1"/>
  <c r="AZ57" i="19" s="1"/>
  <c r="AZ58" i="19" s="1"/>
  <c r="AZ59" i="19" s="1"/>
  <c r="AZ60" i="19" s="1"/>
  <c r="AZ61" i="19" s="1"/>
  <c r="AZ62" i="19" s="1"/>
  <c r="AZ63" i="19" s="1"/>
  <c r="AZ64" i="19" s="1"/>
  <c r="AZ65" i="19" s="1"/>
  <c r="AZ78" i="19"/>
  <c r="AZ79" i="19" s="1"/>
  <c r="AZ80" i="19" s="1"/>
  <c r="AZ81" i="19" s="1"/>
  <c r="AZ82" i="19" s="1"/>
  <c r="AZ83" i="19" s="1"/>
  <c r="AZ84" i="19" s="1"/>
  <c r="AZ85" i="19" s="1"/>
  <c r="AZ86" i="19" s="1"/>
  <c r="AZ87" i="19" s="1"/>
  <c r="AZ88" i="19" s="1"/>
  <c r="AZ89" i="19" s="1"/>
  <c r="J160" i="30"/>
  <c r="J161" i="30" s="1"/>
  <c r="J162" i="30" s="1"/>
  <c r="J163" i="30" s="1"/>
  <c r="J164" i="30" s="1"/>
  <c r="J165" i="30" s="1"/>
  <c r="J166" i="30" s="1"/>
  <c r="J167" i="30" s="1"/>
  <c r="J168" i="30" s="1"/>
  <c r="J169" i="30" s="1"/>
  <c r="J170" i="30" s="1"/>
  <c r="J171" i="30" s="1"/>
  <c r="J76" i="30"/>
  <c r="J77" i="30" s="1"/>
  <c r="J78" i="30" s="1"/>
  <c r="J79" i="30" s="1"/>
  <c r="J80" i="30" s="1"/>
  <c r="J81" i="30" s="1"/>
  <c r="J82" i="30" s="1"/>
  <c r="J83" i="30" s="1"/>
  <c r="J84" i="30" s="1"/>
  <c r="J85" i="30" s="1"/>
  <c r="J86" i="30" s="1"/>
  <c r="J87" i="30" s="1"/>
  <c r="AZ42" i="19"/>
  <c r="AZ43" i="19" s="1"/>
  <c r="AZ44" i="19" s="1"/>
  <c r="AZ45" i="19" s="1"/>
  <c r="AZ46" i="19" s="1"/>
  <c r="AZ47" i="19" s="1"/>
  <c r="AZ48" i="19" s="1"/>
  <c r="AZ49" i="19" s="1"/>
  <c r="AZ50" i="19" s="1"/>
  <c r="AZ51" i="19" s="1"/>
  <c r="AZ52" i="19" s="1"/>
  <c r="AZ53" i="19" s="1"/>
  <c r="AZ222" i="19"/>
  <c r="AZ223" i="19" s="1"/>
  <c r="AZ224" i="19" s="1"/>
  <c r="AZ225" i="19" s="1"/>
  <c r="AZ226" i="19" s="1"/>
  <c r="AZ227" i="19" s="1"/>
  <c r="AZ228" i="19" s="1"/>
  <c r="AZ229" i="19" s="1"/>
  <c r="AZ230" i="19" s="1"/>
  <c r="AZ231" i="19" s="1"/>
  <c r="AZ232" i="19" s="1"/>
  <c r="AZ233" i="19" s="1"/>
  <c r="AZ150" i="19"/>
  <c r="AZ151" i="19" s="1"/>
  <c r="AZ152" i="19" s="1"/>
  <c r="AZ153" i="19" s="1"/>
  <c r="AZ154" i="19" s="1"/>
  <c r="AZ155" i="19" s="1"/>
  <c r="AZ156" i="19" s="1"/>
  <c r="AZ157" i="19" s="1"/>
  <c r="AZ158" i="19" s="1"/>
  <c r="AZ159" i="19" s="1"/>
  <c r="AZ160" i="19" s="1"/>
  <c r="AZ161" i="19" s="1"/>
  <c r="J124" i="30"/>
  <c r="J125" i="30" s="1"/>
  <c r="J126" i="30" s="1"/>
  <c r="J127" i="30" s="1"/>
  <c r="J128" i="30" s="1"/>
  <c r="J129" i="30" s="1"/>
  <c r="J130" i="30" s="1"/>
  <c r="J131" i="30" s="1"/>
  <c r="J132" i="30" s="1"/>
  <c r="J133" i="30" s="1"/>
  <c r="J134" i="30" s="1"/>
  <c r="J135" i="30" s="1"/>
  <c r="AZ102" i="19"/>
  <c r="AZ103" i="19" s="1"/>
  <c r="AZ104" i="19" s="1"/>
  <c r="AZ105" i="19" s="1"/>
  <c r="AZ106" i="19" s="1"/>
  <c r="AZ107" i="19" s="1"/>
  <c r="AZ108" i="19" s="1"/>
  <c r="AZ109" i="19" s="1"/>
  <c r="AZ110" i="19" s="1"/>
  <c r="AZ111" i="19" s="1"/>
  <c r="AZ112" i="19" s="1"/>
  <c r="AZ113" i="19" s="1"/>
  <c r="AZ174" i="19"/>
  <c r="AZ175" i="19" s="1"/>
  <c r="AZ176" i="19" s="1"/>
  <c r="AZ177" i="19" s="1"/>
  <c r="AZ178" i="19" s="1"/>
  <c r="AZ179" i="19" s="1"/>
  <c r="AZ180" i="19" s="1"/>
  <c r="AZ181" i="19" s="1"/>
  <c r="AZ182" i="19" s="1"/>
  <c r="AZ183" i="19" s="1"/>
  <c r="AZ184" i="19" s="1"/>
  <c r="AZ185" i="19" s="1"/>
  <c r="J100" i="30"/>
  <c r="J101" i="30" s="1"/>
  <c r="J102" i="30" s="1"/>
  <c r="J103" i="30" s="1"/>
  <c r="J104" i="30" s="1"/>
  <c r="J105" i="30" s="1"/>
  <c r="J106" i="30" s="1"/>
  <c r="J107" i="30" s="1"/>
  <c r="J108" i="30" s="1"/>
  <c r="J109" i="30" s="1"/>
  <c r="J110" i="30" s="1"/>
  <c r="J111" i="30" s="1"/>
  <c r="J184" i="30"/>
  <c r="J185" i="30" s="1"/>
  <c r="J186" i="30" s="1"/>
  <c r="J187" i="30" s="1"/>
  <c r="J188" i="30" s="1"/>
  <c r="J189" i="30" s="1"/>
  <c r="J190" i="30" s="1"/>
  <c r="J191" i="30" s="1"/>
  <c r="J192" i="30" s="1"/>
  <c r="J193" i="30" s="1"/>
  <c r="J194" i="30" s="1"/>
  <c r="J195" i="30" s="1"/>
  <c r="AZ66" i="19"/>
  <c r="AZ67" i="19" s="1"/>
  <c r="AZ68" i="19" s="1"/>
  <c r="AZ69" i="19" s="1"/>
  <c r="AZ70" i="19" s="1"/>
  <c r="AZ71" i="19" s="1"/>
  <c r="AZ72" i="19" s="1"/>
  <c r="AZ73" i="19" s="1"/>
  <c r="AZ74" i="19" s="1"/>
  <c r="AZ75" i="19" s="1"/>
  <c r="AZ76" i="19" s="1"/>
  <c r="AZ77" i="19" s="1"/>
  <c r="AZ210" i="19"/>
  <c r="AZ211" i="19" s="1"/>
  <c r="AZ212" i="19" s="1"/>
  <c r="AZ213" i="19" s="1"/>
  <c r="AZ214" i="19" s="1"/>
  <c r="AZ215" i="19" s="1"/>
  <c r="AZ216" i="19" s="1"/>
  <c r="AZ217" i="19" s="1"/>
  <c r="AZ218" i="19" s="1"/>
  <c r="AZ219" i="19" s="1"/>
  <c r="AZ220" i="19" s="1"/>
  <c r="AZ221" i="19" s="1"/>
  <c r="J148" i="30"/>
  <c r="J149" i="30" s="1"/>
  <c r="J150" i="30" s="1"/>
  <c r="J151" i="30" s="1"/>
  <c r="J152" i="30" s="1"/>
  <c r="J153" i="30" s="1"/>
  <c r="J154" i="30" s="1"/>
  <c r="J155" i="30" s="1"/>
  <c r="J156" i="30" s="1"/>
  <c r="J157" i="30" s="1"/>
  <c r="J158" i="30" s="1"/>
  <c r="J159" i="30" s="1"/>
  <c r="J220" i="30"/>
  <c r="J221" i="30" s="1"/>
  <c r="J222" i="30" s="1"/>
  <c r="J223" i="30" s="1"/>
  <c r="J224" i="30" s="1"/>
  <c r="J225" i="30" s="1"/>
  <c r="J226" i="30" s="1"/>
  <c r="J227" i="30" s="1"/>
  <c r="J228" i="30" s="1"/>
  <c r="J229" i="30" s="1"/>
  <c r="J230" i="30" s="1"/>
  <c r="J231" i="30" s="1"/>
  <c r="J208" i="30"/>
  <c r="J209" i="30" s="1"/>
  <c r="J210" i="30" s="1"/>
  <c r="J211" i="30" s="1"/>
  <c r="J212" i="30" s="1"/>
  <c r="J213" i="30" s="1"/>
  <c r="J214" i="30" s="1"/>
  <c r="J215" i="30" s="1"/>
  <c r="J216" i="30" s="1"/>
  <c r="J217" i="30" s="1"/>
  <c r="J218" i="30" s="1"/>
  <c r="J219" i="30" s="1"/>
  <c r="J45" i="30"/>
  <c r="J46" i="30" s="1"/>
  <c r="J47" i="30" s="1"/>
  <c r="J48" i="30" s="1"/>
  <c r="J49" i="30" s="1"/>
  <c r="J50" i="30" s="1"/>
  <c r="J51" i="30" s="1"/>
  <c r="J52" i="30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136" i="30"/>
  <c r="J137" i="30" s="1"/>
  <c r="J138" i="30" s="1"/>
  <c r="J139" i="30" s="1"/>
  <c r="J140" i="30" s="1"/>
  <c r="J141" i="30" s="1"/>
  <c r="J142" i="30" s="1"/>
  <c r="J143" i="30" s="1"/>
  <c r="J144" i="30" s="1"/>
  <c r="J145" i="30" s="1"/>
  <c r="J146" i="30" s="1"/>
  <c r="J147" i="30" s="1"/>
  <c r="J232" i="30"/>
  <c r="J233" i="30" s="1"/>
  <c r="J234" i="30" s="1"/>
  <c r="J235" i="30" s="1"/>
  <c r="J236" i="30" s="1"/>
  <c r="J237" i="30" s="1"/>
  <c r="J238" i="30" s="1"/>
  <c r="J239" i="30" s="1"/>
  <c r="J240" i="30" s="1"/>
  <c r="J241" i="30" s="1"/>
  <c r="J242" i="30" s="1"/>
  <c r="J243" i="30" s="1"/>
  <c r="J88" i="30"/>
  <c r="J89" i="30" s="1"/>
  <c r="J90" i="30" s="1"/>
  <c r="J91" i="30" s="1"/>
  <c r="J92" i="30" s="1"/>
  <c r="J93" i="30" s="1"/>
  <c r="J94" i="30" s="1"/>
  <c r="J95" i="30" s="1"/>
  <c r="J96" i="30" s="1"/>
  <c r="J97" i="30" s="1"/>
  <c r="J98" i="30" s="1"/>
  <c r="J99" i="30" s="1"/>
  <c r="J112" i="30"/>
  <c r="J113" i="30" s="1"/>
  <c r="J114" i="30" s="1"/>
  <c r="J115" i="30" s="1"/>
  <c r="J116" i="30" s="1"/>
  <c r="J117" i="30" s="1"/>
  <c r="J118" i="30" s="1"/>
  <c r="J119" i="30" s="1"/>
  <c r="J120" i="30" s="1"/>
  <c r="J121" i="30" s="1"/>
  <c r="J122" i="30" s="1"/>
  <c r="J123" i="30" s="1"/>
  <c r="J64" i="30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172" i="30"/>
  <c r="J173" i="30" s="1"/>
  <c r="J174" i="30" s="1"/>
  <c r="J175" i="30" s="1"/>
  <c r="J176" i="30" s="1"/>
  <c r="J177" i="30" s="1"/>
  <c r="J178" i="30" s="1"/>
  <c r="J179" i="30" s="1"/>
  <c r="J180" i="30" s="1"/>
  <c r="J181" i="30" s="1"/>
  <c r="J182" i="30" s="1"/>
  <c r="J183" i="30" s="1"/>
  <c r="AV188" i="19"/>
  <c r="AU189" i="19"/>
  <c r="AU104" i="19"/>
  <c r="AV103" i="19"/>
  <c r="AU190" i="19" l="1"/>
  <c r="AV189" i="19"/>
  <c r="AU105" i="19"/>
  <c r="AV104" i="19"/>
  <c r="AU191" i="19" l="1"/>
  <c r="AV190" i="19"/>
  <c r="AU106" i="19"/>
  <c r="AV105" i="19"/>
  <c r="AU192" i="19" l="1"/>
  <c r="AV191" i="19"/>
  <c r="AV106" i="19"/>
  <c r="AU107" i="19"/>
  <c r="AU193" i="19" l="1"/>
  <c r="AV192" i="19"/>
  <c r="AU108" i="19"/>
  <c r="AV107" i="19"/>
  <c r="AU194" i="19" l="1"/>
  <c r="AV193" i="19"/>
  <c r="AV108" i="19"/>
  <c r="AU109" i="19"/>
  <c r="AU195" i="19" l="1"/>
  <c r="AV194" i="19"/>
  <c r="AV109" i="19"/>
  <c r="AU110" i="19"/>
  <c r="AU196" i="19" l="1"/>
  <c r="AV195" i="19"/>
  <c r="AU111" i="19"/>
  <c r="AV110" i="19"/>
  <c r="AU197" i="19" l="1"/>
  <c r="AV196" i="19"/>
  <c r="AU112" i="19"/>
  <c r="AV111" i="19"/>
  <c r="AV197" i="19" l="1"/>
  <c r="AU198" i="19"/>
  <c r="AU113" i="19"/>
  <c r="AV112" i="19"/>
  <c r="AV198" i="19" l="1"/>
  <c r="AU199" i="19"/>
  <c r="AV113" i="19"/>
  <c r="AU114" i="19"/>
  <c r="AU200" i="19" l="1"/>
  <c r="AV199" i="19"/>
  <c r="AU115" i="19"/>
  <c r="AV114" i="19"/>
  <c r="AU201" i="19" l="1"/>
  <c r="AV200" i="19"/>
  <c r="AU116" i="19"/>
  <c r="AV115" i="19"/>
  <c r="AU202" i="19" l="1"/>
  <c r="AV201" i="19"/>
  <c r="AU117" i="19"/>
  <c r="AV116" i="19"/>
  <c r="AU203" i="19" l="1"/>
  <c r="AV202" i="19"/>
  <c r="AU118" i="19"/>
  <c r="AV117" i="19"/>
  <c r="AU204" i="19" l="1"/>
  <c r="AV203" i="19"/>
  <c r="AV118" i="19"/>
  <c r="AU119" i="19"/>
  <c r="AU205" i="19" l="1"/>
  <c r="AV204" i="19"/>
  <c r="AU120" i="19"/>
  <c r="AV119" i="19"/>
  <c r="AU206" i="19" l="1"/>
  <c r="AV205" i="19"/>
  <c r="AU121" i="19"/>
  <c r="AV120" i="19"/>
  <c r="AU207" i="19" l="1"/>
  <c r="AV206" i="19"/>
  <c r="AU122" i="19"/>
  <c r="AV121" i="19"/>
  <c r="AU208" i="19" l="1"/>
  <c r="AV207" i="19"/>
  <c r="AV122" i="19"/>
  <c r="AU123" i="19"/>
  <c r="AU209" i="19" l="1"/>
  <c r="AV208" i="19"/>
  <c r="AU124" i="19"/>
  <c r="AV123" i="19"/>
  <c r="AU210" i="19" l="1"/>
  <c r="AV209" i="19"/>
  <c r="AU125" i="19"/>
  <c r="AV124" i="19"/>
  <c r="AU211" i="19" l="1"/>
  <c r="AV210" i="19"/>
  <c r="AU126" i="19"/>
  <c r="AV125" i="19"/>
  <c r="AU212" i="19" l="1"/>
  <c r="AV211" i="19"/>
  <c r="AV126" i="19"/>
  <c r="AU127" i="19"/>
  <c r="AU213" i="19" l="1"/>
  <c r="AV212" i="19"/>
  <c r="AV127" i="19"/>
  <c r="AU128" i="19"/>
  <c r="AU214" i="19" l="1"/>
  <c r="AV213" i="19"/>
  <c r="AU129" i="19"/>
  <c r="AV128" i="19"/>
  <c r="AU215" i="19" l="1"/>
  <c r="AV214" i="19"/>
  <c r="AU130" i="19"/>
  <c r="AV129" i="19"/>
  <c r="AU216" i="19" l="1"/>
  <c r="AV215" i="19"/>
  <c r="AU131" i="19"/>
  <c r="AV130" i="19"/>
  <c r="AU217" i="19" l="1"/>
  <c r="AV216" i="19"/>
  <c r="AV131" i="19"/>
  <c r="AU132" i="19"/>
  <c r="AU218" i="19" l="1"/>
  <c r="AV217" i="19"/>
  <c r="AV132" i="19"/>
  <c r="AU133" i="19"/>
  <c r="AU219" i="19" l="1"/>
  <c r="AV218" i="19"/>
  <c r="AU134" i="19"/>
  <c r="AV133" i="19"/>
  <c r="AU220" i="19" l="1"/>
  <c r="AV219" i="19"/>
  <c r="AU135" i="19"/>
  <c r="AV134" i="19"/>
  <c r="AU221" i="19" l="1"/>
  <c r="AV220" i="19"/>
  <c r="AU136" i="19"/>
  <c r="AV135" i="19"/>
  <c r="AU222" i="19" l="1"/>
  <c r="AV221" i="19"/>
  <c r="AU137" i="19"/>
  <c r="AV136" i="19"/>
  <c r="AU223" i="19" l="1"/>
  <c r="AV222" i="19"/>
  <c r="AV137" i="19"/>
  <c r="AU138" i="19"/>
  <c r="AU224" i="19" l="1"/>
  <c r="AV223" i="19"/>
  <c r="AU139" i="19"/>
  <c r="AV138" i="19"/>
  <c r="AU225" i="19" l="1"/>
  <c r="AV224" i="19"/>
  <c r="AV139" i="19"/>
  <c r="AU140" i="19"/>
  <c r="AU226" i="19" l="1"/>
  <c r="AV225" i="19"/>
  <c r="AU141" i="19"/>
  <c r="AV140" i="19"/>
  <c r="AU227" i="19" l="1"/>
  <c r="AV226" i="19"/>
  <c r="AV141" i="19"/>
  <c r="AU142" i="19"/>
  <c r="AU228" i="19" l="1"/>
  <c r="AV227" i="19"/>
  <c r="AU143" i="19"/>
  <c r="AV142" i="19"/>
  <c r="AU229" i="19" l="1"/>
  <c r="AV228" i="19"/>
  <c r="AU144" i="19"/>
  <c r="AV143" i="19"/>
  <c r="AU230" i="19" l="1"/>
  <c r="AV229" i="19"/>
  <c r="AV144" i="19"/>
  <c r="AU145" i="19"/>
  <c r="AU231" i="19" l="1"/>
  <c r="AV230" i="19"/>
  <c r="AV145" i="19"/>
  <c r="AU146" i="19"/>
  <c r="AU232" i="19" l="1"/>
  <c r="AV231" i="19"/>
  <c r="AU147" i="19"/>
  <c r="AV146" i="19"/>
  <c r="AU233" i="19" l="1"/>
  <c r="AV232" i="19"/>
  <c r="AU148" i="19"/>
  <c r="AV147" i="19"/>
  <c r="AU234" i="19" l="1"/>
  <c r="AV233" i="19"/>
  <c r="AU149" i="19"/>
  <c r="AV148" i="19"/>
  <c r="AV234" i="19" l="1"/>
  <c r="AU235" i="19"/>
  <c r="AV149" i="19"/>
  <c r="AU150" i="19"/>
  <c r="AU236" i="19" l="1"/>
  <c r="AV235" i="19"/>
  <c r="AU151" i="19"/>
  <c r="AV150" i="19"/>
  <c r="AU237" i="19" l="1"/>
  <c r="AV236" i="19"/>
  <c r="AU152" i="19"/>
  <c r="AV151" i="19"/>
  <c r="AU238" i="19" l="1"/>
  <c r="AV237" i="19"/>
  <c r="AU153" i="19"/>
  <c r="AV152" i="19"/>
  <c r="AU239" i="19" l="1"/>
  <c r="AV238" i="19"/>
  <c r="AV153" i="19"/>
  <c r="AU154" i="19"/>
  <c r="AU240" i="19" l="1"/>
  <c r="AV239" i="19"/>
  <c r="AU155" i="19"/>
  <c r="AV154" i="19"/>
  <c r="AU241" i="19" l="1"/>
  <c r="AV240" i="19"/>
  <c r="AU156" i="19"/>
  <c r="AV155" i="19"/>
  <c r="AU242" i="19" l="1"/>
  <c r="AV241" i="19"/>
  <c r="AU157" i="19"/>
  <c r="AV156" i="19"/>
  <c r="AU243" i="19" l="1"/>
  <c r="AV242" i="19"/>
  <c r="AU158" i="19"/>
  <c r="AV157" i="19"/>
  <c r="AV243" i="19" l="1"/>
  <c r="AU244" i="19"/>
  <c r="AU159" i="19"/>
  <c r="AV158" i="19"/>
  <c r="AV244" i="19" l="1"/>
  <c r="AU245" i="19"/>
  <c r="AV159" i="19"/>
  <c r="AU160" i="19"/>
  <c r="AV245" i="19" l="1"/>
  <c r="AU246" i="19"/>
  <c r="AU161" i="19"/>
  <c r="AV160" i="19"/>
  <c r="AU247" i="19" l="1"/>
  <c r="AV246" i="19"/>
  <c r="AU162" i="19"/>
  <c r="AV161" i="19"/>
  <c r="AV247" i="19" l="1"/>
  <c r="AU248" i="19"/>
  <c r="AU163" i="19"/>
  <c r="AV162" i="19"/>
  <c r="AV248" i="19" l="1"/>
  <c r="AU249" i="19"/>
  <c r="AU164" i="19"/>
  <c r="AV163" i="19"/>
  <c r="AV249" i="19" l="1"/>
  <c r="AU250" i="19"/>
  <c r="AU165" i="19"/>
  <c r="AV164" i="19"/>
  <c r="AU251" i="19" l="1"/>
  <c r="AV250" i="19"/>
  <c r="AV165" i="19"/>
  <c r="AU166" i="19"/>
  <c r="AU252" i="19" l="1"/>
  <c r="AV251" i="19"/>
  <c r="AV166" i="19"/>
  <c r="AU167" i="19"/>
  <c r="AV252" i="19" l="1"/>
  <c r="AU253" i="19"/>
  <c r="AU168" i="19"/>
  <c r="AV167" i="19"/>
  <c r="AU254" i="19" l="1"/>
  <c r="AV253" i="19"/>
  <c r="AU169" i="19"/>
  <c r="AV168" i="19"/>
  <c r="AV254" i="19" l="1"/>
  <c r="AU255" i="19"/>
  <c r="AU170" i="19"/>
  <c r="AV169" i="19"/>
  <c r="AU256" i="19" l="1"/>
  <c r="AV255" i="19"/>
  <c r="AU171" i="19"/>
  <c r="AV170" i="19"/>
  <c r="AU257" i="19" l="1"/>
  <c r="AV256" i="19"/>
  <c r="AU172" i="19"/>
  <c r="AV171" i="19"/>
  <c r="AU258" i="19" l="1"/>
  <c r="AV257" i="19"/>
  <c r="AV172" i="19"/>
  <c r="AU173" i="19"/>
  <c r="AU259" i="19" l="1"/>
  <c r="AV258" i="19"/>
  <c r="AU174" i="19"/>
  <c r="AV173" i="19"/>
  <c r="AU260" i="19" l="1"/>
  <c r="AV259" i="19"/>
  <c r="AU175" i="19"/>
  <c r="AV174" i="19"/>
  <c r="AU261" i="19" l="1"/>
  <c r="AV260" i="19"/>
  <c r="AU176" i="19"/>
  <c r="AV175" i="19"/>
  <c r="AU262" i="19" l="1"/>
  <c r="AV261" i="19"/>
  <c r="AU177" i="19"/>
  <c r="AV176" i="19"/>
  <c r="AU263" i="19" l="1"/>
  <c r="AV262" i="19"/>
  <c r="AV177" i="19"/>
  <c r="AU178" i="19"/>
  <c r="AU264" i="19" l="1"/>
  <c r="AV263" i="19"/>
  <c r="AV178" i="19"/>
  <c r="AU179" i="19"/>
  <c r="AV264" i="19" l="1"/>
  <c r="AU265" i="19"/>
  <c r="AU180" i="19"/>
  <c r="AV179" i="19"/>
  <c r="AU266" i="19" l="1"/>
  <c r="AV265" i="19"/>
  <c r="AU181" i="19"/>
  <c r="AV180" i="19"/>
  <c r="AV266" i="19" l="1"/>
  <c r="AU267" i="19"/>
  <c r="AU182" i="19"/>
  <c r="AV181" i="19"/>
  <c r="AV267" i="19" l="1"/>
  <c r="AU268" i="19"/>
  <c r="AU183" i="19"/>
  <c r="AV182" i="19"/>
  <c r="AV268" i="19" l="1"/>
  <c r="AU269" i="19"/>
  <c r="AV183" i="19"/>
  <c r="AU184" i="19"/>
  <c r="AV269" i="19" l="1"/>
  <c r="AU270" i="19"/>
  <c r="AV184" i="19"/>
  <c r="AU185" i="19"/>
  <c r="AU271" i="19" l="1"/>
  <c r="AV270" i="19"/>
  <c r="AU186" i="19"/>
  <c r="AV186" i="19" s="1"/>
  <c r="AV185" i="19"/>
  <c r="AU272" i="19" l="1"/>
  <c r="AV271" i="19"/>
  <c r="AU273" i="19" l="1"/>
  <c r="AV272" i="19"/>
  <c r="AU274" i="19" l="1"/>
  <c r="AV273" i="19"/>
  <c r="AU275" i="19" l="1"/>
  <c r="AV274" i="19"/>
  <c r="AU276" i="19" l="1"/>
  <c r="AV275" i="19"/>
  <c r="AV276" i="19" l="1"/>
  <c r="AU277" i="19"/>
  <c r="AV277" i="19" l="1"/>
  <c r="AU278" i="19"/>
  <c r="AU279" i="19" l="1"/>
  <c r="AV278" i="19"/>
  <c r="AU280" i="19" l="1"/>
  <c r="AV279" i="19"/>
  <c r="AV280" i="19" l="1"/>
  <c r="AU281" i="19"/>
  <c r="AV281" i="19" l="1"/>
  <c r="AU282" i="19"/>
  <c r="AV282" i="19" l="1"/>
  <c r="AU283" i="19"/>
  <c r="AU284" i="19" l="1"/>
  <c r="AV283" i="19"/>
  <c r="AV284" i="19" l="1"/>
  <c r="AU285" i="19"/>
  <c r="AV285" i="19" l="1"/>
  <c r="AU286" i="19"/>
  <c r="AV286" i="19" l="1"/>
  <c r="AU287" i="19"/>
  <c r="AU288" i="19" l="1"/>
  <c r="AV287" i="19"/>
  <c r="AU289" i="19" l="1"/>
  <c r="AV288" i="19"/>
  <c r="AU290" i="19" l="1"/>
  <c r="AV289" i="19"/>
  <c r="AV290" i="19" l="1"/>
  <c r="AU291" i="19"/>
  <c r="AV291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4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O4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P4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Assumes that CA is 10% of US average</t>
        </r>
      </text>
    </comment>
    <comment ref="S4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V4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W4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X4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Z4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INPUT</t>
        </r>
      </text>
    </comment>
    <comment ref="AB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 INPUT</t>
        </r>
      </text>
    </comment>
    <comment ref="AE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 INPUT</t>
        </r>
      </text>
    </comment>
    <comment ref="AH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 INPUT</t>
        </r>
      </text>
    </comment>
    <comment ref="AL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 INPUT</t>
        </r>
      </text>
    </comment>
    <comment ref="AB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tabs 4 and 7
</t>
        </r>
      </text>
    </comment>
    <comment ref="AU18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Start over here in Feb 2015</t>
        </r>
      </text>
    </comment>
    <comment ref="AH289" authorId="0" shapeId="0" xr:uid="{90E66464-6C2B-4A2F-8103-B86796DA3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AH290" authorId="0" shapeId="0" xr:uid="{661CD4EE-62A5-4725-BF67-C769EFB2F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AH291" authorId="0" shapeId="0" xr:uid="{7A9BAEA5-387F-44F3-B877-C4B2E3DEB34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</commentList>
</comments>
</file>

<file path=xl/sharedStrings.xml><?xml version="1.0" encoding="utf-8"?>
<sst xmlns="http://schemas.openxmlformats.org/spreadsheetml/2006/main" count="225" uniqueCount="113">
  <si>
    <t>YEAR</t>
  </si>
  <si>
    <t>EMM_EPMR_PTE_SCA_DPG</t>
  </si>
  <si>
    <t>FEDERAL EXCISE GASOLINE</t>
  </si>
  <si>
    <t>Month</t>
  </si>
  <si>
    <t>U.S. Regular All Formulations Retail Gasoline Prices (Dollars per Gallon)</t>
  </si>
  <si>
    <t>EMM_EPMR_PTE_NUS_DPG</t>
  </si>
  <si>
    <t>EMM_EPMRR_PTE_NUS_DPG</t>
  </si>
  <si>
    <t>U.S. Regular Reformulated Retail Gasoline Prices (Dollars per Gallon)</t>
  </si>
  <si>
    <t>CA STATE EXCISE GASOLINE</t>
  </si>
  <si>
    <t>CA UST</t>
  </si>
  <si>
    <t>EMM_EPMRU_PTE_NUS_DPG</t>
  </si>
  <si>
    <t>U.S. Regular Conventional Retail Gasoline Prices (Dollars per Gallon)</t>
  </si>
  <si>
    <t>National Average State Excise Gasoline</t>
  </si>
  <si>
    <t>EIA</t>
  </si>
  <si>
    <t>CA BOE</t>
  </si>
  <si>
    <t>TPC</t>
  </si>
  <si>
    <t>API slightly higher due to sale tax inclusion</t>
  </si>
  <si>
    <t>TOT CA GAS TAXES</t>
  </si>
  <si>
    <t>CPI</t>
  </si>
  <si>
    <t>LCFS</t>
  </si>
  <si>
    <t>US price without CA</t>
  </si>
  <si>
    <t>CA GASOLINE SALES TAX (assumes 1% local sales tax)</t>
  </si>
  <si>
    <t>CARB gasoline cost</t>
  </si>
  <si>
    <t>Unexplained Differential</t>
  </si>
  <si>
    <t>Quantity</t>
  </si>
  <si>
    <t>CA Regular All Formulations Retail Gasoline Prices (Dollars per Gallon)</t>
  </si>
  <si>
    <t>Extra Payment</t>
  </si>
  <si>
    <t>https://www.eia.gov/dnav/pet/hist/LeafHandler.ashx?n=pet&amp;s=emm_epmr_pte_nus_dpg&amp;f=m</t>
  </si>
  <si>
    <t>https://www.eia.gov/dnav/pet/hist/LeafHandler.ashx?n=pet&amp;s=emm_epmr_pte_sca_dpg&amp;f=m</t>
  </si>
  <si>
    <t>From API</t>
  </si>
  <si>
    <t>http://www.api.org/oil-and-natural-gas/consumer-information/motor-fuel-taxes/gasoline-tax</t>
  </si>
  <si>
    <t>https://www.eia.gov/tools/faqs/faq.php?id=10&amp;t=10</t>
  </si>
  <si>
    <t>https://data.bls.gov/timeseries/CUUR0000SA0</t>
  </si>
  <si>
    <t>_</t>
  </si>
  <si>
    <t>http://www.cdtfa.ca.gov/taxes-and-fees/spftrpts.htm</t>
  </si>
  <si>
    <t>https://www.arb.ca.gov/fuels/lcfs/dashboard/dashboard.htm</t>
  </si>
  <si>
    <t>Aggregate Extra Payment Since 2/2015</t>
  </si>
  <si>
    <t>Aggregate Extra Payment Since 2/2015 (in billions)</t>
  </si>
  <si>
    <t>Explained Differential</t>
  </si>
  <si>
    <t>---</t>
  </si>
  <si>
    <t>Daily Usage</t>
  </si>
  <si>
    <t>LCFS CREDIT PRICE</t>
  </si>
  <si>
    <t>based on CEC creditpricecalculator.xlsx (2016-present)</t>
  </si>
  <si>
    <t>Annual Average Unexplaied</t>
  </si>
  <si>
    <t>CA SALES TAX IN CENTS</t>
  </si>
  <si>
    <t>TOT CA TAXES AND FEES</t>
  </si>
  <si>
    <t>CA cap and trade cost (CAX)</t>
  </si>
  <si>
    <t>US state excise tax without CA</t>
  </si>
  <si>
    <t>https://www.arb.ca.gov/cc/capandtrade/auction/auction.htm</t>
  </si>
  <si>
    <t>http://www.cdtfa.ca.gov/taxes-and-fees/sales-tax-rates-for-fuels.htm</t>
  </si>
  <si>
    <t>https://stillwaterassociates.com/lcfs-credit-and-price-trends/</t>
  </si>
  <si>
    <t>Current Period Deflator</t>
  </si>
  <si>
    <t>REAL ($current month) Extra Payment in $mil</t>
  </si>
  <si>
    <t>REAL ($current month) Unexplained Differential</t>
  </si>
  <si>
    <t>Back to Contents</t>
  </si>
  <si>
    <t>Data 1: Los Angeles Reformulated RBOB Regular Gasoline Spot Price (Dollars per Gallon)</t>
  </si>
  <si>
    <t>Sourcekey</t>
  </si>
  <si>
    <t>REAL</t>
  </si>
  <si>
    <t>Date</t>
  </si>
  <si>
    <t>Los Angeles Reformulated RBOB Regular Gasoline Spot Price (Dollars per Gallon)</t>
  </si>
  <si>
    <t>NY Conv</t>
  </si>
  <si>
    <t>Gulf Conv</t>
  </si>
  <si>
    <t>LA-NY</t>
  </si>
  <si>
    <t>LA-Gulf</t>
  </si>
  <si>
    <t>Annual average of both differentials</t>
  </si>
  <si>
    <t>Cost Differential in Real Dollars (constant10 cents nominal)</t>
  </si>
  <si>
    <t>Monthly Average of Both Differentials</t>
  </si>
  <si>
    <t>Annual Average DRMGS</t>
  </si>
  <si>
    <t>Distribution and Retailing Surcharge (DRMGS)</t>
  </si>
  <si>
    <t>Brent Crude</t>
  </si>
  <si>
    <t>https://www.eia.gov/dnav/pet/hist/LeafHandler.ashx?n=PET&amp;s=RBRTE&amp;f=M</t>
  </si>
  <si>
    <t>https://www.cdtfa.ca.gov/taxes-and-fees/tax-rates-stfd.htm</t>
  </si>
  <si>
    <t>US gas price (w/out CA) minus crude price &amp; taxes</t>
  </si>
  <si>
    <t>Annual US margin</t>
  </si>
  <si>
    <t>CA gas price minus crude price &amp; taxes</t>
  </si>
  <si>
    <t>Annual CA Margin</t>
  </si>
  <si>
    <t>https://www.eia.gov/dnav/pet/hist/LeafHandler.ashx?n=pet&amp;s=eer_epmru_pf4_y35ny_dpg&amp;f=m</t>
  </si>
  <si>
    <t>https://www.eia.gov/dnav/pet/hist/LeafHandler.ashx?n=PET&amp;s=EER_EPMRU_PF4_RGC_DPG&amp;f=M</t>
  </si>
  <si>
    <t>Real LA Spot Price</t>
  </si>
  <si>
    <t>Real NY Spot Price</t>
  </si>
  <si>
    <t>Real Gulf Coast Spot Price</t>
  </si>
  <si>
    <t>Real Brent Crude</t>
  </si>
  <si>
    <t>REAL CA Retail Gas Price</t>
  </si>
  <si>
    <t>Average Differential Accounting for $0.10 Cost Diff Today</t>
  </si>
  <si>
    <t>Average Annual Differential Accounting for $0.10 Cost Diff Today</t>
  </si>
  <si>
    <t>Monthly average distribution and retailing MGS</t>
  </si>
  <si>
    <t>Annual average distribution and retailing MGS</t>
  </si>
  <si>
    <t>https://www.eia.gov/dnav/pet/hist/LeafHandler.ashx?n=PET&amp;s=EER_EPMRR_PF4_Y05LA_DPG&amp;f=M</t>
  </si>
  <si>
    <t>Days in Month</t>
  </si>
  <si>
    <t>Daily Excess Payment (millions)</t>
  </si>
  <si>
    <t>CBOT Ethanol</t>
  </si>
  <si>
    <t>CA Sale for Resale Price</t>
  </si>
  <si>
    <t>https://www.eia.gov/dnav/pet/hist/LeafHandler.ashx?n=PET&amp;s=EMA_EPM0_PWG_SCA_DPG&amp;f=M</t>
  </si>
  <si>
    <t>US gas Rack price</t>
  </si>
  <si>
    <t>https://www.eia.gov/dnav/pet/hist/LeafHandler.ashx?n=PET&amp;s=EMA_EPMR_PRG_NUS_DPG&amp;f=M</t>
  </si>
  <si>
    <t>CA Rack Prices</t>
  </si>
  <si>
    <t>https://www.eia.gov/dnav/pet/hist/LeafHandler.ashx?n=PET&amp;s=EMA_EPMR_PRA_SCA_DPG&amp;f=M</t>
  </si>
  <si>
    <t>US Sale for Resale Price</t>
  </si>
  <si>
    <t>https://www.eia.gov/dnav/pet/hist/LeafHandler.ashx?n=PET&amp;s=EMA_EPM0_PWG_NUS_DPG&amp;f=M</t>
  </si>
  <si>
    <t>Real Sale for Resale Price Diff</t>
  </si>
  <si>
    <t>Annual Average Real Sale for Resale Price Diff</t>
  </si>
  <si>
    <t>Annual Average Daily Usage</t>
  </si>
  <si>
    <t>Price Spike Calculation</t>
  </si>
  <si>
    <t>Price Spike Cost Calculation</t>
  </si>
  <si>
    <t>CA price real</t>
  </si>
  <si>
    <t>US price without CA real</t>
  </si>
  <si>
    <t>Severin (nom)</t>
  </si>
  <si>
    <t>Severin (real)</t>
  </si>
  <si>
    <t>Daniel (nom)</t>
  </si>
  <si>
    <t>Daniel (real)</t>
  </si>
  <si>
    <t>natl. state tax excl. ca (dan)</t>
  </si>
  <si>
    <t>ca state tax (dan)</t>
  </si>
  <si>
    <t>natl. state tax excl. ca (severin)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</si>
</sst>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#,##0.0"/>
    <numFmt numFmtId="166" formatCode="&quot;$&quot;#,##0.0"/>
    <numFmt numFmtId="167" formatCode="[$-409]mmm\-yy;@"/>
    <numFmt numFmtId="168" formatCode="0.000"/>
    <numFmt numFmtId="169" formatCode="[Color10][&gt;78.4]0.0;[Red][&lt;22]0.0;0.0"/>
    <numFmt numFmtId="170" formatCode="[Color10][&gt;19.7]0.0;[Red][&lt;2.9]0.0;0.0"/>
    <numFmt numFmtId="171" formatCode="_-* #,##0_-;\-* #,##0_-;_-* &quot;-&quot;_-;_-@_-"/>
    <numFmt numFmtId="172" formatCode="[Color10][&gt;32.1]0.0;[Red][&lt;9.5]0.0;0.0"/>
    <numFmt numFmtId="173" formatCode="0.0_)"/>
    <numFmt numFmtId="174" formatCode="[Red][&gt;2.2]0.0;[Color10][&lt;0.42]0.0;0.0"/>
    <numFmt numFmtId="175" formatCode="[Red][&gt;4.2]0.0;[Color10][&lt;0]0.0;0.0"/>
    <numFmt numFmtId="176" formatCode="[Red][&gt;2.8]0.0;[Color10][&lt;0.47]0.0;0.0"/>
    <numFmt numFmtId="177" formatCode="[Red][&gt;4]0.0;[Color10][&lt;0]0.0;0.0"/>
    <numFmt numFmtId="178" formatCode="0.000_)"/>
    <numFmt numFmtId="179" formatCode="_(* #,##0.0_);_(* \(#,##0.0\);_(* &quot;-&quot;_);_(@_)"/>
    <numFmt numFmtId="180" formatCode="_(* #,##0.00_);_(* \(#,##0.00\);_(* &quot;0.00&quot;_);_(@_)"/>
    <numFmt numFmtId="181" formatCode="_(* #,##0.0_);_(* \(#,##0.0\);_(* &quot;&quot;??_);_(@_)"/>
    <numFmt numFmtId="182" formatCode="#,##0.0_);\(#,##0.0\)"/>
    <numFmt numFmtId="183" formatCode="[Red][&gt;1]0.0%;[Color10][&lt;0.85]0.0%;0.0%"/>
    <numFmt numFmtId="184" formatCode="[Red][&gt;1.01]0.0%;[Color10][&lt;0.99]0.0%;0.0%"/>
    <numFmt numFmtId="185" formatCode="[Color10][&gt;6]0.0;[Red][&lt;2]0.0;0.0"/>
    <numFmt numFmtId="186" formatCode="[Red][&gt;25]0.0_);[Color10][&lt;7]0.0_);0.0_)"/>
    <numFmt numFmtId="187" formatCode="[Red][&gt;50]0.0_);[Color10][&lt;20]0.0_);0.0_)"/>
    <numFmt numFmtId="188" formatCode="_-&quot;£&quot;* #,##0.00_-;\-&quot;£&quot;* #,##0.00_-;_-&quot;£&quot;* &quot;-&quot;??_-;_-@_-"/>
    <numFmt numFmtId="189" formatCode="dd\-mmm\-yy_)"/>
    <numFmt numFmtId="190" formatCode="#,##0_);\(#,##0_);&quot;&quot;"/>
    <numFmt numFmtId="191" formatCode="_(* #,##0.0_);_(* \(#,##0.0\);_(* &quot;0&quot;_);_(@_)"/>
    <numFmt numFmtId="192" formatCode="0.0"/>
    <numFmt numFmtId="193" formatCode="_(* #,##0_);_(* \(#,##0\);_(* &quot;&quot;_);_(@_)"/>
    <numFmt numFmtId="194" formatCode="[Color10][&gt;66.2]0.0;[Red][&lt;13.2]0.0;0.0"/>
    <numFmt numFmtId="195" formatCode="[Color10][&gt;100]0.0_);[Red][&lt;-50]0.0_);0.0_)"/>
    <numFmt numFmtId="196" formatCode="[Red][&gt;1.04]0.0%;[Color10][&lt;0.98]0.0%;0.0%"/>
    <numFmt numFmtId="197" formatCode="[Red][&gt;4]0.0_);[Color10][&lt;1]0.0_);0.0_)"/>
    <numFmt numFmtId="198" formatCode="[Color10][&gt;22.9]0.0;[Red][&lt;3.7]0.0;0.0"/>
    <numFmt numFmtId="199" formatCode="[Color10][&gt;52.4]0.0;[Red][&lt;11.5]0.0;0.0"/>
    <numFmt numFmtId="200" formatCode="[Color10][&gt;31.1]0.0;[Red][&lt;3.1]0.0;0.0"/>
    <numFmt numFmtId="201" formatCode="[Color10][&gt;34.1]0.0;[Red][&lt;1.8]0.0;0.0"/>
    <numFmt numFmtId="202" formatCode="#,##0\ &quot;F&quot;;[Red]\-#,##0\ &quot;F&quot;"/>
    <numFmt numFmtId="203" formatCode="#,##0.00\ &quot;F&quot;;[Red]\-#,##0.00\ &quot;F&quot;"/>
    <numFmt numFmtId="204" formatCode="[Red][&gt;0.95]0.0%;[Color10][&lt;0.93]0.0%;0.0%"/>
    <numFmt numFmtId="205" formatCode="_(* #,##0.00_);_(* \(#,##0.00\);_(* &quot;&quot;_);_(@_)"/>
    <numFmt numFmtId="206" formatCode="0.00_)"/>
    <numFmt numFmtId="207" formatCode="_(* #,##0.0_);_(* \(#,##0.0\);_(* &quot;&quot;_);_(@_)"/>
    <numFmt numFmtId="208" formatCode="&quot;$&quot;\ #,###,###,##0_);\(&quot;$&quot;\ #,###,###,##0\)_);&quot;&quot;_)"/>
    <numFmt numFmtId="209" formatCode="&quot;$&quot;\ #,###,##0.00_);\(&quot;$&quot;\ #,###,##0.00\)_);&quot;&quot;_)"/>
    <numFmt numFmtId="210" formatCode="#,###,###,##0_);\(#,###,###,##0\)_);&quot;&quot;_)"/>
    <numFmt numFmtId="211" formatCode="#,###,##0.0_);\(#,###,##0.0\);&quot;&quot;_)"/>
    <numFmt numFmtId="212" formatCode="#,###,##0.00_);\-#,###,##0.00_);&quot;&quot;_)"/>
    <numFmt numFmtId="213" formatCode="#,###,##0.000_);\-#,###,##0.000_);&quot;&quot;_)"/>
    <numFmt numFmtId="214" formatCode="#,###,###,##0_);\(#,###,###,##0\);&quot;&quot;_)"/>
    <numFmt numFmtId="215" formatCode="#,###,##0_);\-#,###,##0_)"/>
    <numFmt numFmtId="216" formatCode="#,###,##0.0_);\-#,###,##0.0_)"/>
    <numFmt numFmtId="217" formatCode="#,###,###,##0_);\-#,###,###,##0_)"/>
    <numFmt numFmtId="218" formatCode="&quot;$&quot;\ #,###,##0_);\(&quot;$&quot;\ #,###,##0\)_)"/>
    <numFmt numFmtId="219" formatCode="&quot;$&quot;\ #,###,##0.00_);\(&quot;$&quot;\ #,###,##0.00\)_)"/>
    <numFmt numFmtId="220" formatCode="#,###,##0.0_);\(#,###,##0.0\)"/>
    <numFmt numFmtId="221" formatCode="#,###,###,##0_);\(#,###,###,##0\)_)"/>
    <numFmt numFmtId="222" formatCode="#,###,##0.00_);\-#,###,##0.00_)"/>
    <numFmt numFmtId="223" formatCode="#,###,##0.000_)"/>
    <numFmt numFmtId="224" formatCode="[Red][&gt;1.07]0.0%;[Color10][&lt;0.99]0.0%;0.0%"/>
    <numFmt numFmtId="225" formatCode="[Red][&gt;4.9]0.0_);[Color10][&lt;2]0.0_);0.0_)"/>
    <numFmt numFmtId="226" formatCode="[Red][&gt;0.93]0.000_);[Color10][&lt;0.89]0.000_);0.000_)"/>
    <numFmt numFmtId="227" formatCode="[Red][&gt;4]0.0_);[Color10][&lt;0]0.0_);0.0_)"/>
    <numFmt numFmtId="228" formatCode="[Red][&gt;8]0.0_);[Color10][&lt;0]0.0_);0.0_)"/>
    <numFmt numFmtId="229" formatCode="[Red][&gt;3]0.0_);[Color10][&lt;0]0.0_);0.0_)"/>
    <numFmt numFmtId="230" formatCode="[Red][&gt;2.5]0.0_);[Color10][&lt;0.5]0.0_);0.0_)"/>
    <numFmt numFmtId="231" formatCode="[Red][&gt;600]0.0_);[Color10][&lt;400]0.0_);0.0_)"/>
    <numFmt numFmtId="232" formatCode="[Color10][&gt;101.1]0.0;[Red][&lt;15.8]0.0;0.0"/>
    <numFmt numFmtId="233" formatCode="[Red][&gt;70]0.0_);[Color10][&lt;32]0.0_);0.0_)"/>
    <numFmt numFmtId="234" formatCode="[Red][&gt;25]0.0_);[Color10][&lt;3]0.0_);0.0_)"/>
    <numFmt numFmtId="235" formatCode="_(* 0.000E+0_);_(* \-0.000E+0;_(* &quot;&quot;_);_(@_)"/>
    <numFmt numFmtId="236" formatCode="General_)"/>
    <numFmt numFmtId="237" formatCode="#####0.00"/>
    <numFmt numFmtId="238" formatCode="&quot;$&quot;#,###,##0_)"/>
    <numFmt numFmtId="239" formatCode="#,###,###,##0_)"/>
    <numFmt numFmtId="240" formatCode="#,###,##0_)"/>
    <numFmt numFmtId="241" formatCode="#,###,##0.0_)"/>
    <numFmt numFmtId="242" formatCode="#,###,##0.00_);\(#,###,##0.00\)_)"/>
    <numFmt numFmtId="243" formatCode="#,###,##0.0000_)"/>
    <numFmt numFmtId="244" formatCode="#,###,##0.0_);\-#,###,##0.0_);0.0_)"/>
    <numFmt numFmtId="245" formatCode="##0.0"/>
    <numFmt numFmtId="246" formatCode="_(* #,##0.0_);_(* \(#,##0.0\);_(* &quot;0.0&quot;_);_(@_)"/>
    <numFmt numFmtId="247" formatCode="_(* #,##0.000_);_(* \(#,##0.000\);_(* &quot;-&quot;??_);_(@_)"/>
    <numFmt numFmtId="248" formatCode="[Red][&gt;0.99]0.0%;[Color10][&lt;0.975]0.0%;0.0%"/>
    <numFmt numFmtId="249" formatCode="&quot;$&quot;#,##0"/>
    <numFmt numFmtId="250" formatCode="[$-409]mmmm\-yy;@"/>
    <numFmt numFmtId="251" formatCode="#,##0.00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name val="Courier"/>
      <family val="3"/>
    </font>
    <font>
      <sz val="11"/>
      <color indexed="14"/>
      <name val="Calibri"/>
      <family val="2"/>
    </font>
    <font>
      <sz val="11"/>
      <color indexed="20"/>
      <name val="Calibri"/>
      <family val="2"/>
    </font>
    <font>
      <b/>
      <sz val="10"/>
      <color indexed="12"/>
      <name val="Courier"/>
      <family val="3"/>
    </font>
    <font>
      <b/>
      <sz val="11"/>
      <color indexed="52"/>
      <name val="Calibri"/>
      <family val="2"/>
    </font>
    <font>
      <sz val="10"/>
      <name val="MS Sans Serif"/>
      <family val="2"/>
    </font>
    <font>
      <b/>
      <sz val="8"/>
      <name val="Arial"/>
      <family val="2"/>
    </font>
    <font>
      <b/>
      <sz val="11"/>
      <color indexed="9"/>
      <name val="Calibri"/>
      <family val="2"/>
    </font>
    <font>
      <sz val="11"/>
      <name val="Tms Rmn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0"/>
      <color indexed="50"/>
      <name val="Arial"/>
      <family val="2"/>
    </font>
    <font>
      <sz val="10"/>
      <name val="Helv"/>
    </font>
    <font>
      <sz val="10"/>
      <color indexed="8"/>
      <name val="Courier"/>
      <family val="3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i/>
      <sz val="11"/>
      <color indexed="23"/>
      <name val="Calibri"/>
      <family val="2"/>
    </font>
    <font>
      <sz val="8"/>
      <name val="Helv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sz val="10"/>
      <color indexed="9"/>
      <name val="Arial"/>
      <family val="2"/>
    </font>
    <font>
      <b/>
      <u/>
      <sz val="10"/>
      <color indexed="9"/>
      <name val="Arial"/>
      <family val="2"/>
    </font>
    <font>
      <u/>
      <sz val="10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name val="Times New Roman"/>
      <family val="1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Verdana"/>
      <family val="2"/>
    </font>
    <font>
      <sz val="10"/>
      <name val="Arial MT"/>
    </font>
    <font>
      <b/>
      <sz val="11"/>
      <color indexed="63"/>
      <name val="Calibri"/>
      <family val="2"/>
    </font>
    <font>
      <sz val="14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12"/>
      <name val="Arial"/>
      <family val="2"/>
    </font>
    <font>
      <sz val="12"/>
      <color indexed="14"/>
      <name val="MS Sans Serif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39"/>
      <name val="Arial"/>
      <family val="2"/>
    </font>
    <font>
      <sz val="10"/>
      <color indexed="14"/>
      <name val="Arial"/>
      <family val="2"/>
    </font>
    <font>
      <sz val="10"/>
      <color indexed="33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2"/>
      <color indexed="10"/>
      <name val="Arial"/>
      <family val="2"/>
    </font>
    <font>
      <sz val="11"/>
      <color indexed="12"/>
      <name val="Arial"/>
      <family val="2"/>
    </font>
    <font>
      <sz val="9"/>
      <color indexed="12"/>
      <name val="Arial"/>
      <family val="2"/>
    </font>
    <font>
      <sz val="8"/>
      <color indexed="10"/>
      <name val="Arial"/>
      <family val="2"/>
    </font>
    <font>
      <sz val="7"/>
      <color indexed="12"/>
      <name val="Arial"/>
      <family val="2"/>
    </font>
    <font>
      <sz val="6"/>
      <color indexed="10"/>
      <name val="Arial"/>
      <family val="2"/>
    </font>
    <font>
      <sz val="5"/>
      <color indexed="12"/>
      <name val="Arial"/>
      <family val="2"/>
    </font>
    <font>
      <sz val="5"/>
      <color indexed="10"/>
      <name val="Arial"/>
      <family val="2"/>
    </font>
    <font>
      <b/>
      <strike/>
      <sz val="16"/>
      <color indexed="10"/>
      <name val="Arial"/>
      <family val="2"/>
    </font>
    <font>
      <sz val="10"/>
      <color rgb="FFC00000"/>
      <name val="Helvetica"/>
      <family val="2"/>
    </font>
    <font>
      <sz val="10"/>
      <color indexed="8"/>
      <name val="Times New Roman"/>
      <family val="1"/>
    </font>
    <font>
      <sz val="11"/>
      <color indexed="10"/>
      <name val="Calibri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b/>
      <sz val="12"/>
      <color indexed="18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color rgb="FF000000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DDDD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50"/>
      </left>
      <right style="thick">
        <color indexed="50"/>
      </right>
      <top style="thick">
        <color indexed="50"/>
      </top>
      <bottom style="thick">
        <color indexed="5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</borders>
  <cellStyleXfs count="649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5" fillId="0" borderId="0"/>
    <xf numFmtId="0" fontId="16" fillId="0" borderId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8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0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0" borderId="0" applyNumberFormat="0" applyBorder="0" applyAlignment="0" applyProtection="0"/>
    <xf numFmtId="0" fontId="19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16" borderId="0" applyNumberFormat="0" applyBorder="0" applyAlignment="0" applyProtection="0"/>
    <xf numFmtId="0" fontId="20" fillId="24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25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7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2" borderId="0" applyNumberFormat="0" applyBorder="0" applyAlignment="0" applyProtection="0"/>
    <xf numFmtId="0" fontId="20" fillId="31" borderId="0" applyNumberFormat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170" fontId="24" fillId="0" borderId="0" applyFont="0" applyFill="0" applyBorder="0" applyAlignment="0" applyProtection="0">
      <protection locked="0"/>
    </xf>
    <xf numFmtId="170" fontId="24" fillId="0" borderId="0" applyFont="0" applyFill="0" applyBorder="0" applyAlignment="0" applyProtection="0">
      <protection locked="0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5" fillId="16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8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15" fillId="4" borderId="3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0" fontId="25" fillId="16" borderId="4" applyNumberFormat="0" applyAlignment="0" applyProtection="0"/>
    <xf numFmtId="172" fontId="24" fillId="0" borderId="5" applyFont="0" applyFill="0" applyBorder="0" applyAlignment="0" applyProtection="0">
      <protection locked="0"/>
    </xf>
    <xf numFmtId="172" fontId="24" fillId="0" borderId="5" applyFont="0" applyFill="0" applyBorder="0" applyAlignment="0" applyProtection="0">
      <protection locked="0"/>
    </xf>
    <xf numFmtId="173" fontId="24" fillId="0" borderId="5" applyFont="0" applyFill="0" applyBorder="0" applyAlignment="0" applyProtection="0">
      <protection locked="0"/>
    </xf>
    <xf numFmtId="173" fontId="24" fillId="0" borderId="5" applyFont="0" applyFill="0" applyBorder="0" applyAlignment="0" applyProtection="0">
      <protection locked="0"/>
    </xf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5" fontId="26" fillId="0" borderId="0" applyFont="0" applyFill="0" applyBorder="0" applyAlignment="0" applyProtection="0"/>
    <xf numFmtId="175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4" fillId="0" borderId="5" applyFont="0" applyFill="0" applyBorder="0" applyAlignment="0" applyProtection="0">
      <protection locked="0"/>
    </xf>
    <xf numFmtId="173" fontId="24" fillId="0" borderId="5" applyFont="0" applyFill="0" applyBorder="0" applyAlignment="0" applyProtection="0">
      <protection locked="0"/>
    </xf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0" fontId="27" fillId="0" borderId="0" applyNumberFormat="0" applyFont="0" applyFill="0" applyBorder="0" applyProtection="0">
      <alignment horizontal="centerContinuous"/>
    </xf>
    <xf numFmtId="0" fontId="28" fillId="32" borderId="6" applyNumberFormat="0" applyAlignment="0" applyProtection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9" fontId="5" fillId="0" borderId="0" applyFont="0" applyFill="0" applyBorder="0" applyAlignment="0">
      <protection hidden="1"/>
    </xf>
    <xf numFmtId="179" fontId="5" fillId="0" borderId="0" applyFont="0" applyFill="0" applyBorder="0" applyAlignment="0">
      <protection hidden="1"/>
    </xf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/>
    <xf numFmtId="181" fontId="5" fillId="0" borderId="0"/>
    <xf numFmtId="4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31" fillId="0" borderId="0" applyFill="0" applyBorder="0" applyAlignment="0" applyProtection="0"/>
    <xf numFmtId="3" fontId="31" fillId="0" borderId="0" applyFill="0" applyBorder="0" applyAlignment="0" applyProtection="0"/>
    <xf numFmtId="0" fontId="32" fillId="33" borderId="1" applyNumberFormat="0">
      <alignment horizontal="left" vertical="top"/>
      <protection locked="0"/>
    </xf>
    <xf numFmtId="3" fontId="33" fillId="34" borderId="0" applyFont="0" applyBorder="0" applyAlignment="0" applyProtection="0"/>
    <xf numFmtId="182" fontId="33" fillId="35" borderId="0" applyFont="0" applyBorder="0" applyAlignment="0" applyProtection="0"/>
    <xf numFmtId="183" fontId="34" fillId="16" borderId="2" applyFont="0" applyFill="0" applyBorder="0" applyAlignment="0" applyProtection="0">
      <protection locked="0"/>
    </xf>
    <xf numFmtId="184" fontId="34" fillId="16" borderId="2" applyFont="0" applyFill="0" applyBorder="0" applyAlignment="0" applyProtection="0">
      <protection locked="0"/>
    </xf>
    <xf numFmtId="185" fontId="24" fillId="0" borderId="0" applyFont="0" applyFill="0" applyBorder="0" applyAlignment="0" applyProtection="0">
      <protection locked="0"/>
    </xf>
    <xf numFmtId="185" fontId="24" fillId="0" borderId="0" applyFont="0" applyFill="0" applyBorder="0" applyAlignment="0" applyProtection="0">
      <protection locked="0"/>
    </xf>
    <xf numFmtId="186" fontId="35" fillId="0" borderId="5" applyFont="0" applyFill="0" applyBorder="0" applyAlignment="0" applyProtection="0"/>
    <xf numFmtId="186" fontId="35" fillId="0" borderId="5" applyFont="0" applyFill="0" applyBorder="0" applyAlignment="0" applyProtection="0"/>
    <xf numFmtId="187" fontId="35" fillId="0" borderId="5" applyFont="0" applyFill="0" applyBorder="0" applyAlignment="0" applyProtection="0"/>
    <xf numFmtId="187" fontId="35" fillId="0" borderId="5" applyFont="0" applyFill="0" applyBorder="0" applyAlignment="0" applyProtection="0"/>
    <xf numFmtId="173" fontId="24" fillId="0" borderId="5" applyFont="0" applyFill="0" applyBorder="0" applyAlignment="0" applyProtection="0">
      <protection locked="0"/>
    </xf>
    <xf numFmtId="173" fontId="24" fillId="0" borderId="5" applyFont="0" applyFill="0" applyBorder="0" applyAlignment="0" applyProtection="0">
      <protection locked="0"/>
    </xf>
    <xf numFmtId="6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31" fillId="0" borderId="0" applyFill="0" applyBorder="0" applyAlignment="0" applyProtection="0"/>
    <xf numFmtId="5" fontId="31" fillId="0" borderId="0" applyFill="0" applyBorder="0" applyAlignment="0" applyProtection="0"/>
    <xf numFmtId="188" fontId="5" fillId="0" borderId="0" applyFont="0" applyFill="0" applyBorder="0" applyAlignment="0" applyProtection="0"/>
    <xf numFmtId="8" fontId="26" fillId="0" borderId="0" applyFont="0" applyFill="0" applyBorder="0" applyAlignment="0" applyProtection="0"/>
    <xf numFmtId="8" fontId="26" fillId="0" borderId="0" applyFont="0" applyFill="0" applyBorder="0" applyAlignment="0" applyProtection="0"/>
    <xf numFmtId="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9" fontId="36" fillId="0" borderId="1">
      <alignment horizontal="center"/>
      <protection locked="0"/>
    </xf>
    <xf numFmtId="1" fontId="37" fillId="0" borderId="5"/>
    <xf numFmtId="49" fontId="36" fillId="36" borderId="1">
      <alignment vertical="top"/>
      <protection locked="0"/>
    </xf>
    <xf numFmtId="0" fontId="36" fillId="0" borderId="5"/>
    <xf numFmtId="190" fontId="37" fillId="0" borderId="0">
      <alignment horizontal="left"/>
    </xf>
    <xf numFmtId="191" fontId="36" fillId="0" borderId="7">
      <protection locked="0"/>
    </xf>
    <xf numFmtId="3" fontId="5" fillId="0" borderId="0" applyFont="0" applyFill="0" applyBorder="0" applyAlignment="0" applyProtection="0">
      <protection hidden="1"/>
    </xf>
    <xf numFmtId="192" fontId="33" fillId="0" borderId="0">
      <protection hidden="1"/>
    </xf>
    <xf numFmtId="165" fontId="33" fillId="0" borderId="0" applyFont="0" applyFill="0" applyBorder="0" applyAlignment="0" applyProtection="0"/>
    <xf numFmtId="43" fontId="5" fillId="0" borderId="0" applyFill="0" applyAlignment="0" applyProtection="0"/>
    <xf numFmtId="43" fontId="5" fillId="0" borderId="0" applyFill="0" applyAlignment="0" applyProtection="0"/>
    <xf numFmtId="193" fontId="5" fillId="0" borderId="0">
      <alignment horizontal="center"/>
      <protection hidden="1"/>
    </xf>
    <xf numFmtId="0" fontId="38" fillId="0" borderId="0" applyNumberFormat="0" applyFill="0" applyBorder="0" applyAlignment="0" applyProtection="0"/>
    <xf numFmtId="2" fontId="31" fillId="0" borderId="0" applyFill="0" applyBorder="0" applyAlignment="0" applyProtection="0"/>
    <xf numFmtId="2" fontId="31" fillId="0" borderId="0" applyFill="0" applyBorder="0" applyAlignment="0" applyProtection="0"/>
    <xf numFmtId="0" fontId="39" fillId="0" borderId="0"/>
    <xf numFmtId="194" fontId="24" fillId="0" borderId="0" applyFont="0" applyFill="0" applyBorder="0" applyAlignment="0" applyProtection="0">
      <protection locked="0"/>
    </xf>
    <xf numFmtId="194" fontId="24" fillId="0" borderId="0" applyFont="0" applyFill="0" applyBorder="0" applyAlignment="0" applyProtection="0">
      <protection locked="0"/>
    </xf>
    <xf numFmtId="0" fontId="40" fillId="13" borderId="0" applyNumberFormat="0" applyBorder="0" applyAlignment="0" applyProtection="0"/>
    <xf numFmtId="0" fontId="13" fillId="2" borderId="0" applyNumberFormat="0" applyBorder="0" applyAlignment="0" applyProtection="0"/>
    <xf numFmtId="0" fontId="32" fillId="33" borderId="0">
      <protection hidden="1"/>
    </xf>
    <xf numFmtId="195" fontId="35" fillId="0" borderId="0" applyFont="0" applyFill="0" applyBorder="0" applyAlignment="0" applyProtection="0"/>
    <xf numFmtId="0" fontId="41" fillId="0" borderId="8" applyNumberFormat="0" applyAlignment="0" applyProtection="0">
      <alignment horizontal="left" vertical="center"/>
    </xf>
    <xf numFmtId="0" fontId="41" fillId="0" borderId="9">
      <alignment horizontal="left" vertical="center"/>
    </xf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4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6" fillId="0" borderId="13" applyNumberFormat="0" applyFill="0" applyAlignment="0" applyProtection="0"/>
    <xf numFmtId="0" fontId="47" fillId="0" borderId="14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/>
    <xf numFmtId="0" fontId="49" fillId="37" borderId="0">
      <alignment horizontal="left" vertical="top"/>
    </xf>
    <xf numFmtId="196" fontId="35" fillId="0" borderId="0" applyFont="0" applyFill="0" applyBorder="0" applyAlignment="0" applyProtection="0"/>
    <xf numFmtId="197" fontId="35" fillId="0" borderId="5" applyFont="0" applyFill="0" applyBorder="0" applyAlignment="0" applyProtection="0"/>
    <xf numFmtId="197" fontId="35" fillId="0" borderId="5" applyFont="0" applyFill="0" applyBorder="0" applyAlignment="0" applyProtection="0"/>
    <xf numFmtId="198" fontId="24" fillId="0" borderId="0" applyFont="0" applyFill="0" applyBorder="0" applyAlignment="0" applyProtection="0">
      <protection locked="0"/>
    </xf>
    <xf numFmtId="198" fontId="24" fillId="0" borderId="0" applyFont="0" applyFill="0" applyBorder="0" applyAlignment="0" applyProtection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0" fontId="51" fillId="10" borderId="4" applyNumberFormat="0" applyAlignment="0" applyProtection="0"/>
    <xf numFmtId="199" fontId="24" fillId="0" borderId="0" applyFont="0" applyFill="0" applyBorder="0" applyAlignment="0" applyProtection="0">
      <protection locked="0"/>
    </xf>
    <xf numFmtId="199" fontId="24" fillId="0" borderId="0" applyFont="0" applyFill="0" applyBorder="0" applyAlignment="0" applyProtection="0">
      <protection locked="0"/>
    </xf>
    <xf numFmtId="0" fontId="52" fillId="0" borderId="15" applyNumberFormat="0" applyFill="0" applyAlignment="0" applyProtection="0"/>
    <xf numFmtId="49" fontId="36" fillId="0" borderId="16" applyAlignment="0">
      <alignment horizontal="left"/>
      <protection locked="0"/>
    </xf>
    <xf numFmtId="0" fontId="21" fillId="0" borderId="0" applyFont="0" applyFill="0" applyBorder="0" applyAlignment="0" applyProtection="0">
      <protection locked="0"/>
    </xf>
    <xf numFmtId="0" fontId="21" fillId="0" borderId="0" applyFont="0" applyFill="0" applyBorder="0" applyAlignment="0" applyProtection="0">
      <protection locked="0"/>
    </xf>
    <xf numFmtId="193" fontId="36" fillId="0" borderId="16">
      <protection locked="0"/>
    </xf>
    <xf numFmtId="184" fontId="35" fillId="0" borderId="0" applyFont="0" applyFill="0" applyBorder="0" applyAlignment="0" applyProtection="0"/>
    <xf numFmtId="200" fontId="24" fillId="0" borderId="0" applyFont="0" applyFill="0" applyBorder="0" applyAlignment="0" applyProtection="0">
      <protection locked="0"/>
    </xf>
    <xf numFmtId="200" fontId="24" fillId="0" borderId="0" applyFont="0" applyFill="0" applyBorder="0" applyAlignment="0" applyProtection="0">
      <protection locked="0"/>
    </xf>
    <xf numFmtId="201" fontId="24" fillId="0" borderId="0" applyFont="0" applyFill="0" applyBorder="0" applyAlignment="0" applyProtection="0">
      <protection locked="0"/>
    </xf>
    <xf numFmtId="201" fontId="24" fillId="0" borderId="0" applyFont="0" applyFill="0" applyBorder="0" applyAlignment="0" applyProtection="0">
      <protection locked="0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8" fontId="53" fillId="0" borderId="0" applyFont="0" applyFill="0" applyBorder="0" applyAlignment="0" applyProtection="0"/>
    <xf numFmtId="40" fontId="53" fillId="0" borderId="0" applyFont="0" applyFill="0" applyBorder="0" applyAlignment="0" applyProtection="0"/>
    <xf numFmtId="49" fontId="36" fillId="0" borderId="16" applyAlignment="0">
      <alignment horizontal="left"/>
      <protection locked="0"/>
    </xf>
    <xf numFmtId="0" fontId="24" fillId="0" borderId="0" applyFont="0" applyFill="0" applyBorder="0" applyAlignment="0" applyProtection="0">
      <protection locked="0"/>
    </xf>
    <xf numFmtId="0" fontId="24" fillId="0" borderId="0" applyFont="0" applyFill="0" applyBorder="0" applyAlignment="0" applyProtection="0">
      <protection locked="0"/>
    </xf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202" fontId="53" fillId="0" borderId="0" applyFont="0" applyFill="0" applyBorder="0" applyAlignment="0" applyProtection="0"/>
    <xf numFmtId="203" fontId="53" fillId="0" borderId="0" applyFont="0" applyFill="0" applyBorder="0" applyAlignment="0" applyProtection="0"/>
    <xf numFmtId="204" fontId="34" fillId="16" borderId="2" applyFont="0" applyFill="0" applyBorder="0" applyAlignment="0" applyProtection="0">
      <protection locked="0"/>
    </xf>
    <xf numFmtId="0" fontId="54" fillId="19" borderId="0" applyNumberFormat="0" applyBorder="0" applyAlignment="0" applyProtection="0"/>
    <xf numFmtId="0" fontId="14" fillId="3" borderId="0" applyNumberFormat="0" applyBorder="0" applyAlignment="0" applyProtection="0"/>
    <xf numFmtId="205" fontId="5" fillId="38" borderId="0" applyNumberFormat="0" applyFont="0" applyBorder="0" applyAlignment="0" applyProtection="0"/>
    <xf numFmtId="205" fontId="5" fillId="38" borderId="0" applyNumberFormat="0" applyFont="0" applyBorder="0" applyAlignment="0" applyProtection="0"/>
    <xf numFmtId="206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1" fillId="0" borderId="0"/>
    <xf numFmtId="0" fontId="30" fillId="0" borderId="0"/>
    <xf numFmtId="0" fontId="5" fillId="0" borderId="17"/>
    <xf numFmtId="0" fontId="5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19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0" fontId="5" fillId="12" borderId="18" applyNumberFormat="0" applyFont="0" applyAlignment="0" applyProtection="0"/>
    <xf numFmtId="193" fontId="5" fillId="0" borderId="0" applyFont="0" applyBorder="0" applyAlignment="0">
      <protection hidden="1"/>
    </xf>
    <xf numFmtId="193" fontId="5" fillId="0" borderId="0" applyFont="0" applyBorder="0" applyAlignment="0">
      <protection hidden="1"/>
    </xf>
    <xf numFmtId="207" fontId="5" fillId="0" borderId="0" applyFont="0" applyFill="0" applyBorder="0" applyAlignment="0">
      <protection hidden="1"/>
    </xf>
    <xf numFmtId="207" fontId="5" fillId="0" borderId="0" applyFont="0" applyFill="0" applyBorder="0" applyAlignment="0">
      <protection hidden="1"/>
    </xf>
    <xf numFmtId="205" fontId="5" fillId="0" borderId="0">
      <protection hidden="1"/>
    </xf>
    <xf numFmtId="205" fontId="5" fillId="0" borderId="0">
      <protection hidden="1"/>
    </xf>
    <xf numFmtId="0" fontId="5" fillId="0" borderId="0"/>
    <xf numFmtId="0" fontId="5" fillId="0" borderId="0"/>
    <xf numFmtId="0" fontId="5" fillId="0" borderId="0"/>
    <xf numFmtId="0" fontId="5" fillId="0" borderId="0"/>
    <xf numFmtId="192" fontId="57" fillId="0" borderId="0"/>
    <xf numFmtId="0" fontId="58" fillId="16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8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0" fontId="58" fillId="16" borderId="19" applyNumberFormat="0" applyAlignment="0" applyProtection="0"/>
    <xf numFmtId="208" fontId="5" fillId="0" borderId="0">
      <protection hidden="1"/>
    </xf>
    <xf numFmtId="209" fontId="5" fillId="0" borderId="0">
      <protection hidden="1"/>
    </xf>
    <xf numFmtId="210" fontId="5" fillId="0" borderId="0">
      <protection hidden="1"/>
    </xf>
    <xf numFmtId="211" fontId="5" fillId="0" borderId="0">
      <protection hidden="1"/>
    </xf>
    <xf numFmtId="212" fontId="5" fillId="0" borderId="0">
      <protection hidden="1"/>
    </xf>
    <xf numFmtId="213" fontId="5" fillId="0" borderId="0">
      <protection hidden="1"/>
    </xf>
    <xf numFmtId="214" fontId="5" fillId="0" borderId="1">
      <protection hidden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59" fillId="0" borderId="0"/>
    <xf numFmtId="192" fontId="59" fillId="0" borderId="0"/>
    <xf numFmtId="173" fontId="26" fillId="0" borderId="0"/>
    <xf numFmtId="173" fontId="26" fillId="0" borderId="0"/>
    <xf numFmtId="215" fontId="60" fillId="0" borderId="0"/>
    <xf numFmtId="216" fontId="60" fillId="0" borderId="0"/>
    <xf numFmtId="206" fontId="60" fillId="0" borderId="0"/>
    <xf numFmtId="178" fontId="60" fillId="0" borderId="0"/>
    <xf numFmtId="217" fontId="60" fillId="0" borderId="0"/>
    <xf numFmtId="218" fontId="5" fillId="0" borderId="0"/>
    <xf numFmtId="219" fontId="5" fillId="0" borderId="0"/>
    <xf numFmtId="220" fontId="4" fillId="0" borderId="0"/>
    <xf numFmtId="221" fontId="4" fillId="0" borderId="0"/>
    <xf numFmtId="222" fontId="4" fillId="0" borderId="0"/>
    <xf numFmtId="223" fontId="61" fillId="0" borderId="0"/>
    <xf numFmtId="41" fontId="5" fillId="0" borderId="0" applyNumberFormat="0" applyFont="0" applyFill="0" applyBorder="0" applyAlignment="0"/>
    <xf numFmtId="1" fontId="61" fillId="0" borderId="0">
      <alignment horizontal="center"/>
    </xf>
    <xf numFmtId="41" fontId="5" fillId="0" borderId="0" applyNumberFormat="0" applyFont="0" applyFill="0" applyBorder="0" applyAlignment="0"/>
    <xf numFmtId="41" fontId="5" fillId="0" borderId="0" applyNumberFormat="0" applyFont="0" applyFill="0" applyBorder="0" applyAlignment="0"/>
    <xf numFmtId="1" fontId="62" fillId="0" borderId="16">
      <alignment horizontal="center"/>
      <protection locked="0"/>
    </xf>
    <xf numFmtId="224" fontId="34" fillId="16" borderId="2" applyFont="0" applyFill="0" applyBorder="0" applyAlignment="0" applyProtection="0">
      <protection locked="0"/>
    </xf>
    <xf numFmtId="225" fontId="35" fillId="0" borderId="5" applyFont="0" applyFill="0" applyBorder="0" applyAlignment="0" applyProtection="0"/>
    <xf numFmtId="225" fontId="35" fillId="0" borderId="5" applyFont="0" applyFill="0" applyBorder="0" applyAlignment="0" applyProtection="0"/>
    <xf numFmtId="226" fontId="35" fillId="0" borderId="5" applyFont="0" applyFill="0" applyBorder="0" applyAlignment="0" applyProtection="0"/>
    <xf numFmtId="226" fontId="35" fillId="0" borderId="5" applyFont="0" applyFill="0" applyBorder="0" applyAlignment="0" applyProtection="0"/>
    <xf numFmtId="227" fontId="35" fillId="0" borderId="5" applyFont="0" applyFill="0" applyBorder="0" applyAlignment="0" applyProtection="0"/>
    <xf numFmtId="227" fontId="35" fillId="0" borderId="5" applyFont="0" applyFill="0" applyBorder="0" applyAlignment="0" applyProtection="0"/>
    <xf numFmtId="228" fontId="35" fillId="0" borderId="5" applyFont="0" applyFill="0" applyBorder="0" applyAlignment="0" applyProtection="0"/>
    <xf numFmtId="228" fontId="35" fillId="0" borderId="5" applyFont="0" applyFill="0" applyBorder="0" applyAlignment="0" applyProtection="0"/>
    <xf numFmtId="229" fontId="26" fillId="0" borderId="0"/>
    <xf numFmtId="229" fontId="26" fillId="0" borderId="0"/>
    <xf numFmtId="230" fontId="35" fillId="0" borderId="5" applyFont="0" applyFill="0" applyBorder="0" applyAlignment="0" applyProtection="0"/>
    <xf numFmtId="230" fontId="35" fillId="0" borderId="5" applyFont="0" applyFill="0" applyBorder="0" applyAlignment="0" applyProtection="0"/>
    <xf numFmtId="231" fontId="26" fillId="0" borderId="0"/>
    <xf numFmtId="231" fontId="26" fillId="0" borderId="0"/>
    <xf numFmtId="173" fontId="63" fillId="0" borderId="0" applyBorder="0" applyAlignment="0" applyProtection="0"/>
    <xf numFmtId="173" fontId="63" fillId="0" borderId="0" applyBorder="0" applyAlignment="0" applyProtection="0"/>
    <xf numFmtId="1" fontId="37" fillId="0" borderId="0"/>
    <xf numFmtId="232" fontId="24" fillId="0" borderId="5" applyFont="0" applyFill="0" applyBorder="0" applyAlignment="0" applyProtection="0">
      <protection locked="0"/>
    </xf>
    <xf numFmtId="232" fontId="24" fillId="0" borderId="5" applyFont="0" applyFill="0" applyBorder="0" applyAlignment="0" applyProtection="0">
      <protection locked="0"/>
    </xf>
    <xf numFmtId="233" fontId="35" fillId="0" borderId="0" applyFont="0" applyFill="0" applyBorder="0" applyAlignment="0" applyProtection="0"/>
    <xf numFmtId="233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234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235" fontId="60" fillId="0" borderId="0"/>
    <xf numFmtId="0" fontId="39" fillId="0" borderId="20"/>
    <xf numFmtId="207" fontId="36" fillId="0" borderId="16">
      <protection locked="0"/>
    </xf>
    <xf numFmtId="236" fontId="3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Protection="0">
      <alignment horizontal="center"/>
    </xf>
    <xf numFmtId="0" fontId="65" fillId="0" borderId="0" applyNumberFormat="0" applyFill="0" applyBorder="0" applyProtection="0">
      <alignment horizontal="center"/>
    </xf>
    <xf numFmtId="0" fontId="64" fillId="0" borderId="0" applyNumberFormat="0" applyFill="0" applyBorder="0" applyProtection="0">
      <alignment horizontal="center"/>
    </xf>
    <xf numFmtId="0" fontId="64" fillId="0" borderId="0" applyNumberFormat="0" applyFill="0" applyBorder="0" applyProtection="0">
      <alignment horizontal="center"/>
    </xf>
    <xf numFmtId="4" fontId="65" fillId="0" borderId="0" applyFill="0" applyBorder="0" applyAlignment="0" applyProtection="0"/>
    <xf numFmtId="4" fontId="65" fillId="0" borderId="0" applyFill="0" applyBorder="0" applyAlignment="0" applyProtection="0"/>
    <xf numFmtId="4" fontId="66" fillId="0" borderId="0" applyFill="0" applyBorder="0" applyAlignment="0" applyProtection="0"/>
    <xf numFmtId="4" fontId="66" fillId="0" borderId="0" applyFill="0" applyBorder="0" applyAlignment="0" applyProtection="0"/>
    <xf numFmtId="237" fontId="5" fillId="0" borderId="0" applyFont="0" applyFill="0" applyBorder="0" applyAlignment="0" applyProtection="0"/>
    <xf numFmtId="237" fontId="5" fillId="0" borderId="0" applyFont="0" applyFill="0" applyBorder="0" applyAlignment="0" applyProtection="0"/>
    <xf numFmtId="237" fontId="5" fillId="0" borderId="0" applyFont="0" applyFill="0" applyBorder="0" applyAlignment="0" applyProtection="0"/>
    <xf numFmtId="237" fontId="5" fillId="0" borderId="0" applyFont="0" applyFill="0" applyBorder="0" applyAlignment="0" applyProtection="0"/>
    <xf numFmtId="0" fontId="67" fillId="0" borderId="5" applyFont="0" applyBorder="0" applyProtection="0">
      <alignment horizontal="center"/>
      <protection locked="0"/>
    </xf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" fillId="39" borderId="0">
      <alignment horizontal="left"/>
    </xf>
    <xf numFmtId="0" fontId="4" fillId="39" borderId="0">
      <alignment horizontal="left"/>
    </xf>
    <xf numFmtId="0" fontId="4" fillId="39" borderId="0">
      <alignment horizontal="left"/>
    </xf>
    <xf numFmtId="49" fontId="36" fillId="0" borderId="1">
      <alignment vertical="top"/>
      <protection locked="0"/>
    </xf>
    <xf numFmtId="0" fontId="71" fillId="0" borderId="21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1" fontId="5" fillId="0" borderId="0">
      <alignment horizontal="center"/>
    </xf>
    <xf numFmtId="238" fontId="60" fillId="0" borderId="1">
      <protection locked="0"/>
    </xf>
    <xf numFmtId="219" fontId="36" fillId="0" borderId="16">
      <protection locked="0"/>
    </xf>
    <xf numFmtId="239" fontId="36" fillId="0" borderId="1">
      <protection locked="0"/>
    </xf>
    <xf numFmtId="221" fontId="36" fillId="0" borderId="16">
      <protection locked="0"/>
    </xf>
    <xf numFmtId="239" fontId="36" fillId="0" borderId="16">
      <protection locked="0"/>
    </xf>
    <xf numFmtId="49" fontId="36" fillId="0" borderId="1">
      <alignment vertical="top"/>
      <protection locked="0"/>
    </xf>
    <xf numFmtId="240" fontId="36" fillId="0" borderId="16">
      <protection locked="0"/>
    </xf>
    <xf numFmtId="241" fontId="36" fillId="0" borderId="16">
      <protection locked="0"/>
    </xf>
    <xf numFmtId="242" fontId="62" fillId="0" borderId="16">
      <protection locked="0"/>
    </xf>
    <xf numFmtId="223" fontId="62" fillId="0" borderId="16">
      <protection locked="0"/>
    </xf>
    <xf numFmtId="243" fontId="62" fillId="0" borderId="16">
      <protection locked="0"/>
    </xf>
    <xf numFmtId="244" fontId="62" fillId="0" borderId="16">
      <protection locked="0"/>
    </xf>
    <xf numFmtId="49" fontId="36" fillId="0" borderId="16">
      <alignment horizontal="center"/>
      <protection locked="0"/>
    </xf>
    <xf numFmtId="49" fontId="36" fillId="0" borderId="16">
      <protection locked="0"/>
    </xf>
    <xf numFmtId="221" fontId="36" fillId="0" borderId="16">
      <protection locked="0"/>
    </xf>
    <xf numFmtId="245" fontId="36" fillId="0" borderId="16">
      <protection locked="0"/>
    </xf>
    <xf numFmtId="219" fontId="36" fillId="0" borderId="16">
      <protection locked="0"/>
    </xf>
    <xf numFmtId="221" fontId="36" fillId="0" borderId="1">
      <protection locked="0"/>
    </xf>
    <xf numFmtId="246" fontId="36" fillId="0" borderId="1">
      <protection locked="0"/>
    </xf>
    <xf numFmtId="43" fontId="36" fillId="0" borderId="1">
      <protection locked="0"/>
    </xf>
    <xf numFmtId="247" fontId="36" fillId="0" borderId="1">
      <protection locked="0"/>
    </xf>
    <xf numFmtId="243" fontId="62" fillId="0" borderId="16">
      <protection locked="0"/>
    </xf>
    <xf numFmtId="245" fontId="36" fillId="0" borderId="16">
      <protection locked="0"/>
    </xf>
    <xf numFmtId="217" fontId="62" fillId="0" borderId="16">
      <protection locked="0"/>
    </xf>
    <xf numFmtId="49" fontId="36" fillId="34" borderId="16" applyAlignment="0">
      <alignment horizontal="left"/>
      <protection locked="0"/>
    </xf>
    <xf numFmtId="0" fontId="72" fillId="0" borderId="0" applyNumberFormat="0" applyFill="0" applyBorder="0" applyProtection="0">
      <alignment horizontal="left"/>
    </xf>
    <xf numFmtId="0" fontId="72" fillId="0" borderId="0" applyNumberFormat="0" applyFill="0" applyBorder="0" applyProtection="0">
      <alignment horizontal="left"/>
    </xf>
    <xf numFmtId="0" fontId="73" fillId="0" borderId="0" applyNumberFormat="0" applyFill="0" applyBorder="0" applyProtection="0">
      <alignment horizontal="left"/>
    </xf>
    <xf numFmtId="0" fontId="73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5" fillId="0" borderId="0" applyNumberFormat="0" applyFill="0" applyBorder="0" applyProtection="0">
      <alignment horizontal="left"/>
    </xf>
    <xf numFmtId="0" fontId="75" fillId="0" borderId="0" applyNumberFormat="0" applyFill="0" applyBorder="0" applyProtection="0">
      <alignment horizontal="left"/>
    </xf>
    <xf numFmtId="0" fontId="76" fillId="0" borderId="0" applyNumberFormat="0" applyFill="0" applyBorder="0" applyProtection="0">
      <alignment horizontal="left"/>
    </xf>
    <xf numFmtId="0" fontId="76" fillId="0" borderId="0" applyNumberFormat="0" applyFill="0" applyBorder="0" applyProtection="0">
      <alignment horizontal="left"/>
    </xf>
    <xf numFmtId="168" fontId="77" fillId="0" borderId="0" applyNumberFormat="0" applyFill="0" applyBorder="0" applyProtection="0">
      <alignment horizontal="left"/>
      <protection locked="0"/>
    </xf>
    <xf numFmtId="168" fontId="77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0" fontId="72" fillId="0" borderId="0" applyNumberFormat="0" applyFill="0" applyBorder="0" applyProtection="0">
      <alignment horizontal="left"/>
    </xf>
    <xf numFmtId="0" fontId="72" fillId="0" borderId="0" applyNumberFormat="0" applyFill="0" applyBorder="0" applyProtection="0">
      <alignment horizontal="left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0" fontId="73" fillId="0" borderId="0" applyNumberFormat="0" applyFill="0" applyBorder="0" applyProtection="0">
      <alignment horizontal="left"/>
    </xf>
    <xf numFmtId="0" fontId="73" fillId="0" borderId="0" applyNumberFormat="0" applyFill="0" applyBorder="0" applyProtection="0">
      <alignment horizontal="left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168" fontId="75" fillId="0" borderId="0" applyNumberFormat="0" applyFill="0" applyBorder="0" applyProtection="0">
      <alignment horizontal="left"/>
      <protection locked="0"/>
    </xf>
    <xf numFmtId="168" fontId="75" fillId="0" borderId="0" applyNumberFormat="0" applyFill="0" applyBorder="0" applyProtection="0">
      <alignment horizontal="left"/>
      <protection locked="0"/>
    </xf>
    <xf numFmtId="168" fontId="76" fillId="0" borderId="0" applyNumberFormat="0" applyFill="0" applyBorder="0" applyProtection="0">
      <alignment horizontal="left"/>
      <protection locked="0"/>
    </xf>
    <xf numFmtId="168" fontId="76" fillId="0" borderId="0" applyNumberFormat="0" applyFill="0" applyBorder="0" applyProtection="0">
      <alignment horizontal="left"/>
      <protection locked="0"/>
    </xf>
    <xf numFmtId="168" fontId="77" fillId="0" borderId="0" applyNumberFormat="0" applyFill="0" applyBorder="0" applyProtection="0">
      <alignment horizontal="left"/>
      <protection locked="0"/>
    </xf>
    <xf numFmtId="168" fontId="77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8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79" fillId="0" borderId="0" applyNumberFormat="0" applyFill="0" applyBorder="0" applyProtection="0">
      <alignment horizontal="left"/>
      <protection locked="0"/>
    </xf>
    <xf numFmtId="168" fontId="80" fillId="0" borderId="0" applyNumberFormat="0" applyFill="0" applyBorder="0" applyAlignment="0" applyProtection="0">
      <alignment horizontal="center"/>
    </xf>
    <xf numFmtId="168" fontId="80" fillId="0" borderId="0" applyNumberFormat="0" applyFill="0" applyBorder="0" applyAlignment="0" applyProtection="0">
      <alignment horizontal="center"/>
    </xf>
    <xf numFmtId="0" fontId="5" fillId="0" borderId="23" applyBorder="0">
      <protection locked="0"/>
    </xf>
    <xf numFmtId="0" fontId="5" fillId="0" borderId="23" applyBorder="0">
      <protection locked="0"/>
    </xf>
    <xf numFmtId="0" fontId="81" fillId="40" borderId="1"/>
    <xf numFmtId="192" fontId="82" fillId="41" borderId="0" applyNumberFormat="0" applyFont="0" applyBorder="0" applyAlignment="0" applyProtection="0">
      <alignment horizontal="center"/>
    </xf>
    <xf numFmtId="248" fontId="34" fillId="16" borderId="2" applyFont="0" applyFill="0" applyBorder="0" applyAlignment="0" applyProtection="0">
      <protection locked="0"/>
    </xf>
    <xf numFmtId="0" fontId="83" fillId="0" borderId="0" applyNumberFormat="0" applyFill="0" applyBorder="0" applyAlignment="0" applyProtection="0"/>
    <xf numFmtId="0" fontId="36" fillId="39" borderId="5"/>
    <xf numFmtId="49" fontId="36" fillId="0" borderId="1">
      <alignment horizontal="center"/>
      <protection locked="0"/>
    </xf>
    <xf numFmtId="0" fontId="84" fillId="0" borderId="0" applyNumberFormat="0" applyFill="0" applyBorder="0" applyAlignment="0" applyProtection="0"/>
    <xf numFmtId="0" fontId="5" fillId="0" borderId="0"/>
    <xf numFmtId="0" fontId="85" fillId="0" borderId="0"/>
    <xf numFmtId="9" fontId="5" fillId="0" borderId="0" applyFont="0" applyFill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" fillId="0" borderId="0"/>
    <xf numFmtId="0" fontId="94" fillId="0" borderId="0"/>
    <xf numFmtId="0" fontId="9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115">
    <xf numFmtId="0" fontId="0" fillId="0" borderId="0" xfId="0"/>
    <xf numFmtId="164" fontId="0" fillId="0" borderId="0" xfId="0" applyNumberFormat="1"/>
    <xf numFmtId="0" fontId="7" fillId="0" borderId="0" xfId="0" applyFont="1"/>
    <xf numFmtId="10" fontId="7" fillId="0" borderId="0" xfId="0" applyNumberFormat="1" applyFont="1"/>
    <xf numFmtId="164" fontId="7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2" fillId="0" borderId="0" xfId="1" applyFill="1" applyAlignment="1" applyProtection="1"/>
    <xf numFmtId="3" fontId="0" fillId="0" borderId="0" xfId="0" applyNumberFormat="1"/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2" xfId="0" applyNumberFormat="1" applyFont="1" applyBorder="1" applyAlignment="1">
      <alignment horizontal="right"/>
    </xf>
    <xf numFmtId="166" fontId="0" fillId="0" borderId="0" xfId="0" applyNumberFormat="1"/>
    <xf numFmtId="166" fontId="7" fillId="0" borderId="0" xfId="0" applyNumberFormat="1" applyFont="1"/>
    <xf numFmtId="164" fontId="2" fillId="0" borderId="0" xfId="1" applyNumberFormat="1" applyFill="1" applyAlignment="1" applyProtection="1"/>
    <xf numFmtId="164" fontId="3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1" fontId="0" fillId="0" borderId="0" xfId="0" applyNumberFormat="1"/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center" vertical="center" wrapText="1"/>
    </xf>
    <xf numFmtId="42" fontId="7" fillId="0" borderId="0" xfId="0" applyNumberFormat="1" applyFont="1"/>
    <xf numFmtId="42" fontId="7" fillId="0" borderId="0" xfId="0" applyNumberFormat="1" applyFont="1" applyAlignment="1">
      <alignment wrapText="1"/>
    </xf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 wrapText="1"/>
    </xf>
    <xf numFmtId="167" fontId="7" fillId="0" borderId="0" xfId="0" applyNumberFormat="1" applyFont="1"/>
    <xf numFmtId="167" fontId="7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wrapText="1"/>
    </xf>
    <xf numFmtId="2" fontId="5" fillId="0" borderId="0" xfId="0" applyNumberFormat="1" applyFont="1" applyAlignment="1">
      <alignment horizontal="right"/>
    </xf>
    <xf numFmtId="0" fontId="7" fillId="0" borderId="0" xfId="0" quotePrefix="1" applyFont="1"/>
    <xf numFmtId="0" fontId="12" fillId="0" borderId="0" xfId="0" applyFont="1"/>
    <xf numFmtId="164" fontId="7" fillId="0" borderId="0" xfId="0" quotePrefix="1" applyNumberFormat="1" applyFont="1"/>
    <xf numFmtId="249" fontId="17" fillId="7" borderId="0" xfId="6" applyNumberFormat="1" applyFill="1"/>
    <xf numFmtId="249" fontId="17" fillId="7" borderId="0" xfId="6" applyNumberFormat="1" applyFill="1" applyBorder="1"/>
    <xf numFmtId="249" fontId="17" fillId="42" borderId="0" xfId="6" applyNumberFormat="1" applyFill="1"/>
    <xf numFmtId="164" fontId="2" fillId="0" borderId="0" xfId="1" applyNumberFormat="1" applyAlignment="1" applyProtection="1">
      <alignment wrapText="1"/>
    </xf>
    <xf numFmtId="164" fontId="2" fillId="0" borderId="0" xfId="1" applyNumberFormat="1" applyFill="1" applyAlignment="1" applyProtection="1">
      <alignment wrapText="1"/>
    </xf>
    <xf numFmtId="0" fontId="2" fillId="0" borderId="0" xfId="1" applyAlignment="1" applyProtection="1">
      <alignment wrapText="1"/>
    </xf>
    <xf numFmtId="3" fontId="5" fillId="0" borderId="0" xfId="624" applyNumberFormat="1" applyAlignment="1">
      <alignment horizontal="center"/>
    </xf>
    <xf numFmtId="3" fontId="5" fillId="0" borderId="2" xfId="624" applyNumberFormat="1" applyBorder="1" applyAlignment="1">
      <alignment horizontal="center"/>
    </xf>
    <xf numFmtId="3" fontId="5" fillId="0" borderId="0" xfId="625" applyNumberFormat="1" applyFont="1" applyAlignment="1">
      <alignment horizontal="center"/>
    </xf>
    <xf numFmtId="168" fontId="7" fillId="0" borderId="0" xfId="0" applyNumberFormat="1" applyFont="1" applyAlignment="1">
      <alignment wrapText="1"/>
    </xf>
    <xf numFmtId="168" fontId="7" fillId="0" borderId="0" xfId="0" applyNumberFormat="1" applyFont="1"/>
    <xf numFmtId="3" fontId="5" fillId="0" borderId="0" xfId="627" applyNumberFormat="1" applyFont="1" applyAlignment="1">
      <alignment horizontal="center"/>
    </xf>
    <xf numFmtId="3" fontId="5" fillId="0" borderId="2" xfId="628" applyNumberFormat="1" applyFont="1" applyBorder="1" applyAlignment="1">
      <alignment horizontal="center"/>
    </xf>
    <xf numFmtId="3" fontId="5" fillId="0" borderId="0" xfId="629" applyNumberFormat="1" applyFont="1" applyAlignment="1">
      <alignment horizontal="center"/>
    </xf>
    <xf numFmtId="3" fontId="5" fillId="0" borderId="0" xfId="630" applyNumberFormat="1" applyFont="1" applyAlignment="1">
      <alignment horizontal="center"/>
    </xf>
    <xf numFmtId="3" fontId="5" fillId="0" borderId="2" xfId="631" applyNumberFormat="1" applyFont="1" applyBorder="1" applyAlignment="1">
      <alignment horizontal="center"/>
    </xf>
    <xf numFmtId="3" fontId="5" fillId="0" borderId="0" xfId="632" applyNumberFormat="1" applyFont="1" applyAlignment="1">
      <alignment horizontal="center"/>
    </xf>
    <xf numFmtId="3" fontId="5" fillId="0" borderId="0" xfId="633" applyNumberFormat="1" applyFont="1" applyAlignment="1">
      <alignment horizontal="center"/>
    </xf>
    <xf numFmtId="249" fontId="7" fillId="0" borderId="0" xfId="0" applyNumberFormat="1" applyFont="1"/>
    <xf numFmtId="3" fontId="5" fillId="0" borderId="2" xfId="634" applyNumberFormat="1" applyFont="1" applyBorder="1" applyAlignment="1">
      <alignment horizontal="center"/>
    </xf>
    <xf numFmtId="250" fontId="2" fillId="0" borderId="0" xfId="1" quotePrefix="1" applyNumberFormat="1" applyAlignment="1" applyProtection="1">
      <alignment horizontal="left"/>
    </xf>
    <xf numFmtId="0" fontId="86" fillId="0" borderId="0" xfId="0" applyFont="1"/>
    <xf numFmtId="250" fontId="87" fillId="0" borderId="0" xfId="0" applyNumberFormat="1" applyFont="1" applyAlignment="1">
      <alignment horizontal="center" wrapText="1"/>
    </xf>
    <xf numFmtId="0" fontId="5" fillId="0" borderId="0" xfId="0" applyFont="1"/>
    <xf numFmtId="250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250" fontId="0" fillId="0" borderId="0" xfId="0" applyNumberFormat="1"/>
    <xf numFmtId="0" fontId="0" fillId="0" borderId="0" xfId="0" quotePrefix="1"/>
    <xf numFmtId="0" fontId="5" fillId="0" borderId="0" xfId="292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5" fillId="0" borderId="0" xfId="635" applyNumberFormat="1" applyFont="1" applyAlignment="1">
      <alignment horizontal="center"/>
    </xf>
    <xf numFmtId="3" fontId="5" fillId="0" borderId="0" xfId="636" applyNumberFormat="1" applyFont="1" applyAlignment="1">
      <alignment horizontal="center"/>
    </xf>
    <xf numFmtId="3" fontId="5" fillId="0" borderId="2" xfId="637" applyNumberFormat="1" applyFont="1" applyBorder="1" applyAlignment="1">
      <alignment horizontal="center"/>
    </xf>
    <xf numFmtId="3" fontId="5" fillId="0" borderId="0" xfId="638" applyNumberFormat="1" applyFont="1" applyAlignment="1">
      <alignment horizontal="center"/>
    </xf>
    <xf numFmtId="3" fontId="88" fillId="0" borderId="24" xfId="0" applyNumberFormat="1" applyFont="1" applyBorder="1" applyAlignment="1">
      <alignment horizontal="center"/>
    </xf>
    <xf numFmtId="3" fontId="88" fillId="43" borderId="24" xfId="0" applyNumberFormat="1" applyFont="1" applyFill="1" applyBorder="1" applyAlignment="1">
      <alignment horizontal="center"/>
    </xf>
    <xf numFmtId="3" fontId="88" fillId="0" borderId="25" xfId="0" applyNumberFormat="1" applyFont="1" applyBorder="1" applyAlignment="1">
      <alignment horizontal="center"/>
    </xf>
    <xf numFmtId="3" fontId="88" fillId="43" borderId="25" xfId="0" applyNumberFormat="1" applyFont="1" applyFill="1" applyBorder="1" applyAlignment="1">
      <alignment horizontal="center"/>
    </xf>
    <xf numFmtId="3" fontId="5" fillId="0" borderId="2" xfId="639" applyNumberFormat="1" applyFont="1" applyBorder="1" applyAlignment="1">
      <alignment horizontal="center"/>
    </xf>
    <xf numFmtId="3" fontId="5" fillId="0" borderId="0" xfId="640" applyNumberFormat="1" applyFont="1" applyAlignment="1">
      <alignment horizontal="center"/>
    </xf>
    <xf numFmtId="3" fontId="5" fillId="0" borderId="0" xfId="641" applyNumberFormat="1" applyFont="1" applyAlignment="1">
      <alignment horizontal="center"/>
    </xf>
    <xf numFmtId="3" fontId="5" fillId="0" borderId="2" xfId="642" applyNumberFormat="1" applyFont="1" applyBorder="1" applyAlignment="1">
      <alignment horizontal="center"/>
    </xf>
    <xf numFmtId="3" fontId="5" fillId="0" borderId="0" xfId="643" applyNumberFormat="1" applyFont="1" applyAlignment="1">
      <alignment horizontal="center"/>
    </xf>
    <xf numFmtId="0" fontId="89" fillId="0" borderId="0" xfId="1" applyFont="1" applyAlignment="1" applyProtection="1">
      <alignment wrapText="1"/>
    </xf>
    <xf numFmtId="164" fontId="90" fillId="0" borderId="0" xfId="0" applyNumberFormat="1" applyFont="1"/>
    <xf numFmtId="0" fontId="90" fillId="0" borderId="0" xfId="0" applyFont="1"/>
    <xf numFmtId="1" fontId="90" fillId="0" borderId="0" xfId="0" applyNumberFormat="1" applyFont="1" applyAlignment="1">
      <alignment horizontal="right"/>
    </xf>
    <xf numFmtId="0" fontId="91" fillId="0" borderId="0" xfId="0" applyFont="1" applyAlignment="1">
      <alignment horizontal="right" vertical="center" wrapText="1"/>
    </xf>
    <xf numFmtId="0" fontId="92" fillId="44" borderId="0" xfId="0" applyFont="1" applyFill="1" applyAlignment="1">
      <alignment horizontal="center" vertical="center" wrapText="1"/>
    </xf>
    <xf numFmtId="250" fontId="5" fillId="0" borderId="0" xfId="0" applyNumberFormat="1" applyFont="1" applyAlignment="1">
      <alignment horizontal="right" wrapText="1"/>
    </xf>
    <xf numFmtId="164" fontId="0" fillId="0" borderId="0" xfId="0" applyNumberFormat="1" applyAlignment="1">
      <alignment horizontal="center" wrapText="1"/>
    </xf>
    <xf numFmtId="164" fontId="91" fillId="0" borderId="0" xfId="0" applyNumberFormat="1" applyFont="1" applyAlignment="1">
      <alignment horizontal="right" vertical="center" wrapText="1"/>
    </xf>
    <xf numFmtId="164" fontId="91" fillId="0" borderId="0" xfId="0" applyNumberFormat="1" applyFont="1" applyAlignment="1">
      <alignment horizontal="right" vertical="center"/>
    </xf>
    <xf numFmtId="0" fontId="9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3" fontId="7" fillId="0" borderId="0" xfId="0" applyNumberFormat="1" applyFont="1"/>
    <xf numFmtId="3" fontId="7" fillId="0" borderId="0" xfId="0" applyNumberFormat="1" applyFont="1" applyAlignment="1">
      <alignment wrapText="1"/>
    </xf>
    <xf numFmtId="168" fontId="90" fillId="0" borderId="0" xfId="0" applyNumberFormat="1" applyFont="1"/>
    <xf numFmtId="1" fontId="2" fillId="0" borderId="0" xfId="1" quotePrefix="1" applyNumberFormat="1" applyAlignment="1" applyProtection="1">
      <alignment horizontal="left"/>
    </xf>
    <xf numFmtId="1" fontId="87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68" fontId="0" fillId="0" borderId="0" xfId="0" applyNumberFormat="1"/>
    <xf numFmtId="0" fontId="5" fillId="0" borderId="0" xfId="644"/>
    <xf numFmtId="0" fontId="90" fillId="0" borderId="0" xfId="0" applyFont="1" applyAlignment="1">
      <alignment horizontal="right" vertical="center" wrapText="1"/>
    </xf>
    <xf numFmtId="251" fontId="91" fillId="0" borderId="0" xfId="0" applyNumberFormat="1" applyFont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168" fontId="7" fillId="0" borderId="0" xfId="645" applyNumberFormat="1" applyFont="1"/>
    <xf numFmtId="0" fontId="7" fillId="0" borderId="0" xfId="647" applyFont="1"/>
    <xf numFmtId="168" fontId="5" fillId="0" borderId="0" xfId="644" applyNumberFormat="1"/>
    <xf numFmtId="0" fontId="5" fillId="0" borderId="0" xfId="648"/>
    <xf numFmtId="249" fontId="7" fillId="0" borderId="0" xfId="0" applyNumberFormat="1" applyFont="1" applyAlignment="1">
      <alignment wrapText="1"/>
    </xf>
    <xf numFmtId="249" fontId="0" fillId="0" borderId="0" xfId="0" applyNumberFormat="1"/>
    <xf numFmtId="164" fontId="2" fillId="0" borderId="0" xfId="1" applyNumberFormat="1" applyAlignment="1" applyProtection="1"/>
    <xf numFmtId="164" fontId="2" fillId="0" borderId="0" xfId="1" applyNumberFormat="1" applyAlignment="1" applyProtection="1">
      <alignment horizontal="center" vertical="center" wrapText="1"/>
    </xf>
    <xf numFmtId="0" fontId="93" fillId="0" borderId="0" xfId="0" applyFont="1" applyAlignment="1">
      <alignment horizontal="left" vertical="center" wrapText="1"/>
    </xf>
    <xf numFmtId="14" fontId="0" fillId="0" borderId="0" xfId="0" applyNumberFormat="1"/>
  </cellXfs>
  <cellStyles count="649">
    <cellStyle name="20% - Accent1 2" xfId="11" xr:uid="{00000000-0005-0000-0000-000000000000}"/>
    <cellStyle name="20% - Accent1 3" xfId="12" xr:uid="{00000000-0005-0000-0000-000001000000}"/>
    <cellStyle name="20% - Accent2 2" xfId="13" xr:uid="{00000000-0005-0000-0000-000002000000}"/>
    <cellStyle name="20% - Accent2 3" xfId="14" xr:uid="{00000000-0005-0000-0000-000003000000}"/>
    <cellStyle name="20% - Accent3 2" xfId="15" xr:uid="{00000000-0005-0000-0000-000004000000}"/>
    <cellStyle name="20% - Accent3 3" xfId="16" xr:uid="{00000000-0005-0000-0000-000005000000}"/>
    <cellStyle name="20% - Accent4 2" xfId="17" xr:uid="{00000000-0005-0000-0000-000006000000}"/>
    <cellStyle name="20% - Accent4 3" xfId="18" xr:uid="{00000000-0005-0000-0000-000007000000}"/>
    <cellStyle name="20% - Accent5 2" xfId="19" xr:uid="{00000000-0005-0000-0000-000008000000}"/>
    <cellStyle name="20% - Accent6 2" xfId="20" xr:uid="{00000000-0005-0000-0000-000009000000}"/>
    <cellStyle name="40% - Accent1 2" xfId="21" xr:uid="{00000000-0005-0000-0000-00000A000000}"/>
    <cellStyle name="40% - Accent1 3" xfId="22" xr:uid="{00000000-0005-0000-0000-00000B000000}"/>
    <cellStyle name="40% - Accent2 2" xfId="23" xr:uid="{00000000-0005-0000-0000-00000C000000}"/>
    <cellStyle name="40% - Accent3 2" xfId="24" xr:uid="{00000000-0005-0000-0000-00000D000000}"/>
    <cellStyle name="40% - Accent3 3" xfId="25" xr:uid="{00000000-0005-0000-0000-00000E000000}"/>
    <cellStyle name="40% - Accent4 2" xfId="26" xr:uid="{00000000-0005-0000-0000-00000F000000}"/>
    <cellStyle name="40% - Accent4 3" xfId="27" xr:uid="{00000000-0005-0000-0000-000010000000}"/>
    <cellStyle name="40% - Accent5 2" xfId="28" xr:uid="{00000000-0005-0000-0000-000011000000}"/>
    <cellStyle name="40% - Accent6 2" xfId="29" xr:uid="{00000000-0005-0000-0000-000012000000}"/>
    <cellStyle name="40% - Accent6 3" xfId="30" xr:uid="{00000000-0005-0000-0000-000013000000}"/>
    <cellStyle name="60% - Accent1 2" xfId="31" xr:uid="{00000000-0005-0000-0000-000014000000}"/>
    <cellStyle name="60% - Accent1 3" xfId="32" xr:uid="{00000000-0005-0000-0000-000015000000}"/>
    <cellStyle name="60% - Accent2 2" xfId="33" xr:uid="{00000000-0005-0000-0000-000016000000}"/>
    <cellStyle name="60% - Accent3 2" xfId="34" xr:uid="{00000000-0005-0000-0000-000017000000}"/>
    <cellStyle name="60% - Accent3 3" xfId="35" xr:uid="{00000000-0005-0000-0000-000018000000}"/>
    <cellStyle name="60% - Accent4 2" xfId="36" xr:uid="{00000000-0005-0000-0000-000019000000}"/>
    <cellStyle name="60% - Accent4 3" xfId="37" xr:uid="{00000000-0005-0000-0000-00001A000000}"/>
    <cellStyle name="60% - Accent5 2" xfId="38" xr:uid="{00000000-0005-0000-0000-00001B000000}"/>
    <cellStyle name="60% - Accent6 2" xfId="39" xr:uid="{00000000-0005-0000-0000-00001C000000}"/>
    <cellStyle name="60% - Accent6 3" xfId="40" xr:uid="{00000000-0005-0000-0000-00001D000000}"/>
    <cellStyle name="Accent1 2" xfId="41" xr:uid="{00000000-0005-0000-0000-00001E000000}"/>
    <cellStyle name="Accent1 3" xfId="42" xr:uid="{00000000-0005-0000-0000-00001F000000}"/>
    <cellStyle name="Accent1 4" xfId="5" xr:uid="{00000000-0005-0000-0000-000020000000}"/>
    <cellStyle name="Accent2 2" xfId="43" xr:uid="{00000000-0005-0000-0000-000021000000}"/>
    <cellStyle name="Accent2 3" xfId="44" xr:uid="{00000000-0005-0000-0000-000022000000}"/>
    <cellStyle name="Accent2 4" xfId="6" xr:uid="{00000000-0005-0000-0000-000023000000}"/>
    <cellStyle name="Accent3 2" xfId="45" xr:uid="{00000000-0005-0000-0000-000024000000}"/>
    <cellStyle name="Accent3 3" xfId="46" xr:uid="{00000000-0005-0000-0000-000025000000}"/>
    <cellStyle name="Accent4 2" xfId="47" xr:uid="{00000000-0005-0000-0000-000026000000}"/>
    <cellStyle name="Accent4 3" xfId="48" xr:uid="{00000000-0005-0000-0000-000027000000}"/>
    <cellStyle name="Accent5 2" xfId="49" xr:uid="{00000000-0005-0000-0000-000028000000}"/>
    <cellStyle name="Accent6 2" xfId="50" xr:uid="{00000000-0005-0000-0000-000029000000}"/>
    <cellStyle name="ADF" xfId="51" xr:uid="{00000000-0005-0000-0000-00002A000000}"/>
    <cellStyle name="ADF 2" xfId="52" xr:uid="{00000000-0005-0000-0000-00002B000000}"/>
    <cellStyle name="Bad 2" xfId="53" xr:uid="{00000000-0005-0000-0000-00002C000000}"/>
    <cellStyle name="Bad 3" xfId="54" xr:uid="{00000000-0005-0000-0000-00002D000000}"/>
    <cellStyle name="Bit" xfId="55" xr:uid="{00000000-0005-0000-0000-00002E000000}"/>
    <cellStyle name="Bit 2" xfId="56" xr:uid="{00000000-0005-0000-0000-00002F000000}"/>
    <cellStyle name="Calc" xfId="57" xr:uid="{00000000-0005-0000-0000-000030000000}"/>
    <cellStyle name="Calc 2" xfId="58" xr:uid="{00000000-0005-0000-0000-000031000000}"/>
    <cellStyle name="Calculation 2" xfId="59" xr:uid="{00000000-0005-0000-0000-000032000000}"/>
    <cellStyle name="Calculation 2 2" xfId="60" xr:uid="{00000000-0005-0000-0000-000033000000}"/>
    <cellStyle name="Calculation 2 2 2" xfId="61" xr:uid="{00000000-0005-0000-0000-000034000000}"/>
    <cellStyle name="Calculation 2 2 3" xfId="62" xr:uid="{00000000-0005-0000-0000-000035000000}"/>
    <cellStyle name="Calculation 2 2 4" xfId="63" xr:uid="{00000000-0005-0000-0000-000036000000}"/>
    <cellStyle name="Calculation 2 2 5" xfId="64" xr:uid="{00000000-0005-0000-0000-000037000000}"/>
    <cellStyle name="Calculation 2 3" xfId="65" xr:uid="{00000000-0005-0000-0000-000038000000}"/>
    <cellStyle name="Calculation 2 3 2" xfId="66" xr:uid="{00000000-0005-0000-0000-000039000000}"/>
    <cellStyle name="Calculation 2 3 3" xfId="67" xr:uid="{00000000-0005-0000-0000-00003A000000}"/>
    <cellStyle name="Calculation 2 3 4" xfId="68" xr:uid="{00000000-0005-0000-0000-00003B000000}"/>
    <cellStyle name="Calculation 2 3 5" xfId="69" xr:uid="{00000000-0005-0000-0000-00003C000000}"/>
    <cellStyle name="Calculation 2 4" xfId="70" xr:uid="{00000000-0005-0000-0000-00003D000000}"/>
    <cellStyle name="Calculation 2 4 2" xfId="71" xr:uid="{00000000-0005-0000-0000-00003E000000}"/>
    <cellStyle name="Calculation 2 4 3" xfId="72" xr:uid="{00000000-0005-0000-0000-00003F000000}"/>
    <cellStyle name="Calculation 2 4 4" xfId="73" xr:uid="{00000000-0005-0000-0000-000040000000}"/>
    <cellStyle name="Calculation 2 4 5" xfId="74" xr:uid="{00000000-0005-0000-0000-000041000000}"/>
    <cellStyle name="Calculation 2 5" xfId="75" xr:uid="{00000000-0005-0000-0000-000042000000}"/>
    <cellStyle name="Calculation 2 6" xfId="76" xr:uid="{00000000-0005-0000-0000-000043000000}"/>
    <cellStyle name="Calculation 2 7" xfId="77" xr:uid="{00000000-0005-0000-0000-000044000000}"/>
    <cellStyle name="Calculation 2 8" xfId="78" xr:uid="{00000000-0005-0000-0000-000045000000}"/>
    <cellStyle name="Calculation 2 9" xfId="79" xr:uid="{00000000-0005-0000-0000-000046000000}"/>
    <cellStyle name="Calculation 3" xfId="80" xr:uid="{00000000-0005-0000-0000-000047000000}"/>
    <cellStyle name="Calculation 3 2" xfId="81" xr:uid="{00000000-0005-0000-0000-000048000000}"/>
    <cellStyle name="Calculation 3 3" xfId="82" xr:uid="{00000000-0005-0000-0000-000049000000}"/>
    <cellStyle name="Calculation 3 4" xfId="83" xr:uid="{00000000-0005-0000-0000-00004A000000}"/>
    <cellStyle name="Calculation 3 5" xfId="84" xr:uid="{00000000-0005-0000-0000-00004B000000}"/>
    <cellStyle name="Calculation 4" xfId="85" xr:uid="{00000000-0005-0000-0000-00004C000000}"/>
    <cellStyle name="Calculation 4 2" xfId="86" xr:uid="{00000000-0005-0000-0000-00004D000000}"/>
    <cellStyle name="Calculation 4 3" xfId="87" xr:uid="{00000000-0005-0000-0000-00004E000000}"/>
    <cellStyle name="Calculation 4 4" xfId="88" xr:uid="{00000000-0005-0000-0000-00004F000000}"/>
    <cellStyle name="Calculation 4 5" xfId="89" xr:uid="{00000000-0005-0000-0000-000050000000}"/>
    <cellStyle name="Calculation 5" xfId="90" xr:uid="{00000000-0005-0000-0000-000051000000}"/>
    <cellStyle name="Calculation 5 2" xfId="91" xr:uid="{00000000-0005-0000-0000-000052000000}"/>
    <cellStyle name="Calculation 5 3" xfId="92" xr:uid="{00000000-0005-0000-0000-000053000000}"/>
    <cellStyle name="Calculation 5 4" xfId="93" xr:uid="{00000000-0005-0000-0000-000054000000}"/>
    <cellStyle name="Calculation 5 5" xfId="94" xr:uid="{00000000-0005-0000-0000-000055000000}"/>
    <cellStyle name="Calculation 6" xfId="95" xr:uid="{00000000-0005-0000-0000-000056000000}"/>
    <cellStyle name="Calculation 6 2" xfId="96" xr:uid="{00000000-0005-0000-0000-000057000000}"/>
    <cellStyle name="Calculation 6 3" xfId="97" xr:uid="{00000000-0005-0000-0000-000058000000}"/>
    <cellStyle name="Calculation 6 4" xfId="98" xr:uid="{00000000-0005-0000-0000-000059000000}"/>
    <cellStyle name="Calculation 6 5" xfId="99" xr:uid="{00000000-0005-0000-0000-00005A000000}"/>
    <cellStyle name="Calculation 7" xfId="100" xr:uid="{00000000-0005-0000-0000-00005B000000}"/>
    <cellStyle name="CCF" xfId="101" xr:uid="{00000000-0005-0000-0000-00005C000000}"/>
    <cellStyle name="CCF 2" xfId="102" xr:uid="{00000000-0005-0000-0000-00005D000000}"/>
    <cellStyle name="CDU1" xfId="103" xr:uid="{00000000-0005-0000-0000-00005E000000}"/>
    <cellStyle name="CDU1 2" xfId="104" xr:uid="{00000000-0005-0000-0000-00005F000000}"/>
    <cellStyle name="CDU1ADF" xfId="105" xr:uid="{00000000-0005-0000-0000-000060000000}"/>
    <cellStyle name="CDU1ADF 2" xfId="106" xr:uid="{00000000-0005-0000-0000-000061000000}"/>
    <cellStyle name="CDU1Atres" xfId="107" xr:uid="{00000000-0005-0000-0000-000062000000}"/>
    <cellStyle name="CDU1Atres 2" xfId="108" xr:uid="{00000000-0005-0000-0000-000063000000}"/>
    <cellStyle name="CDU1Kero" xfId="109" xr:uid="{00000000-0005-0000-0000-000064000000}"/>
    <cellStyle name="CDU1Kero 2" xfId="110" xr:uid="{00000000-0005-0000-0000-000065000000}"/>
    <cellStyle name="CDU1OHds" xfId="111" xr:uid="{00000000-0005-0000-0000-000066000000}"/>
    <cellStyle name="CDU1OHds 2" xfId="112" xr:uid="{00000000-0005-0000-0000-000067000000}"/>
    <cellStyle name="CDU1Tot" xfId="113" xr:uid="{00000000-0005-0000-0000-000068000000}"/>
    <cellStyle name="CDU1Tot 2" xfId="114" xr:uid="{00000000-0005-0000-0000-000069000000}"/>
    <cellStyle name="CDU2" xfId="115" xr:uid="{00000000-0005-0000-0000-00006A000000}"/>
    <cellStyle name="CDU2 2" xfId="116" xr:uid="{00000000-0005-0000-0000-00006B000000}"/>
    <cellStyle name="CDU2ADF" xfId="117" xr:uid="{00000000-0005-0000-0000-00006C000000}"/>
    <cellStyle name="CDU2ADF 2" xfId="118" xr:uid="{00000000-0005-0000-0000-00006D000000}"/>
    <cellStyle name="CDU2Atres" xfId="119" xr:uid="{00000000-0005-0000-0000-00006E000000}"/>
    <cellStyle name="CDU2Atres 2" xfId="120" xr:uid="{00000000-0005-0000-0000-00006F000000}"/>
    <cellStyle name="CDU2Kero" xfId="121" xr:uid="{00000000-0005-0000-0000-000070000000}"/>
    <cellStyle name="CDU2Kero 2" xfId="122" xr:uid="{00000000-0005-0000-0000-000071000000}"/>
    <cellStyle name="CDU2OHds" xfId="123" xr:uid="{00000000-0005-0000-0000-000072000000}"/>
    <cellStyle name="CDU2OHds 2" xfId="124" xr:uid="{00000000-0005-0000-0000-000073000000}"/>
    <cellStyle name="CDU2Tot" xfId="125" xr:uid="{00000000-0005-0000-0000-000074000000}"/>
    <cellStyle name="CDU2Tot 2" xfId="126" xr:uid="{00000000-0005-0000-0000-000075000000}"/>
    <cellStyle name="Center" xfId="127" xr:uid="{00000000-0005-0000-0000-000076000000}"/>
    <cellStyle name="Check Cell 2" xfId="128" xr:uid="{00000000-0005-0000-0000-000077000000}"/>
    <cellStyle name="Comma  - Style1" xfId="129" xr:uid="{00000000-0005-0000-0000-000078000000}"/>
    <cellStyle name="Comma  - Style2" xfId="130" xr:uid="{00000000-0005-0000-0000-000079000000}"/>
    <cellStyle name="Comma  - Style3" xfId="131" xr:uid="{00000000-0005-0000-0000-00007A000000}"/>
    <cellStyle name="Comma  - Style4" xfId="132" xr:uid="{00000000-0005-0000-0000-00007B000000}"/>
    <cellStyle name="Comma  - Style5" xfId="133" xr:uid="{00000000-0005-0000-0000-00007C000000}"/>
    <cellStyle name="Comma  - Style6" xfId="134" xr:uid="{00000000-0005-0000-0000-00007D000000}"/>
    <cellStyle name="Comma  - Style7" xfId="135" xr:uid="{00000000-0005-0000-0000-00007E000000}"/>
    <cellStyle name="Comma  - Style8" xfId="136" xr:uid="{00000000-0005-0000-0000-00007F000000}"/>
    <cellStyle name="Comma [-]" xfId="137" xr:uid="{00000000-0005-0000-0000-000080000000}"/>
    <cellStyle name="Comma [-] 2" xfId="138" xr:uid="{00000000-0005-0000-0000-000081000000}"/>
    <cellStyle name="Comma [0M_Data Base_DllChange_Calculate" xfId="139" xr:uid="{00000000-0005-0000-0000-000082000000}"/>
    <cellStyle name="Comma [1]" xfId="140" xr:uid="{00000000-0005-0000-0000-000083000000}"/>
    <cellStyle name="Comma [1] 2" xfId="141" xr:uid="{00000000-0005-0000-0000-000084000000}"/>
    <cellStyle name="Comma [2]" xfId="142" xr:uid="{00000000-0005-0000-0000-000085000000}"/>
    <cellStyle name="Comma [2] 2" xfId="143" xr:uid="{00000000-0005-0000-0000-000086000000}"/>
    <cellStyle name="Comma [Blank]" xfId="144" xr:uid="{00000000-0005-0000-0000-000087000000}"/>
    <cellStyle name="Comma [Blank] 2" xfId="145" xr:uid="{00000000-0005-0000-0000-000088000000}"/>
    <cellStyle name="Comma 2" xfId="146" xr:uid="{00000000-0005-0000-0000-000089000000}"/>
    <cellStyle name="Comma 3" xfId="147" xr:uid="{00000000-0005-0000-0000-00008A000000}"/>
    <cellStyle name="Comma 4" xfId="148" xr:uid="{00000000-0005-0000-0000-00008B000000}"/>
    <cellStyle name="Comma 5" xfId="149" xr:uid="{00000000-0005-0000-0000-00008C000000}"/>
    <cellStyle name="Comma 6" xfId="8" xr:uid="{00000000-0005-0000-0000-00008D000000}"/>
    <cellStyle name="Comma0" xfId="150" xr:uid="{00000000-0005-0000-0000-00008E000000}"/>
    <cellStyle name="Comma0 2" xfId="151" xr:uid="{00000000-0005-0000-0000-00008F000000}"/>
    <cellStyle name="Consultant Unprotected" xfId="152" xr:uid="{00000000-0005-0000-0000-000090000000}"/>
    <cellStyle name="COPY" xfId="153" xr:uid="{00000000-0005-0000-0000-000091000000}"/>
    <cellStyle name="Copy1_" xfId="154" xr:uid="{00000000-0005-0000-0000-000092000000}"/>
    <cellStyle name="CR_yld" xfId="155" xr:uid="{00000000-0005-0000-0000-000093000000}"/>
    <cellStyle name="Crd_yld" xfId="156" xr:uid="{00000000-0005-0000-0000-000094000000}"/>
    <cellStyle name="CRF" xfId="157" xr:uid="{00000000-0005-0000-0000-000095000000}"/>
    <cellStyle name="CRF 2" xfId="158" xr:uid="{00000000-0005-0000-0000-000096000000}"/>
    <cellStyle name="CRNaph" xfId="159" xr:uid="{00000000-0005-0000-0000-000097000000}"/>
    <cellStyle name="CRNaph 2" xfId="160" xr:uid="{00000000-0005-0000-0000-000098000000}"/>
    <cellStyle name="CRPara" xfId="161" xr:uid="{00000000-0005-0000-0000-000099000000}"/>
    <cellStyle name="CRPara 2" xfId="162" xr:uid="{00000000-0005-0000-0000-00009A000000}"/>
    <cellStyle name="Crude" xfId="163" xr:uid="{00000000-0005-0000-0000-00009B000000}"/>
    <cellStyle name="Crude 2" xfId="164" xr:uid="{00000000-0005-0000-0000-00009C000000}"/>
    <cellStyle name="Currency [0]OChart1" xfId="165" xr:uid="{00000000-0005-0000-0000-00009D000000}"/>
    <cellStyle name="Currency [0]OChart1 2" xfId="166" xr:uid="{00000000-0005-0000-0000-00009E000000}"/>
    <cellStyle name="Currency [0]OData Base" xfId="167" xr:uid="{00000000-0005-0000-0000-00009F000000}"/>
    <cellStyle name="Currency [0]OData Base 2" xfId="168" xr:uid="{00000000-0005-0000-0000-0000A0000000}"/>
    <cellStyle name="Currency [0]ORegister_Functions" xfId="169" xr:uid="{00000000-0005-0000-0000-0000A1000000}"/>
    <cellStyle name="Currency 2" xfId="170" xr:uid="{00000000-0005-0000-0000-0000A2000000}"/>
    <cellStyle name="Currency 3" xfId="10" xr:uid="{00000000-0005-0000-0000-0000A3000000}"/>
    <cellStyle name="Currency 4" xfId="171" xr:uid="{00000000-0005-0000-0000-0000A4000000}"/>
    <cellStyle name="Currency0" xfId="172" xr:uid="{00000000-0005-0000-0000-0000A5000000}"/>
    <cellStyle name="Currency0 2" xfId="173" xr:uid="{00000000-0005-0000-0000-0000A6000000}"/>
    <cellStyle name="CurrencyOData Base_Heat Balance Options Dialog Box" xfId="174" xr:uid="{00000000-0005-0000-0000-0000A7000000}"/>
    <cellStyle name="CurrencyOPMSConsts_2" xfId="175" xr:uid="{00000000-0005-0000-0000-0000A8000000}"/>
    <cellStyle name="CurrencyOVIEW" xfId="176" xr:uid="{00000000-0005-0000-0000-0000A9000000}"/>
    <cellStyle name="CurrencyOVIEW 2" xfId="177" xr:uid="{00000000-0005-0000-0000-0000AA000000}"/>
    <cellStyle name="Curr_x001c_Ÿh" xfId="178" xr:uid="{00000000-0005-0000-0000-0000AB000000}"/>
    <cellStyle name="Curr_x001c_Ÿh 2" xfId="179" xr:uid="{00000000-0005-0000-0000-0000AC000000}"/>
    <cellStyle name="Date" xfId="180" xr:uid="{00000000-0005-0000-0000-0000AD000000}"/>
    <cellStyle name="DC" xfId="181" xr:uid="{00000000-0005-0000-0000-0000AE000000}"/>
    <cellStyle name="DC2 comment" xfId="182" xr:uid="{00000000-0005-0000-0000-0000AF000000}"/>
    <cellStyle name="DCC" xfId="183" xr:uid="{00000000-0005-0000-0000-0000B0000000}"/>
    <cellStyle name="DCMessage" xfId="184" xr:uid="{00000000-0005-0000-0000-0000B1000000}"/>
    <cellStyle name="Dens" xfId="185" xr:uid="{00000000-0005-0000-0000-0000B2000000}"/>
    <cellStyle name="dp0,-" xfId="186" xr:uid="{00000000-0005-0000-0000-0000B3000000}"/>
    <cellStyle name="dp1" xfId="187" xr:uid="{00000000-0005-0000-0000-0000B4000000}"/>
    <cellStyle name="dp1,-" xfId="188" xr:uid="{00000000-0005-0000-0000-0000B5000000}"/>
    <cellStyle name="dp2,-" xfId="189" xr:uid="{00000000-0005-0000-0000-0000B6000000}"/>
    <cellStyle name="dp2,- 2" xfId="190" xr:uid="{00000000-0005-0000-0000-0000B7000000}"/>
    <cellStyle name="ElecEff" xfId="191" xr:uid="{00000000-0005-0000-0000-0000B8000000}"/>
    <cellStyle name="Explanatory Text 2" xfId="192" xr:uid="{00000000-0005-0000-0000-0000B9000000}"/>
    <cellStyle name="Fixed" xfId="193" xr:uid="{00000000-0005-0000-0000-0000BA000000}"/>
    <cellStyle name="Fixed 2" xfId="194" xr:uid="{00000000-0005-0000-0000-0000BB000000}"/>
    <cellStyle name="form" xfId="195" xr:uid="{00000000-0005-0000-0000-0000BC000000}"/>
    <cellStyle name="Fuel" xfId="196" xr:uid="{00000000-0005-0000-0000-0000BD000000}"/>
    <cellStyle name="Fuel 2" xfId="197" xr:uid="{00000000-0005-0000-0000-0000BE000000}"/>
    <cellStyle name="Good 2" xfId="198" xr:uid="{00000000-0005-0000-0000-0000BF000000}"/>
    <cellStyle name="Good 3" xfId="199" xr:uid="{00000000-0005-0000-0000-0000C0000000}"/>
    <cellStyle name="GreenDCC" xfId="200" xr:uid="{00000000-0005-0000-0000-0000C1000000}"/>
    <cellStyle name="H2_Bal" xfId="201" xr:uid="{00000000-0005-0000-0000-0000C2000000}"/>
    <cellStyle name="Header1" xfId="202" xr:uid="{00000000-0005-0000-0000-0000C3000000}"/>
    <cellStyle name="Header2" xfId="203" xr:uid="{00000000-0005-0000-0000-0000C4000000}"/>
    <cellStyle name="Heading 1 2" xfId="204" xr:uid="{00000000-0005-0000-0000-0000C5000000}"/>
    <cellStyle name="Heading 1 2 2" xfId="205" xr:uid="{00000000-0005-0000-0000-0000C6000000}"/>
    <cellStyle name="Heading 1 2 2 2" xfId="206" xr:uid="{00000000-0005-0000-0000-0000C7000000}"/>
    <cellStyle name="Heading 1 2 3" xfId="207" xr:uid="{00000000-0005-0000-0000-0000C8000000}"/>
    <cellStyle name="Heading 1 3" xfId="208" xr:uid="{00000000-0005-0000-0000-0000C9000000}"/>
    <cellStyle name="Heading 2 2" xfId="209" xr:uid="{00000000-0005-0000-0000-0000CA000000}"/>
    <cellStyle name="Heading 2 2 2" xfId="210" xr:uid="{00000000-0005-0000-0000-0000CB000000}"/>
    <cellStyle name="Heading 2 2 2 2" xfId="211" xr:uid="{00000000-0005-0000-0000-0000CC000000}"/>
    <cellStyle name="Heading 2 2 3" xfId="212" xr:uid="{00000000-0005-0000-0000-0000CD000000}"/>
    <cellStyle name="Heading 2 3" xfId="213" xr:uid="{00000000-0005-0000-0000-0000CE000000}"/>
    <cellStyle name="Heading 3 2" xfId="214" xr:uid="{00000000-0005-0000-0000-0000CF000000}"/>
    <cellStyle name="Heading 3 3" xfId="215" xr:uid="{00000000-0005-0000-0000-0000D0000000}"/>
    <cellStyle name="Heading 4 2" xfId="216" xr:uid="{00000000-0005-0000-0000-0000D1000000}"/>
    <cellStyle name="Heading 4 3" xfId="217" xr:uid="{00000000-0005-0000-0000-0000D2000000}"/>
    <cellStyle name="Hidden" xfId="218" xr:uid="{00000000-0005-0000-0000-0000D3000000}"/>
    <cellStyle name="highlight" xfId="219" xr:uid="{00000000-0005-0000-0000-0000D4000000}"/>
    <cellStyle name="HYD_yld" xfId="220" xr:uid="{00000000-0005-0000-0000-0000D5000000}"/>
    <cellStyle name="HYDSulp" xfId="221" xr:uid="{00000000-0005-0000-0000-0000D6000000}"/>
    <cellStyle name="HYDSulp 2" xfId="222" xr:uid="{00000000-0005-0000-0000-0000D7000000}"/>
    <cellStyle name="HYF" xfId="223" xr:uid="{00000000-0005-0000-0000-0000D8000000}"/>
    <cellStyle name="HYF 2" xfId="224" xr:uid="{00000000-0005-0000-0000-0000D9000000}"/>
    <cellStyle name="Hyperlink" xfId="1" builtinId="8"/>
    <cellStyle name="Hyperlink 2" xfId="225" xr:uid="{00000000-0005-0000-0000-0000DB000000}"/>
    <cellStyle name="Hyperlink 3" xfId="623" xr:uid="{00000000-0005-0000-0000-0000DC000000}"/>
    <cellStyle name="Hyperlink 4" xfId="646" xr:uid="{00000000-0005-0000-0000-0000B4020000}"/>
    <cellStyle name="Input 2" xfId="226" xr:uid="{00000000-0005-0000-0000-0000DD000000}"/>
    <cellStyle name="Input 2 2" xfId="227" xr:uid="{00000000-0005-0000-0000-0000DE000000}"/>
    <cellStyle name="Input 2 3" xfId="228" xr:uid="{00000000-0005-0000-0000-0000DF000000}"/>
    <cellStyle name="Input 2 4" xfId="229" xr:uid="{00000000-0005-0000-0000-0000E0000000}"/>
    <cellStyle name="Input 2 5" xfId="230" xr:uid="{00000000-0005-0000-0000-0000E1000000}"/>
    <cellStyle name="Input 3" xfId="231" xr:uid="{00000000-0005-0000-0000-0000E2000000}"/>
    <cellStyle name="Input 3 2" xfId="232" xr:uid="{00000000-0005-0000-0000-0000E3000000}"/>
    <cellStyle name="Input 3 3" xfId="233" xr:uid="{00000000-0005-0000-0000-0000E4000000}"/>
    <cellStyle name="Input 3 4" xfId="234" xr:uid="{00000000-0005-0000-0000-0000E5000000}"/>
    <cellStyle name="Input 3 5" xfId="235" xr:uid="{00000000-0005-0000-0000-0000E6000000}"/>
    <cellStyle name="Input 4" xfId="236" xr:uid="{00000000-0005-0000-0000-0000E7000000}"/>
    <cellStyle name="Input 4 2" xfId="237" xr:uid="{00000000-0005-0000-0000-0000E8000000}"/>
    <cellStyle name="Input 4 3" xfId="238" xr:uid="{00000000-0005-0000-0000-0000E9000000}"/>
    <cellStyle name="Input 4 4" xfId="239" xr:uid="{00000000-0005-0000-0000-0000EA000000}"/>
    <cellStyle name="Input 4 5" xfId="240" xr:uid="{00000000-0005-0000-0000-0000EB000000}"/>
    <cellStyle name="Input 5" xfId="241" xr:uid="{00000000-0005-0000-0000-0000EC000000}"/>
    <cellStyle name="Input 5 2" xfId="242" xr:uid="{00000000-0005-0000-0000-0000ED000000}"/>
    <cellStyle name="Input 5 3" xfId="243" xr:uid="{00000000-0005-0000-0000-0000EE000000}"/>
    <cellStyle name="Input 5 4" xfId="244" xr:uid="{00000000-0005-0000-0000-0000EF000000}"/>
    <cellStyle name="Input 5 5" xfId="245" xr:uid="{00000000-0005-0000-0000-0000F0000000}"/>
    <cellStyle name="Input 6" xfId="246" xr:uid="{00000000-0005-0000-0000-0000F1000000}"/>
    <cellStyle name="Input 6 2" xfId="247" xr:uid="{00000000-0005-0000-0000-0000F2000000}"/>
    <cellStyle name="Input 6 3" xfId="248" xr:uid="{00000000-0005-0000-0000-0000F3000000}"/>
    <cellStyle name="Input 6 4" xfId="249" xr:uid="{00000000-0005-0000-0000-0000F4000000}"/>
    <cellStyle name="Input 6 5" xfId="250" xr:uid="{00000000-0005-0000-0000-0000F5000000}"/>
    <cellStyle name="Input 7" xfId="251" xr:uid="{00000000-0005-0000-0000-0000F6000000}"/>
    <cellStyle name="Jet" xfId="252" xr:uid="{00000000-0005-0000-0000-0000F7000000}"/>
    <cellStyle name="Jet 2" xfId="253" xr:uid="{00000000-0005-0000-0000-0000F8000000}"/>
    <cellStyle name="Linked Cell 2" xfId="254" xr:uid="{00000000-0005-0000-0000-0000F9000000}"/>
    <cellStyle name="LNum" xfId="255" xr:uid="{00000000-0005-0000-0000-0000FA000000}"/>
    <cellStyle name="LPG" xfId="256" xr:uid="{00000000-0005-0000-0000-0000FB000000}"/>
    <cellStyle name="LPG 2" xfId="257" xr:uid="{00000000-0005-0000-0000-0000FC000000}"/>
    <cellStyle name="LPress" xfId="258" xr:uid="{00000000-0005-0000-0000-0000FD000000}"/>
    <cellStyle name="Lub_yld" xfId="259" xr:uid="{00000000-0005-0000-0000-0000FE000000}"/>
    <cellStyle name="Lube" xfId="260" xr:uid="{00000000-0005-0000-0000-0000FF000000}"/>
    <cellStyle name="Lube 2" xfId="261" xr:uid="{00000000-0005-0000-0000-000000010000}"/>
    <cellStyle name="LubeC" xfId="262" xr:uid="{00000000-0005-0000-0000-000001010000}"/>
    <cellStyle name="LubeC 2" xfId="263" xr:uid="{00000000-0005-0000-0000-000002010000}"/>
    <cellStyle name="Millares [0]_Calc out" xfId="264" xr:uid="{00000000-0005-0000-0000-000003010000}"/>
    <cellStyle name="Millares_Calc out" xfId="265" xr:uid="{00000000-0005-0000-0000-000004010000}"/>
    <cellStyle name="Milliers [0]_TEMPLATE" xfId="266" xr:uid="{00000000-0005-0000-0000-000005010000}"/>
    <cellStyle name="Milliers_TEMPLATE" xfId="267" xr:uid="{00000000-0005-0000-0000-000006010000}"/>
    <cellStyle name="MNum" xfId="268" xr:uid="{00000000-0005-0000-0000-000007010000}"/>
    <cellStyle name="Mogas" xfId="269" xr:uid="{00000000-0005-0000-0000-000008010000}"/>
    <cellStyle name="Mogas 2" xfId="270" xr:uid="{00000000-0005-0000-0000-000009010000}"/>
    <cellStyle name="Moneda [0]_Calc out" xfId="271" xr:uid="{00000000-0005-0000-0000-00000A010000}"/>
    <cellStyle name="Moneda_Calc out" xfId="272" xr:uid="{00000000-0005-0000-0000-00000B010000}"/>
    <cellStyle name="Monétaire [0]_TEMPLATE" xfId="273" xr:uid="{00000000-0005-0000-0000-00000C010000}"/>
    <cellStyle name="Monétaire_TEMPLATE" xfId="274" xr:uid="{00000000-0005-0000-0000-00000D010000}"/>
    <cellStyle name="Ms_yld" xfId="275" xr:uid="{00000000-0005-0000-0000-00000E010000}"/>
    <cellStyle name="Neutral 2" xfId="276" xr:uid="{00000000-0005-0000-0000-00000F010000}"/>
    <cellStyle name="Neutral 3" xfId="277" xr:uid="{00000000-0005-0000-0000-000010010000}"/>
    <cellStyle name="New" xfId="278" xr:uid="{00000000-0005-0000-0000-000011010000}"/>
    <cellStyle name="New 2" xfId="279" xr:uid="{00000000-0005-0000-0000-000012010000}"/>
    <cellStyle name="Normal" xfId="0" builtinId="0"/>
    <cellStyle name="Normal - Style1" xfId="280" xr:uid="{00000000-0005-0000-0000-000014010000}"/>
    <cellStyle name="Normal 10" xfId="281" xr:uid="{00000000-0005-0000-0000-000015010000}"/>
    <cellStyle name="Normal 11" xfId="282" xr:uid="{00000000-0005-0000-0000-000016010000}"/>
    <cellStyle name="Normal 12" xfId="283" xr:uid="{00000000-0005-0000-0000-000017010000}"/>
    <cellStyle name="Normal 13" xfId="284" xr:uid="{00000000-0005-0000-0000-000018010000}"/>
    <cellStyle name="Normal 14" xfId="285" xr:uid="{00000000-0005-0000-0000-000019010000}"/>
    <cellStyle name="Normal 15" xfId="286" xr:uid="{00000000-0005-0000-0000-00001A010000}"/>
    <cellStyle name="Normal 16" xfId="287" xr:uid="{00000000-0005-0000-0000-00001B010000}"/>
    <cellStyle name="Normal 17" xfId="288" xr:uid="{00000000-0005-0000-0000-00001C010000}"/>
    <cellStyle name="Normal 18" xfId="289" xr:uid="{00000000-0005-0000-0000-00001D010000}"/>
    <cellStyle name="Normal 19" xfId="290" xr:uid="{00000000-0005-0000-0000-00001E010000}"/>
    <cellStyle name="Normal 2" xfId="2" xr:uid="{00000000-0005-0000-0000-00001F010000}"/>
    <cellStyle name="Normal 2 2" xfId="292" xr:uid="{00000000-0005-0000-0000-000020010000}"/>
    <cellStyle name="Normal 2 3" xfId="7" xr:uid="{00000000-0005-0000-0000-000021010000}"/>
    <cellStyle name="Normal 2 4" xfId="291" xr:uid="{00000000-0005-0000-0000-000022010000}"/>
    <cellStyle name="Normal 20" xfId="293" xr:uid="{00000000-0005-0000-0000-000023010000}"/>
    <cellStyle name="Normal 21" xfId="294" xr:uid="{00000000-0005-0000-0000-000024010000}"/>
    <cellStyle name="Normal 22" xfId="295" xr:uid="{00000000-0005-0000-0000-000025010000}"/>
    <cellStyle name="Normal 23" xfId="296" xr:uid="{00000000-0005-0000-0000-000026010000}"/>
    <cellStyle name="Normal 24" xfId="297" xr:uid="{00000000-0005-0000-0000-000027010000}"/>
    <cellStyle name="Normal 25" xfId="298" xr:uid="{00000000-0005-0000-0000-000028010000}"/>
    <cellStyle name="Normal 26" xfId="299" xr:uid="{00000000-0005-0000-0000-000029010000}"/>
    <cellStyle name="Normal 27" xfId="300" xr:uid="{00000000-0005-0000-0000-00002A010000}"/>
    <cellStyle name="Normal 28" xfId="301" xr:uid="{00000000-0005-0000-0000-00002B010000}"/>
    <cellStyle name="Normal 29" xfId="302" xr:uid="{00000000-0005-0000-0000-00002C010000}"/>
    <cellStyle name="Normal 3" xfId="3" xr:uid="{00000000-0005-0000-0000-00002D010000}"/>
    <cellStyle name="Normal 3 2" xfId="303" xr:uid="{00000000-0005-0000-0000-00002E010000}"/>
    <cellStyle name="Normal 30" xfId="304" xr:uid="{00000000-0005-0000-0000-00002F010000}"/>
    <cellStyle name="Normal 31" xfId="305" xr:uid="{00000000-0005-0000-0000-000030010000}"/>
    <cellStyle name="Normal 32" xfId="306" xr:uid="{00000000-0005-0000-0000-000031010000}"/>
    <cellStyle name="Normal 33" xfId="4" xr:uid="{00000000-0005-0000-0000-000032010000}"/>
    <cellStyle name="Normal 34" xfId="624" xr:uid="{00000000-0005-0000-0000-000033010000}"/>
    <cellStyle name="Normal 35" xfId="625" xr:uid="{00000000-0005-0000-0000-000034010000}"/>
    <cellStyle name="Normal 36" xfId="627" xr:uid="{00000000-0005-0000-0000-000035010000}"/>
    <cellStyle name="Normal 37" xfId="628" xr:uid="{00000000-0005-0000-0000-000036010000}"/>
    <cellStyle name="Normal 38" xfId="629" xr:uid="{00000000-0005-0000-0000-000037010000}"/>
    <cellStyle name="Normal 39" xfId="630" xr:uid="{00000000-0005-0000-0000-000038010000}"/>
    <cellStyle name="Normal 4" xfId="307" xr:uid="{00000000-0005-0000-0000-000039010000}"/>
    <cellStyle name="Normal 40" xfId="631" xr:uid="{00000000-0005-0000-0000-00003A010000}"/>
    <cellStyle name="Normal 41" xfId="632" xr:uid="{00000000-0005-0000-0000-00003B010000}"/>
    <cellStyle name="Normal 42" xfId="633" xr:uid="{00000000-0005-0000-0000-00003C010000}"/>
    <cellStyle name="Normal 43" xfId="634" xr:uid="{00000000-0005-0000-0000-00003D010000}"/>
    <cellStyle name="Normal 44" xfId="635" xr:uid="{00000000-0005-0000-0000-00003E010000}"/>
    <cellStyle name="Normal 45" xfId="636" xr:uid="{00000000-0005-0000-0000-00003F010000}"/>
    <cellStyle name="Normal 46" xfId="637" xr:uid="{00000000-0005-0000-0000-000040010000}"/>
    <cellStyle name="Normal 47" xfId="638" xr:uid="{00000000-0005-0000-0000-000041010000}"/>
    <cellStyle name="Normal 48" xfId="639" xr:uid="{00000000-0005-0000-0000-000042010000}"/>
    <cellStyle name="Normal 49" xfId="640" xr:uid="{00000000-0005-0000-0000-000043010000}"/>
    <cellStyle name="Normal 5" xfId="308" xr:uid="{00000000-0005-0000-0000-000044010000}"/>
    <cellStyle name="Normal 50" xfId="641" xr:uid="{00000000-0005-0000-0000-000045010000}"/>
    <cellStyle name="Normal 51" xfId="642" xr:uid="{00000000-0005-0000-0000-000046010000}"/>
    <cellStyle name="Normal 52" xfId="643" xr:uid="{00000000-0005-0000-0000-000047010000}"/>
    <cellStyle name="Normal 53" xfId="644" xr:uid="{00000000-0005-0000-0000-0000B3020000}"/>
    <cellStyle name="Normal 54" xfId="645" xr:uid="{00000000-0005-0000-0000-0000B5020000}"/>
    <cellStyle name="Normal 55" xfId="647" xr:uid="{00000000-0005-0000-0000-0000B6020000}"/>
    <cellStyle name="Normal 56" xfId="648" xr:uid="{00000000-0005-0000-0000-0000B7020000}"/>
    <cellStyle name="Normal 6" xfId="309" xr:uid="{00000000-0005-0000-0000-000048010000}"/>
    <cellStyle name="Normal 7" xfId="310" xr:uid="{00000000-0005-0000-0000-000049010000}"/>
    <cellStyle name="Normal 8" xfId="311" xr:uid="{00000000-0005-0000-0000-00004A010000}"/>
    <cellStyle name="Normal 9" xfId="9" xr:uid="{00000000-0005-0000-0000-00004B010000}"/>
    <cellStyle name="Note 2" xfId="312" xr:uid="{00000000-0005-0000-0000-00004C010000}"/>
    <cellStyle name="Note 2 2" xfId="313" xr:uid="{00000000-0005-0000-0000-00004D010000}"/>
    <cellStyle name="Note 2 2 2" xfId="314" xr:uid="{00000000-0005-0000-0000-00004E010000}"/>
    <cellStyle name="Note 2 2 3" xfId="315" xr:uid="{00000000-0005-0000-0000-00004F010000}"/>
    <cellStyle name="Note 2 2 4" xfId="316" xr:uid="{00000000-0005-0000-0000-000050010000}"/>
    <cellStyle name="Note 2 3" xfId="317" xr:uid="{00000000-0005-0000-0000-000051010000}"/>
    <cellStyle name="Note 2 3 2" xfId="318" xr:uid="{00000000-0005-0000-0000-000052010000}"/>
    <cellStyle name="Note 2 3 3" xfId="319" xr:uid="{00000000-0005-0000-0000-000053010000}"/>
    <cellStyle name="Note 2 3 4" xfId="320" xr:uid="{00000000-0005-0000-0000-000054010000}"/>
    <cellStyle name="Note 2 4" xfId="321" xr:uid="{00000000-0005-0000-0000-000055010000}"/>
    <cellStyle name="Note 2 4 2" xfId="322" xr:uid="{00000000-0005-0000-0000-000056010000}"/>
    <cellStyle name="Note 2 4 3" xfId="323" xr:uid="{00000000-0005-0000-0000-000057010000}"/>
    <cellStyle name="Note 2 4 4" xfId="324" xr:uid="{00000000-0005-0000-0000-000058010000}"/>
    <cellStyle name="Note 2 5" xfId="325" xr:uid="{00000000-0005-0000-0000-000059010000}"/>
    <cellStyle name="Note 2 6" xfId="326" xr:uid="{00000000-0005-0000-0000-00005A010000}"/>
    <cellStyle name="Note 2 7" xfId="327" xr:uid="{00000000-0005-0000-0000-00005B010000}"/>
    <cellStyle name="Note 3" xfId="328" xr:uid="{00000000-0005-0000-0000-00005C010000}"/>
    <cellStyle name="Note 3 2" xfId="329" xr:uid="{00000000-0005-0000-0000-00005D010000}"/>
    <cellStyle name="Note 3 3" xfId="330" xr:uid="{00000000-0005-0000-0000-00005E010000}"/>
    <cellStyle name="Note 3 4" xfId="331" xr:uid="{00000000-0005-0000-0000-00005F010000}"/>
    <cellStyle name="Note 4" xfId="332" xr:uid="{00000000-0005-0000-0000-000060010000}"/>
    <cellStyle name="Note 4 2" xfId="333" xr:uid="{00000000-0005-0000-0000-000061010000}"/>
    <cellStyle name="Note 4 3" xfId="334" xr:uid="{00000000-0005-0000-0000-000062010000}"/>
    <cellStyle name="Note 4 4" xfId="335" xr:uid="{00000000-0005-0000-0000-000063010000}"/>
    <cellStyle name="Note 5" xfId="336" xr:uid="{00000000-0005-0000-0000-000064010000}"/>
    <cellStyle name="Note 5 2" xfId="337" xr:uid="{00000000-0005-0000-0000-000065010000}"/>
    <cellStyle name="Note 5 3" xfId="338" xr:uid="{00000000-0005-0000-0000-000066010000}"/>
    <cellStyle name="Note 5 4" xfId="339" xr:uid="{00000000-0005-0000-0000-000067010000}"/>
    <cellStyle name="Note 6" xfId="340" xr:uid="{00000000-0005-0000-0000-000068010000}"/>
    <cellStyle name="Note 6 2" xfId="341" xr:uid="{00000000-0005-0000-0000-000069010000}"/>
    <cellStyle name="Note 6 3" xfId="342" xr:uid="{00000000-0005-0000-0000-00006A010000}"/>
    <cellStyle name="Note 6 4" xfId="343" xr:uid="{00000000-0005-0000-0000-00006B010000}"/>
    <cellStyle name="Note 6 5" xfId="344" xr:uid="{00000000-0005-0000-0000-00006C010000}"/>
    <cellStyle name="Note 7" xfId="345" xr:uid="{00000000-0005-0000-0000-00006D010000}"/>
    <cellStyle name="NoZero" xfId="346" xr:uid="{00000000-0005-0000-0000-00006E010000}"/>
    <cellStyle name="NoZero 2" xfId="347" xr:uid="{00000000-0005-0000-0000-00006F010000}"/>
    <cellStyle name="NoZeroFixed1" xfId="348" xr:uid="{00000000-0005-0000-0000-000070010000}"/>
    <cellStyle name="NoZeroFixed1 2" xfId="349" xr:uid="{00000000-0005-0000-0000-000071010000}"/>
    <cellStyle name="NoZeroFixed2" xfId="350" xr:uid="{00000000-0005-0000-0000-000072010000}"/>
    <cellStyle name="NoZeroFixed2 2" xfId="351" xr:uid="{00000000-0005-0000-0000-000073010000}"/>
    <cellStyle name="Num1" xfId="352" xr:uid="{00000000-0005-0000-0000-000074010000}"/>
    <cellStyle name="Num1 2" xfId="353" xr:uid="{00000000-0005-0000-0000-000075010000}"/>
    <cellStyle name="Num2" xfId="354" xr:uid="{00000000-0005-0000-0000-000076010000}"/>
    <cellStyle name="Num2 2" xfId="355" xr:uid="{00000000-0005-0000-0000-000077010000}"/>
    <cellStyle name="NUMB1D" xfId="356" xr:uid="{00000000-0005-0000-0000-000078010000}"/>
    <cellStyle name="Output 2" xfId="357" xr:uid="{00000000-0005-0000-0000-000079010000}"/>
    <cellStyle name="Output 2 2" xfId="358" xr:uid="{00000000-0005-0000-0000-00007A010000}"/>
    <cellStyle name="Output 2 2 2" xfId="359" xr:uid="{00000000-0005-0000-0000-00007B010000}"/>
    <cellStyle name="Output 2 2 3" xfId="360" xr:uid="{00000000-0005-0000-0000-00007C010000}"/>
    <cellStyle name="Output 2 2 4" xfId="361" xr:uid="{00000000-0005-0000-0000-00007D010000}"/>
    <cellStyle name="Output 2 3" xfId="362" xr:uid="{00000000-0005-0000-0000-00007E010000}"/>
    <cellStyle name="Output 2 3 2" xfId="363" xr:uid="{00000000-0005-0000-0000-00007F010000}"/>
    <cellStyle name="Output 2 3 3" xfId="364" xr:uid="{00000000-0005-0000-0000-000080010000}"/>
    <cellStyle name="Output 2 3 4" xfId="365" xr:uid="{00000000-0005-0000-0000-000081010000}"/>
    <cellStyle name="Output 2 4" xfId="366" xr:uid="{00000000-0005-0000-0000-000082010000}"/>
    <cellStyle name="Output 2 4 2" xfId="367" xr:uid="{00000000-0005-0000-0000-000083010000}"/>
    <cellStyle name="Output 2 4 3" xfId="368" xr:uid="{00000000-0005-0000-0000-000084010000}"/>
    <cellStyle name="Output 2 4 4" xfId="369" xr:uid="{00000000-0005-0000-0000-000085010000}"/>
    <cellStyle name="Output 2 5" xfId="370" xr:uid="{00000000-0005-0000-0000-000086010000}"/>
    <cellStyle name="Output 2 6" xfId="371" xr:uid="{00000000-0005-0000-0000-000087010000}"/>
    <cellStyle name="Output 2 7" xfId="372" xr:uid="{00000000-0005-0000-0000-000088010000}"/>
    <cellStyle name="Output 3" xfId="373" xr:uid="{00000000-0005-0000-0000-000089010000}"/>
    <cellStyle name="Output 3 2" xfId="374" xr:uid="{00000000-0005-0000-0000-00008A010000}"/>
    <cellStyle name="Output 3 3" xfId="375" xr:uid="{00000000-0005-0000-0000-00008B010000}"/>
    <cellStyle name="Output 3 4" xfId="376" xr:uid="{00000000-0005-0000-0000-00008C010000}"/>
    <cellStyle name="Output 4" xfId="377" xr:uid="{00000000-0005-0000-0000-00008D010000}"/>
    <cellStyle name="Output 4 2" xfId="378" xr:uid="{00000000-0005-0000-0000-00008E010000}"/>
    <cellStyle name="Output 4 3" xfId="379" xr:uid="{00000000-0005-0000-0000-00008F010000}"/>
    <cellStyle name="Output 4 4" xfId="380" xr:uid="{00000000-0005-0000-0000-000090010000}"/>
    <cellStyle name="Output 5" xfId="381" xr:uid="{00000000-0005-0000-0000-000091010000}"/>
    <cellStyle name="Output 5 2" xfId="382" xr:uid="{00000000-0005-0000-0000-000092010000}"/>
    <cellStyle name="Output 5 3" xfId="383" xr:uid="{00000000-0005-0000-0000-000093010000}"/>
    <cellStyle name="Output 5 4" xfId="384" xr:uid="{00000000-0005-0000-0000-000094010000}"/>
    <cellStyle name="Output 6" xfId="385" xr:uid="{00000000-0005-0000-0000-000095010000}"/>
    <cellStyle name="Output 6 2" xfId="386" xr:uid="{00000000-0005-0000-0000-000096010000}"/>
    <cellStyle name="Output 6 3" xfId="387" xr:uid="{00000000-0005-0000-0000-000097010000}"/>
    <cellStyle name="Output 6 4" xfId="388" xr:uid="{00000000-0005-0000-0000-000098010000}"/>
    <cellStyle name="Output 6 5" xfId="389" xr:uid="{00000000-0005-0000-0000-000099010000}"/>
    <cellStyle name="Output 7" xfId="390" xr:uid="{00000000-0005-0000-0000-00009A010000}"/>
    <cellStyle name="P $,(0)" xfId="391" xr:uid="{00000000-0005-0000-0000-00009B010000}"/>
    <cellStyle name="P $,(2)" xfId="392" xr:uid="{00000000-0005-0000-0000-00009C010000}"/>
    <cellStyle name="P, (0)" xfId="393" xr:uid="{00000000-0005-0000-0000-00009D010000}"/>
    <cellStyle name="P, (1)" xfId="394" xr:uid="{00000000-0005-0000-0000-00009E010000}"/>
    <cellStyle name="P, (2)" xfId="395" xr:uid="{00000000-0005-0000-0000-00009F010000}"/>
    <cellStyle name="P, (3)" xfId="396" xr:uid="{00000000-0005-0000-0000-0000A0010000}"/>
    <cellStyle name="P, [0]" xfId="397" xr:uid="{00000000-0005-0000-0000-0000A1010000}"/>
    <cellStyle name="Percent 2" xfId="398" xr:uid="{00000000-0005-0000-0000-0000A2010000}"/>
    <cellStyle name="Percent 2 2" xfId="399" xr:uid="{00000000-0005-0000-0000-0000A3010000}"/>
    <cellStyle name="Percent 2 3" xfId="400" xr:uid="{00000000-0005-0000-0000-0000A4010000}"/>
    <cellStyle name="Percent 3" xfId="401" xr:uid="{00000000-0005-0000-0000-0000A5010000}"/>
    <cellStyle name="Percent 3 2" xfId="626" xr:uid="{00000000-0005-0000-0000-0000A6010000}"/>
    <cellStyle name="Percent 4" xfId="402" xr:uid="{00000000-0005-0000-0000-0000A7010000}"/>
    <cellStyle name="Percent 5" xfId="403" xr:uid="{00000000-0005-0000-0000-0000A8010000}"/>
    <cellStyle name="Plan" xfId="404" xr:uid="{00000000-0005-0000-0000-0000A9010000}"/>
    <cellStyle name="Plan 2" xfId="405" xr:uid="{00000000-0005-0000-0000-0000AA010000}"/>
    <cellStyle name="PPU" xfId="406" xr:uid="{00000000-0005-0000-0000-0000AB010000}"/>
    <cellStyle name="PPU 2" xfId="407" xr:uid="{00000000-0005-0000-0000-0000AC010000}"/>
    <cellStyle name="Pr Fixed (0)" xfId="408" xr:uid="{00000000-0005-0000-0000-0000AD010000}"/>
    <cellStyle name="Pr Fixed (1)" xfId="409" xr:uid="{00000000-0005-0000-0000-0000AE010000}"/>
    <cellStyle name="Pr Fixed (2)" xfId="410" xr:uid="{00000000-0005-0000-0000-0000AF010000}"/>
    <cellStyle name="Pr Fixed (3)" xfId="411" xr:uid="{00000000-0005-0000-0000-0000B0010000}"/>
    <cellStyle name="Pr, -0" xfId="412" xr:uid="{00000000-0005-0000-0000-0000B1010000}"/>
    <cellStyle name="Prot $,(0)" xfId="413" xr:uid="{00000000-0005-0000-0000-0000B2010000}"/>
    <cellStyle name="Prot $,(2)" xfId="414" xr:uid="{00000000-0005-0000-0000-0000B3010000}"/>
    <cellStyle name="Prot Fixed (1)" xfId="415" xr:uid="{00000000-0005-0000-0000-0000B4010000}"/>
    <cellStyle name="Prot, (0)" xfId="416" xr:uid="{00000000-0005-0000-0000-0000B5010000}"/>
    <cellStyle name="Prot, Fixed (2)" xfId="417" xr:uid="{00000000-0005-0000-0000-0000B6010000}"/>
    <cellStyle name="Prot, Fixed (3)" xfId="418" xr:uid="{00000000-0005-0000-0000-0000B7010000}"/>
    <cellStyle name="Protected" xfId="419" xr:uid="{00000000-0005-0000-0000-0000B8010000}"/>
    <cellStyle name="Protected 0" xfId="420" xr:uid="{00000000-0005-0000-0000-0000B9010000}"/>
    <cellStyle name="Protected 2" xfId="421" xr:uid="{00000000-0005-0000-0000-0000BA010000}"/>
    <cellStyle name="Protected_CASE CONTROLS" xfId="422" xr:uid="{00000000-0005-0000-0000-0000BB010000}"/>
    <cellStyle name="Quarter" xfId="423" xr:uid="{00000000-0005-0000-0000-0000BC010000}"/>
    <cellStyle name="RCU_yld" xfId="424" xr:uid="{00000000-0005-0000-0000-0000BD010000}"/>
    <cellStyle name="RCUCCR" xfId="425" xr:uid="{00000000-0005-0000-0000-0000BE010000}"/>
    <cellStyle name="RCUCCR 2" xfId="426" xr:uid="{00000000-0005-0000-0000-0000BF010000}"/>
    <cellStyle name="RCUDens" xfId="427" xr:uid="{00000000-0005-0000-0000-0000C0010000}"/>
    <cellStyle name="RCUDens 2" xfId="428" xr:uid="{00000000-0005-0000-0000-0000C1010000}"/>
    <cellStyle name="RCUKV100" xfId="429" xr:uid="{00000000-0005-0000-0000-0000C2010000}"/>
    <cellStyle name="RCUKV100 2" xfId="430" xr:uid="{00000000-0005-0000-0000-0000C3010000}"/>
    <cellStyle name="RCUNi" xfId="431" xr:uid="{00000000-0005-0000-0000-0000C4010000}"/>
    <cellStyle name="RCUNi 2" xfId="432" xr:uid="{00000000-0005-0000-0000-0000C5010000}"/>
    <cellStyle name="RCUNitr" xfId="433" xr:uid="{00000000-0005-0000-0000-0000C6010000}"/>
    <cellStyle name="RCUNitr 2" xfId="434" xr:uid="{00000000-0005-0000-0000-0000C7010000}"/>
    <cellStyle name="RCUSulp" xfId="435" xr:uid="{00000000-0005-0000-0000-0000C8010000}"/>
    <cellStyle name="RCUSulp 2" xfId="436" xr:uid="{00000000-0005-0000-0000-0000C9010000}"/>
    <cellStyle name="RCUVABP" xfId="437" xr:uid="{00000000-0005-0000-0000-0000CA010000}"/>
    <cellStyle name="RCUVABP 2" xfId="438" xr:uid="{00000000-0005-0000-0000-0000CB010000}"/>
    <cellStyle name="RCUVan" xfId="439" xr:uid="{00000000-0005-0000-0000-0000CC010000}"/>
    <cellStyle name="RCUVan 2" xfId="440" xr:uid="{00000000-0005-0000-0000-0000CD010000}"/>
    <cellStyle name="RedDC" xfId="441" xr:uid="{00000000-0005-0000-0000-0000CE010000}"/>
    <cellStyle name="Residue" xfId="442" xr:uid="{00000000-0005-0000-0000-0000CF010000}"/>
    <cellStyle name="Residue 2" xfId="443" xr:uid="{00000000-0005-0000-0000-0000D0010000}"/>
    <cellStyle name="S_Make" xfId="444" xr:uid="{00000000-0005-0000-0000-0000D1010000}"/>
    <cellStyle name="S_Make 2" xfId="445" xr:uid="{00000000-0005-0000-0000-0000D2010000}"/>
    <cellStyle name="S_Make_April 21 2004" xfId="446" xr:uid="{00000000-0005-0000-0000-0000D3010000}"/>
    <cellStyle name="S_Make_April 21 2004 2" xfId="447" xr:uid="{00000000-0005-0000-0000-0000D4010000}"/>
    <cellStyle name="S_Make_aprjul4" xfId="448" xr:uid="{00000000-0005-0000-0000-0000D5010000}"/>
    <cellStyle name="S_Make_aprjul4 2" xfId="449" xr:uid="{00000000-0005-0000-0000-0000D6010000}"/>
    <cellStyle name="S_Make_aprjul4a" xfId="450" xr:uid="{00000000-0005-0000-0000-0000D7010000}"/>
    <cellStyle name="S_Make_aprjul4a 2" xfId="451" xr:uid="{00000000-0005-0000-0000-0000D8010000}"/>
    <cellStyle name="S_Make_AugNov2" xfId="452" xr:uid="{00000000-0005-0000-0000-0000D9010000}"/>
    <cellStyle name="S_Make_AugNov2 2" xfId="453" xr:uid="{00000000-0005-0000-0000-0000DA010000}"/>
    <cellStyle name="S_Make_August 9 2006" xfId="454" xr:uid="{00000000-0005-0000-0000-0000DB010000}"/>
    <cellStyle name="S_Make_August 9 2006 2" xfId="455" xr:uid="{00000000-0005-0000-0000-0000DC010000}"/>
    <cellStyle name="S_Make_Exposure Management" xfId="456" xr:uid="{00000000-0005-0000-0000-0000DD010000}"/>
    <cellStyle name="S_Make_Exposure Management 2" xfId="457" xr:uid="{00000000-0005-0000-0000-0000DE010000}"/>
    <cellStyle name="S_Make_June 21 2006" xfId="458" xr:uid="{00000000-0005-0000-0000-0000DF010000}"/>
    <cellStyle name="S_Make_June 21 2006 2" xfId="459" xr:uid="{00000000-0005-0000-0000-0000E0010000}"/>
    <cellStyle name="S_Make_JunSep4" xfId="460" xr:uid="{00000000-0005-0000-0000-0000E1010000}"/>
    <cellStyle name="S_Make_JunSep4 2" xfId="461" xr:uid="{00000000-0005-0000-0000-0000E2010000}"/>
    <cellStyle name="S_Make_M1" xfId="462" xr:uid="{00000000-0005-0000-0000-0000E3010000}"/>
    <cellStyle name="S_Make_M1 2" xfId="463" xr:uid="{00000000-0005-0000-0000-0000E4010000}"/>
    <cellStyle name="S_Make_Pecking Order" xfId="464" xr:uid="{00000000-0005-0000-0000-0000E5010000}"/>
    <cellStyle name="S_Make_Pecking Order 2" xfId="465" xr:uid="{00000000-0005-0000-0000-0000E6010000}"/>
    <cellStyle name="S_Make_SepDec2b" xfId="466" xr:uid="{00000000-0005-0000-0000-0000E7010000}"/>
    <cellStyle name="S_Make_SepDec2b 2" xfId="467" xr:uid="{00000000-0005-0000-0000-0000E8010000}"/>
    <cellStyle name="Scientific" xfId="468" xr:uid="{00000000-0005-0000-0000-0000E9010000}"/>
    <cellStyle name="Shell" xfId="469" xr:uid="{00000000-0005-0000-0000-0000EA010000}"/>
    <cellStyle name="SPress" xfId="470" xr:uid="{00000000-0005-0000-0000-0000EB010000}"/>
    <cellStyle name="Standard_A" xfId="471" xr:uid="{00000000-0005-0000-0000-0000EC010000}"/>
    <cellStyle name="Style 1" xfId="472" xr:uid="{00000000-0005-0000-0000-0000ED010000}"/>
    <cellStyle name="Style 1 2" xfId="473" xr:uid="{00000000-0005-0000-0000-0000EE010000}"/>
    <cellStyle name="Style 22" xfId="474" xr:uid="{00000000-0005-0000-0000-0000EF010000}"/>
    <cellStyle name="Style 22 2" xfId="475" xr:uid="{00000000-0005-0000-0000-0000F0010000}"/>
    <cellStyle name="Style 23" xfId="476" xr:uid="{00000000-0005-0000-0000-0000F1010000}"/>
    <cellStyle name="Style 23 2" xfId="477" xr:uid="{00000000-0005-0000-0000-0000F2010000}"/>
    <cellStyle name="Style 24" xfId="478" xr:uid="{00000000-0005-0000-0000-0000F3010000}"/>
    <cellStyle name="Style 24 2" xfId="479" xr:uid="{00000000-0005-0000-0000-0000F4010000}"/>
    <cellStyle name="Style 26" xfId="480" xr:uid="{00000000-0005-0000-0000-0000F5010000}"/>
    <cellStyle name="Style 26 2" xfId="481" xr:uid="{00000000-0005-0000-0000-0000F6010000}"/>
    <cellStyle name="Style 27" xfId="482" xr:uid="{00000000-0005-0000-0000-0000F7010000}"/>
    <cellStyle name="Style 27 2" xfId="483" xr:uid="{00000000-0005-0000-0000-0000F8010000}"/>
    <cellStyle name="Style 47" xfId="484" xr:uid="{00000000-0005-0000-0000-0000F9010000}"/>
    <cellStyle name="Style 47 2" xfId="485" xr:uid="{00000000-0005-0000-0000-0000FA010000}"/>
    <cellStyle name="Style 48" xfId="486" xr:uid="{00000000-0005-0000-0000-0000FB010000}"/>
    <cellStyle name="Style 48 2" xfId="487" xr:uid="{00000000-0005-0000-0000-0000FC010000}"/>
    <cellStyle name="Supress" xfId="488" xr:uid="{00000000-0005-0000-0000-0000FD010000}"/>
    <cellStyle name="Text" xfId="489" xr:uid="{00000000-0005-0000-0000-0000FE010000}"/>
    <cellStyle name="Title 2" xfId="490" xr:uid="{00000000-0005-0000-0000-0000FF010000}"/>
    <cellStyle name="Title 3" xfId="491" xr:uid="{00000000-0005-0000-0000-000000020000}"/>
    <cellStyle name="Title Shade" xfId="492" xr:uid="{00000000-0005-0000-0000-000001020000}"/>
    <cellStyle name="Title Shade Average" xfId="493" xr:uid="{00000000-0005-0000-0000-000002020000}"/>
    <cellStyle name="Title Shade Caps" xfId="494" xr:uid="{00000000-0005-0000-0000-000003020000}"/>
    <cellStyle name="TorF" xfId="495" xr:uid="{00000000-0005-0000-0000-000004020000}"/>
    <cellStyle name="Total 2" xfId="496" xr:uid="{00000000-0005-0000-0000-000005020000}"/>
    <cellStyle name="Total 2 2" xfId="497" xr:uid="{00000000-0005-0000-0000-000006020000}"/>
    <cellStyle name="Total 2 2 2" xfId="498" xr:uid="{00000000-0005-0000-0000-000007020000}"/>
    <cellStyle name="Total 2 2 3" xfId="499" xr:uid="{00000000-0005-0000-0000-000008020000}"/>
    <cellStyle name="Total 2 2 4" xfId="500" xr:uid="{00000000-0005-0000-0000-000009020000}"/>
    <cellStyle name="Total 2 2 5" xfId="501" xr:uid="{00000000-0005-0000-0000-00000A020000}"/>
    <cellStyle name="Total 2 3" xfId="502" xr:uid="{00000000-0005-0000-0000-00000B020000}"/>
    <cellStyle name="Total 2 3 2" xfId="503" xr:uid="{00000000-0005-0000-0000-00000C020000}"/>
    <cellStyle name="Total 2 3 3" xfId="504" xr:uid="{00000000-0005-0000-0000-00000D020000}"/>
    <cellStyle name="Total 2 3 4" xfId="505" xr:uid="{00000000-0005-0000-0000-00000E020000}"/>
    <cellStyle name="Total 2 3 5" xfId="506" xr:uid="{00000000-0005-0000-0000-00000F020000}"/>
    <cellStyle name="Total 2 4" xfId="507" xr:uid="{00000000-0005-0000-0000-000010020000}"/>
    <cellStyle name="Total 2 4 2" xfId="508" xr:uid="{00000000-0005-0000-0000-000011020000}"/>
    <cellStyle name="Total 2 4 3" xfId="509" xr:uid="{00000000-0005-0000-0000-000012020000}"/>
    <cellStyle name="Total 2 4 4" xfId="510" xr:uid="{00000000-0005-0000-0000-000013020000}"/>
    <cellStyle name="Total 2 4 5" xfId="511" xr:uid="{00000000-0005-0000-0000-000014020000}"/>
    <cellStyle name="Total 2 5" xfId="512" xr:uid="{00000000-0005-0000-0000-000015020000}"/>
    <cellStyle name="Total 2 6" xfId="513" xr:uid="{00000000-0005-0000-0000-000016020000}"/>
    <cellStyle name="Total 2 7" xfId="514" xr:uid="{00000000-0005-0000-0000-000017020000}"/>
    <cellStyle name="Total 3" xfId="515" xr:uid="{00000000-0005-0000-0000-000018020000}"/>
    <cellStyle name="Total 3 2" xfId="516" xr:uid="{00000000-0005-0000-0000-000019020000}"/>
    <cellStyle name="Total 3 3" xfId="517" xr:uid="{00000000-0005-0000-0000-00001A020000}"/>
    <cellStyle name="Total 3 4" xfId="518" xr:uid="{00000000-0005-0000-0000-00001B020000}"/>
    <cellStyle name="Total 4" xfId="519" xr:uid="{00000000-0005-0000-0000-00001C020000}"/>
    <cellStyle name="Total 4 2" xfId="520" xr:uid="{00000000-0005-0000-0000-00001D020000}"/>
    <cellStyle name="Total 4 3" xfId="521" xr:uid="{00000000-0005-0000-0000-00001E020000}"/>
    <cellStyle name="Total 4 4" xfId="522" xr:uid="{00000000-0005-0000-0000-00001F020000}"/>
    <cellStyle name="Total 5" xfId="523" xr:uid="{00000000-0005-0000-0000-000020020000}"/>
    <cellStyle name="Total 5 2" xfId="524" xr:uid="{00000000-0005-0000-0000-000021020000}"/>
    <cellStyle name="Total 5 3" xfId="525" xr:uid="{00000000-0005-0000-0000-000022020000}"/>
    <cellStyle name="Total 5 4" xfId="526" xr:uid="{00000000-0005-0000-0000-000023020000}"/>
    <cellStyle name="Total 5 5" xfId="527" xr:uid="{00000000-0005-0000-0000-000024020000}"/>
    <cellStyle name="Total 6" xfId="528" xr:uid="{00000000-0005-0000-0000-000025020000}"/>
    <cellStyle name="UnitID" xfId="529" xr:uid="{00000000-0005-0000-0000-000026020000}"/>
    <cellStyle name="Unp $,(0)" xfId="530" xr:uid="{00000000-0005-0000-0000-000027020000}"/>
    <cellStyle name="Unp $,(2)" xfId="531" xr:uid="{00000000-0005-0000-0000-000028020000}"/>
    <cellStyle name="Unp Comma (0)" xfId="532" xr:uid="{00000000-0005-0000-0000-000029020000}"/>
    <cellStyle name="Unp Comma [0]" xfId="533" xr:uid="{00000000-0005-0000-0000-00002A020000}"/>
    <cellStyle name="Unp Comma 0" xfId="534" xr:uid="{00000000-0005-0000-0000-00002B020000}"/>
    <cellStyle name="Unp comment" xfId="535" xr:uid="{00000000-0005-0000-0000-00002C020000}"/>
    <cellStyle name="Unp Fixed (0)" xfId="536" xr:uid="{00000000-0005-0000-0000-00002D020000}"/>
    <cellStyle name="Unp Fixed (1)" xfId="537" xr:uid="{00000000-0005-0000-0000-00002E020000}"/>
    <cellStyle name="Unp Fixed (2)" xfId="538" xr:uid="{00000000-0005-0000-0000-00002F020000}"/>
    <cellStyle name="Unp Fixed (3)" xfId="539" xr:uid="{00000000-0005-0000-0000-000030020000}"/>
    <cellStyle name="Unp Fixed (4)" xfId="540" xr:uid="{00000000-0005-0000-0000-000031020000}"/>
    <cellStyle name="Unp Fixed-1" xfId="541" xr:uid="{00000000-0005-0000-0000-000032020000}"/>
    <cellStyle name="Unp Gen" xfId="542" xr:uid="{00000000-0005-0000-0000-000033020000}"/>
    <cellStyle name="Unp Name" xfId="543" xr:uid="{00000000-0005-0000-0000-000034020000}"/>
    <cellStyle name="Unp NegComma [0]" xfId="544" xr:uid="{00000000-0005-0000-0000-000035020000}"/>
    <cellStyle name="Unp Percent" xfId="545" xr:uid="{00000000-0005-0000-0000-000036020000}"/>
    <cellStyle name="Unp Pos$, [2]" xfId="546" xr:uid="{00000000-0005-0000-0000-000037020000}"/>
    <cellStyle name="Unp PosComma [0]" xfId="547" xr:uid="{00000000-0005-0000-0000-000038020000}"/>
    <cellStyle name="Unp PosFixed [1]" xfId="548" xr:uid="{00000000-0005-0000-0000-000039020000}"/>
    <cellStyle name="Unp PosFixed [2]" xfId="549" xr:uid="{00000000-0005-0000-0000-00003A020000}"/>
    <cellStyle name="Unp PosFixed [3]" xfId="550" xr:uid="{00000000-0005-0000-0000-00003B020000}"/>
    <cellStyle name="Unp PosFixed [4]" xfId="551" xr:uid="{00000000-0005-0000-0000-00003C020000}"/>
    <cellStyle name="Unp PosPercent" xfId="552" xr:uid="{00000000-0005-0000-0000-00003D020000}"/>
    <cellStyle name="Unp, -0" xfId="553" xr:uid="{00000000-0005-0000-0000-00003E020000}"/>
    <cellStyle name="Unprotected" xfId="554" xr:uid="{00000000-0005-0000-0000-00003F020000}"/>
    <cellStyle name="uopRpmL01" xfId="555" xr:uid="{00000000-0005-0000-0000-000040020000}"/>
    <cellStyle name="uopRpmL01 2" xfId="556" xr:uid="{00000000-0005-0000-0000-000041020000}"/>
    <cellStyle name="uopRpmL02" xfId="557" xr:uid="{00000000-0005-0000-0000-000042020000}"/>
    <cellStyle name="uopRpmL02 2" xfId="558" xr:uid="{00000000-0005-0000-0000-000043020000}"/>
    <cellStyle name="uopRpmL03" xfId="559" xr:uid="{00000000-0005-0000-0000-000044020000}"/>
    <cellStyle name="uopRpmL03 2" xfId="560" xr:uid="{00000000-0005-0000-0000-000045020000}"/>
    <cellStyle name="uopRpmL04" xfId="561" xr:uid="{00000000-0005-0000-0000-000046020000}"/>
    <cellStyle name="uopRpmL04 2" xfId="562" xr:uid="{00000000-0005-0000-0000-000047020000}"/>
    <cellStyle name="uopRpmL05" xfId="563" xr:uid="{00000000-0005-0000-0000-000048020000}"/>
    <cellStyle name="uopRpmL05 2" xfId="564" xr:uid="{00000000-0005-0000-0000-000049020000}"/>
    <cellStyle name="uopRpmL06" xfId="565" xr:uid="{00000000-0005-0000-0000-00004A020000}"/>
    <cellStyle name="uopRpmL06 2" xfId="566" xr:uid="{00000000-0005-0000-0000-00004B020000}"/>
    <cellStyle name="uopRpmL07" xfId="567" xr:uid="{00000000-0005-0000-0000-00004C020000}"/>
    <cellStyle name="uopRpmL07 2" xfId="568" xr:uid="{00000000-0005-0000-0000-00004D020000}"/>
    <cellStyle name="uopRpmL08" xfId="569" xr:uid="{00000000-0005-0000-0000-00004E020000}"/>
    <cellStyle name="uopRpmL08 2" xfId="570" xr:uid="{00000000-0005-0000-0000-00004F020000}"/>
    <cellStyle name="uopRpmL09" xfId="571" xr:uid="{00000000-0005-0000-0000-000050020000}"/>
    <cellStyle name="uopRpmL09 2" xfId="572" xr:uid="{00000000-0005-0000-0000-000051020000}"/>
    <cellStyle name="uopRpmL1" xfId="573" xr:uid="{00000000-0005-0000-0000-000052020000}"/>
    <cellStyle name="uopRpmL1 2" xfId="574" xr:uid="{00000000-0005-0000-0000-000053020000}"/>
    <cellStyle name="uopRpmL10" xfId="575" xr:uid="{00000000-0005-0000-0000-000054020000}"/>
    <cellStyle name="uopRpmL10 2" xfId="576" xr:uid="{00000000-0005-0000-0000-000055020000}"/>
    <cellStyle name="uopRpmL11" xfId="577" xr:uid="{00000000-0005-0000-0000-000056020000}"/>
    <cellStyle name="uopRpmL11 2" xfId="578" xr:uid="{00000000-0005-0000-0000-000057020000}"/>
    <cellStyle name="uopRpmL12" xfId="579" xr:uid="{00000000-0005-0000-0000-000058020000}"/>
    <cellStyle name="uopRpmL12 2" xfId="580" xr:uid="{00000000-0005-0000-0000-000059020000}"/>
    <cellStyle name="uopRpmL13" xfId="581" xr:uid="{00000000-0005-0000-0000-00005A020000}"/>
    <cellStyle name="uopRpmL13 2" xfId="582" xr:uid="{00000000-0005-0000-0000-00005B020000}"/>
    <cellStyle name="uopRpmL14" xfId="583" xr:uid="{00000000-0005-0000-0000-00005C020000}"/>
    <cellStyle name="uopRpmL14 2" xfId="584" xr:uid="{00000000-0005-0000-0000-00005D020000}"/>
    <cellStyle name="uopRpmL15" xfId="585" xr:uid="{00000000-0005-0000-0000-00005E020000}"/>
    <cellStyle name="uopRpmL15 2" xfId="586" xr:uid="{00000000-0005-0000-0000-00005F020000}"/>
    <cellStyle name="uopRpmL16" xfId="587" xr:uid="{00000000-0005-0000-0000-000060020000}"/>
    <cellStyle name="uopRpmL16 2" xfId="588" xr:uid="{00000000-0005-0000-0000-000061020000}"/>
    <cellStyle name="uopRpmL17" xfId="589" xr:uid="{00000000-0005-0000-0000-000062020000}"/>
    <cellStyle name="uopRpmL17 2" xfId="590" xr:uid="{00000000-0005-0000-0000-000063020000}"/>
    <cellStyle name="uopRpmL18" xfId="591" xr:uid="{00000000-0005-0000-0000-000064020000}"/>
    <cellStyle name="uopRpmL18 2" xfId="592" xr:uid="{00000000-0005-0000-0000-000065020000}"/>
    <cellStyle name="uopRpmL19" xfId="593" xr:uid="{00000000-0005-0000-0000-000066020000}"/>
    <cellStyle name="uopRpmL19 2" xfId="594" xr:uid="{00000000-0005-0000-0000-000067020000}"/>
    <cellStyle name="uopRpmL2" xfId="595" xr:uid="{00000000-0005-0000-0000-000068020000}"/>
    <cellStyle name="uopRpmL2 2" xfId="596" xr:uid="{00000000-0005-0000-0000-000069020000}"/>
    <cellStyle name="uopRpmL20" xfId="597" xr:uid="{00000000-0005-0000-0000-00006A020000}"/>
    <cellStyle name="uopRpmL20 2" xfId="598" xr:uid="{00000000-0005-0000-0000-00006B020000}"/>
    <cellStyle name="uopRpmL3" xfId="599" xr:uid="{00000000-0005-0000-0000-00006C020000}"/>
    <cellStyle name="uopRpmL3 2" xfId="600" xr:uid="{00000000-0005-0000-0000-00006D020000}"/>
    <cellStyle name="uopRpmL4" xfId="601" xr:uid="{00000000-0005-0000-0000-00006E020000}"/>
    <cellStyle name="uopRpmL4 2" xfId="602" xr:uid="{00000000-0005-0000-0000-00006F020000}"/>
    <cellStyle name="uopRpmL5" xfId="603" xr:uid="{00000000-0005-0000-0000-000070020000}"/>
    <cellStyle name="uopRpmL5 2" xfId="604" xr:uid="{00000000-0005-0000-0000-000071020000}"/>
    <cellStyle name="uopRpmL6" xfId="605" xr:uid="{00000000-0005-0000-0000-000072020000}"/>
    <cellStyle name="uopRpmL6 2" xfId="606" xr:uid="{00000000-0005-0000-0000-000073020000}"/>
    <cellStyle name="uopRpmL7" xfId="607" xr:uid="{00000000-0005-0000-0000-000074020000}"/>
    <cellStyle name="uopRpmL7 2" xfId="608" xr:uid="{00000000-0005-0000-0000-000075020000}"/>
    <cellStyle name="uopRpmL8" xfId="609" xr:uid="{00000000-0005-0000-0000-000076020000}"/>
    <cellStyle name="uopRpmL8 2" xfId="610" xr:uid="{00000000-0005-0000-0000-000077020000}"/>
    <cellStyle name="uopRpmL9" xfId="611" xr:uid="{00000000-0005-0000-0000-000078020000}"/>
    <cellStyle name="uopRpmL9 2" xfId="612" xr:uid="{00000000-0005-0000-0000-000079020000}"/>
    <cellStyle name="uopRpmLE" xfId="613" xr:uid="{00000000-0005-0000-0000-00007A020000}"/>
    <cellStyle name="uopRpmLE 2" xfId="614" xr:uid="{00000000-0005-0000-0000-00007B020000}"/>
    <cellStyle name="User Entry" xfId="615" xr:uid="{00000000-0005-0000-0000-00007C020000}"/>
    <cellStyle name="User Entry 2" xfId="616" xr:uid="{00000000-0005-0000-0000-00007D020000}"/>
    <cellStyle name="User_Free" xfId="617" xr:uid="{00000000-0005-0000-0000-00007E020000}"/>
    <cellStyle name="Value_Out_Of_Range" xfId="618" xr:uid="{00000000-0005-0000-0000-00007F020000}"/>
    <cellStyle name="Vol_yld" xfId="619" xr:uid="{00000000-0005-0000-0000-000080020000}"/>
    <cellStyle name="Warning Text 2" xfId="620" xr:uid="{00000000-0005-0000-0000-000081020000}"/>
    <cellStyle name="YellowDCC" xfId="621" xr:uid="{00000000-0005-0000-0000-000082020000}"/>
    <cellStyle name="YorN" xfId="622" xr:uid="{00000000-0005-0000-0000-000083020000}"/>
  </cellStyles>
  <dxfs count="0"/>
  <tableStyles count="0" defaultTableStyle="TableStyleMedium2" defaultPivotStyle="PivotStyleMedium9"/>
  <colors>
    <mruColors>
      <color rgb="FFF7923F"/>
      <color rgb="FF5BD4FF"/>
      <color rgb="FF2FFF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California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GasolineMGSData!$A$6:$A$291</c:f>
              <c:strCache>
                <c:ptCount val="282"/>
                <c:pt idx="5">
                  <c:v>2000</c:v>
                </c:pt>
                <c:pt idx="12">
                  <c:v>---</c:v>
                </c:pt>
                <c:pt idx="17">
                  <c:v>2001</c:v>
                </c:pt>
                <c:pt idx="24">
                  <c:v>---</c:v>
                </c:pt>
                <c:pt idx="29">
                  <c:v>2002</c:v>
                </c:pt>
                <c:pt idx="36">
                  <c:v>---</c:v>
                </c:pt>
                <c:pt idx="41">
                  <c:v>2003</c:v>
                </c:pt>
                <c:pt idx="48">
                  <c:v>---</c:v>
                </c:pt>
                <c:pt idx="53">
                  <c:v>2004</c:v>
                </c:pt>
                <c:pt idx="60">
                  <c:v>---</c:v>
                </c:pt>
                <c:pt idx="65">
                  <c:v>2005</c:v>
                </c:pt>
                <c:pt idx="72">
                  <c:v>---</c:v>
                </c:pt>
                <c:pt idx="77">
                  <c:v>2006</c:v>
                </c:pt>
                <c:pt idx="84">
                  <c:v>---</c:v>
                </c:pt>
                <c:pt idx="89">
                  <c:v>2007</c:v>
                </c:pt>
                <c:pt idx="96">
                  <c:v>---</c:v>
                </c:pt>
                <c:pt idx="101">
                  <c:v>2008</c:v>
                </c:pt>
                <c:pt idx="108">
                  <c:v>---</c:v>
                </c:pt>
                <c:pt idx="113">
                  <c:v>2009</c:v>
                </c:pt>
                <c:pt idx="120">
                  <c:v>---</c:v>
                </c:pt>
                <c:pt idx="125">
                  <c:v>2010</c:v>
                </c:pt>
                <c:pt idx="132">
                  <c:v>---</c:v>
                </c:pt>
                <c:pt idx="137">
                  <c:v>2011</c:v>
                </c:pt>
                <c:pt idx="144">
                  <c:v>---</c:v>
                </c:pt>
                <c:pt idx="149">
                  <c:v>2012</c:v>
                </c:pt>
                <c:pt idx="156">
                  <c:v>---</c:v>
                </c:pt>
                <c:pt idx="161">
                  <c:v>2013</c:v>
                </c:pt>
                <c:pt idx="168">
                  <c:v>---</c:v>
                </c:pt>
                <c:pt idx="173">
                  <c:v>2014</c:v>
                </c:pt>
                <c:pt idx="180">
                  <c:v>---</c:v>
                </c:pt>
                <c:pt idx="185">
                  <c:v>2015</c:v>
                </c:pt>
                <c:pt idx="192">
                  <c:v>---</c:v>
                </c:pt>
                <c:pt idx="197">
                  <c:v>2016</c:v>
                </c:pt>
                <c:pt idx="204">
                  <c:v>---</c:v>
                </c:pt>
                <c:pt idx="209">
                  <c:v>2017</c:v>
                </c:pt>
                <c:pt idx="216">
                  <c:v>---</c:v>
                </c:pt>
                <c:pt idx="221">
                  <c:v>2018</c:v>
                </c:pt>
                <c:pt idx="228">
                  <c:v>---</c:v>
                </c:pt>
                <c:pt idx="233">
                  <c:v>2019</c:v>
                </c:pt>
                <c:pt idx="240">
                  <c:v>---</c:v>
                </c:pt>
                <c:pt idx="245">
                  <c:v>2020</c:v>
                </c:pt>
                <c:pt idx="252">
                  <c:v>---</c:v>
                </c:pt>
                <c:pt idx="257">
                  <c:v>2021</c:v>
                </c:pt>
                <c:pt idx="264">
                  <c:v>---</c:v>
                </c:pt>
                <c:pt idx="269">
                  <c:v>2022</c:v>
                </c:pt>
                <c:pt idx="276">
                  <c:v>---</c:v>
                </c:pt>
                <c:pt idx="281">
                  <c:v>2023</c:v>
                </c:pt>
              </c:strCache>
            </c:strRef>
          </c:cat>
          <c:val>
            <c:numRef>
              <c:f>GasolineMGSData!$Q$6:$Q$291</c:f>
              <c:numCache>
                <c:formatCode>"$"#,##0.00</c:formatCode>
                <c:ptCount val="286"/>
                <c:pt idx="0">
                  <c:v>2.4934474407582936</c:v>
                </c:pt>
                <c:pt idx="1">
                  <c:v>2.6237197173144873</c:v>
                </c:pt>
                <c:pt idx="2">
                  <c:v>3.1485957476635513</c:v>
                </c:pt>
                <c:pt idx="3">
                  <c:v>3.1431654991243434</c:v>
                </c:pt>
                <c:pt idx="4">
                  <c:v>2.961894</c:v>
                </c:pt>
                <c:pt idx="5">
                  <c:v>2.8946772737819026</c:v>
                </c:pt>
                <c:pt idx="6">
                  <c:v>3.0446609374999993</c:v>
                </c:pt>
                <c:pt idx="7">
                  <c:v>2.9841238194444437</c:v>
                </c:pt>
                <c:pt idx="8">
                  <c:v>3.2343537478411055</c:v>
                </c:pt>
                <c:pt idx="9">
                  <c:v>3.2040221379310347</c:v>
                </c:pt>
                <c:pt idx="10">
                  <c:v>3.1208902125215396</c:v>
                </c:pt>
                <c:pt idx="11">
                  <c:v>2.968848327586207</c:v>
                </c:pt>
                <c:pt idx="12">
                  <c:v>2.8131426099371786</c:v>
                </c:pt>
                <c:pt idx="13">
                  <c:v>2.8649455460750852</c:v>
                </c:pt>
                <c:pt idx="14">
                  <c:v>2.9562258967082866</c:v>
                </c:pt>
                <c:pt idx="15">
                  <c:v>3.1184516845675518</c:v>
                </c:pt>
                <c:pt idx="16">
                  <c:v>3.3727805740011254</c:v>
                </c:pt>
                <c:pt idx="17">
                  <c:v>3.330797848314607</c:v>
                </c:pt>
                <c:pt idx="18">
                  <c:v>3.0680432112676055</c:v>
                </c:pt>
                <c:pt idx="19">
                  <c:v>2.7023047267605635</c:v>
                </c:pt>
                <c:pt idx="20">
                  <c:v>2.8696403421200225</c:v>
                </c:pt>
                <c:pt idx="21">
                  <c:v>2.6767550140686551</c:v>
                </c:pt>
                <c:pt idx="22">
                  <c:v>2.353492373167982</c:v>
                </c:pt>
                <c:pt idx="23">
                  <c:v>2.0163158913412564</c:v>
                </c:pt>
                <c:pt idx="24">
                  <c:v>2.0586681818181822</c:v>
                </c:pt>
                <c:pt idx="25">
                  <c:v>2.2045717322834641</c:v>
                </c:pt>
                <c:pt idx="26">
                  <c:v>2.5140231040268457</c:v>
                </c:pt>
                <c:pt idx="27">
                  <c:v>2.7550072858731927</c:v>
                </c:pt>
                <c:pt idx="28">
                  <c:v>2.6831375305895437</c:v>
                </c:pt>
                <c:pt idx="29">
                  <c:v>2.712430272373541</c:v>
                </c:pt>
                <c:pt idx="30">
                  <c:v>2.7350431482509716</c:v>
                </c:pt>
                <c:pt idx="31">
                  <c:v>2.7038270503597124</c:v>
                </c:pt>
                <c:pt idx="32">
                  <c:v>2.6840470110497234</c:v>
                </c:pt>
                <c:pt idx="33">
                  <c:v>2.5981483783783781</c:v>
                </c:pt>
                <c:pt idx="34">
                  <c:v>2.6779086486486485</c:v>
                </c:pt>
                <c:pt idx="35">
                  <c:v>2.6123972139303482</c:v>
                </c:pt>
                <c:pt idx="36">
                  <c:v>2.7312786075949371</c:v>
                </c:pt>
                <c:pt idx="37">
                  <c:v>3.0330210540688145</c:v>
                </c:pt>
                <c:pt idx="38">
                  <c:v>3.5126607654723134</c:v>
                </c:pt>
                <c:pt idx="39">
                  <c:v>3.4232165125136014</c:v>
                </c:pt>
                <c:pt idx="40">
                  <c:v>3.0884467683923709</c:v>
                </c:pt>
                <c:pt idx="41">
                  <c:v>2.9544455307566686</c:v>
                </c:pt>
                <c:pt idx="42">
                  <c:v>2.9177717455138659</c:v>
                </c:pt>
                <c:pt idx="43">
                  <c:v>3.1117104929577462</c:v>
                </c:pt>
                <c:pt idx="44">
                  <c:v>3.3591293844492438</c:v>
                </c:pt>
                <c:pt idx="45">
                  <c:v>2.978587897297297</c:v>
                </c:pt>
                <c:pt idx="46">
                  <c:v>2.8215681951219516</c:v>
                </c:pt>
                <c:pt idx="47">
                  <c:v>2.7261353391209981</c:v>
                </c:pt>
                <c:pt idx="48">
                  <c:v>2.7826615820734344</c:v>
                </c:pt>
                <c:pt idx="49">
                  <c:v>3.086624210526316</c:v>
                </c:pt>
                <c:pt idx="50">
                  <c:v>3.4411868516542157</c:v>
                </c:pt>
                <c:pt idx="51">
                  <c:v>3.5005758989361699</c:v>
                </c:pt>
                <c:pt idx="52">
                  <c:v>3.6640671179270221</c:v>
                </c:pt>
                <c:pt idx="53">
                  <c:v>3.6897813653136531</c:v>
                </c:pt>
                <c:pt idx="54">
                  <c:v>3.5510496620908127</c:v>
                </c:pt>
                <c:pt idx="55">
                  <c:v>3.3851927968337727</c:v>
                </c:pt>
                <c:pt idx="56">
                  <c:v>3.3521395418641386</c:v>
                </c:pt>
                <c:pt idx="57">
                  <c:v>3.7552301204819276</c:v>
                </c:pt>
                <c:pt idx="58">
                  <c:v>3.711382115183246</c:v>
                </c:pt>
                <c:pt idx="59">
                  <c:v>3.3903630425643714</c:v>
                </c:pt>
                <c:pt idx="60">
                  <c:v>3.1751259989512324</c:v>
                </c:pt>
                <c:pt idx="61">
                  <c:v>3.3975348175182476</c:v>
                </c:pt>
                <c:pt idx="62">
                  <c:v>3.6624468235902738</c:v>
                </c:pt>
                <c:pt idx="63">
                  <c:v>4.0332411151079137</c:v>
                </c:pt>
                <c:pt idx="64">
                  <c:v>3.9171076388888886</c:v>
                </c:pt>
                <c:pt idx="65">
                  <c:v>3.7395076812339325</c:v>
                </c:pt>
                <c:pt idx="66">
                  <c:v>3.960043833162743</c:v>
                </c:pt>
                <c:pt idx="67">
                  <c:v>4.193662255600815</c:v>
                </c:pt>
                <c:pt idx="68">
                  <c:v>4.6274461267605638</c:v>
                </c:pt>
                <c:pt idx="69">
                  <c:v>4.4528890210843377</c:v>
                </c:pt>
                <c:pt idx="70">
                  <c:v>3.9346387500000004</c:v>
                </c:pt>
                <c:pt idx="71">
                  <c:v>3.5551008841463414</c:v>
                </c:pt>
                <c:pt idx="72">
                  <c:v>3.6911210741301055</c:v>
                </c:pt>
                <c:pt idx="73">
                  <c:v>3.8633072219426272</c:v>
                </c:pt>
                <c:pt idx="74">
                  <c:v>3.9713889339339339</c:v>
                </c:pt>
                <c:pt idx="75">
                  <c:v>4.3974812903225802</c:v>
                </c:pt>
                <c:pt idx="76">
                  <c:v>5.0002235111111109</c:v>
                </c:pt>
                <c:pt idx="77">
                  <c:v>4.8736056875308034</c:v>
                </c:pt>
                <c:pt idx="78">
                  <c:v>4.8592363341523344</c:v>
                </c:pt>
                <c:pt idx="79">
                  <c:v>4.7772750662089258</c:v>
                </c:pt>
                <c:pt idx="80">
                  <c:v>4.3853352981764413</c:v>
                </c:pt>
                <c:pt idx="81">
                  <c:v>3.8847656491575813</c:v>
                </c:pt>
                <c:pt idx="82">
                  <c:v>3.7592357419354836</c:v>
                </c:pt>
                <c:pt idx="83">
                  <c:v>3.8756178493557973</c:v>
                </c:pt>
                <c:pt idx="84">
                  <c:v>3.9079032339340767</c:v>
                </c:pt>
                <c:pt idx="85">
                  <c:v>4.0337605000515975</c:v>
                </c:pt>
                <c:pt idx="86">
                  <c:v>4.5846802563403326</c:v>
                </c:pt>
                <c:pt idx="87">
                  <c:v>4.9004428553457897</c:v>
                </c:pt>
                <c:pt idx="88">
                  <c:v>5.0881733934762847</c:v>
                </c:pt>
                <c:pt idx="89">
                  <c:v>4.8450149314621411</c:v>
                </c:pt>
                <c:pt idx="90">
                  <c:v>4.6173027522935781</c:v>
                </c:pt>
                <c:pt idx="91">
                  <c:v>4.2898763881741271</c:v>
                </c:pt>
                <c:pt idx="92">
                  <c:v>4.2411936016115881</c:v>
                </c:pt>
                <c:pt idx="93">
                  <c:v>4.5133993902439027</c:v>
                </c:pt>
                <c:pt idx="94">
                  <c:v>4.9010239369674133</c:v>
                </c:pt>
                <c:pt idx="95">
                  <c:v>4.8442552562417873</c:v>
                </c:pt>
                <c:pt idx="96">
                  <c:v>4.7342969869243889</c:v>
                </c:pt>
                <c:pt idx="97">
                  <c:v>4.6275713604134285</c:v>
                </c:pt>
                <c:pt idx="98">
                  <c:v>5.1324608575924469</c:v>
                </c:pt>
                <c:pt idx="99">
                  <c:v>5.4409543158786526</c:v>
                </c:pt>
                <c:pt idx="100">
                  <c:v>5.6355410465674503</c:v>
                </c:pt>
                <c:pt idx="101">
                  <c:v>6.3048546214839014</c:v>
                </c:pt>
                <c:pt idx="102">
                  <c:v>6.2411485606735644</c:v>
                </c:pt>
                <c:pt idx="103">
                  <c:v>5.7282985174771541</c:v>
                </c:pt>
                <c:pt idx="104">
                  <c:v>5.3340346507726837</c:v>
                </c:pt>
                <c:pt idx="105">
                  <c:v>4.8145291379811885</c:v>
                </c:pt>
                <c:pt idx="106">
                  <c:v>3.5572083135224193</c:v>
                </c:pt>
                <c:pt idx="107">
                  <c:v>2.6679806353102347</c:v>
                </c:pt>
                <c:pt idx="108">
                  <c:v>2.9216235205524215</c:v>
                </c:pt>
                <c:pt idx="109">
                  <c:v>3.2189074097637529</c:v>
                </c:pt>
                <c:pt idx="110">
                  <c:v>3.1677055977885278</c:v>
                </c:pt>
                <c:pt idx="111">
                  <c:v>3.3632578362408552</c:v>
                </c:pt>
                <c:pt idx="112">
                  <c:v>3.5751273520499773</c:v>
                </c:pt>
                <c:pt idx="113">
                  <c:v>4.1694553508922398</c:v>
                </c:pt>
                <c:pt idx="114">
                  <c:v>4.1046421098578598</c:v>
                </c:pt>
                <c:pt idx="115">
                  <c:v>4.290749881853646</c:v>
                </c:pt>
                <c:pt idx="116">
                  <c:v>4.4490483958345877</c:v>
                </c:pt>
                <c:pt idx="117">
                  <c:v>4.2896348547717844</c:v>
                </c:pt>
                <c:pt idx="118">
                  <c:v>4.206956122590487</c:v>
                </c:pt>
                <c:pt idx="119">
                  <c:v>4.1531146937471339</c:v>
                </c:pt>
                <c:pt idx="120">
                  <c:v>4.2837983220036264</c:v>
                </c:pt>
                <c:pt idx="121">
                  <c:v>4.1805246584633267</c:v>
                </c:pt>
                <c:pt idx="122">
                  <c:v>4.3217659570557503</c:v>
                </c:pt>
                <c:pt idx="123">
                  <c:v>4.3622559664967966</c:v>
                </c:pt>
                <c:pt idx="124">
                  <c:v>4.3574667931688804</c:v>
                </c:pt>
                <c:pt idx="125">
                  <c:v>4.3574903172527701</c:v>
                </c:pt>
                <c:pt idx="126">
                  <c:v>4.408787648329672</c:v>
                </c:pt>
                <c:pt idx="127">
                  <c:v>4.4252580710176259</c:v>
                </c:pt>
                <c:pt idx="128">
                  <c:v>4.2494399214425993</c:v>
                </c:pt>
                <c:pt idx="129">
                  <c:v>4.3581015952558388</c:v>
                </c:pt>
                <c:pt idx="130">
                  <c:v>4.4392323094290296</c:v>
                </c:pt>
                <c:pt idx="131">
                  <c:v>4.5621649428093018</c:v>
                </c:pt>
                <c:pt idx="132">
                  <c:v>4.6690694523278671</c:v>
                </c:pt>
                <c:pt idx="133">
                  <c:v>4.9075212937566928</c:v>
                </c:pt>
                <c:pt idx="134">
                  <c:v>5.4466497335176998</c:v>
                </c:pt>
                <c:pt idx="135">
                  <c:v>5.6908724533805239</c:v>
                </c:pt>
                <c:pt idx="136">
                  <c:v>5.6928203209360779</c:v>
                </c:pt>
                <c:pt idx="137">
                  <c:v>5.340440798858773</c:v>
                </c:pt>
                <c:pt idx="138">
                  <c:v>5.1722915785093972</c:v>
                </c:pt>
                <c:pt idx="139">
                  <c:v>5.1295476262994111</c:v>
                </c:pt>
                <c:pt idx="140">
                  <c:v>5.3224646192631635</c:v>
                </c:pt>
                <c:pt idx="141">
                  <c:v>5.2233994373313433</c:v>
                </c:pt>
                <c:pt idx="142">
                  <c:v>5.1679697652831189</c:v>
                </c:pt>
                <c:pt idx="143">
                  <c:v>4.908077209401255</c:v>
                </c:pt>
                <c:pt idx="144">
                  <c:v>5.020956164383561</c:v>
                </c:pt>
                <c:pt idx="145">
                  <c:v>5.378698251362759</c:v>
                </c:pt>
                <c:pt idx="146">
                  <c:v>5.8572193319732158</c:v>
                </c:pt>
                <c:pt idx="147">
                  <c:v>5.6764386857031095</c:v>
                </c:pt>
                <c:pt idx="148">
                  <c:v>5.7661118595391949</c:v>
                </c:pt>
                <c:pt idx="149">
                  <c:v>5.4769347606306482</c:v>
                </c:pt>
                <c:pt idx="150">
                  <c:v>5.0682238372093016</c:v>
                </c:pt>
                <c:pt idx="151">
                  <c:v>5.4261337752138861</c:v>
                </c:pt>
                <c:pt idx="152">
                  <c:v>5.5376445613140479</c:v>
                </c:pt>
                <c:pt idx="153">
                  <c:v>5.8683298330861975</c:v>
                </c:pt>
                <c:pt idx="154">
                  <c:v>5.1398554693099241</c:v>
                </c:pt>
                <c:pt idx="155">
                  <c:v>4.7972882522288662</c:v>
                </c:pt>
                <c:pt idx="156">
                  <c:v>4.8526188639916628</c:v>
                </c:pt>
                <c:pt idx="157">
                  <c:v>5.4042466941757192</c:v>
                </c:pt>
                <c:pt idx="158">
                  <c:v>5.477390522096635</c:v>
                </c:pt>
                <c:pt idx="159">
                  <c:v>5.2700654665399451</c:v>
                </c:pt>
                <c:pt idx="160">
                  <c:v>5.2897566163686704</c:v>
                </c:pt>
                <c:pt idx="161">
                  <c:v>5.2744578808071818</c:v>
                </c:pt>
                <c:pt idx="162">
                  <c:v>5.2789661124334319</c:v>
                </c:pt>
                <c:pt idx="163">
                  <c:v>5.0923966059082337</c:v>
                </c:pt>
                <c:pt idx="164">
                  <c:v>5.1797747673489951</c:v>
                </c:pt>
                <c:pt idx="165">
                  <c:v>4.9810489196989032</c:v>
                </c:pt>
                <c:pt idx="166">
                  <c:v>4.7443871728972962</c:v>
                </c:pt>
                <c:pt idx="167">
                  <c:v>4.7447943308059672</c:v>
                </c:pt>
                <c:pt idx="168">
                  <c:v>4.7587752783050323</c:v>
                </c:pt>
                <c:pt idx="169">
                  <c:v>4.8185597088350418</c:v>
                </c:pt>
                <c:pt idx="170">
                  <c:v>5.1236616615811723</c:v>
                </c:pt>
                <c:pt idx="171">
                  <c:v>5.4001275182223116</c:v>
                </c:pt>
                <c:pt idx="172">
                  <c:v>5.3942654098360663</c:v>
                </c:pt>
                <c:pt idx="173">
                  <c:v>5.3106594026256273</c:v>
                </c:pt>
                <c:pt idx="174">
                  <c:v>5.2442893221406086</c:v>
                </c:pt>
                <c:pt idx="175">
                  <c:v>5.0603272286968366</c:v>
                </c:pt>
                <c:pt idx="176">
                  <c:v>4.8768550440908962</c:v>
                </c:pt>
                <c:pt idx="177">
                  <c:v>4.5820280079011759</c:v>
                </c:pt>
                <c:pt idx="178">
                  <c:v>4.1495997687920019</c:v>
                </c:pt>
                <c:pt idx="179">
                  <c:v>3.7565914731785428</c:v>
                </c:pt>
                <c:pt idx="180">
                  <c:v>3.353079013465579</c:v>
                </c:pt>
                <c:pt idx="181">
                  <c:v>3.5469948534862517</c:v>
                </c:pt>
                <c:pt idx="182">
                  <c:v>4.349526289709849</c:v>
                </c:pt>
                <c:pt idx="183">
                  <c:v>4.1742522580399744</c:v>
                </c:pt>
                <c:pt idx="184">
                  <c:v>4.8543201026050751</c:v>
                </c:pt>
                <c:pt idx="185">
                  <c:v>4.5704946194654665</c:v>
                </c:pt>
                <c:pt idx="186">
                  <c:v>4.8409186730580673</c:v>
                </c:pt>
                <c:pt idx="187">
                  <c:v>4.5702149247217978</c:v>
                </c:pt>
                <c:pt idx="188">
                  <c:v>4.0368524743112904</c:v>
                </c:pt>
                <c:pt idx="189">
                  <c:v>3.7424305745927899</c:v>
                </c:pt>
                <c:pt idx="190">
                  <c:v>3.5857096521387395</c:v>
                </c:pt>
                <c:pt idx="191">
                  <c:v>3.5433709079378501</c:v>
                </c:pt>
                <c:pt idx="192">
                  <c:v>3.5946636276148505</c:v>
                </c:pt>
                <c:pt idx="193">
                  <c:v>3.14404153750775</c:v>
                </c:pt>
                <c:pt idx="194">
                  <c:v>3.3915491198159002</c:v>
                </c:pt>
                <c:pt idx="195">
                  <c:v>3.5594322852449833</c:v>
                </c:pt>
                <c:pt idx="196">
                  <c:v>3.586073288403981</c:v>
                </c:pt>
                <c:pt idx="197">
                  <c:v>3.6700749529080814</c:v>
                </c:pt>
                <c:pt idx="198">
                  <c:v>3.6530081578203704</c:v>
                </c:pt>
                <c:pt idx="199">
                  <c:v>3.4388780190077606</c:v>
                </c:pt>
                <c:pt idx="200">
                  <c:v>3.5007216934241265</c:v>
                </c:pt>
                <c:pt idx="201">
                  <c:v>3.572730193729341</c:v>
                </c:pt>
                <c:pt idx="202">
                  <c:v>3.4826878969807709</c:v>
                </c:pt>
                <c:pt idx="203">
                  <c:v>3.4165560116306044</c:v>
                </c:pt>
                <c:pt idx="204">
                  <c:v>3.5348609160802016</c:v>
                </c:pt>
                <c:pt idx="205">
                  <c:v>3.6475488725508303</c:v>
                </c:pt>
                <c:pt idx="206">
                  <c:v>3.7871898433558515</c:v>
                </c:pt>
                <c:pt idx="207">
                  <c:v>3.7860579697698382</c:v>
                </c:pt>
                <c:pt idx="208">
                  <c:v>3.8255684889246648</c:v>
                </c:pt>
                <c:pt idx="209">
                  <c:v>3.7969808046375864</c:v>
                </c:pt>
                <c:pt idx="210">
                  <c:v>3.7078486923271758</c:v>
                </c:pt>
                <c:pt idx="211">
                  <c:v>3.7844990408074324</c:v>
                </c:pt>
                <c:pt idx="212">
                  <c:v>3.9390823234840107</c:v>
                </c:pt>
                <c:pt idx="213">
                  <c:v>3.8417868914267643</c:v>
                </c:pt>
                <c:pt idx="214">
                  <c:v>4.0350254186784715</c:v>
                </c:pt>
                <c:pt idx="215">
                  <c:v>3.9063548782268662</c:v>
                </c:pt>
                <c:pt idx="216">
                  <c:v>3.9844913199417427</c:v>
                </c:pt>
                <c:pt idx="217">
                  <c:v>4.1506194561249199</c:v>
                </c:pt>
                <c:pt idx="218">
                  <c:v>4.2127627968295434</c:v>
                </c:pt>
                <c:pt idx="219">
                  <c:v>4.3692312709043444</c:v>
                </c:pt>
                <c:pt idx="220">
                  <c:v>4.4281789711750958</c:v>
                </c:pt>
                <c:pt idx="221">
                  <c:v>4.3967128366714414</c:v>
                </c:pt>
                <c:pt idx="222">
                  <c:v>4.3097332206376038</c:v>
                </c:pt>
                <c:pt idx="223">
                  <c:v>4.2475500345038197</c:v>
                </c:pt>
                <c:pt idx="224">
                  <c:v>4.2840589805854092</c:v>
                </c:pt>
                <c:pt idx="225">
                  <c:v>4.4845495225102319</c:v>
                </c:pt>
                <c:pt idx="226">
                  <c:v>4.343366547901506</c:v>
                </c:pt>
                <c:pt idx="227">
                  <c:v>4.0315282307658622</c:v>
                </c:pt>
                <c:pt idx="228">
                  <c:v>3.857621710526316</c:v>
                </c:pt>
                <c:pt idx="229">
                  <c:v>3.8438183134474788</c:v>
                </c:pt>
                <c:pt idx="230">
                  <c:v>3.9553930653574714</c:v>
                </c:pt>
                <c:pt idx="231">
                  <c:v>4.5991485748274297</c:v>
                </c:pt>
                <c:pt idx="232">
                  <c:v>4.7419577222248259</c:v>
                </c:pt>
                <c:pt idx="233">
                  <c:v>4.4647447207224094</c:v>
                </c:pt>
                <c:pt idx="234">
                  <c:v>4.3109986904209743</c:v>
                </c:pt>
                <c:pt idx="235">
                  <c:v>4.1757046048067101</c:v>
                </c:pt>
                <c:pt idx="236">
                  <c:v>4.3246181789148572</c:v>
                </c:pt>
                <c:pt idx="237">
                  <c:v>4.8300375370124264</c:v>
                </c:pt>
                <c:pt idx="238">
                  <c:v>4.6280796048334416</c:v>
                </c:pt>
                <c:pt idx="239">
                  <c:v>4.2276117467136753</c:v>
                </c:pt>
                <c:pt idx="240">
                  <c:v>4.0681540987165219</c:v>
                </c:pt>
                <c:pt idx="241">
                  <c:v>4.0011336255885697</c:v>
                </c:pt>
                <c:pt idx="242">
                  <c:v>3.7953023419793501</c:v>
                </c:pt>
                <c:pt idx="243">
                  <c:v>3.2928449504463919</c:v>
                </c:pt>
                <c:pt idx="244">
                  <c:v>3.2219811501049165</c:v>
                </c:pt>
                <c:pt idx="245">
                  <c:v>3.4479125785016889</c:v>
                </c:pt>
                <c:pt idx="246">
                  <c:v>3.5873041439438671</c:v>
                </c:pt>
                <c:pt idx="247">
                  <c:v>3.6387655106610541</c:v>
                </c:pt>
                <c:pt idx="248">
                  <c:v>3.6537999884739518</c:v>
                </c:pt>
                <c:pt idx="249">
                  <c:v>3.6062026360661785</c:v>
                </c:pt>
                <c:pt idx="250">
                  <c:v>3.5812129278443217</c:v>
                </c:pt>
                <c:pt idx="251">
                  <c:v>3.6109179687799937</c:v>
                </c:pt>
                <c:pt idx="252">
                  <c:v>3.7355899717870495</c:v>
                </c:pt>
                <c:pt idx="253">
                  <c:v>3.9152852585793907</c:v>
                </c:pt>
                <c:pt idx="254">
                  <c:v>4.2884860973206438</c:v>
                </c:pt>
                <c:pt idx="255">
                  <c:v>4.4032988159698041</c:v>
                </c:pt>
                <c:pt idx="256">
                  <c:v>4.5511466483404224</c:v>
                </c:pt>
                <c:pt idx="257">
                  <c:v>4.6360825113361992</c:v>
                </c:pt>
                <c:pt idx="258">
                  <c:v>4.6939034186437514</c:v>
                </c:pt>
                <c:pt idx="259">
                  <c:v>4.7595787211176788</c:v>
                </c:pt>
                <c:pt idx="260">
                  <c:v>4.7354706791586167</c:v>
                </c:pt>
                <c:pt idx="261">
                  <c:v>4.7943410981637014</c:v>
                </c:pt>
                <c:pt idx="262">
                  <c:v>4.9922870824758592</c:v>
                </c:pt>
                <c:pt idx="263">
                  <c:v>4.9747880861686777</c:v>
                </c:pt>
                <c:pt idx="264">
                  <c:v>4.9190502688975197</c:v>
                </c:pt>
                <c:pt idx="265">
                  <c:v>0.505</c:v>
                </c:pt>
                <c:pt idx="266">
                  <c:v>5.9521471075185035</c:v>
                </c:pt>
                <c:pt idx="267">
                  <c:v>5.9574148781255509</c:v>
                </c:pt>
                <c:pt idx="268">
                  <c:v>6.0777169513096316</c:v>
                </c:pt>
                <c:pt idx="269">
                  <c:v>6.4387345424233322</c:v>
                </c:pt>
                <c:pt idx="270">
                  <c:v>6.0303416307767082</c:v>
                </c:pt>
                <c:pt idx="271">
                  <c:v>5.4424247107245476</c:v>
                </c:pt>
                <c:pt idx="272">
                  <c:v>5.4649521306703326</c:v>
                </c:pt>
                <c:pt idx="273">
                  <c:v>5.993148447042401</c:v>
                </c:pt>
                <c:pt idx="274">
                  <c:v>5.2406516420286779</c:v>
                </c:pt>
                <c:pt idx="275">
                  <c:v>4.4751655407568132</c:v>
                </c:pt>
                <c:pt idx="276">
                  <c:v>4.3861911789283674</c:v>
                </c:pt>
                <c:pt idx="277">
                  <c:v>4.5888837155963307</c:v>
                </c:pt>
                <c:pt idx="278">
                  <c:v>4.7725109728461819</c:v>
                </c:pt>
                <c:pt idx="279">
                  <c:v>4.7484881874190332</c:v>
                </c:pt>
                <c:pt idx="280">
                  <c:v>4.6869884719212696</c:v>
                </c:pt>
                <c:pt idx="281">
                  <c:v>4.7132475738178821</c:v>
                </c:pt>
                <c:pt idx="282">
                  <c:v>4.7320726953187409</c:v>
                </c:pt>
                <c:pt idx="283">
                  <c:v>5.0335523147876726</c:v>
                </c:pt>
                <c:pt idx="284">
                  <c:v>5.4099251500216061</c:v>
                </c:pt>
                <c:pt idx="285">
                  <c:v>5.4390000000000001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4-45E0-AFA8-37D62BD72E61}"/>
            </c:ext>
          </c:extLst>
        </c:ser>
        <c:ser>
          <c:idx val="1"/>
          <c:order val="1"/>
          <c:tx>
            <c:v>US price without 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GasolineMGSData!$A$6:$A$291</c:f>
              <c:strCache>
                <c:ptCount val="282"/>
                <c:pt idx="5">
                  <c:v>2000</c:v>
                </c:pt>
                <c:pt idx="12">
                  <c:v>---</c:v>
                </c:pt>
                <c:pt idx="17">
                  <c:v>2001</c:v>
                </c:pt>
                <c:pt idx="24">
                  <c:v>---</c:v>
                </c:pt>
                <c:pt idx="29">
                  <c:v>2002</c:v>
                </c:pt>
                <c:pt idx="36">
                  <c:v>---</c:v>
                </c:pt>
                <c:pt idx="41">
                  <c:v>2003</c:v>
                </c:pt>
                <c:pt idx="48">
                  <c:v>---</c:v>
                </c:pt>
                <c:pt idx="53">
                  <c:v>2004</c:v>
                </c:pt>
                <c:pt idx="60">
                  <c:v>---</c:v>
                </c:pt>
                <c:pt idx="65">
                  <c:v>2005</c:v>
                </c:pt>
                <c:pt idx="72">
                  <c:v>---</c:v>
                </c:pt>
                <c:pt idx="77">
                  <c:v>2006</c:v>
                </c:pt>
                <c:pt idx="84">
                  <c:v>---</c:v>
                </c:pt>
                <c:pt idx="89">
                  <c:v>2007</c:v>
                </c:pt>
                <c:pt idx="96">
                  <c:v>---</c:v>
                </c:pt>
                <c:pt idx="101">
                  <c:v>2008</c:v>
                </c:pt>
                <c:pt idx="108">
                  <c:v>---</c:v>
                </c:pt>
                <c:pt idx="113">
                  <c:v>2009</c:v>
                </c:pt>
                <c:pt idx="120">
                  <c:v>---</c:v>
                </c:pt>
                <c:pt idx="125">
                  <c:v>2010</c:v>
                </c:pt>
                <c:pt idx="132">
                  <c:v>---</c:v>
                </c:pt>
                <c:pt idx="137">
                  <c:v>2011</c:v>
                </c:pt>
                <c:pt idx="144">
                  <c:v>---</c:v>
                </c:pt>
                <c:pt idx="149">
                  <c:v>2012</c:v>
                </c:pt>
                <c:pt idx="156">
                  <c:v>---</c:v>
                </c:pt>
                <c:pt idx="161">
                  <c:v>2013</c:v>
                </c:pt>
                <c:pt idx="168">
                  <c:v>---</c:v>
                </c:pt>
                <c:pt idx="173">
                  <c:v>2014</c:v>
                </c:pt>
                <c:pt idx="180">
                  <c:v>---</c:v>
                </c:pt>
                <c:pt idx="185">
                  <c:v>2015</c:v>
                </c:pt>
                <c:pt idx="192">
                  <c:v>---</c:v>
                </c:pt>
                <c:pt idx="197">
                  <c:v>2016</c:v>
                </c:pt>
                <c:pt idx="204">
                  <c:v>---</c:v>
                </c:pt>
                <c:pt idx="209">
                  <c:v>2017</c:v>
                </c:pt>
                <c:pt idx="216">
                  <c:v>---</c:v>
                </c:pt>
                <c:pt idx="221">
                  <c:v>2018</c:v>
                </c:pt>
                <c:pt idx="228">
                  <c:v>---</c:v>
                </c:pt>
                <c:pt idx="233">
                  <c:v>2019</c:v>
                </c:pt>
                <c:pt idx="240">
                  <c:v>---</c:v>
                </c:pt>
                <c:pt idx="245">
                  <c:v>2020</c:v>
                </c:pt>
                <c:pt idx="252">
                  <c:v>---</c:v>
                </c:pt>
                <c:pt idx="257">
                  <c:v>2021</c:v>
                </c:pt>
                <c:pt idx="264">
                  <c:v>---</c:v>
                </c:pt>
                <c:pt idx="269">
                  <c:v>2022</c:v>
                </c:pt>
                <c:pt idx="276">
                  <c:v>---</c:v>
                </c:pt>
                <c:pt idx="281">
                  <c:v>2023</c:v>
                </c:pt>
              </c:strCache>
            </c:strRef>
          </c:cat>
          <c:val>
            <c:numRef>
              <c:f>GasolineMGSData!$R$6:$R$291</c:f>
              <c:numCache>
                <c:formatCode>"$"#,##0.00</c:formatCode>
                <c:ptCount val="286"/>
                <c:pt idx="0">
                  <c:v>2.3334552804107425</c:v>
                </c:pt>
                <c:pt idx="1">
                  <c:v>2.4807761170003921</c:v>
                </c:pt>
                <c:pt idx="2">
                  <c:v>2.6773447352024919</c:v>
                </c:pt>
                <c:pt idx="3">
                  <c:v>2.5744022183304143</c:v>
                </c:pt>
                <c:pt idx="4">
                  <c:v>2.6349873333333336</c:v>
                </c:pt>
                <c:pt idx="5">
                  <c:v>2.9164894740912604</c:v>
                </c:pt>
                <c:pt idx="6">
                  <c:v>2.7301053240740738</c:v>
                </c:pt>
                <c:pt idx="7">
                  <c:v>2.5666946720679014</c:v>
                </c:pt>
                <c:pt idx="8">
                  <c:v>2.6911618077144501</c:v>
                </c:pt>
                <c:pt idx="9">
                  <c:v>2.6539079616858237</c:v>
                </c:pt>
                <c:pt idx="10">
                  <c:v>2.6319625272831702</c:v>
                </c:pt>
                <c:pt idx="11">
                  <c:v>2.505180664750958</c:v>
                </c:pt>
                <c:pt idx="12">
                  <c:v>2.5124805501618126</c:v>
                </c:pt>
                <c:pt idx="13">
                  <c:v>2.5013096150929082</c:v>
                </c:pt>
                <c:pt idx="14">
                  <c:v>2.40521969163829</c:v>
                </c:pt>
                <c:pt idx="15">
                  <c:v>2.6527227039758805</c:v>
                </c:pt>
                <c:pt idx="16">
                  <c:v>2.8995293640967925</c:v>
                </c:pt>
                <c:pt idx="17">
                  <c:v>2.7335089531835206</c:v>
                </c:pt>
                <c:pt idx="18">
                  <c:v>2.3958855962441317</c:v>
                </c:pt>
                <c:pt idx="19">
                  <c:v>2.4365232056338031</c:v>
                </c:pt>
                <c:pt idx="20">
                  <c:v>2.5992993998878298</c:v>
                </c:pt>
                <c:pt idx="21">
                  <c:v>2.2323605852560493</c:v>
                </c:pt>
                <c:pt idx="22">
                  <c:v>1.9950631736189404</c:v>
                </c:pt>
                <c:pt idx="23">
                  <c:v>1.8770194567062821</c:v>
                </c:pt>
                <c:pt idx="24">
                  <c:v>1.9081045454545453</c:v>
                </c:pt>
                <c:pt idx="25">
                  <c:v>1.8969391863517062</c:v>
                </c:pt>
                <c:pt idx="26">
                  <c:v>2.1086896961222963</c:v>
                </c:pt>
                <c:pt idx="27">
                  <c:v>2.3500269187986649</c:v>
                </c:pt>
                <c:pt idx="28">
                  <c:v>2.3485058657767888</c:v>
                </c:pt>
                <c:pt idx="29">
                  <c:v>2.3247773540856027</c:v>
                </c:pt>
                <c:pt idx="30">
                  <c:v>2.3478207162687394</c:v>
                </c:pt>
                <c:pt idx="31">
                  <c:v>2.3405925179856113</c:v>
                </c:pt>
                <c:pt idx="32">
                  <c:v>2.3459677661141805</c:v>
                </c:pt>
                <c:pt idx="33">
                  <c:v>2.4359880180180178</c:v>
                </c:pt>
                <c:pt idx="34">
                  <c:v>2.3781005405405402</c:v>
                </c:pt>
                <c:pt idx="35">
                  <c:v>2.3289339745715862</c:v>
                </c:pt>
                <c:pt idx="36">
                  <c:v>2.4396562447257382</c:v>
                </c:pt>
                <c:pt idx="37">
                  <c:v>2.6745476515565265</c:v>
                </c:pt>
                <c:pt idx="38">
                  <c:v>2.7517420177343466</c:v>
                </c:pt>
                <c:pt idx="39">
                  <c:v>2.5750846300326438</c:v>
                </c:pt>
                <c:pt idx="40">
                  <c:v>2.4457189754768396</c:v>
                </c:pt>
                <c:pt idx="41">
                  <c:v>2.4501278570132468</c:v>
                </c:pt>
                <c:pt idx="42">
                  <c:v>2.4883596193583468</c:v>
                </c:pt>
                <c:pt idx="43">
                  <c:v>2.6542966431924881</c:v>
                </c:pt>
                <c:pt idx="44">
                  <c:v>2.7259931173506122</c:v>
                </c:pt>
                <c:pt idx="45">
                  <c:v>2.5591205279279281</c:v>
                </c:pt>
                <c:pt idx="46">
                  <c:v>2.4880494959349591</c:v>
                </c:pt>
                <c:pt idx="47">
                  <c:v>2.4404819117381082</c:v>
                </c:pt>
                <c:pt idx="48">
                  <c:v>2.5925361141108714</c:v>
                </c:pt>
                <c:pt idx="49">
                  <c:v>2.6827119298245612</c:v>
                </c:pt>
                <c:pt idx="50">
                  <c:v>2.7844718036286018</c:v>
                </c:pt>
                <c:pt idx="51">
                  <c:v>2.8805060939716314</c:v>
                </c:pt>
                <c:pt idx="52">
                  <c:v>3.177766518596862</c:v>
                </c:pt>
                <c:pt idx="53">
                  <c:v>3.1383415129151295</c:v>
                </c:pt>
                <c:pt idx="54">
                  <c:v>3.0546896656107005</c:v>
                </c:pt>
                <c:pt idx="55">
                  <c:v>3.0117662532981528</c:v>
                </c:pt>
                <c:pt idx="56">
                  <c:v>2.9939011181323503</c:v>
                </c:pt>
                <c:pt idx="57">
                  <c:v>3.1642783132530115</c:v>
                </c:pt>
                <c:pt idx="58">
                  <c:v>3.1296888342059339</c:v>
                </c:pt>
                <c:pt idx="59">
                  <c:v>2.9304822928709049</c:v>
                </c:pt>
                <c:pt idx="60">
                  <c:v>2.9295341618598143</c:v>
                </c:pt>
                <c:pt idx="61">
                  <c:v>3.0268039172749388</c:v>
                </c:pt>
                <c:pt idx="62">
                  <c:v>3.2698333729953442</c:v>
                </c:pt>
                <c:pt idx="63">
                  <c:v>3.4921730095923258</c:v>
                </c:pt>
                <c:pt idx="64">
                  <c:v>3.3649317472565152</c:v>
                </c:pt>
                <c:pt idx="65">
                  <c:v>3.3739231739502999</c:v>
                </c:pt>
                <c:pt idx="66">
                  <c:v>3.5664013050153529</c:v>
                </c:pt>
                <c:pt idx="67">
                  <c:v>3.8612049066530889</c:v>
                </c:pt>
                <c:pt idx="68">
                  <c:v>4.477840845070423</c:v>
                </c:pt>
                <c:pt idx="69">
                  <c:v>4.1680084655287821</c:v>
                </c:pt>
                <c:pt idx="70">
                  <c:v>3.4675269078947375</c:v>
                </c:pt>
                <c:pt idx="71">
                  <c:v>3.4005010704607046</c:v>
                </c:pt>
                <c:pt idx="72">
                  <c:v>3.5825130559757943</c:v>
                </c:pt>
                <c:pt idx="73">
                  <c:v>3.4934069535312866</c:v>
                </c:pt>
                <c:pt idx="74">
                  <c:v>3.7078958074741402</c:v>
                </c:pt>
                <c:pt idx="75">
                  <c:v>4.163356129032258</c:v>
                </c:pt>
                <c:pt idx="76">
                  <c:v>4.3519619802469132</c:v>
                </c:pt>
                <c:pt idx="77">
                  <c:v>4.3192890619352706</c:v>
                </c:pt>
                <c:pt idx="78">
                  <c:v>4.4678230499590486</c:v>
                </c:pt>
                <c:pt idx="79">
                  <c:v>4.4184848422429281</c:v>
                </c:pt>
                <c:pt idx="80">
                  <c:v>3.8175398488582224</c:v>
                </c:pt>
                <c:pt idx="81">
                  <c:v>3.3714724380574825</c:v>
                </c:pt>
                <c:pt idx="82">
                  <c:v>3.3639374623655915</c:v>
                </c:pt>
                <c:pt idx="83">
                  <c:v>3.4876833762801449</c:v>
                </c:pt>
                <c:pt idx="84">
                  <c:v>3.3488834100729847</c:v>
                </c:pt>
                <c:pt idx="85">
                  <c:v>3.3786019980442163</c:v>
                </c:pt>
                <c:pt idx="86">
                  <c:v>3.7573069493682389</c:v>
                </c:pt>
                <c:pt idx="87">
                  <c:v>4.1611091317263869</c:v>
                </c:pt>
                <c:pt idx="88">
                  <c:v>4.6064975819391609</c:v>
                </c:pt>
                <c:pt idx="89">
                  <c:v>4.4758428092842877</c:v>
                </c:pt>
                <c:pt idx="90">
                  <c:v>4.3530723751274207</c:v>
                </c:pt>
                <c:pt idx="91">
                  <c:v>4.1040820407502352</c:v>
                </c:pt>
                <c:pt idx="92">
                  <c:v>4.124776395350696</c:v>
                </c:pt>
                <c:pt idx="93">
                  <c:v>4.0847205284552848</c:v>
                </c:pt>
                <c:pt idx="94">
                  <c:v>4.465117121917876</c:v>
                </c:pt>
                <c:pt idx="95">
                  <c:v>4.3738760037961733</c:v>
                </c:pt>
                <c:pt idx="96">
                  <c:v>4.4022872433832347</c:v>
                </c:pt>
                <c:pt idx="97">
                  <c:v>4.3756516464880733</c:v>
                </c:pt>
                <c:pt idx="98">
                  <c:v>4.6233453317597695</c:v>
                </c:pt>
                <c:pt idx="99">
                  <c:v>4.8983070046813726</c:v>
                </c:pt>
                <c:pt idx="100">
                  <c:v>5.3167744439110258</c:v>
                </c:pt>
                <c:pt idx="101">
                  <c:v>5.6330617066166999</c:v>
                </c:pt>
                <c:pt idx="102">
                  <c:v>5.619489258848418</c:v>
                </c:pt>
                <c:pt idx="103">
                  <c:v>5.2601855390120766</c:v>
                </c:pt>
                <c:pt idx="104">
                  <c:v>5.19340626556908</c:v>
                </c:pt>
                <c:pt idx="105">
                  <c:v>4.2810020901343506</c:v>
                </c:pt>
                <c:pt idx="106">
                  <c:v>3.0599329928209951</c:v>
                </c:pt>
                <c:pt idx="107">
                  <c:v>2.446827855154087</c:v>
                </c:pt>
                <c:pt idx="108">
                  <c:v>2.5702839229021719</c:v>
                </c:pt>
                <c:pt idx="109">
                  <c:v>2.740421173177249</c:v>
                </c:pt>
                <c:pt idx="110">
                  <c:v>2.7964524303155955</c:v>
                </c:pt>
                <c:pt idx="111">
                  <c:v>2.9111682658037887</c:v>
                </c:pt>
                <c:pt idx="112">
                  <c:v>3.2250478125467605</c:v>
                </c:pt>
                <c:pt idx="113">
                  <c:v>3.7066580108456608</c:v>
                </c:pt>
                <c:pt idx="114">
                  <c:v>3.5553880703285956</c:v>
                </c:pt>
                <c:pt idx="115">
                  <c:v>3.6666984040203734</c:v>
                </c:pt>
                <c:pt idx="116">
                  <c:v>3.5483800437408446</c:v>
                </c:pt>
                <c:pt idx="117">
                  <c:v>3.5574587367450445</c:v>
                </c:pt>
                <c:pt idx="118">
                  <c:v>3.7218176921061947</c:v>
                </c:pt>
                <c:pt idx="119">
                  <c:v>3.6655372873533412</c:v>
                </c:pt>
                <c:pt idx="120">
                  <c:v>3.8073474350868604</c:v>
                </c:pt>
                <c:pt idx="121">
                  <c:v>3.7057697359213684</c:v>
                </c:pt>
                <c:pt idx="122">
                  <c:v>3.8740854795502471</c:v>
                </c:pt>
                <c:pt idx="123">
                  <c:v>3.9812112848552119</c:v>
                </c:pt>
                <c:pt idx="124">
                  <c:v>3.9594816923185041</c:v>
                </c:pt>
                <c:pt idx="125">
                  <c:v>3.8007077298343011</c:v>
                </c:pt>
                <c:pt idx="126">
                  <c:v>3.7893997122469356</c:v>
                </c:pt>
                <c:pt idx="127">
                  <c:v>3.7832354917121669</c:v>
                </c:pt>
                <c:pt idx="128">
                  <c:v>3.7611604475391305</c:v>
                </c:pt>
                <c:pt idx="129">
                  <c:v>3.8938751503125126</c:v>
                </c:pt>
                <c:pt idx="130">
                  <c:v>3.97363866278494</c:v>
                </c:pt>
                <c:pt idx="131">
                  <c:v>4.1613183136462277</c:v>
                </c:pt>
                <c:pt idx="132">
                  <c:v>4.2856463009464649</c:v>
                </c:pt>
                <c:pt idx="133">
                  <c:v>4.4147610505371819</c:v>
                </c:pt>
                <c:pt idx="134">
                  <c:v>4.8423843013360646</c:v>
                </c:pt>
                <c:pt idx="135">
                  <c:v>5.1436731790170116</c:v>
                </c:pt>
                <c:pt idx="136">
                  <c:v>5.2767780162621776</c:v>
                </c:pt>
                <c:pt idx="137">
                  <c:v>4.9799890632429866</c:v>
                </c:pt>
                <c:pt idx="138">
                  <c:v>4.9483435492485608</c:v>
                </c:pt>
                <c:pt idx="139">
                  <c:v>4.9213054669050296</c:v>
                </c:pt>
                <c:pt idx="140">
                  <c:v>4.8493566531064376</c:v>
                </c:pt>
                <c:pt idx="141">
                  <c:v>4.6255077223402417</c:v>
                </c:pt>
                <c:pt idx="142">
                  <c:v>4.5393512207340612</c:v>
                </c:pt>
                <c:pt idx="143">
                  <c:v>4.4021211020123605</c:v>
                </c:pt>
                <c:pt idx="144">
                  <c:v>4.5398396414679523</c:v>
                </c:pt>
                <c:pt idx="145">
                  <c:v>4.7765603399176264</c:v>
                </c:pt>
                <c:pt idx="146">
                  <c:v>5.089728820824905</c:v>
                </c:pt>
                <c:pt idx="147">
                  <c:v>5.1638431231936019</c:v>
                </c:pt>
                <c:pt idx="148">
                  <c:v>4.9107822103285983</c:v>
                </c:pt>
                <c:pt idx="149">
                  <c:v>4.6635507325320944</c:v>
                </c:pt>
                <c:pt idx="150">
                  <c:v>4.5683548548548538</c:v>
                </c:pt>
                <c:pt idx="151">
                  <c:v>4.9201279181985624</c:v>
                </c:pt>
                <c:pt idx="152">
                  <c:v>5.0708189827158785</c:v>
                </c:pt>
                <c:pt idx="153">
                  <c:v>4.8840678030581408</c:v>
                </c:pt>
                <c:pt idx="154">
                  <c:v>4.5548022957650831</c:v>
                </c:pt>
                <c:pt idx="155">
                  <c:v>4.3952808567906931</c:v>
                </c:pt>
                <c:pt idx="156">
                  <c:v>4.3879621996410165</c:v>
                </c:pt>
                <c:pt idx="157">
                  <c:v>4.8034803459593567</c:v>
                </c:pt>
                <c:pt idx="158">
                  <c:v>4.8414751166730383</c:v>
                </c:pt>
                <c:pt idx="159">
                  <c:v>4.6628913549877939</c:v>
                </c:pt>
                <c:pt idx="160">
                  <c:v>4.7174150765202087</c:v>
                </c:pt>
                <c:pt idx="161">
                  <c:v>4.7225188847585757</c:v>
                </c:pt>
                <c:pt idx="162">
                  <c:v>4.6687063905203852</c:v>
                </c:pt>
                <c:pt idx="163">
                  <c:v>4.6582734129478309</c:v>
                </c:pt>
                <c:pt idx="164">
                  <c:v>4.5811762965746885</c:v>
                </c:pt>
                <c:pt idx="165">
                  <c:v>4.3413832292853085</c:v>
                </c:pt>
                <c:pt idx="166">
                  <c:v>4.2295538402790589</c:v>
                </c:pt>
                <c:pt idx="167">
                  <c:v>4.278324103514711</c:v>
                </c:pt>
                <c:pt idx="168">
                  <c:v>4.3130328607990327</c:v>
                </c:pt>
                <c:pt idx="169">
                  <c:v>4.3511624748169568</c:v>
                </c:pt>
                <c:pt idx="170">
                  <c:v>4.5420685547180826</c:v>
                </c:pt>
                <c:pt idx="171">
                  <c:v>4.6791299591122808</c:v>
                </c:pt>
                <c:pt idx="172">
                  <c:v>4.678651202185792</c:v>
                </c:pt>
                <c:pt idx="173">
                  <c:v>4.7053824977728187</c:v>
                </c:pt>
                <c:pt idx="174">
                  <c:v>4.5985999202518366</c:v>
                </c:pt>
                <c:pt idx="175">
                  <c:v>4.4494890464098118</c:v>
                </c:pt>
                <c:pt idx="176">
                  <c:v>4.349774971887415</c:v>
                </c:pt>
                <c:pt idx="177">
                  <c:v>4.0565000343956674</c:v>
                </c:pt>
                <c:pt idx="178">
                  <c:v>3.7543997908118105</c:v>
                </c:pt>
                <c:pt idx="179">
                  <c:v>3.2848883234246968</c:v>
                </c:pt>
                <c:pt idx="180">
                  <c:v>2.7226305316771282</c:v>
                </c:pt>
                <c:pt idx="181">
                  <c:v>2.8333431009165451</c:v>
                </c:pt>
                <c:pt idx="182">
                  <c:v>3.0841358439318021</c:v>
                </c:pt>
                <c:pt idx="183">
                  <c:v>3.1035977328729194</c:v>
                </c:pt>
                <c:pt idx="184">
                  <c:v>3.3678930159864873</c:v>
                </c:pt>
                <c:pt idx="185">
                  <c:v>3.5061230469022813</c:v>
                </c:pt>
                <c:pt idx="186">
                  <c:v>3.4643473326796674</c:v>
                </c:pt>
                <c:pt idx="187">
                  <c:v>3.2734558877009237</c:v>
                </c:pt>
                <c:pt idx="188">
                  <c:v>2.949267121953953</c:v>
                </c:pt>
                <c:pt idx="189">
                  <c:v>2.8757079734945639</c:v>
                </c:pt>
                <c:pt idx="190">
                  <c:v>2.709951851664588</c:v>
                </c:pt>
                <c:pt idx="191">
                  <c:v>2.5518745615333116</c:v>
                </c:pt>
                <c:pt idx="192">
                  <c:v>2.4128919870333791</c:v>
                </c:pt>
                <c:pt idx="193">
                  <c:v>2.1939230557277671</c:v>
                </c:pt>
                <c:pt idx="194">
                  <c:v>2.4498110361760146</c:v>
                </c:pt>
                <c:pt idx="195">
                  <c:v>2.6235667799320965</c:v>
                </c:pt>
                <c:pt idx="196">
                  <c:v>2.8290133719631405</c:v>
                </c:pt>
                <c:pt idx="197">
                  <c:v>2.9481162471959217</c:v>
                </c:pt>
                <c:pt idx="198">
                  <c:v>2.775024631381219</c:v>
                </c:pt>
                <c:pt idx="199">
                  <c:v>2.7093158175177532</c:v>
                </c:pt>
                <c:pt idx="200">
                  <c:v>2.753085462332455</c:v>
                </c:pt>
                <c:pt idx="201">
                  <c:v>2.7835984801161633</c:v>
                </c:pt>
                <c:pt idx="202">
                  <c:v>2.7036581494049514</c:v>
                </c:pt>
                <c:pt idx="203">
                  <c:v>2.8119435465610745</c:v>
                </c:pt>
                <c:pt idx="204">
                  <c:v>2.9140430490983742</c:v>
                </c:pt>
                <c:pt idx="205">
                  <c:v>2.8280011110974268</c:v>
                </c:pt>
                <c:pt idx="206">
                  <c:v>2.8393056809993946</c:v>
                </c:pt>
                <c:pt idx="207">
                  <c:v>2.9584126397954114</c:v>
                </c:pt>
                <c:pt idx="208">
                  <c:v>2.9148186241059983</c:v>
                </c:pt>
                <c:pt idx="209">
                  <c:v>2.8535621903342783</c:v>
                </c:pt>
                <c:pt idx="210">
                  <c:v>2.8000891254674145</c:v>
                </c:pt>
                <c:pt idx="211">
                  <c:v>2.8933734388513042</c:v>
                </c:pt>
                <c:pt idx="212">
                  <c:v>3.2257815511231573</c:v>
                </c:pt>
                <c:pt idx="213">
                  <c:v>3.0448794373970425</c:v>
                </c:pt>
                <c:pt idx="214">
                  <c:v>3.1050916883218664</c:v>
                </c:pt>
                <c:pt idx="215">
                  <c:v>3.0008349153294063</c:v>
                </c:pt>
                <c:pt idx="216">
                  <c:v>3.0811192830563701</c:v>
                </c:pt>
                <c:pt idx="217">
                  <c:v>3.0906881868554819</c:v>
                </c:pt>
                <c:pt idx="218">
                  <c:v>3.0812497508889192</c:v>
                </c:pt>
                <c:pt idx="219">
                  <c:v>3.2763094521564904</c:v>
                </c:pt>
                <c:pt idx="220">
                  <c:v>3.4498461413103958</c:v>
                </c:pt>
                <c:pt idx="221">
                  <c:v>3.4335031992137215</c:v>
                </c:pt>
                <c:pt idx="222">
                  <c:v>3.385928271549091</c:v>
                </c:pt>
                <c:pt idx="223">
                  <c:v>3.3730664020051875</c:v>
                </c:pt>
                <c:pt idx="224">
                  <c:v>3.3645470324844147</c:v>
                </c:pt>
                <c:pt idx="225">
                  <c:v>3.3679407609519472</c:v>
                </c:pt>
                <c:pt idx="226">
                  <c:v>3.1077138949946694</c:v>
                </c:pt>
                <c:pt idx="227">
                  <c:v>2.7715055691993751</c:v>
                </c:pt>
                <c:pt idx="228">
                  <c:v>2.6244431042884995</c:v>
                </c:pt>
                <c:pt idx="229">
                  <c:v>2.6956226382251476</c:v>
                </c:pt>
                <c:pt idx="230">
                  <c:v>2.9440862568613415</c:v>
                </c:pt>
                <c:pt idx="231">
                  <c:v>3.2319787541544707</c:v>
                </c:pt>
                <c:pt idx="232">
                  <c:v>3.2895888339607122</c:v>
                </c:pt>
                <c:pt idx="233">
                  <c:v>3.1287780016110793</c:v>
                </c:pt>
                <c:pt idx="234">
                  <c:v>3.1717918042179356</c:v>
                </c:pt>
                <c:pt idx="235">
                  <c:v>3.0284451547018612</c:v>
                </c:pt>
                <c:pt idx="236">
                  <c:v>2.9705537449514914</c:v>
                </c:pt>
                <c:pt idx="237">
                  <c:v>2.9530179991140328</c:v>
                </c:pt>
                <c:pt idx="238">
                  <c:v>2.9387860240220625</c:v>
                </c:pt>
                <c:pt idx="239">
                  <c:v>2.9292231678431806</c:v>
                </c:pt>
                <c:pt idx="240">
                  <c:v>2.9245282518836095</c:v>
                </c:pt>
                <c:pt idx="241">
                  <c:v>2.7826618318269563</c:v>
                </c:pt>
                <c:pt idx="242">
                  <c:v>2.5370886258708971</c:v>
                </c:pt>
                <c:pt idx="243">
                  <c:v>2.0888285144838505</c:v>
                </c:pt>
                <c:pt idx="244">
                  <c:v>2.1353208408413096</c:v>
                </c:pt>
                <c:pt idx="245">
                  <c:v>2.3777747180921418</c:v>
                </c:pt>
                <c:pt idx="246">
                  <c:v>2.4816508015535765</c:v>
                </c:pt>
                <c:pt idx="247">
                  <c:v>2.4655641676733939</c:v>
                </c:pt>
                <c:pt idx="248">
                  <c:v>2.4612156434096608</c:v>
                </c:pt>
                <c:pt idx="249">
                  <c:v>2.4324931717283436</c:v>
                </c:pt>
                <c:pt idx="250">
                  <c:v>2.371317066891085</c:v>
                </c:pt>
                <c:pt idx="251">
                  <c:v>2.4795941258372554</c:v>
                </c:pt>
                <c:pt idx="252">
                  <c:v>2.6351957805455526</c:v>
                </c:pt>
                <c:pt idx="253">
                  <c:v>2.8156831841651009</c:v>
                </c:pt>
                <c:pt idx="254">
                  <c:v>3.1501555514446324</c:v>
                </c:pt>
                <c:pt idx="255">
                  <c:v>3.16927937920171</c:v>
                </c:pt>
                <c:pt idx="256">
                  <c:v>3.2850343629463152</c:v>
                </c:pt>
                <c:pt idx="257">
                  <c:v>3.3401033041831063</c:v>
                </c:pt>
                <c:pt idx="258">
                  <c:v>3.4053809115650742</c:v>
                </c:pt>
                <c:pt idx="259">
                  <c:v>3.4174794913129136</c:v>
                </c:pt>
                <c:pt idx="260">
                  <c:v>3.4306552149028469</c:v>
                </c:pt>
                <c:pt idx="261">
                  <c:v>3.5348841301232752</c:v>
                </c:pt>
                <c:pt idx="262">
                  <c:v>3.620914799410921</c:v>
                </c:pt>
                <c:pt idx="263">
                  <c:v>3.502166452655767</c:v>
                </c:pt>
                <c:pt idx="264">
                  <c:v>3.4842512780931507</c:v>
                </c:pt>
                <c:pt idx="265">
                  <c:v>3.6873132686677286</c:v>
                </c:pt>
                <c:pt idx="266">
                  <c:v>4.3588199422152973</c:v>
                </c:pt>
                <c:pt idx="267">
                  <c:v>4.1967482206826263</c:v>
                </c:pt>
                <c:pt idx="268">
                  <c:v>4.5222068975741481</c:v>
                </c:pt>
                <c:pt idx="269">
                  <c:v>4.971216697996363</c:v>
                </c:pt>
                <c:pt idx="270">
                  <c:v>4.5903427108506927</c:v>
                </c:pt>
                <c:pt idx="271">
                  <c:v>3.9834472056120735</c:v>
                </c:pt>
                <c:pt idx="272">
                  <c:v>3.6543584809034799</c:v>
                </c:pt>
                <c:pt idx="273">
                  <c:v>3.7103720264060951</c:v>
                </c:pt>
                <c:pt idx="274">
                  <c:v>3.6491305359896007</c:v>
                </c:pt>
                <c:pt idx="275">
                  <c:v>3.2001010016947604</c:v>
                </c:pt>
                <c:pt idx="276">
                  <c:v>3.3280661218259406</c:v>
                </c:pt>
                <c:pt idx="277">
                  <c:v>3.3411818807339446</c:v>
                </c:pt>
                <c:pt idx="278">
                  <c:v>3.345446606766588</c:v>
                </c:pt>
                <c:pt idx="279">
                  <c:v>3.5325741064884864</c:v>
                </c:pt>
                <c:pt idx="280">
                  <c:v>3.475252957919992</c:v>
                </c:pt>
                <c:pt idx="281">
                  <c:v>3.4774010293589073</c:v>
                </c:pt>
                <c:pt idx="282">
                  <c:v>3.4836517548064125</c:v>
                </c:pt>
                <c:pt idx="283">
                  <c:v>3.7163464863996314</c:v>
                </c:pt>
                <c:pt idx="284">
                  <c:v>3.659485379052966</c:v>
                </c:pt>
                <c:pt idx="285">
                  <c:v>3.4101111111111106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4-45E0-AFA8-37D62BD7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0144"/>
        <c:axId val="441733360"/>
      </c:lineChart>
      <c:catAx>
        <c:axId val="69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3360"/>
        <c:crosses val="autoZero"/>
        <c:auto val="1"/>
        <c:lblAlgn val="ctr"/>
        <c:lblOffset val="100"/>
        <c:noMultiLvlLbl val="0"/>
      </c:catAx>
      <c:valAx>
        <c:axId val="4417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Severin</a:t>
            </a:r>
            <a:r>
              <a:rPr lang="en-US" baseline="0"/>
              <a:t> vs. Daniel's MGS Calculations (Nominal)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Severin (nom)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overall_comp!$C$2:$C$287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</c:numCache>
            </c:numRef>
          </c:cat>
          <c:val>
            <c:numRef>
              <c:f>overall_comp!$D$2:$D$287</c:f>
              <c:numCache>
                <c:formatCode>General</c:formatCode>
                <c:ptCount val="286"/>
                <c:pt idx="0">
                  <c:v>-0.10586169386169375</c:v>
                </c:pt>
                <c:pt idx="1">
                  <c:v>-0.12075938875938874</c:v>
                </c:pt>
                <c:pt idx="2">
                  <c:v>3.9740481740481837E-2</c:v>
                </c:pt>
                <c:pt idx="3">
                  <c:v>9.433514633514628E-2</c:v>
                </c:pt>
                <c:pt idx="4">
                  <c:v>-3.2673400673400632E-2</c:v>
                </c:pt>
                <c:pt idx="5">
                  <c:v>-0.22493965293965301</c:v>
                </c:pt>
                <c:pt idx="6">
                  <c:v>-4.2660450660450655E-2</c:v>
                </c:pt>
                <c:pt idx="7">
                  <c:v>1.767106967106935E-2</c:v>
                </c:pt>
                <c:pt idx="8">
                  <c:v>7.8626780626780635E-2</c:v>
                </c:pt>
                <c:pt idx="9">
                  <c:v>8.4122766122766146E-2</c:v>
                </c:pt>
                <c:pt idx="10">
                  <c:v>5.313338513338528E-2</c:v>
                </c:pt>
                <c:pt idx="11">
                  <c:v>4.522351722351714E-2</c:v>
                </c:pt>
                <c:pt idx="12">
                  <c:v>-1.0029008029008191E-2</c:v>
                </c:pt>
                <c:pt idx="13">
                  <c:v>2.3933695933695986E-2</c:v>
                </c:pt>
                <c:pt idx="14">
                  <c:v>0.12750530950530958</c:v>
                </c:pt>
                <c:pt idx="15">
                  <c:v>7.2216524216524025E-2</c:v>
                </c:pt>
                <c:pt idx="16">
                  <c:v>6.6130018130018176E-2</c:v>
                </c:pt>
                <c:pt idx="17">
                  <c:v>0.13992955192955181</c:v>
                </c:pt>
                <c:pt idx="18">
                  <c:v>0.19394405594405573</c:v>
                </c:pt>
                <c:pt idx="19">
                  <c:v>-2.4652162652162968E-2</c:v>
                </c:pt>
                <c:pt idx="20">
                  <c:v>-2.9130277130277493E-2</c:v>
                </c:pt>
                <c:pt idx="21">
                  <c:v>7.9657601657601607E-2</c:v>
                </c:pt>
                <c:pt idx="22">
                  <c:v>4.3853405853405802E-2</c:v>
                </c:pt>
                <c:pt idx="23">
                  <c:v>-6.7866355866355921E-2</c:v>
                </c:pt>
                <c:pt idx="24">
                  <c:v>-9.5449883449883144E-2</c:v>
                </c:pt>
                <c:pt idx="25">
                  <c:v>-1.1023569023569157E-2</c:v>
                </c:pt>
                <c:pt idx="26">
                  <c:v>3.2708624708625011E-2</c:v>
                </c:pt>
                <c:pt idx="27">
                  <c:v>2.262833462833469E-2</c:v>
                </c:pt>
                <c:pt idx="28">
                  <c:v>-1.5328153328153293E-2</c:v>
                </c:pt>
                <c:pt idx="29">
                  <c:v>1.4430976430976683E-2</c:v>
                </c:pt>
                <c:pt idx="30">
                  <c:v>1.3304325304325459E-2</c:v>
                </c:pt>
                <c:pt idx="31">
                  <c:v>9.474229474231155E-4</c:v>
                </c:pt>
                <c:pt idx="32">
                  <c:v>-1.2821030821031032E-2</c:v>
                </c:pt>
                <c:pt idx="33">
                  <c:v>-0.11254908054908075</c:v>
                </c:pt>
                <c:pt idx="34">
                  <c:v>-3.496814296814299E-2</c:v>
                </c:pt>
                <c:pt idx="35">
                  <c:v>-4.1813519813519884E-2</c:v>
                </c:pt>
                <c:pt idx="36">
                  <c:v>-4.2041440041439948E-2</c:v>
                </c:pt>
                <c:pt idx="37">
                  <c:v>-7.5736855736858733E-3</c:v>
                </c:pt>
                <c:pt idx="38">
                  <c:v>0.21226573426573436</c:v>
                </c:pt>
                <c:pt idx="39">
                  <c:v>0.26773322973322955</c:v>
                </c:pt>
                <c:pt idx="40">
                  <c:v>0.15964724164724142</c:v>
                </c:pt>
                <c:pt idx="41">
                  <c:v>8.3283605283605011E-2</c:v>
                </c:pt>
                <c:pt idx="42">
                  <c:v>4.0341362341362208E-2</c:v>
                </c:pt>
                <c:pt idx="43">
                  <c:v>4.8880600880600644E-2</c:v>
                </c:pt>
                <c:pt idx="44">
                  <c:v>0.14390520590520528</c:v>
                </c:pt>
                <c:pt idx="45">
                  <c:v>3.2366744366744138E-2</c:v>
                </c:pt>
                <c:pt idx="46">
                  <c:v>-1.2419580419580578E-2</c:v>
                </c:pt>
                <c:pt idx="47">
                  <c:v>-3.6876974876975055E-2</c:v>
                </c:pt>
                <c:pt idx="48">
                  <c:v>-9.6698264698265035E-2</c:v>
                </c:pt>
                <c:pt idx="49">
                  <c:v>2.2138824138824287E-2</c:v>
                </c:pt>
                <c:pt idx="50">
                  <c:v>0.1605692825692826</c:v>
                </c:pt>
                <c:pt idx="51">
                  <c:v>0.136228438228438</c:v>
                </c:pt>
                <c:pt idx="52">
                  <c:v>4.7740999740999435E-2</c:v>
                </c:pt>
                <c:pt idx="53">
                  <c:v>8.7124579124578938E-2</c:v>
                </c:pt>
                <c:pt idx="54">
                  <c:v>5.9364931364931151E-2</c:v>
                </c:pt>
                <c:pt idx="55">
                  <c:v>-8.6045066045066232E-3</c:v>
                </c:pt>
                <c:pt idx="56">
                  <c:v>-1.6291634291634605E-2</c:v>
                </c:pt>
                <c:pt idx="57">
                  <c:v>0.10966019166019159</c:v>
                </c:pt>
                <c:pt idx="58">
                  <c:v>0.10605749805749753</c:v>
                </c:pt>
                <c:pt idx="59">
                  <c:v>4.4938616938616782E-2</c:v>
                </c:pt>
                <c:pt idx="60">
                  <c:v>-7.8594405594405448E-2</c:v>
                </c:pt>
                <c:pt idx="61">
                  <c:v>-7.6386946386948207E-3</c:v>
                </c:pt>
                <c:pt idx="62">
                  <c:v>-5.8282828282831822E-3</c:v>
                </c:pt>
                <c:pt idx="63">
                  <c:v>7.0949753949754335E-2</c:v>
                </c:pt>
                <c:pt idx="64">
                  <c:v>8.3324786324786793E-2</c:v>
                </c:pt>
                <c:pt idx="65">
                  <c:v>-2.6115773115773511E-2</c:v>
                </c:pt>
                <c:pt idx="66">
                  <c:v>-1.8568505568505422E-2</c:v>
                </c:pt>
                <c:pt idx="67">
                  <c:v>-6.851411551411557E-2</c:v>
                </c:pt>
                <c:pt idx="68">
                  <c:v>-0.20757912457912475</c:v>
                </c:pt>
                <c:pt idx="69">
                  <c:v>-0.11176456876456875</c:v>
                </c:pt>
                <c:pt idx="70">
                  <c:v>3.0530173530173066E-2</c:v>
                </c:pt>
                <c:pt idx="71">
                  <c:v>-0.15157808857808885</c:v>
                </c:pt>
                <c:pt idx="72">
                  <c:v>-0.18935353535353538</c:v>
                </c:pt>
                <c:pt idx="73">
                  <c:v>-4.0288526288526416E-2</c:v>
                </c:pt>
                <c:pt idx="74">
                  <c:v>-0.11437555037554992</c:v>
                </c:pt>
                <c:pt idx="75">
                  <c:v>-0.15476146076146158</c:v>
                </c:pt>
                <c:pt idx="76">
                  <c:v>8.7701631701631921E-2</c:v>
                </c:pt>
                <c:pt idx="77">
                  <c:v>3.2373996373996405E-2</c:v>
                </c:pt>
                <c:pt idx="78">
                  <c:v>-7.429267029267006E-2</c:v>
                </c:pt>
                <c:pt idx="79">
                  <c:v>-9.1798497798497358E-2</c:v>
                </c:pt>
                <c:pt idx="80">
                  <c:v>6.5448329448329456E-2</c:v>
                </c:pt>
                <c:pt idx="81">
                  <c:v>5.3508417508417505E-2</c:v>
                </c:pt>
                <c:pt idx="82">
                  <c:v>-1.780989380989384E-2</c:v>
                </c:pt>
                <c:pt idx="83">
                  <c:v>-2.8263144263144468E-2</c:v>
                </c:pt>
                <c:pt idx="84">
                  <c:v>8.2891996891997E-2</c:v>
                </c:pt>
                <c:pt idx="85">
                  <c:v>0.14116187516187528</c:v>
                </c:pt>
                <c:pt idx="86">
                  <c:v>0.23060761460761503</c:v>
                </c:pt>
                <c:pt idx="87">
                  <c:v>0.15762652162652158</c:v>
                </c:pt>
                <c:pt idx="88">
                  <c:v>-2.4525770525770429E-2</c:v>
                </c:pt>
                <c:pt idx="89">
                  <c:v>-8.8213934213933864E-2</c:v>
                </c:pt>
                <c:pt idx="90">
                  <c:v>-0.1476829836829836</c:v>
                </c:pt>
                <c:pt idx="91">
                  <c:v>-0.18396632996633011</c:v>
                </c:pt>
                <c:pt idx="92">
                  <c:v>-0.228755244755245</c:v>
                </c:pt>
                <c:pt idx="93">
                  <c:v>-3.0879046879047412E-2</c:v>
                </c:pt>
                <c:pt idx="94">
                  <c:v>-4.546853146853147E-2</c:v>
                </c:pt>
                <c:pt idx="95">
                  <c:v>-1.905568505568489E-2</c:v>
                </c:pt>
                <c:pt idx="96">
                  <c:v>-0.10795752395752345</c:v>
                </c:pt>
                <c:pt idx="97">
                  <c:v>-0.15759492359492322</c:v>
                </c:pt>
                <c:pt idx="98">
                  <c:v>-5.9865319865326505E-3</c:v>
                </c:pt>
                <c:pt idx="99">
                  <c:v>1.7679357679361019E-3</c:v>
                </c:pt>
                <c:pt idx="100">
                  <c:v>-0.16537011137011159</c:v>
                </c:pt>
                <c:pt idx="101">
                  <c:v>4.92064232064231E-2</c:v>
                </c:pt>
                <c:pt idx="102">
                  <c:v>1.7525511525510851E-2</c:v>
                </c:pt>
                <c:pt idx="103">
                  <c:v>-6.4818440818440681E-2</c:v>
                </c:pt>
                <c:pt idx="104">
                  <c:v>-0.27667029267029219</c:v>
                </c:pt>
                <c:pt idx="105">
                  <c:v>2.9229733229732879E-2</c:v>
                </c:pt>
                <c:pt idx="106">
                  <c:v>6.7085211085211371E-2</c:v>
                </c:pt>
                <c:pt idx="107">
                  <c:v>-7.7592333592333862E-2</c:v>
                </c:pt>
                <c:pt idx="108">
                  <c:v>-2.0451116243264122E-2</c:v>
                </c:pt>
                <c:pt idx="109">
                  <c:v>5.2453682319733241E-2</c:v>
                </c:pt>
                <c:pt idx="110">
                  <c:v>-1.8339235309212443E-2</c:v>
                </c:pt>
                <c:pt idx="111">
                  <c:v>2.6387477546830906E-2</c:v>
                </c:pt>
                <c:pt idx="112">
                  <c:v>-5.6653323069027817E-2</c:v>
                </c:pt>
                <c:pt idx="113">
                  <c:v>-1.2632281241980792E-2</c:v>
                </c:pt>
                <c:pt idx="114">
                  <c:v>5.1601744931998983E-2</c:v>
                </c:pt>
                <c:pt idx="115">
                  <c:v>9.3333846548627086E-2</c:v>
                </c:pt>
                <c:pt idx="116">
                  <c:v>0.27820939183987736</c:v>
                </c:pt>
                <c:pt idx="117">
                  <c:v>0.16966179112137514</c:v>
                </c:pt>
                <c:pt idx="118">
                  <c:v>1.0705671029000996E-3</c:v>
                </c:pt>
                <c:pt idx="119">
                  <c:v>5.8229407236334296E-3</c:v>
                </c:pt>
                <c:pt idx="120">
                  <c:v>-1.3258917115730018E-2</c:v>
                </c:pt>
                <c:pt idx="121">
                  <c:v>-8.273030536310344E-3</c:v>
                </c:pt>
                <c:pt idx="122">
                  <c:v>-3.5535026943803061E-2</c:v>
                </c:pt>
                <c:pt idx="123">
                  <c:v>-8.5080831408775648E-2</c:v>
                </c:pt>
                <c:pt idx="124">
                  <c:v>-7.2773928663074194E-2</c:v>
                </c:pt>
                <c:pt idx="125">
                  <c:v>3.9702335129586874E-2</c:v>
                </c:pt>
                <c:pt idx="126">
                  <c:v>4.4073177293516341E-2</c:v>
                </c:pt>
                <c:pt idx="127">
                  <c:v>6.018025289211737E-2</c:v>
                </c:pt>
                <c:pt idx="128">
                  <c:v>-4.440677966101747E-2</c:v>
                </c:pt>
                <c:pt idx="129">
                  <c:v>-6.3906376109766683E-2</c:v>
                </c:pt>
                <c:pt idx="130">
                  <c:v>-6.4858757062146832E-2</c:v>
                </c:pt>
                <c:pt idx="131">
                  <c:v>-0.11366693570083397</c:v>
                </c:pt>
                <c:pt idx="132">
                  <c:v>-0.12132902878665597</c:v>
                </c:pt>
                <c:pt idx="133">
                  <c:v>-4.7904223836426674E-2</c:v>
                </c:pt>
                <c:pt idx="134">
                  <c:v>2.1641108420769939E-2</c:v>
                </c:pt>
                <c:pt idx="135">
                  <c:v>-2.4382566585956056E-2</c:v>
                </c:pt>
                <c:pt idx="136">
                  <c:v>-0.11956147430723707</c:v>
                </c:pt>
                <c:pt idx="137">
                  <c:v>-0.15147430723701927</c:v>
                </c:pt>
                <c:pt idx="138">
                  <c:v>-0.25172181867097132</c:v>
                </c:pt>
                <c:pt idx="139">
                  <c:v>-0.26209846650524593</c:v>
                </c:pt>
                <c:pt idx="140">
                  <c:v>-7.1719128329297721E-2</c:v>
                </c:pt>
                <c:pt idx="141">
                  <c:v>2.2224912563895138E-2</c:v>
                </c:pt>
                <c:pt idx="142">
                  <c:v>4.598601022329829E-2</c:v>
                </c:pt>
                <c:pt idx="143">
                  <c:v>-3.8130212536992225E-2</c:v>
                </c:pt>
                <c:pt idx="144">
                  <c:v>-5.3814904492870408E-2</c:v>
                </c:pt>
                <c:pt idx="145">
                  <c:v>2.7468388485337947E-2</c:v>
                </c:pt>
                <c:pt idx="146">
                  <c:v>0.14059994619316685</c:v>
                </c:pt>
                <c:pt idx="147">
                  <c:v>-4.4022060801721441E-2</c:v>
                </c:pt>
                <c:pt idx="148">
                  <c:v>0.20936507936507942</c:v>
                </c:pt>
                <c:pt idx="149">
                  <c:v>0.18490718321226796</c:v>
                </c:pt>
                <c:pt idx="150">
                  <c:v>-4.1993543179983384E-2</c:v>
                </c:pt>
                <c:pt idx="151">
                  <c:v>-4.5434490180253029E-2</c:v>
                </c:pt>
                <c:pt idx="152">
                  <c:v>-7.677966101694933E-2</c:v>
                </c:pt>
                <c:pt idx="153">
                  <c:v>0.30347054075867641</c:v>
                </c:pt>
                <c:pt idx="154">
                  <c:v>2.1043852569276655E-2</c:v>
                </c:pt>
                <c:pt idx="155">
                  <c:v>-0.10743072370190987</c:v>
                </c:pt>
                <c:pt idx="156">
                  <c:v>-4.7027172450901045E-2</c:v>
                </c:pt>
                <c:pt idx="157">
                  <c:v>4.2929782082324675E-2</c:v>
                </c:pt>
                <c:pt idx="158">
                  <c:v>6.8399246704331951E-2</c:v>
                </c:pt>
                <c:pt idx="159">
                  <c:v>5.1807909604520308E-2</c:v>
                </c:pt>
                <c:pt idx="160">
                  <c:v>2.5482916330373584E-2</c:v>
                </c:pt>
                <c:pt idx="161">
                  <c:v>1.1108420769438521E-2</c:v>
                </c:pt>
                <c:pt idx="162">
                  <c:v>1.648910411622273E-2</c:v>
                </c:pt>
                <c:pt idx="163">
                  <c:v>-0.112052730696798</c:v>
                </c:pt>
                <c:pt idx="164">
                  <c:v>1.1019639494215916E-2</c:v>
                </c:pt>
                <c:pt idx="165">
                  <c:v>4.6650524616626665E-2</c:v>
                </c:pt>
                <c:pt idx="166">
                  <c:v>-4.2364810330911773E-2</c:v>
                </c:pt>
                <c:pt idx="167">
                  <c:v>-7.9031476997578398E-2</c:v>
                </c:pt>
                <c:pt idx="168">
                  <c:v>-8.1648641377454645E-2</c:v>
                </c:pt>
                <c:pt idx="169">
                  <c:v>-6.5934355663168631E-2</c:v>
                </c:pt>
                <c:pt idx="170">
                  <c:v>1.5042238364272986E-2</c:v>
                </c:pt>
                <c:pt idx="171">
                  <c:v>0.11602690341673405</c:v>
                </c:pt>
                <c:pt idx="172">
                  <c:v>0.11345493677697149</c:v>
                </c:pt>
                <c:pt idx="173">
                  <c:v>3.1004035512510075E-2</c:v>
                </c:pt>
                <c:pt idx="174">
                  <c:v>0.10285768092547709</c:v>
                </c:pt>
                <c:pt idx="175">
                  <c:v>8.0291094969061394E-2</c:v>
                </c:pt>
                <c:pt idx="176">
                  <c:v>2.0708097928437308E-2</c:v>
                </c:pt>
                <c:pt idx="177">
                  <c:v>2.6774818401937406E-2</c:v>
                </c:pt>
                <c:pt idx="178">
                  <c:v>-6.3171374764594557E-2</c:v>
                </c:pt>
                <c:pt idx="179">
                  <c:v>4.6171643798764705E-3</c:v>
                </c:pt>
                <c:pt idx="180">
                  <c:v>4.4253430185634324E-2</c:v>
                </c:pt>
                <c:pt idx="181">
                  <c:v>0.10424804950228683</c:v>
                </c:pt>
                <c:pt idx="182">
                  <c:v>0.50881086898036143</c:v>
                </c:pt>
                <c:pt idx="183">
                  <c:v>0.36550981974710872</c:v>
                </c:pt>
                <c:pt idx="184">
                  <c:v>0.67210922787193939</c:v>
                </c:pt>
                <c:pt idx="185">
                  <c:v>0.35601560398170617</c:v>
                </c:pt>
                <c:pt idx="186">
                  <c:v>0.65755986010223344</c:v>
                </c:pt>
                <c:pt idx="187">
                  <c:v>0.60174603174603236</c:v>
                </c:pt>
                <c:pt idx="188">
                  <c:v>0.45303201506591328</c:v>
                </c:pt>
                <c:pt idx="189">
                  <c:v>0.28993005111649151</c:v>
                </c:pt>
                <c:pt idx="190">
                  <c:v>0.29992736077481852</c:v>
                </c:pt>
                <c:pt idx="191">
                  <c:v>0.38806295399515811</c:v>
                </c:pt>
                <c:pt idx="192">
                  <c:v>0.51796852300242069</c:v>
                </c:pt>
                <c:pt idx="193">
                  <c:v>0.34825692762980864</c:v>
                </c:pt>
                <c:pt idx="194">
                  <c:v>0.33985875706214674</c:v>
                </c:pt>
                <c:pt idx="195">
                  <c:v>0.33274630078019873</c:v>
                </c:pt>
                <c:pt idx="196">
                  <c:v>0.19496045197740131</c:v>
                </c:pt>
                <c:pt idx="197">
                  <c:v>0.16878181329028763</c:v>
                </c:pt>
                <c:pt idx="198">
                  <c:v>0.31896690879741696</c:v>
                </c:pt>
                <c:pt idx="199">
                  <c:v>0.21318213613128867</c:v>
                </c:pt>
                <c:pt idx="200">
                  <c:v>0.22181409739036839</c:v>
                </c:pt>
                <c:pt idx="201">
                  <c:v>0.2550489642184548</c:v>
                </c:pt>
                <c:pt idx="202">
                  <c:v>0.24578315846112475</c:v>
                </c:pt>
                <c:pt idx="203">
                  <c:v>0.11390018832391657</c:v>
                </c:pt>
                <c:pt idx="204">
                  <c:v>0.10853241861716389</c:v>
                </c:pt>
                <c:pt idx="205">
                  <c:v>0.26299381221415108</c:v>
                </c:pt>
                <c:pt idx="206">
                  <c:v>0.36126392251815931</c:v>
                </c:pt>
                <c:pt idx="207">
                  <c:v>0.26965079365079392</c:v>
                </c:pt>
                <c:pt idx="208">
                  <c:v>0.33812832929782033</c:v>
                </c:pt>
                <c:pt idx="209">
                  <c:v>0.36649448479957014</c:v>
                </c:pt>
                <c:pt idx="210">
                  <c:v>0.30904761904761968</c:v>
                </c:pt>
                <c:pt idx="211">
                  <c:v>0.31193274145816519</c:v>
                </c:pt>
                <c:pt idx="212">
                  <c:v>0.16714743072370286</c:v>
                </c:pt>
                <c:pt idx="213">
                  <c:v>0.23561205273069641</c:v>
                </c:pt>
                <c:pt idx="214">
                  <c:v>0.20188806759214462</c:v>
                </c:pt>
                <c:pt idx="215">
                  <c:v>0.18506176397632501</c:v>
                </c:pt>
                <c:pt idx="216">
                  <c:v>0.16728382196933023</c:v>
                </c:pt>
                <c:pt idx="217">
                  <c:v>0.27907263014796868</c:v>
                </c:pt>
                <c:pt idx="218">
                  <c:v>0.34604411252623013</c:v>
                </c:pt>
                <c:pt idx="219">
                  <c:v>0.30901885846112442</c:v>
                </c:pt>
                <c:pt idx="220">
                  <c:v>0.21081546863061629</c:v>
                </c:pt>
                <c:pt idx="221">
                  <c:v>0.1924038463545874</c:v>
                </c:pt>
                <c:pt idx="222">
                  <c:v>0.13250400949690544</c:v>
                </c:pt>
                <c:pt idx="223">
                  <c:v>9.0662201587301539E-2</c:v>
                </c:pt>
                <c:pt idx="224">
                  <c:v>0.12625084834544076</c:v>
                </c:pt>
                <c:pt idx="225">
                  <c:v>0.28360355213882249</c:v>
                </c:pt>
                <c:pt idx="226">
                  <c:v>0.37631216512779142</c:v>
                </c:pt>
                <c:pt idx="227">
                  <c:v>0.39312123330104987</c:v>
                </c:pt>
                <c:pt idx="228">
                  <c:v>0.37041364404627397</c:v>
                </c:pt>
                <c:pt idx="229">
                  <c:v>0.30391891960720985</c:v>
                </c:pt>
                <c:pt idx="230">
                  <c:v>0.19229395323648069</c:v>
                </c:pt>
                <c:pt idx="231">
                  <c:v>0.48298806138821604</c:v>
                </c:pt>
                <c:pt idx="232">
                  <c:v>0.53728820061877913</c:v>
                </c:pt>
                <c:pt idx="233">
                  <c:v>0.44866565555555571</c:v>
                </c:pt>
                <c:pt idx="234">
                  <c:v>0.22348809300511219</c:v>
                </c:pt>
                <c:pt idx="235">
                  <c:v>0.23439845158999217</c:v>
                </c:pt>
                <c:pt idx="236">
                  <c:v>0.40329003082055426</c:v>
                </c:pt>
                <c:pt idx="237">
                  <c:v>0.83710493531342456</c:v>
                </c:pt>
                <c:pt idx="238">
                  <c:v>0.68457210707559879</c:v>
                </c:pt>
                <c:pt idx="239">
                  <c:v>0.3666156906107072</c:v>
                </c:pt>
                <c:pt idx="240">
                  <c:v>0.21136817917675499</c:v>
                </c:pt>
                <c:pt idx="241">
                  <c:v>0.27169279349475373</c:v>
                </c:pt>
                <c:pt idx="242">
                  <c:v>0.32009930412160315</c:v>
                </c:pt>
                <c:pt idx="243">
                  <c:v>0.28726583627118663</c:v>
                </c:pt>
                <c:pt idx="244">
                  <c:v>0.18266266166801159</c:v>
                </c:pt>
                <c:pt idx="245">
                  <c:v>0.17404236666128559</c:v>
                </c:pt>
                <c:pt idx="246">
                  <c:v>0.17631462923863328</c:v>
                </c:pt>
                <c:pt idx="247">
                  <c:v>0.23846098382566594</c:v>
                </c:pt>
                <c:pt idx="248">
                  <c:v>0.24964419609362443</c:v>
                </c:pt>
                <c:pt idx="249">
                  <c:v>0.23945264376647879</c:v>
                </c:pt>
                <c:pt idx="250">
                  <c:v>0.26428155592682279</c:v>
                </c:pt>
                <c:pt idx="251">
                  <c:v>0.19774671600215221</c:v>
                </c:pt>
                <c:pt idx="252">
                  <c:v>0.14669586854452543</c:v>
                </c:pt>
                <c:pt idx="253">
                  <c:v>0.14428494344901788</c:v>
                </c:pt>
                <c:pt idx="254">
                  <c:v>0.17421876104385303</c:v>
                </c:pt>
                <c:pt idx="255">
                  <c:v>0.27378319472693002</c:v>
                </c:pt>
                <c:pt idx="256">
                  <c:v>0.28495195071294077</c:v>
                </c:pt>
                <c:pt idx="257">
                  <c:v>0.32992370212536981</c:v>
                </c:pt>
                <c:pt idx="258">
                  <c:v>0.32166273898305064</c:v>
                </c:pt>
                <c:pt idx="259">
                  <c:v>0.33676045138552624</c:v>
                </c:pt>
                <c:pt idx="260">
                  <c:v>0.32611019580306744</c:v>
                </c:pt>
                <c:pt idx="261">
                  <c:v>0.27892133381759487</c:v>
                </c:pt>
                <c:pt idx="262">
                  <c:v>0.36239919213344107</c:v>
                </c:pt>
                <c:pt idx="263">
                  <c:v>0.458024696572505</c:v>
                </c:pt>
                <c:pt idx="264">
                  <c:v>0.41414603098197489</c:v>
                </c:pt>
                <c:pt idx="265">
                  <c:v>0.27122678340059103</c:v>
                </c:pt>
                <c:pt idx="266">
                  <c:v>0.57557329940812485</c:v>
                </c:pt>
                <c:pt idx="267">
                  <c:v>0.74686977506053287</c:v>
                </c:pt>
                <c:pt idx="268">
                  <c:v>0.56061420664514561</c:v>
                </c:pt>
                <c:pt idx="269">
                  <c:v>0.50856900890503098</c:v>
                </c:pt>
                <c:pt idx="270">
                  <c:v>0.45957116117837149</c:v>
                </c:pt>
                <c:pt idx="271">
                  <c:v>0.54185934409469994</c:v>
                </c:pt>
                <c:pt idx="272">
                  <c:v>0.89892740973903784</c:v>
                </c:pt>
                <c:pt idx="273">
                  <c:v>1.3527304767285449</c:v>
                </c:pt>
                <c:pt idx="274">
                  <c:v>0.71187100586494401</c:v>
                </c:pt>
                <c:pt idx="275">
                  <c:v>0.41424173494753846</c:v>
                </c:pt>
                <c:pt idx="276">
                  <c:v>0.21794929480764003</c:v>
                </c:pt>
                <c:pt idx="277">
                  <c:v>0.39255453540489693</c:v>
                </c:pt>
                <c:pt idx="278">
                  <c:v>0.55973451926284623</c:v>
                </c:pt>
                <c:pt idx="279">
                  <c:v>0.34262340815173475</c:v>
                </c:pt>
                <c:pt idx="280">
                  <c:v>0.31962908468657503</c:v>
                </c:pt>
                <c:pt idx="281">
                  <c:v>0.35197291035243516</c:v>
                </c:pt>
                <c:pt idx="282">
                  <c:v>0.33291345380145243</c:v>
                </c:pt>
                <c:pt idx="283">
                  <c:v>0.39121127462469696</c:v>
                </c:pt>
                <c:pt idx="284">
                  <c:v>0.78679014344901876</c:v>
                </c:pt>
                <c:pt idx="285">
                  <c:v>1.0676236112994362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4-D84F-80C0-D93EDB330630}"/>
            </c:ext>
          </c:extLst>
        </c:ser>
        <c:ser>
          <c:idx val="2"/>
          <c:order val="1"/>
          <c:tx>
            <c:v>Daniel (nom)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overall_comp!$C$2:$C$287</c:f>
              <c:numCache>
                <c:formatCode>m/d/yy</c:formatCode>
                <c:ptCount val="28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</c:numCache>
            </c:numRef>
          </c:cat>
          <c:val>
            <c:numRef>
              <c:f>overall_comp!$F$2:$F$287</c:f>
              <c:numCache>
                <c:formatCode>General</c:formatCode>
                <c:ptCount val="286"/>
                <c:pt idx="155">
                  <c:v>-0.105518294170642</c:v>
                </c:pt>
                <c:pt idx="156">
                  <c:v>-2.3153919140464801E-2</c:v>
                </c:pt>
                <c:pt idx="157">
                  <c:v>-1.15142349760999E-3</c:v>
                </c:pt>
                <c:pt idx="158">
                  <c:v>-2.1848418884020199E-2</c:v>
                </c:pt>
                <c:pt idx="159">
                  <c:v>-4.5401493502091599E-2</c:v>
                </c:pt>
                <c:pt idx="160">
                  <c:v>-6.6584242421290796E-2</c:v>
                </c:pt>
                <c:pt idx="161">
                  <c:v>-2.8207126569174699E-2</c:v>
                </c:pt>
                <c:pt idx="162">
                  <c:v>-0.149691912104327</c:v>
                </c:pt>
                <c:pt idx="163">
                  <c:v>-2.3857606617270599E-2</c:v>
                </c:pt>
                <c:pt idx="164">
                  <c:v>3.0094502086721502E-3</c:v>
                </c:pt>
                <c:pt idx="165">
                  <c:v>-9.3492265021455301E-2</c:v>
                </c:pt>
                <c:pt idx="166">
                  <c:v>-0.130896675191148</c:v>
                </c:pt>
                <c:pt idx="167">
                  <c:v>-9.5197006907743006E-2</c:v>
                </c:pt>
                <c:pt idx="168">
                  <c:v>-7.4256731834148895E-2</c:v>
                </c:pt>
                <c:pt idx="169">
                  <c:v>1.7177834125304998E-2</c:v>
                </c:pt>
                <c:pt idx="170">
                  <c:v>0.12642767740226499</c:v>
                </c:pt>
                <c:pt idx="171">
                  <c:v>0.123251402082273</c:v>
                </c:pt>
                <c:pt idx="172">
                  <c:v>3.6964352212244402E-2</c:v>
                </c:pt>
                <c:pt idx="173">
                  <c:v>6.9088911265705294E-2</c:v>
                </c:pt>
                <c:pt idx="174">
                  <c:v>4.4231658766545598E-2</c:v>
                </c:pt>
                <c:pt idx="175">
                  <c:v>-2.1375392202459698E-2</c:v>
                </c:pt>
                <c:pt idx="176">
                  <c:v>-2.6199991456727901E-2</c:v>
                </c:pt>
                <c:pt idx="177">
                  <c:v>-0.13263640629026599</c:v>
                </c:pt>
                <c:pt idx="178">
                  <c:v>-7.6151419900574099E-2</c:v>
                </c:pt>
                <c:pt idx="179">
                  <c:v>0.10502103877390601</c:v>
                </c:pt>
                <c:pt idx="180">
                  <c:v>0.17814472813569501</c:v>
                </c:pt>
                <c:pt idx="181">
                  <c:v>0.60806136433028302</c:v>
                </c:pt>
                <c:pt idx="182">
                  <c:v>0.45385204706903198</c:v>
                </c:pt>
                <c:pt idx="183">
                  <c:v>0.77919570520724502</c:v>
                </c:pt>
                <c:pt idx="184">
                  <c:v>0.44987150281911997</c:v>
                </c:pt>
                <c:pt idx="185">
                  <c:v>0.69079542354473999</c:v>
                </c:pt>
                <c:pt idx="186">
                  <c:v>0.61981704330174603</c:v>
                </c:pt>
                <c:pt idx="187">
                  <c:v>0.45061385017696498</c:v>
                </c:pt>
                <c:pt idx="188">
                  <c:v>0.28043189311934102</c:v>
                </c:pt>
                <c:pt idx="189">
                  <c:v>0.27470844748354101</c:v>
                </c:pt>
                <c:pt idx="190">
                  <c:v>0.35466455258833102</c:v>
                </c:pt>
                <c:pt idx="191">
                  <c:v>0.50823295284289904</c:v>
                </c:pt>
                <c:pt idx="192">
                  <c:v>0.32882088825713202</c:v>
                </c:pt>
                <c:pt idx="193">
                  <c:v>0.33095364677932099</c:v>
                </c:pt>
                <c:pt idx="194">
                  <c:v>0.327058690050679</c:v>
                </c:pt>
                <c:pt idx="195">
                  <c:v>0.18948785166042301</c:v>
                </c:pt>
                <c:pt idx="196">
                  <c:v>0.16441491476351899</c:v>
                </c:pt>
                <c:pt idx="197">
                  <c:v>0.28642967311804701</c:v>
                </c:pt>
                <c:pt idx="198">
                  <c:v>0.17348329530142001</c:v>
                </c:pt>
                <c:pt idx="199">
                  <c:v>0.185012515960049</c:v>
                </c:pt>
                <c:pt idx="200">
                  <c:v>0.21837810267514701</c:v>
                </c:pt>
                <c:pt idx="201">
                  <c:v>0.20396325060229301</c:v>
                </c:pt>
                <c:pt idx="202">
                  <c:v>7.1856865339744599E-2</c:v>
                </c:pt>
                <c:pt idx="203">
                  <c:v>0.12060912993740699</c:v>
                </c:pt>
                <c:pt idx="204">
                  <c:v>0.268530506471438</c:v>
                </c:pt>
                <c:pt idx="205">
                  <c:v>0.37326225427978998</c:v>
                </c:pt>
                <c:pt idx="206">
                  <c:v>0.27924770549092598</c:v>
                </c:pt>
                <c:pt idx="207">
                  <c:v>0.344683263135527</c:v>
                </c:pt>
                <c:pt idx="208">
                  <c:v>0.36752614199711497</c:v>
                </c:pt>
                <c:pt idx="209">
                  <c:v>0.337946815160523</c:v>
                </c:pt>
                <c:pt idx="210">
                  <c:v>0.31248795805786</c:v>
                </c:pt>
                <c:pt idx="211">
                  <c:v>0.177476739252314</c:v>
                </c:pt>
                <c:pt idx="212">
                  <c:v>0.24414501876174</c:v>
                </c:pt>
                <c:pt idx="213">
                  <c:v>0.34790524184713201</c:v>
                </c:pt>
                <c:pt idx="214">
                  <c:v>0.32786375671425699</c:v>
                </c:pt>
                <c:pt idx="215">
                  <c:v>0.18739181459406701</c:v>
                </c:pt>
                <c:pt idx="216">
                  <c:v>0.316351915122076</c:v>
                </c:pt>
                <c:pt idx="217">
                  <c:v>0.37786652907240897</c:v>
                </c:pt>
                <c:pt idx="218">
                  <c:v>0.35271430288065703</c:v>
                </c:pt>
                <c:pt idx="219">
                  <c:v>0.29699002684338299</c:v>
                </c:pt>
                <c:pt idx="220">
                  <c:v>0.29193051001916498</c:v>
                </c:pt>
                <c:pt idx="221">
                  <c:v>0.26241731899347398</c:v>
                </c:pt>
                <c:pt idx="222">
                  <c:v>0.22248000662574699</c:v>
                </c:pt>
                <c:pt idx="223">
                  <c:v>0.25272024312338998</c:v>
                </c:pt>
                <c:pt idx="224">
                  <c:v>0.41526961345998697</c:v>
                </c:pt>
                <c:pt idx="225">
                  <c:v>0.49503601740210801</c:v>
                </c:pt>
                <c:pt idx="226">
                  <c:v>0.52074441922833203</c:v>
                </c:pt>
                <c:pt idx="227">
                  <c:v>0.45386256122805702</c:v>
                </c:pt>
                <c:pt idx="228">
                  <c:v>0.39553324930328998</c:v>
                </c:pt>
                <c:pt idx="229">
                  <c:v>0.28781429902715</c:v>
                </c:pt>
                <c:pt idx="230">
                  <c:v>0.57594647688275402</c:v>
                </c:pt>
                <c:pt idx="231">
                  <c:v>0.62705490365498795</c:v>
                </c:pt>
                <c:pt idx="232">
                  <c:v>0.52744236530063104</c:v>
                </c:pt>
                <c:pt idx="233">
                  <c:v>0.38903161175790602</c:v>
                </c:pt>
                <c:pt idx="234">
                  <c:v>0.38257336858790397</c:v>
                </c:pt>
                <c:pt idx="235">
                  <c:v>0.55873133741824499</c:v>
                </c:pt>
                <c:pt idx="236">
                  <c:v>0.98494253623086903</c:v>
                </c:pt>
                <c:pt idx="237">
                  <c:v>0.82868892466078603</c:v>
                </c:pt>
                <c:pt idx="238">
                  <c:v>0.51156320418861301</c:v>
                </c:pt>
                <c:pt idx="239">
                  <c:v>0.35811411229451501</c:v>
                </c:pt>
                <c:pt idx="240">
                  <c:v>0.42158745964577199</c:v>
                </c:pt>
                <c:pt idx="241">
                  <c:v>0.434543989646553</c:v>
                </c:pt>
                <c:pt idx="242">
                  <c:v>0.38212522484121703</c:v>
                </c:pt>
                <c:pt idx="243">
                  <c:v>0.31603039299039098</c:v>
                </c:pt>
                <c:pt idx="244">
                  <c:v>0.29781211925669698</c:v>
                </c:pt>
                <c:pt idx="245">
                  <c:v>0.33248059866684798</c:v>
                </c:pt>
                <c:pt idx="246">
                  <c:v>0.38981772429203998</c:v>
                </c:pt>
                <c:pt idx="247">
                  <c:v>0.40029115025338502</c:v>
                </c:pt>
                <c:pt idx="248">
                  <c:v>0.400130419342558</c:v>
                </c:pt>
                <c:pt idx="249">
                  <c:v>0.42300371892468702</c:v>
                </c:pt>
                <c:pt idx="250">
                  <c:v>0.360575075886642</c:v>
                </c:pt>
                <c:pt idx="251">
                  <c:v>0.33554159660146698</c:v>
                </c:pt>
                <c:pt idx="252">
                  <c:v>0.33997392370405299</c:v>
                </c:pt>
                <c:pt idx="253">
                  <c:v>0.37192666444495098</c:v>
                </c:pt>
                <c:pt idx="254">
                  <c:v>0.45646057195471601</c:v>
                </c:pt>
                <c:pt idx="255">
                  <c:v>0.48737106359253102</c:v>
                </c:pt>
                <c:pt idx="256">
                  <c:v>0.51630419373605196</c:v>
                </c:pt>
                <c:pt idx="257">
                  <c:v>0.51367737338742003</c:v>
                </c:pt>
                <c:pt idx="258">
                  <c:v>0.52717302747595995</c:v>
                </c:pt>
                <c:pt idx="259">
                  <c:v>0.49641818273842397</c:v>
                </c:pt>
                <c:pt idx="260">
                  <c:v>0.47181862154633802</c:v>
                </c:pt>
                <c:pt idx="261">
                  <c:v>0.53243533182805802</c:v>
                </c:pt>
                <c:pt idx="262">
                  <c:v>0.62683669242998896</c:v>
                </c:pt>
                <c:pt idx="263">
                  <c:v>0.58108497897963096</c:v>
                </c:pt>
                <c:pt idx="264">
                  <c:v>0.443688668670631</c:v>
                </c:pt>
                <c:pt idx="265">
                  <c:v>0.75112896347975799</c:v>
                </c:pt>
                <c:pt idx="266">
                  <c:v>0.90153444611192601</c:v>
                </c:pt>
                <c:pt idx="267">
                  <c:v>0.72946136970173903</c:v>
                </c:pt>
                <c:pt idx="268">
                  <c:v>0.65135131243479305</c:v>
                </c:pt>
                <c:pt idx="269">
                  <c:v>0.61767055309181895</c:v>
                </c:pt>
                <c:pt idx="270">
                  <c:v>0.68105654351754996</c:v>
                </c:pt>
                <c:pt idx="271">
                  <c:v>1.02147489129748</c:v>
                </c:pt>
                <c:pt idx="272">
                  <c:v>1.47407583070123</c:v>
                </c:pt>
                <c:pt idx="273">
                  <c:v>0.82378948604757196</c:v>
                </c:pt>
                <c:pt idx="274">
                  <c:v>0.52365219850327904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4-D84F-80C0-D93EDB33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9071"/>
        <c:axId val="759142879"/>
      </c:lineChart>
      <c:dateAx>
        <c:axId val="75893907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42879"/>
        <c:crosses val="autoZero"/>
        <c:auto val="1"/>
        <c:lblOffset val="100"/>
        <c:baseTimeUnit val="months"/>
      </c:dateAx>
      <c:valAx>
        <c:axId val="7591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Severin</a:t>
            </a:r>
            <a:r>
              <a:rPr lang="en-US" baseline="0"/>
              <a:t> vs. Daniel's MGS Calculations (Real)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08468966613492E-2"/>
          <c:y val="8.4874141876430206E-2"/>
          <c:w val="0.94232995929582342"/>
          <c:h val="0.70268094920629187"/>
        </c:manualLayout>
      </c:layout>
      <c:lineChart>
        <c:grouping val="standard"/>
        <c:varyColors val="0"/>
        <c:ser>
          <c:idx val="1"/>
          <c:order val="0"/>
          <c:tx>
            <c:v>Severin (real)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overall_comp!$C$157:$C$287</c:f>
              <c:numCache>
                <c:formatCode>m/d/yy</c:formatCode>
                <c:ptCount val="131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  <c:pt idx="93">
                  <c:v>44075</c:v>
                </c:pt>
                <c:pt idx="94">
                  <c:v>44105</c:v>
                </c:pt>
                <c:pt idx="95">
                  <c:v>44136</c:v>
                </c:pt>
                <c:pt idx="96">
                  <c:v>44166</c:v>
                </c:pt>
                <c:pt idx="97">
                  <c:v>44197</c:v>
                </c:pt>
                <c:pt idx="98">
                  <c:v>44228</c:v>
                </c:pt>
                <c:pt idx="99">
                  <c:v>44256</c:v>
                </c:pt>
                <c:pt idx="100">
                  <c:v>44287</c:v>
                </c:pt>
                <c:pt idx="101">
                  <c:v>44317</c:v>
                </c:pt>
                <c:pt idx="102">
                  <c:v>44348</c:v>
                </c:pt>
                <c:pt idx="103">
                  <c:v>44378</c:v>
                </c:pt>
                <c:pt idx="104">
                  <c:v>44409</c:v>
                </c:pt>
                <c:pt idx="105">
                  <c:v>44440</c:v>
                </c:pt>
                <c:pt idx="106">
                  <c:v>44470</c:v>
                </c:pt>
                <c:pt idx="107">
                  <c:v>44501</c:v>
                </c:pt>
                <c:pt idx="108">
                  <c:v>44531</c:v>
                </c:pt>
                <c:pt idx="109">
                  <c:v>44562</c:v>
                </c:pt>
                <c:pt idx="110">
                  <c:v>44593</c:v>
                </c:pt>
                <c:pt idx="111">
                  <c:v>44621</c:v>
                </c:pt>
                <c:pt idx="112">
                  <c:v>44652</c:v>
                </c:pt>
                <c:pt idx="113">
                  <c:v>44682</c:v>
                </c:pt>
                <c:pt idx="114">
                  <c:v>44713</c:v>
                </c:pt>
                <c:pt idx="115">
                  <c:v>44743</c:v>
                </c:pt>
                <c:pt idx="116">
                  <c:v>44774</c:v>
                </c:pt>
                <c:pt idx="117">
                  <c:v>44805</c:v>
                </c:pt>
                <c:pt idx="118">
                  <c:v>44835</c:v>
                </c:pt>
                <c:pt idx="119">
                  <c:v>44866</c:v>
                </c:pt>
                <c:pt idx="120">
                  <c:v>44896</c:v>
                </c:pt>
                <c:pt idx="121">
                  <c:v>44927</c:v>
                </c:pt>
                <c:pt idx="122">
                  <c:v>44958</c:v>
                </c:pt>
                <c:pt idx="123">
                  <c:v>44986</c:v>
                </c:pt>
                <c:pt idx="124">
                  <c:v>45017</c:v>
                </c:pt>
                <c:pt idx="125">
                  <c:v>45047</c:v>
                </c:pt>
                <c:pt idx="126">
                  <c:v>45078</c:v>
                </c:pt>
                <c:pt idx="127">
                  <c:v>45108</c:v>
                </c:pt>
                <c:pt idx="128">
                  <c:v>45139</c:v>
                </c:pt>
                <c:pt idx="129">
                  <c:v>45170</c:v>
                </c:pt>
                <c:pt idx="130">
                  <c:v>45200</c:v>
                </c:pt>
              </c:numCache>
            </c:numRef>
          </c:cat>
          <c:val>
            <c:numRef>
              <c:f>overall_comp!$E$157:$E$287</c:f>
              <c:numCache>
                <c:formatCode>General</c:formatCode>
                <c:ptCount val="131"/>
                <c:pt idx="0">
                  <c:v>-0.14395981808480934</c:v>
                </c:pt>
                <c:pt idx="1">
                  <c:v>-6.2831757752046094E-2</c:v>
                </c:pt>
                <c:pt idx="2">
                  <c:v>5.6891400907328867E-2</c:v>
                </c:pt>
                <c:pt idx="3">
                  <c:v>9.0407670274338145E-2</c:v>
                </c:pt>
                <c:pt idx="4">
                  <c:v>6.8549102510772189E-2</c:v>
                </c:pt>
                <c:pt idx="5">
                  <c:v>3.3657534397743549E-2</c:v>
                </c:pt>
                <c:pt idx="6">
                  <c:v>1.4636746807566119E-2</c:v>
                </c:pt>
                <c:pt idx="7">
                  <c:v>2.1717919624233136E-2</c:v>
                </c:pt>
                <c:pt idx="8">
                  <c:v>-0.14740814918189704</c:v>
                </c:pt>
                <c:pt idx="9">
                  <c:v>1.4479769304267389E-2</c:v>
                </c:pt>
                <c:pt idx="10">
                  <c:v>6.1456901678136826E-2</c:v>
                </c:pt>
                <c:pt idx="11">
                  <c:v>-5.5925170483084222E-2</c:v>
                </c:pt>
                <c:pt idx="12">
                  <c:v>-0.10433725765535119</c:v>
                </c:pt>
                <c:pt idx="13">
                  <c:v>-0.10739290660426327</c:v>
                </c:pt>
                <c:pt idx="14">
                  <c:v>-8.6404305038494403E-2</c:v>
                </c:pt>
                <c:pt idx="15">
                  <c:v>1.9586109278625408E-2</c:v>
                </c:pt>
                <c:pt idx="16">
                  <c:v>0.15057920547820908</c:v>
                </c:pt>
                <c:pt idx="17">
                  <c:v>0.14672885184156198</c:v>
                </c:pt>
                <c:pt idx="18">
                  <c:v>4.0022331724319522E-2</c:v>
                </c:pt>
                <c:pt idx="19">
                  <c:v>0.13282822895287497</c:v>
                </c:pt>
                <c:pt idx="20">
                  <c:v>0.10385971730414748</c:v>
                </c:pt>
                <c:pt idx="21">
                  <c:v>2.676660265990663E-2</c:v>
                </c:pt>
                <c:pt idx="22">
                  <c:v>3.4695409452529698E-2</c:v>
                </c:pt>
                <c:pt idx="23">
                  <c:v>-8.2303272250371887E-2</c:v>
                </c:pt>
                <c:pt idx="24">
                  <c:v>6.0498082803305342E-3</c:v>
                </c:pt>
                <c:pt idx="25">
                  <c:v>5.8258833148533411E-2</c:v>
                </c:pt>
                <c:pt idx="26">
                  <c:v>0.13664718960480096</c:v>
                </c:pt>
                <c:pt idx="27">
                  <c:v>0.66299767858603831</c:v>
                </c:pt>
                <c:pt idx="28">
                  <c:v>0.47530535526951795</c:v>
                </c:pt>
                <c:pt idx="29">
                  <c:v>0.86957178464955509</c:v>
                </c:pt>
                <c:pt idx="30">
                  <c:v>0.45900349857380429</c:v>
                </c:pt>
                <c:pt idx="31">
                  <c:v>0.84772138626427485</c:v>
                </c:pt>
                <c:pt idx="32">
                  <c:v>0.77686686304458585</c:v>
                </c:pt>
                <c:pt idx="33">
                  <c:v>0.58578584591962257</c:v>
                </c:pt>
                <c:pt idx="34">
                  <c:v>0.37505810155257807</c:v>
                </c:pt>
                <c:pt idx="35">
                  <c:v>0.38881143617887376</c:v>
                </c:pt>
                <c:pt idx="36">
                  <c:v>0.50479110926390147</c:v>
                </c:pt>
                <c:pt idx="37">
                  <c:v>0.67265990241553031</c:v>
                </c:pt>
                <c:pt idx="38">
                  <c:v>0.4518919711898261</c:v>
                </c:pt>
                <c:pt idx="39">
                  <c:v>0.43910387366699033</c:v>
                </c:pt>
                <c:pt idx="40">
                  <c:v>0.42788581134135745</c:v>
                </c:pt>
                <c:pt idx="41">
                  <c:v>0.24969373897547353</c:v>
                </c:pt>
                <c:pt idx="42">
                  <c:v>0.2154580540741193</c:v>
                </c:pt>
                <c:pt idx="43">
                  <c:v>0.40783644379128814</c:v>
                </c:pt>
                <c:pt idx="44">
                  <c:v>0.27232814338298983</c:v>
                </c:pt>
                <c:pt idx="45">
                  <c:v>0.28267543598170897</c:v>
                </c:pt>
                <c:pt idx="46">
                  <c:v>0.32462455836931525</c:v>
                </c:pt>
                <c:pt idx="47">
                  <c:v>0.31331845946349418</c:v>
                </c:pt>
                <c:pt idx="48">
                  <c:v>0.14514971023645473</c:v>
                </c:pt>
                <c:pt idx="49">
                  <c:v>0.13750788698833974</c:v>
                </c:pt>
                <c:pt idx="50">
                  <c:v>0.33216162854209541</c:v>
                </c:pt>
                <c:pt idx="51">
                  <c:v>0.45590638391591742</c:v>
                </c:pt>
                <c:pt idx="52">
                  <c:v>0.33928665216229659</c:v>
                </c:pt>
                <c:pt idx="53">
                  <c:v>0.42508481162487149</c:v>
                </c:pt>
                <c:pt idx="54">
                  <c:v>0.46032832411164715</c:v>
                </c:pt>
                <c:pt idx="55">
                  <c:v>0.38844129157713347</c:v>
                </c:pt>
                <c:pt idx="56">
                  <c:v>0.39089707312743671</c:v>
                </c:pt>
                <c:pt idx="57">
                  <c:v>0.20835680056313485</c:v>
                </c:pt>
                <c:pt idx="58">
                  <c:v>0.29388678429965615</c:v>
                </c:pt>
                <c:pt idx="59">
                  <c:v>0.25181560570701111</c:v>
                </c:pt>
                <c:pt idx="60">
                  <c:v>0.23096387363648119</c:v>
                </c:pt>
                <c:pt idx="61">
                  <c:v>0.20764515158986796</c:v>
                </c:pt>
                <c:pt idx="62">
                  <c:v>0.34484200308547563</c:v>
                </c:pt>
                <c:pt idx="63">
                  <c:v>0.42663206418273303</c:v>
                </c:pt>
                <c:pt idx="64">
                  <c:v>0.37947578968170559</c:v>
                </c:pt>
                <c:pt idx="65">
                  <c:v>0.2578096175058045</c:v>
                </c:pt>
                <c:pt idx="66">
                  <c:v>0.23491931715972625</c:v>
                </c:pt>
                <c:pt idx="67">
                  <c:v>0.16177250186869516</c:v>
                </c:pt>
                <c:pt idx="68">
                  <c:v>0.11062689959216744</c:v>
                </c:pt>
                <c:pt idx="69">
                  <c:v>0.15387370715812576</c:v>
                </c:pt>
                <c:pt idx="70">
                  <c:v>0.34504453996917039</c:v>
                </c:pt>
                <c:pt idx="71">
                  <c:v>0.45937652321091543</c:v>
                </c:pt>
                <c:pt idx="72">
                  <c:v>0.48143358146010801</c:v>
                </c:pt>
                <c:pt idx="73">
                  <c:v>0.45276163344362275</c:v>
                </c:pt>
                <c:pt idx="74">
                  <c:v>0.36992055382817141</c:v>
                </c:pt>
                <c:pt idx="75">
                  <c:v>0.23274117782795278</c:v>
                </c:pt>
                <c:pt idx="76">
                  <c:v>0.58150100895085777</c:v>
                </c:pt>
                <c:pt idx="77">
                  <c:v>0.64550238965910844</c:v>
                </c:pt>
                <c:pt idx="78">
                  <c:v>0.5389232222252156</c:v>
                </c:pt>
                <c:pt idx="79">
                  <c:v>0.26799913109032536</c:v>
                </c:pt>
                <c:pt idx="80">
                  <c:v>0.28109669548072747</c:v>
                </c:pt>
                <c:pt idx="81">
                  <c:v>0.48325724540363041</c:v>
                </c:pt>
                <c:pt idx="82">
                  <c:v>1.0008040247480694</c:v>
                </c:pt>
                <c:pt idx="83">
                  <c:v>0.81888193507222373</c:v>
                </c:pt>
                <c:pt idx="84">
                  <c:v>0.43894330222468769</c:v>
                </c:pt>
                <c:pt idx="85">
                  <c:v>0.25208980488307359</c:v>
                </c:pt>
                <c:pt idx="86">
                  <c:v>0.32315076453090086</c:v>
                </c:pt>
                <c:pt idx="87">
                  <c:v>0.38155579101717357</c:v>
                </c:pt>
                <c:pt idx="88">
                  <c:v>0.34472370932993324</c:v>
                </c:pt>
                <c:pt idx="89">
                  <c:v>0.21919391162842652</c:v>
                </c:pt>
                <c:pt idx="90">
                  <c:v>0.20771300283961563</c:v>
                </c:pt>
                <c:pt idx="91">
                  <c:v>0.20936583916109755</c:v>
                </c:pt>
                <c:pt idx="92">
                  <c:v>0.28227182940245177</c:v>
                </c:pt>
                <c:pt idx="93">
                  <c:v>0.29509866088950948</c:v>
                </c:pt>
                <c:pt idx="94">
                  <c:v>0.28293406132493165</c:v>
                </c:pt>
                <c:pt idx="95">
                  <c:v>0.31246237196300758</c:v>
                </c:pt>
                <c:pt idx="96">
                  <c:v>0.23357774618233748</c:v>
                </c:pt>
                <c:pt idx="97">
                  <c:v>0.17254270007478606</c:v>
                </c:pt>
                <c:pt idx="98">
                  <c:v>0.16878300332264737</c:v>
                </c:pt>
                <c:pt idx="99">
                  <c:v>0.20236585444988919</c:v>
                </c:pt>
                <c:pt idx="100">
                  <c:v>0.31542365703127195</c:v>
                </c:pt>
                <c:pt idx="101">
                  <c:v>0.32568008925797731</c:v>
                </c:pt>
                <c:pt idx="102">
                  <c:v>0.37360857486534449</c:v>
                </c:pt>
                <c:pt idx="103">
                  <c:v>0.36250992320836833</c:v>
                </c:pt>
                <c:pt idx="104">
                  <c:v>0.37874240986023983</c:v>
                </c:pt>
                <c:pt idx="105">
                  <c:v>0.36577102567505942</c:v>
                </c:pt>
                <c:pt idx="106">
                  <c:v>0.31026543245390537</c:v>
                </c:pt>
                <c:pt idx="107">
                  <c:v>0.40115317197061301</c:v>
                </c:pt>
                <c:pt idx="108">
                  <c:v>0.50545159797691253</c:v>
                </c:pt>
                <c:pt idx="109">
                  <c:v>0.45321582760060602</c:v>
                </c:pt>
                <c:pt idx="110">
                  <c:v>0.29412728106854474</c:v>
                </c:pt>
                <c:pt idx="111">
                  <c:v>0.6159469523978699</c:v>
                </c:pt>
                <c:pt idx="112">
                  <c:v>0.79482192032295507</c:v>
                </c:pt>
                <c:pt idx="113">
                  <c:v>0.59010295581437511</c:v>
                </c:pt>
                <c:pt idx="114">
                  <c:v>0.52806657713962624</c:v>
                </c:pt>
                <c:pt idx="115">
                  <c:v>0.47724661711009575</c:v>
                </c:pt>
                <c:pt idx="116">
                  <c:v>0.56289915709829941</c:v>
                </c:pt>
                <c:pt idx="117">
                  <c:v>0.93182762958484788</c:v>
                </c:pt>
                <c:pt idx="118">
                  <c:v>1.3965744282295616</c:v>
                </c:pt>
                <c:pt idx="119">
                  <c:v>0.73568683805930302</c:v>
                </c:pt>
                <c:pt idx="120">
                  <c:v>0.42941865596028289</c:v>
                </c:pt>
                <c:pt idx="121">
                  <c:v>0.22414238554253907</c:v>
                </c:pt>
                <c:pt idx="122">
                  <c:v>0.40146804435101735</c:v>
                </c:pt>
                <c:pt idx="123">
                  <c:v>0.57055513350335663</c:v>
                </c:pt>
                <c:pt idx="124">
                  <c:v>0.34748893770648492</c:v>
                </c:pt>
                <c:pt idx="125">
                  <c:v>0.323353730890724</c:v>
                </c:pt>
                <c:pt idx="126">
                  <c:v>0.35492842656573254</c:v>
                </c:pt>
                <c:pt idx="127">
                  <c:v>0.33397724499429943</c:v>
                </c:pt>
                <c:pt idx="128">
                  <c:v>0.39203313098908604</c:v>
                </c:pt>
                <c:pt idx="129">
                  <c:v>0.78648850421913408</c:v>
                </c:pt>
                <c:pt idx="130">
                  <c:v>1.0676236112994362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7-B14A-B0C4-D9B0E6B63C79}"/>
            </c:ext>
          </c:extLst>
        </c:ser>
        <c:ser>
          <c:idx val="3"/>
          <c:order val="1"/>
          <c:tx>
            <c:v>Daniel (real)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overall_comp!$C$157:$C$287</c:f>
              <c:numCache>
                <c:formatCode>m/d/yy</c:formatCode>
                <c:ptCount val="131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  <c:pt idx="93">
                  <c:v>44075</c:v>
                </c:pt>
                <c:pt idx="94">
                  <c:v>44105</c:v>
                </c:pt>
                <c:pt idx="95">
                  <c:v>44136</c:v>
                </c:pt>
                <c:pt idx="96">
                  <c:v>44166</c:v>
                </c:pt>
                <c:pt idx="97">
                  <c:v>44197</c:v>
                </c:pt>
                <c:pt idx="98">
                  <c:v>44228</c:v>
                </c:pt>
                <c:pt idx="99">
                  <c:v>44256</c:v>
                </c:pt>
                <c:pt idx="100">
                  <c:v>44287</c:v>
                </c:pt>
                <c:pt idx="101">
                  <c:v>44317</c:v>
                </c:pt>
                <c:pt idx="102">
                  <c:v>44348</c:v>
                </c:pt>
                <c:pt idx="103">
                  <c:v>44378</c:v>
                </c:pt>
                <c:pt idx="104">
                  <c:v>44409</c:v>
                </c:pt>
                <c:pt idx="105">
                  <c:v>44440</c:v>
                </c:pt>
                <c:pt idx="106">
                  <c:v>44470</c:v>
                </c:pt>
                <c:pt idx="107">
                  <c:v>44501</c:v>
                </c:pt>
                <c:pt idx="108">
                  <c:v>44531</c:v>
                </c:pt>
                <c:pt idx="109">
                  <c:v>44562</c:v>
                </c:pt>
                <c:pt idx="110">
                  <c:v>44593</c:v>
                </c:pt>
                <c:pt idx="111">
                  <c:v>44621</c:v>
                </c:pt>
                <c:pt idx="112">
                  <c:v>44652</c:v>
                </c:pt>
                <c:pt idx="113">
                  <c:v>44682</c:v>
                </c:pt>
                <c:pt idx="114">
                  <c:v>44713</c:v>
                </c:pt>
                <c:pt idx="115">
                  <c:v>44743</c:v>
                </c:pt>
                <c:pt idx="116">
                  <c:v>44774</c:v>
                </c:pt>
                <c:pt idx="117">
                  <c:v>44805</c:v>
                </c:pt>
                <c:pt idx="118">
                  <c:v>44835</c:v>
                </c:pt>
                <c:pt idx="119">
                  <c:v>44866</c:v>
                </c:pt>
                <c:pt idx="120">
                  <c:v>44896</c:v>
                </c:pt>
                <c:pt idx="121">
                  <c:v>44927</c:v>
                </c:pt>
                <c:pt idx="122">
                  <c:v>44958</c:v>
                </c:pt>
                <c:pt idx="123">
                  <c:v>44986</c:v>
                </c:pt>
                <c:pt idx="124">
                  <c:v>45017</c:v>
                </c:pt>
                <c:pt idx="125">
                  <c:v>45047</c:v>
                </c:pt>
                <c:pt idx="126">
                  <c:v>45078</c:v>
                </c:pt>
                <c:pt idx="127">
                  <c:v>45108</c:v>
                </c:pt>
                <c:pt idx="128">
                  <c:v>45139</c:v>
                </c:pt>
                <c:pt idx="129">
                  <c:v>45170</c:v>
                </c:pt>
                <c:pt idx="130">
                  <c:v>45200</c:v>
                </c:pt>
              </c:numCache>
            </c:numRef>
          </c:cat>
          <c:val>
            <c:numRef>
              <c:f>overall_comp!$G$157:$G$287</c:f>
              <c:numCache>
                <c:formatCode>General</c:formatCode>
                <c:ptCount val="131"/>
                <c:pt idx="1">
                  <c:v>-0.111713851125138</c:v>
                </c:pt>
                <c:pt idx="2">
                  <c:v>-2.4314277888943501E-2</c:v>
                </c:pt>
                <c:pt idx="3">
                  <c:v>-1.20597406117038E-3</c:v>
                </c:pt>
                <c:pt idx="4">
                  <c:v>-2.2907338687499699E-2</c:v>
                </c:pt>
                <c:pt idx="5">
                  <c:v>-4.75173518096694E-2</c:v>
                </c:pt>
                <c:pt idx="6">
                  <c:v>-6.9520457407809294E-2</c:v>
                </c:pt>
                <c:pt idx="7">
                  <c:v>-2.9439398211833102E-2</c:v>
                </c:pt>
                <c:pt idx="8">
                  <c:v>-0.15604372325174001</c:v>
                </c:pt>
                <c:pt idx="9">
                  <c:v>-2.4841055699136801E-2</c:v>
                </c:pt>
                <c:pt idx="10">
                  <c:v>3.1415951047094799E-3</c:v>
                </c:pt>
                <c:pt idx="11">
                  <c:v>-9.7797251906069999E-2</c:v>
                </c:pt>
                <c:pt idx="12">
                  <c:v>-0.136935753031667</c:v>
                </c:pt>
                <c:pt idx="13">
                  <c:v>-9.9219914332985507E-2</c:v>
                </c:pt>
                <c:pt idx="14">
                  <c:v>-7.7109585008571097E-2</c:v>
                </c:pt>
                <c:pt idx="15">
                  <c:v>1.7723644532777E-2</c:v>
                </c:pt>
                <c:pt idx="16">
                  <c:v>0.13001617305438701</c:v>
                </c:pt>
                <c:pt idx="17">
                  <c:v>0.12630859638108499</c:v>
                </c:pt>
                <c:pt idx="18">
                  <c:v>3.78108273945423E-2</c:v>
                </c:pt>
                <c:pt idx="19">
                  <c:v>7.0698617651585402E-2</c:v>
                </c:pt>
                <c:pt idx="20">
                  <c:v>4.5337952335664997E-2</c:v>
                </c:pt>
                <c:pt idx="21">
                  <c:v>-2.1893543254247898E-2</c:v>
                </c:pt>
                <c:pt idx="22">
                  <c:v>-2.690268040728E-2</c:v>
                </c:pt>
                <c:pt idx="23">
                  <c:v>-0.136933099965587</c:v>
                </c:pt>
                <c:pt idx="24">
                  <c:v>-7.9066624887909803E-2</c:v>
                </c:pt>
                <c:pt idx="25">
                  <c:v>0.10955698491751301</c:v>
                </c:pt>
                <c:pt idx="26">
                  <c:v>0.18503533057919899</c:v>
                </c:pt>
                <c:pt idx="27">
                  <c:v>0.627844301750758</c:v>
                </c:pt>
                <c:pt idx="28">
                  <c:v>0.467667162276582</c:v>
                </c:pt>
                <c:pt idx="29">
                  <c:v>0.79884229568441101</c:v>
                </c:pt>
                <c:pt idx="30">
                  <c:v>0.459604598843454</c:v>
                </c:pt>
                <c:pt idx="31">
                  <c:v>0.70569366134919598</c:v>
                </c:pt>
                <c:pt idx="32">
                  <c:v>0.63408254155830501</c:v>
                </c:pt>
                <c:pt idx="33">
                  <c:v>0.46170378569414899</c:v>
                </c:pt>
                <c:pt idx="34">
                  <c:v>0.28746279389495599</c:v>
                </c:pt>
                <c:pt idx="35">
                  <c:v>0.28219146781328902</c:v>
                </c:pt>
                <c:pt idx="36">
                  <c:v>0.36557477047072301</c:v>
                </c:pt>
                <c:pt idx="37">
                  <c:v>0.52300267662822097</c:v>
                </c:pt>
                <c:pt idx="38">
                  <c:v>0.33809844915662801</c:v>
                </c:pt>
                <c:pt idx="39">
                  <c:v>0.33883237044347297</c:v>
                </c:pt>
                <c:pt idx="40">
                  <c:v>0.33326465948502099</c:v>
                </c:pt>
                <c:pt idx="41">
                  <c:v>0.192305374133276</c:v>
                </c:pt>
                <c:pt idx="42">
                  <c:v>0.166313390013445</c:v>
                </c:pt>
                <c:pt idx="43">
                  <c:v>0.29020662905336397</c:v>
                </c:pt>
                <c:pt idx="44">
                  <c:v>0.17560961796719701</c:v>
                </c:pt>
                <c:pt idx="45">
                  <c:v>0.186831007188793</c:v>
                </c:pt>
                <c:pt idx="46">
                  <c:v>0.220249948538667</c:v>
                </c:pt>
                <c:pt idx="47">
                  <c:v>0.20603201310979999</c:v>
                </c:pt>
                <c:pt idx="48">
                  <c:v>7.2561945503061206E-2</c:v>
                </c:pt>
                <c:pt idx="49">
                  <c:v>0.121086919678758</c:v>
                </c:pt>
                <c:pt idx="50">
                  <c:v>0.26874876749565102</c:v>
                </c:pt>
                <c:pt idx="51">
                  <c:v>0.37326225427978998</c:v>
                </c:pt>
                <c:pt idx="52">
                  <c:v>0.27842203565455098</c:v>
                </c:pt>
                <c:pt idx="53">
                  <c:v>0.34337062936222201</c:v>
                </c:pt>
                <c:pt idx="54">
                  <c:v>0.36579470084316901</c:v>
                </c:pt>
                <c:pt idx="55">
                  <c:v>0.33658694321958998</c:v>
                </c:pt>
                <c:pt idx="56">
                  <c:v>0.31030134801161802</c:v>
                </c:pt>
                <c:pt idx="57">
                  <c:v>0.17530662755482099</c:v>
                </c:pt>
                <c:pt idx="58">
                  <c:v>0.24131223458374701</c:v>
                </c:pt>
                <c:pt idx="59">
                  <c:v>0.343860176461463</c:v>
                </c:pt>
                <c:pt idx="60">
                  <c:v>0.32424231211035198</c:v>
                </c:pt>
                <c:pt idx="61">
                  <c:v>0.184317847030254</c:v>
                </c:pt>
                <c:pt idx="62">
                  <c:v>0.30975783565943099</c:v>
                </c:pt>
                <c:pt idx="63">
                  <c:v>0.36915552407247498</c:v>
                </c:pt>
                <c:pt idx="64">
                  <c:v>0.343218809147251</c:v>
                </c:pt>
                <c:pt idx="65">
                  <c:v>0.28779777069829898</c:v>
                </c:pt>
                <c:pt idx="66">
                  <c:v>0.28244467128796302</c:v>
                </c:pt>
                <c:pt idx="67">
                  <c:v>0.25387333947575902</c:v>
                </c:pt>
                <c:pt idx="68">
                  <c:v>0.21511682951688199</c:v>
                </c:pt>
                <c:pt idx="69">
                  <c:v>0.244072619499069</c:v>
                </c:pt>
                <c:pt idx="70">
                  <c:v>0.40035252004333299</c:v>
                </c:pt>
                <c:pt idx="71">
                  <c:v>0.478857458314426</c:v>
                </c:pt>
                <c:pt idx="72">
                  <c:v>0.50533970518318205</c:v>
                </c:pt>
                <c:pt idx="73">
                  <c:v>0.439598216572756</c:v>
                </c:pt>
                <c:pt idx="74">
                  <c:v>0.38148954692451598</c:v>
                </c:pt>
                <c:pt idx="75">
                  <c:v>0.27603800881628898</c:v>
                </c:pt>
                <c:pt idx="76">
                  <c:v>0.54947143789226405</c:v>
                </c:pt>
                <c:pt idx="77">
                  <c:v>0.59695973543097602</c:v>
                </c:pt>
                <c:pt idx="78">
                  <c:v>0.50202807065841804</c:v>
                </c:pt>
                <c:pt idx="79">
                  <c:v>0.36966880893861398</c:v>
                </c:pt>
                <c:pt idx="80">
                  <c:v>0.36355042460223302</c:v>
                </c:pt>
                <c:pt idx="81">
                  <c:v>0.53053353064120701</c:v>
                </c:pt>
                <c:pt idx="82">
                  <c:v>0.93310164244100202</c:v>
                </c:pt>
                <c:pt idx="83">
                  <c:v>0.78549340814136503</c:v>
                </c:pt>
                <c:pt idx="84">
                  <c:v>0.48533945358047198</c:v>
                </c:pt>
                <c:pt idx="85">
                  <c:v>0.33844338585156902</c:v>
                </c:pt>
                <c:pt idx="86">
                  <c:v>0.39734126693842903</c:v>
                </c:pt>
                <c:pt idx="87">
                  <c:v>0.41044596098568098</c:v>
                </c:pt>
                <c:pt idx="88">
                  <c:v>0.36336391944082402</c:v>
                </c:pt>
                <c:pt idx="89">
                  <c:v>0.30050830300806702</c:v>
                </c:pt>
                <c:pt idx="90">
                  <c:v>0.28164366725331103</c:v>
                </c:pt>
                <c:pt idx="91">
                  <c:v>0.31284750902380198</c:v>
                </c:pt>
                <c:pt idx="92">
                  <c:v>0.3656458998612</c:v>
                </c:pt>
                <c:pt idx="93">
                  <c:v>0.37494768219965302</c:v>
                </c:pt>
                <c:pt idx="94">
                  <c:v>0.374641674601498</c:v>
                </c:pt>
                <c:pt idx="95">
                  <c:v>0.396299911530066</c:v>
                </c:pt>
                <c:pt idx="96">
                  <c:v>0.33749458324531201</c:v>
                </c:pt>
                <c:pt idx="97">
                  <c:v>0.31273320332834198</c:v>
                </c:pt>
                <c:pt idx="98">
                  <c:v>0.31513905181082302</c:v>
                </c:pt>
                <c:pt idx="99">
                  <c:v>0.34233282889168798</c:v>
                </c:pt>
                <c:pt idx="100">
                  <c:v>0.41671551035794901</c:v>
                </c:pt>
                <c:pt idx="101">
                  <c:v>0.44139583823965001</c:v>
                </c:pt>
                <c:pt idx="102">
                  <c:v>0.463295295981697</c:v>
                </c:pt>
                <c:pt idx="103">
                  <c:v>0.45873143265541499</c:v>
                </c:pt>
                <c:pt idx="104">
                  <c:v>0.46981292068000302</c:v>
                </c:pt>
                <c:pt idx="105">
                  <c:v>0.44120611486934602</c:v>
                </c:pt>
                <c:pt idx="106">
                  <c:v>0.41588729758456999</c:v>
                </c:pt>
                <c:pt idx="107">
                  <c:v>0.46702356676433099</c:v>
                </c:pt>
                <c:pt idx="108">
                  <c:v>0.54814317132274404</c:v>
                </c:pt>
                <c:pt idx="109">
                  <c:v>0.50389509781400899</c:v>
                </c:pt>
                <c:pt idx="110">
                  <c:v>0.38126768004119799</c:v>
                </c:pt>
                <c:pt idx="111">
                  <c:v>0.63695111172480501</c:v>
                </c:pt>
                <c:pt idx="112">
                  <c:v>0.76024959270217696</c:v>
                </c:pt>
                <c:pt idx="113">
                  <c:v>0.60843600800097697</c:v>
                </c:pt>
                <c:pt idx="114">
                  <c:v>0.53592374674890597</c:v>
                </c:pt>
                <c:pt idx="115">
                  <c:v>0.50827167409556795</c:v>
                </c:pt>
                <c:pt idx="116">
                  <c:v>0.56062972528073995</c:v>
                </c:pt>
                <c:pt idx="117">
                  <c:v>0.839049486446515</c:v>
                </c:pt>
                <c:pt idx="118">
                  <c:v>1.2059284914727899</c:v>
                </c:pt>
                <c:pt idx="119">
                  <c:v>0.67461632417977202</c:v>
                </c:pt>
                <c:pt idx="120">
                  <c:v>0.430148989535938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7-B14A-B0C4-D9B0E6B6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9071"/>
        <c:axId val="759142879"/>
      </c:lineChart>
      <c:dateAx>
        <c:axId val="75893907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42879"/>
        <c:crosses val="autoZero"/>
        <c:auto val="1"/>
        <c:lblOffset val="100"/>
        <c:baseTimeUnit val="months"/>
      </c:dateAx>
      <c:valAx>
        <c:axId val="7591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935656745141898"/>
          <c:y val="0.83323771599488283"/>
          <c:w val="0.47514411095152403"/>
          <c:h val="0.16676228400511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Natl.</a:t>
            </a:r>
            <a:r>
              <a:rPr lang="en-US" baseline="0"/>
              <a:t> avg. state tax (excl. 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tax_comp!$A$2:$A$151</c:f>
              <c:numCache>
                <c:formatCode>m/d/yy</c:formatCode>
                <c:ptCount val="15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</c:numCache>
            </c:numRef>
          </c:cat>
          <c:val>
            <c:numRef>
              <c:f>tax_comp!$B$2:$B$145</c:f>
              <c:numCache>
                <c:formatCode>General</c:formatCode>
                <c:ptCount val="144"/>
                <c:pt idx="0">
                  <c:v>0.23478728920036901</c:v>
                </c:pt>
                <c:pt idx="1">
                  <c:v>0.234567905602628</c:v>
                </c:pt>
                <c:pt idx="2">
                  <c:v>0.23513926523411</c:v>
                </c:pt>
                <c:pt idx="3">
                  <c:v>0.235008757950497</c:v>
                </c:pt>
                <c:pt idx="4">
                  <c:v>0.23505203529298099</c:v>
                </c:pt>
                <c:pt idx="5">
                  <c:v>0.23524824807335501</c:v>
                </c:pt>
                <c:pt idx="6">
                  <c:v>0.23549261341421299</c:v>
                </c:pt>
                <c:pt idx="7">
                  <c:v>0.23482669121808</c:v>
                </c:pt>
                <c:pt idx="8">
                  <c:v>0.23488060886339901</c:v>
                </c:pt>
                <c:pt idx="9">
                  <c:v>0.235005674433583</c:v>
                </c:pt>
                <c:pt idx="10">
                  <c:v>0.235103280397984</c:v>
                </c:pt>
                <c:pt idx="11">
                  <c:v>0.23517376132227699</c:v>
                </c:pt>
                <c:pt idx="12">
                  <c:v>0.20858299086925799</c:v>
                </c:pt>
                <c:pt idx="13">
                  <c:v>0.207844476551277</c:v>
                </c:pt>
                <c:pt idx="14">
                  <c:v>0.20700800850335199</c:v>
                </c:pt>
                <c:pt idx="15">
                  <c:v>0.20820016888689599</c:v>
                </c:pt>
                <c:pt idx="16">
                  <c:v>0.20842286301363699</c:v>
                </c:pt>
                <c:pt idx="17">
                  <c:v>0.208418286817936</c:v>
                </c:pt>
                <c:pt idx="18">
                  <c:v>0.20829328281435999</c:v>
                </c:pt>
                <c:pt idx="19">
                  <c:v>0.20868777432017299</c:v>
                </c:pt>
                <c:pt idx="20">
                  <c:v>0.20865754239622999</c:v>
                </c:pt>
                <c:pt idx="21">
                  <c:v>0.208299647711433</c:v>
                </c:pt>
                <c:pt idx="22">
                  <c:v>0.208157241823022</c:v>
                </c:pt>
                <c:pt idx="23">
                  <c:v>0.20887022335039801</c:v>
                </c:pt>
                <c:pt idx="24">
                  <c:v>0.209981298387306</c:v>
                </c:pt>
                <c:pt idx="25">
                  <c:v>0.21014890374932099</c:v>
                </c:pt>
                <c:pt idx="26">
                  <c:v>0.20928105081328399</c:v>
                </c:pt>
                <c:pt idx="27">
                  <c:v>0.21017270236067201</c:v>
                </c:pt>
                <c:pt idx="28">
                  <c:v>0.21089224390839101</c:v>
                </c:pt>
                <c:pt idx="29">
                  <c:v>0.210549456434349</c:v>
                </c:pt>
                <c:pt idx="30">
                  <c:v>0.210184029309812</c:v>
                </c:pt>
                <c:pt idx="31">
                  <c:v>0.211410263581812</c:v>
                </c:pt>
                <c:pt idx="32">
                  <c:v>0.21024863087992399</c:v>
                </c:pt>
                <c:pt idx="33">
                  <c:v>0.21019447628087301</c:v>
                </c:pt>
                <c:pt idx="34">
                  <c:v>0.21030588023278801</c:v>
                </c:pt>
                <c:pt idx="35">
                  <c:v>0.21059018832454901</c:v>
                </c:pt>
                <c:pt idx="36">
                  <c:v>0.21672417225944701</c:v>
                </c:pt>
                <c:pt idx="37">
                  <c:v>0.216338408203883</c:v>
                </c:pt>
                <c:pt idx="38">
                  <c:v>0.21651351953651601</c:v>
                </c:pt>
                <c:pt idx="39">
                  <c:v>0.21641546166473699</c:v>
                </c:pt>
                <c:pt idx="40">
                  <c:v>0.217175642353551</c:v>
                </c:pt>
                <c:pt idx="41">
                  <c:v>0.216269620091422</c:v>
                </c:pt>
                <c:pt idx="42">
                  <c:v>0.21688621301532399</c:v>
                </c:pt>
                <c:pt idx="43">
                  <c:v>0.217089412629275</c:v>
                </c:pt>
                <c:pt idx="44">
                  <c:v>0.21691771458913101</c:v>
                </c:pt>
                <c:pt idx="45">
                  <c:v>0.21709376002196801</c:v>
                </c:pt>
                <c:pt idx="46">
                  <c:v>0.215894004207309</c:v>
                </c:pt>
                <c:pt idx="47">
                  <c:v>0.21622519742064999</c:v>
                </c:pt>
                <c:pt idx="48">
                  <c:v>0.221737988917554</c:v>
                </c:pt>
                <c:pt idx="49">
                  <c:v>0.221489197585829</c:v>
                </c:pt>
                <c:pt idx="50">
                  <c:v>0.22169816691859301</c:v>
                </c:pt>
                <c:pt idx="51">
                  <c:v>0.22244253187381299</c:v>
                </c:pt>
                <c:pt idx="52">
                  <c:v>0.222543435114957</c:v>
                </c:pt>
                <c:pt idx="53">
                  <c:v>0.222140043061481</c:v>
                </c:pt>
                <c:pt idx="54">
                  <c:v>0.221367210530555</c:v>
                </c:pt>
                <c:pt idx="55">
                  <c:v>0.22099318814233099</c:v>
                </c:pt>
                <c:pt idx="56">
                  <c:v>0.22222306831736699</c:v>
                </c:pt>
                <c:pt idx="57">
                  <c:v>0.224018460780506</c:v>
                </c:pt>
                <c:pt idx="58">
                  <c:v>0.22366910607901899</c:v>
                </c:pt>
                <c:pt idx="59">
                  <c:v>0.22261753312001001</c:v>
                </c:pt>
                <c:pt idx="60">
                  <c:v>0.22975984945452901</c:v>
                </c:pt>
                <c:pt idx="61">
                  <c:v>0.229539493812459</c:v>
                </c:pt>
                <c:pt idx="62">
                  <c:v>0.229702810754635</c:v>
                </c:pt>
                <c:pt idx="63">
                  <c:v>0.23044620717994899</c:v>
                </c:pt>
                <c:pt idx="64">
                  <c:v>0.22977880365290199</c:v>
                </c:pt>
                <c:pt idx="65">
                  <c:v>0.22994332528536399</c:v>
                </c:pt>
                <c:pt idx="66">
                  <c:v>0.23018389927135899</c:v>
                </c:pt>
                <c:pt idx="67">
                  <c:v>0.23097695178793501</c:v>
                </c:pt>
                <c:pt idx="68">
                  <c:v>0.22971821399811401</c:v>
                </c:pt>
                <c:pt idx="69">
                  <c:v>0.23063121423629099</c:v>
                </c:pt>
                <c:pt idx="70">
                  <c:v>0.23022041048295699</c:v>
                </c:pt>
                <c:pt idx="71">
                  <c:v>0.230210240482385</c:v>
                </c:pt>
                <c:pt idx="72">
                  <c:v>0.231471633512953</c:v>
                </c:pt>
                <c:pt idx="73">
                  <c:v>0.23159555206250201</c:v>
                </c:pt>
                <c:pt idx="74">
                  <c:v>0.231697025754904</c:v>
                </c:pt>
                <c:pt idx="75">
                  <c:v>0.23110321165307901</c:v>
                </c:pt>
                <c:pt idx="76">
                  <c:v>0.23200398883864401</c:v>
                </c:pt>
                <c:pt idx="77">
                  <c:v>0.23109315420476301</c:v>
                </c:pt>
                <c:pt idx="78">
                  <c:v>0.23221095615834</c:v>
                </c:pt>
                <c:pt idx="79">
                  <c:v>0.232817753276856</c:v>
                </c:pt>
                <c:pt idx="80">
                  <c:v>0.23060305350753901</c:v>
                </c:pt>
                <c:pt idx="81">
                  <c:v>0.232059936021244</c:v>
                </c:pt>
                <c:pt idx="82">
                  <c:v>0.23062607004073901</c:v>
                </c:pt>
                <c:pt idx="83">
                  <c:v>0.23250804028149699</c:v>
                </c:pt>
                <c:pt idx="84">
                  <c:v>0.24178940979329699</c:v>
                </c:pt>
                <c:pt idx="85">
                  <c:v>0.24272259411732</c:v>
                </c:pt>
                <c:pt idx="86">
                  <c:v>0.24222398550037999</c:v>
                </c:pt>
                <c:pt idx="87">
                  <c:v>0.24154992637332001</c:v>
                </c:pt>
                <c:pt idx="88">
                  <c:v>0.24327536455829901</c:v>
                </c:pt>
                <c:pt idx="89">
                  <c:v>0.24235658930755399</c:v>
                </c:pt>
                <c:pt idx="90">
                  <c:v>0.24216055416059201</c:v>
                </c:pt>
                <c:pt idx="91">
                  <c:v>0.24254877032401201</c:v>
                </c:pt>
                <c:pt idx="92">
                  <c:v>0.243270840483649</c:v>
                </c:pt>
                <c:pt idx="93">
                  <c:v>0.24295969967561201</c:v>
                </c:pt>
                <c:pt idx="94">
                  <c:v>0.24308899489824701</c:v>
                </c:pt>
                <c:pt idx="95">
                  <c:v>0.242468367041967</c:v>
                </c:pt>
                <c:pt idx="96">
                  <c:v>0.24305628635451301</c:v>
                </c:pt>
                <c:pt idx="97">
                  <c:v>0.24329609108973699</c:v>
                </c:pt>
                <c:pt idx="98">
                  <c:v>0.242136697868437</c:v>
                </c:pt>
                <c:pt idx="99">
                  <c:v>0.241978055897143</c:v>
                </c:pt>
                <c:pt idx="100">
                  <c:v>0.24195257668827</c:v>
                </c:pt>
                <c:pt idx="101">
                  <c:v>0.243053305499351</c:v>
                </c:pt>
                <c:pt idx="102">
                  <c:v>0.24411682516729</c:v>
                </c:pt>
                <c:pt idx="103">
                  <c:v>0.24324174128140599</c:v>
                </c:pt>
                <c:pt idx="104">
                  <c:v>0.24253483385982799</c:v>
                </c:pt>
                <c:pt idx="105">
                  <c:v>0.24358198091939501</c:v>
                </c:pt>
                <c:pt idx="106">
                  <c:v>0.24233166886565999</c:v>
                </c:pt>
                <c:pt idx="107">
                  <c:v>0.24282242581748101</c:v>
                </c:pt>
                <c:pt idx="108">
                  <c:v>0.24375147817929599</c:v>
                </c:pt>
                <c:pt idx="109">
                  <c:v>0.24371322795241501</c:v>
                </c:pt>
                <c:pt idx="110">
                  <c:v>0.24344210486700099</c:v>
                </c:pt>
                <c:pt idx="111">
                  <c:v>0.24304606130127401</c:v>
                </c:pt>
                <c:pt idx="112">
                  <c:v>0.24415731299061599</c:v>
                </c:pt>
                <c:pt idx="113">
                  <c:v>0.24377290310039901</c:v>
                </c:pt>
                <c:pt idx="114">
                  <c:v>0.243644662300467</c:v>
                </c:pt>
                <c:pt idx="115">
                  <c:v>0.24404665935250899</c:v>
                </c:pt>
                <c:pt idx="116">
                  <c:v>0.243802953631956</c:v>
                </c:pt>
                <c:pt idx="117">
                  <c:v>0.24319035433651401</c:v>
                </c:pt>
                <c:pt idx="118">
                  <c:v>0.243937341184954</c:v>
                </c:pt>
                <c:pt idx="119">
                  <c:v>0.243569682270455</c:v>
                </c:pt>
                <c:pt idx="120">
                  <c:v>0.24648864927533901</c:v>
                </c:pt>
                <c:pt idx="121">
                  <c:v>0.247021673339377</c:v>
                </c:pt>
                <c:pt idx="122">
                  <c:v>0.24612536231134099</c:v>
                </c:pt>
                <c:pt idx="123">
                  <c:v>0.24709525380983499</c:v>
                </c:pt>
                <c:pt idx="124">
                  <c:v>0.24633019865344499</c:v>
                </c:pt>
                <c:pt idx="125">
                  <c:v>0.24698714984040801</c:v>
                </c:pt>
                <c:pt idx="126">
                  <c:v>0.24658566094155099</c:v>
                </c:pt>
                <c:pt idx="127">
                  <c:v>0.24725265082463099</c:v>
                </c:pt>
                <c:pt idx="128">
                  <c:v>0.246797589865867</c:v>
                </c:pt>
                <c:pt idx="129">
                  <c:v>0.24594420893977101</c:v>
                </c:pt>
                <c:pt idx="130">
                  <c:v>0.24699433280539199</c:v>
                </c:pt>
                <c:pt idx="131">
                  <c:v>0.24664908037302999</c:v>
                </c:pt>
                <c:pt idx="132">
                  <c:v>0.30279832887061098</c:v>
                </c:pt>
                <c:pt idx="133">
                  <c:v>0.30596809737347003</c:v>
                </c:pt>
                <c:pt idx="134">
                  <c:v>0.30410772327018498</c:v>
                </c:pt>
                <c:pt idx="135">
                  <c:v>0.30481817755764101</c:v>
                </c:pt>
                <c:pt idx="136">
                  <c:v>0.30518642960160203</c:v>
                </c:pt>
                <c:pt idx="137">
                  <c:v>0.30372158196694099</c:v>
                </c:pt>
                <c:pt idx="138">
                  <c:v>0.30397300660702797</c:v>
                </c:pt>
                <c:pt idx="139">
                  <c:v>0.30415162785434502</c:v>
                </c:pt>
                <c:pt idx="140">
                  <c:v>0.30455110759271897</c:v>
                </c:pt>
                <c:pt idx="141">
                  <c:v>0.30318280653389101</c:v>
                </c:pt>
                <c:pt idx="142">
                  <c:v>0.30417463184219101</c:v>
                </c:pt>
                <c:pt idx="143">
                  <c:v>0.30504972327234903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4-154A-A1C6-F955EAD56EA2}"/>
            </c:ext>
          </c:extLst>
        </c:ser>
        <c:ser>
          <c:idx val="1"/>
          <c:order val="1"/>
          <c:tx>
            <c:v>SEVERIN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tax_comp!$A$2:$A$151</c:f>
              <c:numCache>
                <c:formatCode>m/d/yy</c:formatCode>
                <c:ptCount val="15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</c:numCache>
            </c:numRef>
          </c:cat>
          <c:val>
            <c:numRef>
              <c:f>tax_comp!$D$2:$D$143</c:f>
              <c:numCache>
                <c:formatCode>"$"#,##0.00</c:formatCode>
                <c:ptCount val="142"/>
                <c:pt idx="0">
                  <c:v>0.19517406510626845</c:v>
                </c:pt>
                <c:pt idx="1">
                  <c:v>0.19419128329297819</c:v>
                </c:pt>
                <c:pt idx="2">
                  <c:v>0.19283777239709438</c:v>
                </c:pt>
                <c:pt idx="3">
                  <c:v>0.19326446058649446</c:v>
                </c:pt>
                <c:pt idx="4">
                  <c:v>0.19304761904761902</c:v>
                </c:pt>
                <c:pt idx="5">
                  <c:v>0.1938240516545601</c:v>
                </c:pt>
                <c:pt idx="6">
                  <c:v>0.19457842345977938</c:v>
                </c:pt>
                <c:pt idx="7">
                  <c:v>0.19356766209308579</c:v>
                </c:pt>
                <c:pt idx="8">
                  <c:v>0.19321092278719396</c:v>
                </c:pt>
                <c:pt idx="9">
                  <c:v>0.19234705407586761</c:v>
                </c:pt>
                <c:pt idx="10">
                  <c:v>0.19432660747914982</c:v>
                </c:pt>
                <c:pt idx="11">
                  <c:v>0.19525692762980895</c:v>
                </c:pt>
                <c:pt idx="12">
                  <c:v>0.20951950497713207</c:v>
                </c:pt>
                <c:pt idx="13">
                  <c:v>0.2079596448748991</c:v>
                </c:pt>
                <c:pt idx="14">
                  <c:v>0.20772881355932202</c:v>
                </c:pt>
                <c:pt idx="15">
                  <c:v>0.20829190207156306</c:v>
                </c:pt>
                <c:pt idx="16">
                  <c:v>0.20821495829970404</c:v>
                </c:pt>
                <c:pt idx="17">
                  <c:v>0.20822195318805486</c:v>
                </c:pt>
                <c:pt idx="18">
                  <c:v>0.20431557707828893</c:v>
                </c:pt>
                <c:pt idx="19">
                  <c:v>0.20479472693032014</c:v>
                </c:pt>
                <c:pt idx="20">
                  <c:v>0.20454640839386598</c:v>
                </c:pt>
                <c:pt idx="21">
                  <c:v>0.20510949690610705</c:v>
                </c:pt>
                <c:pt idx="22">
                  <c:v>0.20576351896690878</c:v>
                </c:pt>
                <c:pt idx="23">
                  <c:v>0.20576351896690878</c:v>
                </c:pt>
                <c:pt idx="24">
                  <c:v>0.21234624697336563</c:v>
                </c:pt>
                <c:pt idx="25">
                  <c:v>0.21213989776701642</c:v>
                </c:pt>
                <c:pt idx="26">
                  <c:v>0.21123755716976059</c:v>
                </c:pt>
                <c:pt idx="27">
                  <c:v>0.21044713478611787</c:v>
                </c:pt>
                <c:pt idx="28">
                  <c:v>0.21041216034436375</c:v>
                </c:pt>
                <c:pt idx="29">
                  <c:v>0.21061151466236216</c:v>
                </c:pt>
                <c:pt idx="30">
                  <c:v>0.21468576809254775</c:v>
                </c:pt>
                <c:pt idx="31">
                  <c:v>0.21520688727468387</c:v>
                </c:pt>
                <c:pt idx="32">
                  <c:v>0.2156930320150659</c:v>
                </c:pt>
                <c:pt idx="33">
                  <c:v>0.21652192628463812</c:v>
                </c:pt>
                <c:pt idx="34">
                  <c:v>0.21774952919020715</c:v>
                </c:pt>
                <c:pt idx="35">
                  <c:v>0.2188617164379876</c:v>
                </c:pt>
                <c:pt idx="36">
                  <c:v>0.22553645412967449</c:v>
                </c:pt>
                <c:pt idx="37">
                  <c:v>0.22498036050578424</c:v>
                </c:pt>
                <c:pt idx="38">
                  <c:v>0.22276997578692492</c:v>
                </c:pt>
                <c:pt idx="39">
                  <c:v>0.22321764864137744</c:v>
                </c:pt>
                <c:pt idx="40">
                  <c:v>0.22132203389830507</c:v>
                </c:pt>
                <c:pt idx="41">
                  <c:v>0.222046004842615</c:v>
                </c:pt>
                <c:pt idx="42">
                  <c:v>0.22797820823244552</c:v>
                </c:pt>
                <c:pt idx="43">
                  <c:v>0.22873015873015873</c:v>
                </c:pt>
                <c:pt idx="44">
                  <c:v>0.23019209039548022</c:v>
                </c:pt>
                <c:pt idx="45">
                  <c:v>0.23099300511164916</c:v>
                </c:pt>
                <c:pt idx="46">
                  <c:v>0.23143718052192627</c:v>
                </c:pt>
                <c:pt idx="47">
                  <c:v>0.23158407317729349</c:v>
                </c:pt>
                <c:pt idx="48">
                  <c:v>0.23809685230024213</c:v>
                </c:pt>
                <c:pt idx="49">
                  <c:v>0.23930347054075868</c:v>
                </c:pt>
                <c:pt idx="50">
                  <c:v>0.2385969868173258</c:v>
                </c:pt>
                <c:pt idx="51">
                  <c:v>0.23809685230024213</c:v>
                </c:pt>
                <c:pt idx="52">
                  <c:v>0.23798493408662899</c:v>
                </c:pt>
                <c:pt idx="53">
                  <c:v>0.23772262577347325</c:v>
                </c:pt>
                <c:pt idx="54">
                  <c:v>0.24023002421307504</c:v>
                </c:pt>
                <c:pt idx="55">
                  <c:v>0.2408071025020177</c:v>
                </c:pt>
                <c:pt idx="56">
                  <c:v>0.24061474307237016</c:v>
                </c:pt>
                <c:pt idx="57">
                  <c:v>0.24040489642184557</c:v>
                </c:pt>
                <c:pt idx="58">
                  <c:v>0.24066720473500131</c:v>
                </c:pt>
                <c:pt idx="59">
                  <c:v>0.24084557438794724</c:v>
                </c:pt>
                <c:pt idx="60">
                  <c:v>0.24935324186171642</c:v>
                </c:pt>
                <c:pt idx="61">
                  <c:v>0.24901049233252623</c:v>
                </c:pt>
                <c:pt idx="62">
                  <c:v>0.24861528114070483</c:v>
                </c:pt>
                <c:pt idx="63">
                  <c:v>0.24858730158730158</c:v>
                </c:pt>
                <c:pt idx="64">
                  <c:v>0.24846838848533762</c:v>
                </c:pt>
                <c:pt idx="65">
                  <c:v>0.24853833736884581</c:v>
                </c:pt>
                <c:pt idx="66">
                  <c:v>0.24668253968253967</c:v>
                </c:pt>
                <c:pt idx="67">
                  <c:v>0.26588216303470541</c:v>
                </c:pt>
                <c:pt idx="68">
                  <c:v>0.26539252085014797</c:v>
                </c:pt>
                <c:pt idx="69">
                  <c:v>0.26567231638418082</c:v>
                </c:pt>
                <c:pt idx="70">
                  <c:v>0.2517968792036589</c:v>
                </c:pt>
                <c:pt idx="71">
                  <c:v>0.25216411084207696</c:v>
                </c:pt>
                <c:pt idx="72">
                  <c:v>0.25699542641915524</c:v>
                </c:pt>
                <c:pt idx="73">
                  <c:v>0.25647430723701914</c:v>
                </c:pt>
                <c:pt idx="74">
                  <c:v>0.25627145547484531</c:v>
                </c:pt>
                <c:pt idx="75">
                  <c:v>0.25577831584611249</c:v>
                </c:pt>
                <c:pt idx="76">
                  <c:v>0.25555797686306164</c:v>
                </c:pt>
                <c:pt idx="77">
                  <c:v>0.25562792574656984</c:v>
                </c:pt>
                <c:pt idx="78">
                  <c:v>0.25587624428302397</c:v>
                </c:pt>
                <c:pt idx="79">
                  <c:v>0.2594920634920635</c:v>
                </c:pt>
                <c:pt idx="80">
                  <c:v>0.25937315039009956</c:v>
                </c:pt>
                <c:pt idx="81">
                  <c:v>0.25877508743610439</c:v>
                </c:pt>
                <c:pt idx="82">
                  <c:v>0.25922276029055691</c:v>
                </c:pt>
                <c:pt idx="83">
                  <c:v>0.26015308044121604</c:v>
                </c:pt>
                <c:pt idx="84">
                  <c:v>0.26129539951573849</c:v>
                </c:pt>
                <c:pt idx="85">
                  <c:v>0.26128840462738767</c:v>
                </c:pt>
                <c:pt idx="86">
                  <c:v>0.26090368576809253</c:v>
                </c:pt>
                <c:pt idx="87">
                  <c:v>0.25897309658326606</c:v>
                </c:pt>
                <c:pt idx="88">
                  <c:v>0.25852892117298898</c:v>
                </c:pt>
                <c:pt idx="89">
                  <c:v>0.2593333333333333</c:v>
                </c:pt>
                <c:pt idx="90">
                  <c:v>0.25353779930051118</c:v>
                </c:pt>
                <c:pt idx="91">
                  <c:v>0.25393301049233252</c:v>
                </c:pt>
                <c:pt idx="92">
                  <c:v>0.25348883508205544</c:v>
                </c:pt>
                <c:pt idx="93">
                  <c:v>0.26287032553134243</c:v>
                </c:pt>
                <c:pt idx="94">
                  <c:v>0.2634683884853376</c:v>
                </c:pt>
                <c:pt idx="95">
                  <c:v>0.2646505246166263</c:v>
                </c:pt>
                <c:pt idx="96">
                  <c:v>0.26618132902878666</c:v>
                </c:pt>
                <c:pt idx="97">
                  <c:v>0.26634570890503095</c:v>
                </c:pt>
                <c:pt idx="98">
                  <c:v>0.26697524885660479</c:v>
                </c:pt>
                <c:pt idx="99">
                  <c:v>0.26851412429378529</c:v>
                </c:pt>
                <c:pt idx="100">
                  <c:v>0.26983158461124562</c:v>
                </c:pt>
                <c:pt idx="101">
                  <c:v>0.2691181059994619</c:v>
                </c:pt>
                <c:pt idx="102">
                  <c:v>0.26510088781275221</c:v>
                </c:pt>
                <c:pt idx="103">
                  <c:v>0.26491552327145546</c:v>
                </c:pt>
                <c:pt idx="104">
                  <c:v>0.26485606672047346</c:v>
                </c:pt>
                <c:pt idx="105">
                  <c:v>0.26499246704331447</c:v>
                </c:pt>
                <c:pt idx="106">
                  <c:v>0.26507290825934893</c:v>
                </c:pt>
                <c:pt idx="107">
                  <c:v>0.2649749798224374</c:v>
                </c:pt>
                <c:pt idx="108">
                  <c:v>0.26789211729889695</c:v>
                </c:pt>
                <c:pt idx="109">
                  <c:v>0.26729405434490178</c:v>
                </c:pt>
                <c:pt idx="110">
                  <c:v>0.26608743610438523</c:v>
                </c:pt>
                <c:pt idx="111">
                  <c:v>0.26563276836158189</c:v>
                </c:pt>
                <c:pt idx="112">
                  <c:v>0.26507317729351626</c:v>
                </c:pt>
                <c:pt idx="113">
                  <c:v>0.26990368576809254</c:v>
                </c:pt>
                <c:pt idx="114">
                  <c:v>0.26898870056497176</c:v>
                </c:pt>
                <c:pt idx="115">
                  <c:v>0.26875437180521927</c:v>
                </c:pt>
                <c:pt idx="116">
                  <c:v>0.26878934624697337</c:v>
                </c:pt>
                <c:pt idx="117">
                  <c:v>0.2684815711595373</c:v>
                </c:pt>
                <c:pt idx="118">
                  <c:v>0.26778208232445522</c:v>
                </c:pt>
                <c:pt idx="119">
                  <c:v>0.26778907721280604</c:v>
                </c:pt>
                <c:pt idx="120">
                  <c:v>0.26783454398708634</c:v>
                </c:pt>
                <c:pt idx="121">
                  <c:v>0.26757923056228144</c:v>
                </c:pt>
                <c:pt idx="122">
                  <c:v>0.26410277105192359</c:v>
                </c:pt>
                <c:pt idx="123">
                  <c:v>0.26397686306160889</c:v>
                </c:pt>
                <c:pt idx="124">
                  <c:v>0.26336131288673664</c:v>
                </c:pt>
                <c:pt idx="125">
                  <c:v>0.26620123755716973</c:v>
                </c:pt>
                <c:pt idx="126">
                  <c:v>0.26446811945117027</c:v>
                </c:pt>
                <c:pt idx="127">
                  <c:v>0.27367688996502554</c:v>
                </c:pt>
                <c:pt idx="128">
                  <c:v>0.27356147430723698</c:v>
                </c:pt>
                <c:pt idx="129">
                  <c:v>0.27169733656174333</c:v>
                </c:pt>
                <c:pt idx="130">
                  <c:v>0.27426446058649445</c:v>
                </c:pt>
                <c:pt idx="131">
                  <c:v>0.27690153349475383</c:v>
                </c:pt>
                <c:pt idx="132">
                  <c:v>0.27708340059187514</c:v>
                </c:pt>
                <c:pt idx="133">
                  <c:v>0.27586252354048962</c:v>
                </c:pt>
                <c:pt idx="134">
                  <c:v>0.27518052192628467</c:v>
                </c:pt>
                <c:pt idx="135">
                  <c:v>0.27518052192628467</c:v>
                </c:pt>
                <c:pt idx="136">
                  <c:v>0.27535189669087978</c:v>
                </c:pt>
                <c:pt idx="137">
                  <c:v>0.27520850147968795</c:v>
                </c:pt>
                <c:pt idx="138">
                  <c:v>0.27061366693570088</c:v>
                </c:pt>
                <c:pt idx="139">
                  <c:v>0.2765434490180253</c:v>
                </c:pt>
                <c:pt idx="140">
                  <c:v>0.27518294323379067</c:v>
                </c:pt>
                <c:pt idx="141">
                  <c:v>0.27508851224105463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4-154A-A1C6-F955EAD5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54479"/>
        <c:axId val="1921934607"/>
      </c:lineChart>
      <c:dateAx>
        <c:axId val="192185447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34607"/>
        <c:crosses val="autoZero"/>
        <c:auto val="1"/>
        <c:lblOffset val="100"/>
        <c:baseTimeUnit val="months"/>
      </c:dateAx>
      <c:valAx>
        <c:axId val="19219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5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  <a:r>
              <a:rPr lang="en-US" baseline="0"/>
              <a:t> state gas tax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Severin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tax_comp!$E$2:$E$143</c:f>
              <c:numCache>
                <c:formatCode>General</c:formatCode>
                <c:ptCount val="142"/>
                <c:pt idx="0">
                  <c:v>0.35699999999999998</c:v>
                </c:pt>
                <c:pt idx="1">
                  <c:v>0.35699999999999998</c:v>
                </c:pt>
                <c:pt idx="2">
                  <c:v>0.35699999999999998</c:v>
                </c:pt>
                <c:pt idx="3">
                  <c:v>0.35699999999999998</c:v>
                </c:pt>
                <c:pt idx="4">
                  <c:v>0.35699999999999998</c:v>
                </c:pt>
                <c:pt idx="5">
                  <c:v>0.35699999999999998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0.39500000000000002</c:v>
                </c:pt>
                <c:pt idx="19">
                  <c:v>0.39500000000000002</c:v>
                </c:pt>
                <c:pt idx="20">
                  <c:v>0.39500000000000002</c:v>
                </c:pt>
                <c:pt idx="21">
                  <c:v>0.39500000000000002</c:v>
                </c:pt>
                <c:pt idx="22">
                  <c:v>0.39500000000000002</c:v>
                </c:pt>
                <c:pt idx="23">
                  <c:v>0.39500000000000002</c:v>
                </c:pt>
                <c:pt idx="24">
                  <c:v>0.39499999999999974</c:v>
                </c:pt>
                <c:pt idx="25">
                  <c:v>0.39499999999999974</c:v>
                </c:pt>
                <c:pt idx="26">
                  <c:v>0.39499999999999974</c:v>
                </c:pt>
                <c:pt idx="27">
                  <c:v>0.39499999999999974</c:v>
                </c:pt>
                <c:pt idx="28">
                  <c:v>0.39499999999999974</c:v>
                </c:pt>
                <c:pt idx="29">
                  <c:v>0.39499999999999974</c:v>
                </c:pt>
                <c:pt idx="30">
                  <c:v>0.35999999999999993</c:v>
                </c:pt>
                <c:pt idx="31">
                  <c:v>0.35999999999999993</c:v>
                </c:pt>
                <c:pt idx="32">
                  <c:v>0.36</c:v>
                </c:pt>
                <c:pt idx="33">
                  <c:v>0.35999999999999993</c:v>
                </c:pt>
                <c:pt idx="34">
                  <c:v>0.36</c:v>
                </c:pt>
                <c:pt idx="35">
                  <c:v>0.35999999999999993</c:v>
                </c:pt>
                <c:pt idx="36">
                  <c:v>0.35999999999999993</c:v>
                </c:pt>
                <c:pt idx="37">
                  <c:v>0.36</c:v>
                </c:pt>
                <c:pt idx="38">
                  <c:v>0.35999999999999993</c:v>
                </c:pt>
                <c:pt idx="39">
                  <c:v>0.36</c:v>
                </c:pt>
                <c:pt idx="40">
                  <c:v>0.35999999999999993</c:v>
                </c:pt>
                <c:pt idx="41">
                  <c:v>0.36</c:v>
                </c:pt>
                <c:pt idx="42">
                  <c:v>0.30000000000000004</c:v>
                </c:pt>
                <c:pt idx="43">
                  <c:v>0.30000000000000004</c:v>
                </c:pt>
                <c:pt idx="44">
                  <c:v>0.3</c:v>
                </c:pt>
                <c:pt idx="45">
                  <c:v>0.30000000000000004</c:v>
                </c:pt>
                <c:pt idx="46">
                  <c:v>0.3</c:v>
                </c:pt>
                <c:pt idx="47">
                  <c:v>0.30000000000000004</c:v>
                </c:pt>
                <c:pt idx="48">
                  <c:v>0.30000000000000004</c:v>
                </c:pt>
                <c:pt idx="49">
                  <c:v>0.3</c:v>
                </c:pt>
                <c:pt idx="50">
                  <c:v>0.30000000000000004</c:v>
                </c:pt>
                <c:pt idx="51">
                  <c:v>0.3</c:v>
                </c:pt>
                <c:pt idx="52">
                  <c:v>0.30000000000000004</c:v>
                </c:pt>
                <c:pt idx="53">
                  <c:v>0.3</c:v>
                </c:pt>
                <c:pt idx="54">
                  <c:v>0.27800000000000025</c:v>
                </c:pt>
                <c:pt idx="55">
                  <c:v>0.27800000000000025</c:v>
                </c:pt>
                <c:pt idx="56">
                  <c:v>0.27800000000000025</c:v>
                </c:pt>
                <c:pt idx="57">
                  <c:v>0.27800000000000025</c:v>
                </c:pt>
                <c:pt idx="58">
                  <c:v>0.27800000000000025</c:v>
                </c:pt>
                <c:pt idx="59">
                  <c:v>0.27800000000000025</c:v>
                </c:pt>
                <c:pt idx="60">
                  <c:v>0.27800000000000025</c:v>
                </c:pt>
                <c:pt idx="61">
                  <c:v>0.27800000000000025</c:v>
                </c:pt>
                <c:pt idx="62">
                  <c:v>0.27800000000000025</c:v>
                </c:pt>
                <c:pt idx="63">
                  <c:v>0.27800000000000025</c:v>
                </c:pt>
                <c:pt idx="64">
                  <c:v>0.27800000000000025</c:v>
                </c:pt>
                <c:pt idx="65">
                  <c:v>0.27800000000000025</c:v>
                </c:pt>
                <c:pt idx="66">
                  <c:v>0.29699999999999999</c:v>
                </c:pt>
                <c:pt idx="67">
                  <c:v>0.29699999999999999</c:v>
                </c:pt>
                <c:pt idx="68">
                  <c:v>0.29699999999999999</c:v>
                </c:pt>
                <c:pt idx="69">
                  <c:v>0.29699999999999999</c:v>
                </c:pt>
                <c:pt idx="70">
                  <c:v>0.41699999999999998</c:v>
                </c:pt>
                <c:pt idx="71">
                  <c:v>0.41699999999999998</c:v>
                </c:pt>
                <c:pt idx="72">
                  <c:v>0.41699999999999998</c:v>
                </c:pt>
                <c:pt idx="73">
                  <c:v>0.41699999999999998</c:v>
                </c:pt>
                <c:pt idx="74">
                  <c:v>0.41699999999999998</c:v>
                </c:pt>
                <c:pt idx="75">
                  <c:v>0.41699999999999998</c:v>
                </c:pt>
                <c:pt idx="76">
                  <c:v>0.41699999999999998</c:v>
                </c:pt>
                <c:pt idx="77">
                  <c:v>0.41699999999999998</c:v>
                </c:pt>
                <c:pt idx="78">
                  <c:v>0.41699999999999998</c:v>
                </c:pt>
                <c:pt idx="79">
                  <c:v>0.41699999999999998</c:v>
                </c:pt>
                <c:pt idx="80">
                  <c:v>0.41699999999999998</c:v>
                </c:pt>
                <c:pt idx="81">
                  <c:v>0.41699999999999998</c:v>
                </c:pt>
                <c:pt idx="82">
                  <c:v>0.41699999999999998</c:v>
                </c:pt>
                <c:pt idx="83">
                  <c:v>0.41699999999999998</c:v>
                </c:pt>
                <c:pt idx="84">
                  <c:v>0.41699999999999998</c:v>
                </c:pt>
                <c:pt idx="85">
                  <c:v>0.41699999999999998</c:v>
                </c:pt>
                <c:pt idx="86">
                  <c:v>0.41699999999999998</c:v>
                </c:pt>
                <c:pt idx="87">
                  <c:v>0.41699999999999998</c:v>
                </c:pt>
                <c:pt idx="88">
                  <c:v>0.41699999999999998</c:v>
                </c:pt>
                <c:pt idx="89">
                  <c:v>0.41699999999999998</c:v>
                </c:pt>
                <c:pt idx="90">
                  <c:v>0.47299999999999998</c:v>
                </c:pt>
                <c:pt idx="91">
                  <c:v>0.47299999999999998</c:v>
                </c:pt>
                <c:pt idx="92">
                  <c:v>0.47299999999999998</c:v>
                </c:pt>
                <c:pt idx="93">
                  <c:v>0.47299999999999998</c:v>
                </c:pt>
                <c:pt idx="94">
                  <c:v>0.47299999999999998</c:v>
                </c:pt>
                <c:pt idx="95">
                  <c:v>0.47299999999999998</c:v>
                </c:pt>
                <c:pt idx="96">
                  <c:v>0.47299999999999998</c:v>
                </c:pt>
                <c:pt idx="97">
                  <c:v>0.47299999999999998</c:v>
                </c:pt>
                <c:pt idx="98">
                  <c:v>0.47299999999999998</c:v>
                </c:pt>
                <c:pt idx="99">
                  <c:v>0.47299999999999998</c:v>
                </c:pt>
                <c:pt idx="100">
                  <c:v>0.47299999999999998</c:v>
                </c:pt>
                <c:pt idx="101">
                  <c:v>0.47299999999999998</c:v>
                </c:pt>
                <c:pt idx="102">
                  <c:v>0.505</c:v>
                </c:pt>
                <c:pt idx="103">
                  <c:v>0.505</c:v>
                </c:pt>
                <c:pt idx="104">
                  <c:v>0.505</c:v>
                </c:pt>
                <c:pt idx="105">
                  <c:v>0.505</c:v>
                </c:pt>
                <c:pt idx="106">
                  <c:v>0.505</c:v>
                </c:pt>
                <c:pt idx="107">
                  <c:v>0.505</c:v>
                </c:pt>
                <c:pt idx="108">
                  <c:v>0.505</c:v>
                </c:pt>
                <c:pt idx="109">
                  <c:v>0.505</c:v>
                </c:pt>
                <c:pt idx="110">
                  <c:v>0.505</c:v>
                </c:pt>
                <c:pt idx="111">
                  <c:v>0.505</c:v>
                </c:pt>
                <c:pt idx="112">
                  <c:v>0.505</c:v>
                </c:pt>
                <c:pt idx="113">
                  <c:v>0.505</c:v>
                </c:pt>
                <c:pt idx="114">
                  <c:v>0.51100000000000001</c:v>
                </c:pt>
                <c:pt idx="115">
                  <c:v>0.51100000000000001</c:v>
                </c:pt>
                <c:pt idx="116">
                  <c:v>0.51100000000000001</c:v>
                </c:pt>
                <c:pt idx="117">
                  <c:v>0.51100000000000001</c:v>
                </c:pt>
                <c:pt idx="118">
                  <c:v>0.51100000000000001</c:v>
                </c:pt>
                <c:pt idx="119">
                  <c:v>0.51100000000000001</c:v>
                </c:pt>
                <c:pt idx="120">
                  <c:v>0.51100000000000001</c:v>
                </c:pt>
                <c:pt idx="121">
                  <c:v>0.51100000000000001</c:v>
                </c:pt>
                <c:pt idx="122">
                  <c:v>0.51100000000000001</c:v>
                </c:pt>
                <c:pt idx="123">
                  <c:v>0.51100000000000001</c:v>
                </c:pt>
                <c:pt idx="124">
                  <c:v>0.51100000000000001</c:v>
                </c:pt>
                <c:pt idx="125">
                  <c:v>0.51100000000000001</c:v>
                </c:pt>
                <c:pt idx="126">
                  <c:v>0.53900000000000003</c:v>
                </c:pt>
                <c:pt idx="127">
                  <c:v>0.53900000000000003</c:v>
                </c:pt>
                <c:pt idx="128">
                  <c:v>0.53900000000000003</c:v>
                </c:pt>
                <c:pt idx="129">
                  <c:v>0.53900000000000003</c:v>
                </c:pt>
                <c:pt idx="130">
                  <c:v>0.53900000000000003</c:v>
                </c:pt>
                <c:pt idx="131">
                  <c:v>0.53900000000000003</c:v>
                </c:pt>
                <c:pt idx="132">
                  <c:v>0.53900000000000003</c:v>
                </c:pt>
                <c:pt idx="133">
                  <c:v>0.53900000000000003</c:v>
                </c:pt>
                <c:pt idx="134">
                  <c:v>0.53900000000000003</c:v>
                </c:pt>
                <c:pt idx="135">
                  <c:v>0.53900000000000003</c:v>
                </c:pt>
                <c:pt idx="136">
                  <c:v>0.53900000000000003</c:v>
                </c:pt>
                <c:pt idx="137">
                  <c:v>0.53900000000000003</c:v>
                </c:pt>
                <c:pt idx="138">
                  <c:v>0.57899999999999996</c:v>
                </c:pt>
                <c:pt idx="139">
                  <c:v>0.57899999999999996</c:v>
                </c:pt>
                <c:pt idx="140">
                  <c:v>0.57899999999999996</c:v>
                </c:pt>
                <c:pt idx="141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B-6F43-AF65-DBF0C4928EFF}"/>
            </c:ext>
          </c:extLst>
        </c:ser>
        <c:ser>
          <c:idx val="1"/>
          <c:order val="1"/>
          <c:tx>
            <c:v>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tax_comp!$C$2:$C$145</c:f>
              <c:numCache>
                <c:formatCode>General</c:formatCode>
                <c:ptCount val="144"/>
                <c:pt idx="12">
                  <c:v>0.39500000000000002</c:v>
                </c:pt>
                <c:pt idx="13">
                  <c:v>0.39500000000000002</c:v>
                </c:pt>
                <c:pt idx="14">
                  <c:v>0.39500000000000002</c:v>
                </c:pt>
                <c:pt idx="15">
                  <c:v>0.39500000000000002</c:v>
                </c:pt>
                <c:pt idx="16">
                  <c:v>0.39500000000000002</c:v>
                </c:pt>
                <c:pt idx="17">
                  <c:v>0.39500000000000002</c:v>
                </c:pt>
                <c:pt idx="18">
                  <c:v>0.39500000000000002</c:v>
                </c:pt>
                <c:pt idx="19">
                  <c:v>0.39500000000000002</c:v>
                </c:pt>
                <c:pt idx="20">
                  <c:v>0.39500000000000002</c:v>
                </c:pt>
                <c:pt idx="21">
                  <c:v>0.39500000000000002</c:v>
                </c:pt>
                <c:pt idx="22">
                  <c:v>0.39500000000000002</c:v>
                </c:pt>
                <c:pt idx="23">
                  <c:v>0.39500000000000002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0.36</c:v>
                </c:pt>
                <c:pt idx="28">
                  <c:v>0.36</c:v>
                </c:pt>
                <c:pt idx="29">
                  <c:v>0.36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0.36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0.27800000000000002</c:v>
                </c:pt>
                <c:pt idx="61">
                  <c:v>0.27800000000000002</c:v>
                </c:pt>
                <c:pt idx="62">
                  <c:v>0.27800000000000002</c:v>
                </c:pt>
                <c:pt idx="63">
                  <c:v>0.27800000000000002</c:v>
                </c:pt>
                <c:pt idx="64">
                  <c:v>0.27800000000000002</c:v>
                </c:pt>
                <c:pt idx="65">
                  <c:v>0.27800000000000002</c:v>
                </c:pt>
                <c:pt idx="66">
                  <c:v>0.27800000000000002</c:v>
                </c:pt>
                <c:pt idx="67">
                  <c:v>0.27800000000000002</c:v>
                </c:pt>
                <c:pt idx="68">
                  <c:v>0.27800000000000002</c:v>
                </c:pt>
                <c:pt idx="69">
                  <c:v>0.27800000000000002</c:v>
                </c:pt>
                <c:pt idx="70">
                  <c:v>0.27800000000000002</c:v>
                </c:pt>
                <c:pt idx="71">
                  <c:v>0.27800000000000002</c:v>
                </c:pt>
                <c:pt idx="72">
                  <c:v>0.41699999999999998</c:v>
                </c:pt>
                <c:pt idx="73">
                  <c:v>0.41699999999999998</c:v>
                </c:pt>
                <c:pt idx="74">
                  <c:v>0.41699999999999998</c:v>
                </c:pt>
                <c:pt idx="75">
                  <c:v>0.41699999999999998</c:v>
                </c:pt>
                <c:pt idx="76">
                  <c:v>0.41699999999999998</c:v>
                </c:pt>
                <c:pt idx="77">
                  <c:v>0.41699999999999998</c:v>
                </c:pt>
                <c:pt idx="78">
                  <c:v>0.41699999999999998</c:v>
                </c:pt>
                <c:pt idx="79">
                  <c:v>0.41699999999999998</c:v>
                </c:pt>
                <c:pt idx="80">
                  <c:v>0.41699999999999998</c:v>
                </c:pt>
                <c:pt idx="81">
                  <c:v>0.41699999999999998</c:v>
                </c:pt>
                <c:pt idx="82">
                  <c:v>0.41699999999999998</c:v>
                </c:pt>
                <c:pt idx="83">
                  <c:v>0.41699999999999998</c:v>
                </c:pt>
                <c:pt idx="84">
                  <c:v>0.47299999999999998</c:v>
                </c:pt>
                <c:pt idx="85">
                  <c:v>0.47299999999999998</c:v>
                </c:pt>
                <c:pt idx="86">
                  <c:v>0.47299999999999998</c:v>
                </c:pt>
                <c:pt idx="87">
                  <c:v>0.47299999999999998</c:v>
                </c:pt>
                <c:pt idx="88">
                  <c:v>0.47299999999999998</c:v>
                </c:pt>
                <c:pt idx="89">
                  <c:v>0.47299999999999998</c:v>
                </c:pt>
                <c:pt idx="90">
                  <c:v>0.47299999999999998</c:v>
                </c:pt>
                <c:pt idx="91">
                  <c:v>0.47299999999999998</c:v>
                </c:pt>
                <c:pt idx="92">
                  <c:v>0.47299999999999998</c:v>
                </c:pt>
                <c:pt idx="93">
                  <c:v>0.47299999999999998</c:v>
                </c:pt>
                <c:pt idx="94">
                  <c:v>0.47299999999999998</c:v>
                </c:pt>
                <c:pt idx="95">
                  <c:v>0.47299999999999998</c:v>
                </c:pt>
                <c:pt idx="96">
                  <c:v>0.505</c:v>
                </c:pt>
                <c:pt idx="97">
                  <c:v>0.505</c:v>
                </c:pt>
                <c:pt idx="98">
                  <c:v>0.505</c:v>
                </c:pt>
                <c:pt idx="99">
                  <c:v>0.505</c:v>
                </c:pt>
                <c:pt idx="100">
                  <c:v>0.505</c:v>
                </c:pt>
                <c:pt idx="101">
                  <c:v>0.505</c:v>
                </c:pt>
                <c:pt idx="102">
                  <c:v>0.505</c:v>
                </c:pt>
                <c:pt idx="103">
                  <c:v>0.505</c:v>
                </c:pt>
                <c:pt idx="104">
                  <c:v>0.505</c:v>
                </c:pt>
                <c:pt idx="105">
                  <c:v>0.505</c:v>
                </c:pt>
                <c:pt idx="106">
                  <c:v>0.505</c:v>
                </c:pt>
                <c:pt idx="107">
                  <c:v>0.505</c:v>
                </c:pt>
                <c:pt idx="108">
                  <c:v>0.51100000000000001</c:v>
                </c:pt>
                <c:pt idx="109">
                  <c:v>0.51100000000000001</c:v>
                </c:pt>
                <c:pt idx="110">
                  <c:v>0.51100000000000001</c:v>
                </c:pt>
                <c:pt idx="111">
                  <c:v>0.51100000000000001</c:v>
                </c:pt>
                <c:pt idx="112">
                  <c:v>0.51100000000000001</c:v>
                </c:pt>
                <c:pt idx="113">
                  <c:v>0.51100000000000001</c:v>
                </c:pt>
                <c:pt idx="114">
                  <c:v>0.51100000000000001</c:v>
                </c:pt>
                <c:pt idx="115">
                  <c:v>0.51100000000000001</c:v>
                </c:pt>
                <c:pt idx="116">
                  <c:v>0.51100000000000001</c:v>
                </c:pt>
                <c:pt idx="117">
                  <c:v>0.51100000000000001</c:v>
                </c:pt>
                <c:pt idx="118">
                  <c:v>0.51100000000000001</c:v>
                </c:pt>
                <c:pt idx="119">
                  <c:v>0.51100000000000001</c:v>
                </c:pt>
                <c:pt idx="120">
                  <c:v>0.53900000000000003</c:v>
                </c:pt>
                <c:pt idx="121">
                  <c:v>0.53900000000000003</c:v>
                </c:pt>
                <c:pt idx="122">
                  <c:v>0.53900000000000003</c:v>
                </c:pt>
                <c:pt idx="123">
                  <c:v>0.53900000000000003</c:v>
                </c:pt>
                <c:pt idx="124">
                  <c:v>0.53900000000000003</c:v>
                </c:pt>
                <c:pt idx="125">
                  <c:v>0.53900000000000003</c:v>
                </c:pt>
                <c:pt idx="126">
                  <c:v>0.53900000000000003</c:v>
                </c:pt>
                <c:pt idx="127">
                  <c:v>0.53900000000000003</c:v>
                </c:pt>
                <c:pt idx="128">
                  <c:v>0.53900000000000003</c:v>
                </c:pt>
                <c:pt idx="129">
                  <c:v>0.53900000000000003</c:v>
                </c:pt>
                <c:pt idx="130">
                  <c:v>0.53900000000000003</c:v>
                </c:pt>
                <c:pt idx="131">
                  <c:v>0.53900000000000003</c:v>
                </c:pt>
                <c:pt idx="132">
                  <c:v>0.53900000000000003</c:v>
                </c:pt>
                <c:pt idx="133">
                  <c:v>0.53900000000000003</c:v>
                </c:pt>
                <c:pt idx="134">
                  <c:v>0.53900000000000003</c:v>
                </c:pt>
                <c:pt idx="135">
                  <c:v>0.53900000000000003</c:v>
                </c:pt>
                <c:pt idx="136">
                  <c:v>0.53900000000000003</c:v>
                </c:pt>
                <c:pt idx="137">
                  <c:v>0.53900000000000003</c:v>
                </c:pt>
                <c:pt idx="138">
                  <c:v>0.53900000000000003</c:v>
                </c:pt>
                <c:pt idx="139">
                  <c:v>0.53900000000000003</c:v>
                </c:pt>
                <c:pt idx="140">
                  <c:v>0.53900000000000003</c:v>
                </c:pt>
                <c:pt idx="141">
                  <c:v>0.53900000000000003</c:v>
                </c:pt>
                <c:pt idx="142">
                  <c:v>0.53900000000000003</c:v>
                </c:pt>
                <c:pt idx="143">
                  <c:v>0.53900000000000003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B-6F43-AF65-DBF0C492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94720"/>
        <c:axId val="521396448"/>
      </c:lineChart>
      <c:catAx>
        <c:axId val="52139472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96448"/>
        <c:crosses val="autoZero"/>
        <c:auto val="1"/>
        <c:lblAlgn val="ctr"/>
        <c:lblOffset val="100"/>
        <c:noMultiLvlLbl val="0"/>
      </c:catAx>
      <c:valAx>
        <c:axId val="5213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California's Mystery Gasoline Surcharge - January 2000 to October</a:t>
            </a:r>
            <a:r>
              <a:rPr lang="en-US" baseline="0"/>
              <a:t> 2023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 b="0" i="1" baseline="0">
                <a:effectLst/>
              </a:rPr>
              <a:t>Price premium vs non-CA US after removing tax and fee differences and CA-spec gas cost difference</a:t>
            </a:r>
            <a:r>
              <a:rPr lang="en-US" sz="1200" b="0" i="0" baseline="0">
                <a:effectLst/>
              </a:rPr>
              <a:t> (in $2023)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1285720598641541"/>
          <c:y val="8.06696682301752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32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06546357883131E-2"/>
          <c:y val="8.4055359168205876E-2"/>
          <c:w val="0.91766407315003107"/>
          <c:h val="0.79251577498889358"/>
        </c:manualLayout>
      </c:layout>
      <c:lineChart>
        <c:grouping val="standard"/>
        <c:varyColors val="0"/>
        <c:ser>
          <c:idx val="0"/>
          <c:order val="0"/>
          <c:tx>
            <c:v>Monthly Average Mystery Surcharge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GasolineMGSData!$A$6:$A$291</c:f>
              <c:strCache>
                <c:ptCount val="282"/>
                <c:pt idx="5">
                  <c:v>2000</c:v>
                </c:pt>
                <c:pt idx="12">
                  <c:v>---</c:v>
                </c:pt>
                <c:pt idx="17">
                  <c:v>2001</c:v>
                </c:pt>
                <c:pt idx="24">
                  <c:v>---</c:v>
                </c:pt>
                <c:pt idx="29">
                  <c:v>2002</c:v>
                </c:pt>
                <c:pt idx="36">
                  <c:v>---</c:v>
                </c:pt>
                <c:pt idx="41">
                  <c:v>2003</c:v>
                </c:pt>
                <c:pt idx="48">
                  <c:v>---</c:v>
                </c:pt>
                <c:pt idx="53">
                  <c:v>2004</c:v>
                </c:pt>
                <c:pt idx="60">
                  <c:v>---</c:v>
                </c:pt>
                <c:pt idx="65">
                  <c:v>2005</c:v>
                </c:pt>
                <c:pt idx="72">
                  <c:v>---</c:v>
                </c:pt>
                <c:pt idx="77">
                  <c:v>2006</c:v>
                </c:pt>
                <c:pt idx="84">
                  <c:v>---</c:v>
                </c:pt>
                <c:pt idx="89">
                  <c:v>2007</c:v>
                </c:pt>
                <c:pt idx="96">
                  <c:v>---</c:v>
                </c:pt>
                <c:pt idx="101">
                  <c:v>2008</c:v>
                </c:pt>
                <c:pt idx="108">
                  <c:v>---</c:v>
                </c:pt>
                <c:pt idx="113">
                  <c:v>2009</c:v>
                </c:pt>
                <c:pt idx="120">
                  <c:v>---</c:v>
                </c:pt>
                <c:pt idx="125">
                  <c:v>2010</c:v>
                </c:pt>
                <c:pt idx="132">
                  <c:v>---</c:v>
                </c:pt>
                <c:pt idx="137">
                  <c:v>2011</c:v>
                </c:pt>
                <c:pt idx="144">
                  <c:v>---</c:v>
                </c:pt>
                <c:pt idx="149">
                  <c:v>2012</c:v>
                </c:pt>
                <c:pt idx="156">
                  <c:v>---</c:v>
                </c:pt>
                <c:pt idx="161">
                  <c:v>2013</c:v>
                </c:pt>
                <c:pt idx="168">
                  <c:v>---</c:v>
                </c:pt>
                <c:pt idx="173">
                  <c:v>2014</c:v>
                </c:pt>
                <c:pt idx="180">
                  <c:v>---</c:v>
                </c:pt>
                <c:pt idx="185">
                  <c:v>2015</c:v>
                </c:pt>
                <c:pt idx="192">
                  <c:v>---</c:v>
                </c:pt>
                <c:pt idx="197">
                  <c:v>2016</c:v>
                </c:pt>
                <c:pt idx="204">
                  <c:v>---</c:v>
                </c:pt>
                <c:pt idx="209">
                  <c:v>2017</c:v>
                </c:pt>
                <c:pt idx="216">
                  <c:v>---</c:v>
                </c:pt>
                <c:pt idx="221">
                  <c:v>2018</c:v>
                </c:pt>
                <c:pt idx="228">
                  <c:v>---</c:v>
                </c:pt>
                <c:pt idx="233">
                  <c:v>2019</c:v>
                </c:pt>
                <c:pt idx="240">
                  <c:v>---</c:v>
                </c:pt>
                <c:pt idx="245">
                  <c:v>2020</c:v>
                </c:pt>
                <c:pt idx="252">
                  <c:v>---</c:v>
                </c:pt>
                <c:pt idx="257">
                  <c:v>2021</c:v>
                </c:pt>
                <c:pt idx="264">
                  <c:v>---</c:v>
                </c:pt>
                <c:pt idx="269">
                  <c:v>2022</c:v>
                </c:pt>
                <c:pt idx="276">
                  <c:v>---</c:v>
                </c:pt>
                <c:pt idx="281">
                  <c:v>2023</c:v>
                </c:pt>
              </c:strCache>
            </c:strRef>
          </c:cat>
          <c:val>
            <c:numRef>
              <c:f>GasolineMGSData!$AN$6:$AN$291</c:f>
              <c:numCache>
                <c:formatCode>"$"#,##0.00</c:formatCode>
                <c:ptCount val="286"/>
                <c:pt idx="0">
                  <c:v>-0.19295363277322972</c:v>
                </c:pt>
                <c:pt idx="1">
                  <c:v>-0.21881131860418074</c:v>
                </c:pt>
                <c:pt idx="2">
                  <c:v>7.1419356060606232E-2</c:v>
                </c:pt>
                <c:pt idx="3">
                  <c:v>0.16943484418027313</c:v>
                </c:pt>
                <c:pt idx="4">
                  <c:v>-5.8616080808080735E-2</c:v>
                </c:pt>
                <c:pt idx="5">
                  <c:v>-0.40143508097213443</c:v>
                </c:pt>
                <c:pt idx="6">
                  <c:v>-7.5957080527497181E-2</c:v>
                </c:pt>
                <c:pt idx="7">
                  <c:v>3.1463400907219774E-2</c:v>
                </c:pt>
                <c:pt idx="8">
                  <c:v>0.13926989189534958</c:v>
                </c:pt>
                <c:pt idx="9">
                  <c:v>0.14874790560780218</c:v>
                </c:pt>
                <c:pt idx="10">
                  <c:v>9.389776988727043E-2</c:v>
                </c:pt>
                <c:pt idx="11">
                  <c:v>7.9965314756762884E-2</c:v>
                </c:pt>
                <c:pt idx="12">
                  <c:v>-1.7622129807498454E-2</c:v>
                </c:pt>
                <c:pt idx="13">
                  <c:v>4.1886826857884966E-2</c:v>
                </c:pt>
                <c:pt idx="14">
                  <c:v>0.22264294029970549</c:v>
                </c:pt>
                <c:pt idx="15">
                  <c:v>0.12560164060046447</c:v>
                </c:pt>
                <c:pt idx="16">
                  <c:v>0.11449796740619483</c:v>
                </c:pt>
                <c:pt idx="17">
                  <c:v>0.2418666582680738</c:v>
                </c:pt>
                <c:pt idx="18">
                  <c:v>0.33617443175416095</c:v>
                </c:pt>
                <c:pt idx="19">
                  <c:v>-4.2731017100583843E-2</c:v>
                </c:pt>
                <c:pt idx="20">
                  <c:v>-5.0266637660962461E-2</c:v>
                </c:pt>
                <c:pt idx="21">
                  <c:v>0.13791971839952699</c:v>
                </c:pt>
                <c:pt idx="22">
                  <c:v>7.6056489471945973E-2</c:v>
                </c:pt>
                <c:pt idx="23">
                  <c:v>-0.11816926754814712</c:v>
                </c:pt>
                <c:pt idx="24">
                  <c:v>-0.16582247933884242</c:v>
                </c:pt>
                <c:pt idx="25">
                  <c:v>-1.907554839735965E-2</c:v>
                </c:pt>
                <c:pt idx="26">
                  <c:v>5.6283530608094878E-2</c:v>
                </c:pt>
                <c:pt idx="27">
                  <c:v>3.8721258862260077E-2</c:v>
                </c:pt>
                <c:pt idx="28">
                  <c:v>-2.6229300682014747E-2</c:v>
                </c:pt>
                <c:pt idx="29">
                  <c:v>2.4680338796525998E-2</c:v>
                </c:pt>
                <c:pt idx="30">
                  <c:v>2.2728234706869063E-2</c:v>
                </c:pt>
                <c:pt idx="31">
                  <c:v>1.6131409278174731E-3</c:v>
                </c:pt>
                <c:pt idx="32">
                  <c:v>-2.1793698197444412E-2</c:v>
                </c:pt>
                <c:pt idx="33">
                  <c:v>-0.19099883155883188</c:v>
                </c:pt>
                <c:pt idx="34">
                  <c:v>-5.9341883701883737E-2</c:v>
                </c:pt>
                <c:pt idx="35">
                  <c:v>-7.1115574651992683E-2</c:v>
                </c:pt>
                <c:pt idx="36">
                  <c:v>-7.1188397903081291E-2</c:v>
                </c:pt>
                <c:pt idx="37">
                  <c:v>-1.272639767417535E-2</c:v>
                </c:pt>
                <c:pt idx="38">
                  <c:v>0.3545494610601127</c:v>
                </c:pt>
                <c:pt idx="39">
                  <c:v>0.44817056869016569</c:v>
                </c:pt>
                <c:pt idx="40">
                  <c:v>0.26767752852778426</c:v>
                </c:pt>
                <c:pt idx="41">
                  <c:v>0.13948802461193271</c:v>
                </c:pt>
                <c:pt idx="42">
                  <c:v>6.7492481201355356E-2</c:v>
                </c:pt>
                <c:pt idx="43">
                  <c:v>8.1468815566279967E-2</c:v>
                </c:pt>
                <c:pt idx="44">
                  <c:v>0.23906835100464585</c:v>
                </c:pt>
                <c:pt idx="45">
                  <c:v>5.3828695167894784E-2</c:v>
                </c:pt>
                <c:pt idx="46">
                  <c:v>-2.0710811529933745E-2</c:v>
                </c:pt>
                <c:pt idx="47">
                  <c:v>-6.1562537913042815E-2</c:v>
                </c:pt>
                <c:pt idx="48">
                  <c:v>-0.16064390819643576</c:v>
                </c:pt>
                <c:pt idx="49">
                  <c:v>3.6581493886230977E-2</c:v>
                </c:pt>
                <c:pt idx="50">
                  <c:v>0.26362066028481185</c:v>
                </c:pt>
                <c:pt idx="51">
                  <c:v>0.22294436073500931</c:v>
                </c:pt>
                <c:pt idx="52">
                  <c:v>7.7675944639413214E-2</c:v>
                </c:pt>
                <c:pt idx="53">
                  <c:v>0.14130577956688628</c:v>
                </c:pt>
                <c:pt idx="54">
                  <c:v>9.6435416040019706E-2</c:v>
                </c:pt>
                <c:pt idx="55">
                  <c:v>-1.3970222435436186E-2</c:v>
                </c:pt>
                <c:pt idx="56">
                  <c:v>-2.6395278642135388E-2</c:v>
                </c:pt>
                <c:pt idx="57">
                  <c:v>0.17673787757088949</c:v>
                </c:pt>
                <c:pt idx="58">
                  <c:v>0.17084197112486035</c:v>
                </c:pt>
                <c:pt idx="59">
                  <c:v>7.2655329543463806E-2</c:v>
                </c:pt>
                <c:pt idx="60">
                  <c:v>-0.12680240882871693</c:v>
                </c:pt>
                <c:pt idx="61">
                  <c:v>-1.2253414067684432E-2</c:v>
                </c:pt>
                <c:pt idx="62">
                  <c:v>-9.276738779413941E-3</c:v>
                </c:pt>
                <c:pt idx="63">
                  <c:v>0.11217462357386877</c:v>
                </c:pt>
                <c:pt idx="64">
                  <c:v>0.13187561899862901</c:v>
                </c:pt>
                <c:pt idx="65">
                  <c:v>-4.1311393471995632E-2</c:v>
                </c:pt>
                <c:pt idx="66">
                  <c:v>-2.9237413903621452E-2</c:v>
                </c:pt>
                <c:pt idx="67">
                  <c:v>-0.10733098999156543</c:v>
                </c:pt>
                <c:pt idx="68">
                  <c:v>-0.32125793178261514</c:v>
                </c:pt>
                <c:pt idx="69">
                  <c:v>-0.17262407949981742</c:v>
                </c:pt>
                <c:pt idx="70">
                  <c:v>4.753668532490829E-2</c:v>
                </c:pt>
                <c:pt idx="71">
                  <c:v>-0.23697246997413196</c:v>
                </c:pt>
                <c:pt idx="72">
                  <c:v>-0.29379017436085514</c:v>
                </c:pt>
                <c:pt idx="73">
                  <c:v>-6.2383548926609016E-2</c:v>
                </c:pt>
                <c:pt idx="74">
                  <c:v>-0.17612632612410317</c:v>
                </c:pt>
                <c:pt idx="75">
                  <c:v>-0.23630577366719427</c:v>
                </c:pt>
                <c:pt idx="76">
                  <c:v>0.13325061099887797</c:v>
                </c:pt>
                <c:pt idx="77">
                  <c:v>4.9090881411453166E-2</c:v>
                </c:pt>
                <c:pt idx="78">
                  <c:v>-0.11232285091703238</c:v>
                </c:pt>
                <c:pt idx="79">
                  <c:v>-0.13851758516999255</c:v>
                </c:pt>
                <c:pt idx="80">
                  <c:v>9.9243730752572548E-2</c:v>
                </c:pt>
                <c:pt idx="81">
                  <c:v>8.1580715179545696E-2</c:v>
                </c:pt>
                <c:pt idx="82">
                  <c:v>-2.7193984309597258E-2</c:v>
                </c:pt>
                <c:pt idx="83">
                  <c:v>-4.3090930914697331E-2</c:v>
                </c:pt>
                <c:pt idx="84">
                  <c:v>0.1259952947185875</c:v>
                </c:pt>
                <c:pt idx="85">
                  <c:v>0.21342323693447796</c:v>
                </c:pt>
                <c:pt idx="86">
                  <c:v>0.34551051557296508</c:v>
                </c:pt>
                <c:pt idx="87">
                  <c:v>0.23464148290330991</c:v>
                </c:pt>
                <c:pt idx="88">
                  <c:v>-3.6287110509953466E-2</c:v>
                </c:pt>
                <c:pt idx="89">
                  <c:v>-0.13026450119766186</c:v>
                </c:pt>
                <c:pt idx="90">
                  <c:v>-0.21813725112807669</c:v>
                </c:pt>
                <c:pt idx="91">
                  <c:v>-0.27222932567837527</c:v>
                </c:pt>
                <c:pt idx="92">
                  <c:v>-0.33757664592590042</c:v>
                </c:pt>
                <c:pt idx="93">
                  <c:v>-4.5471279398109452E-2</c:v>
                </c:pt>
                <c:pt idx="94">
                  <c:v>-6.6559845013748148E-2</c:v>
                </c:pt>
                <c:pt idx="95">
                  <c:v>-2.7913698969546295E-2</c:v>
                </c:pt>
                <c:pt idx="96">
                  <c:v>-0.1573592919913549</c:v>
                </c:pt>
                <c:pt idx="97">
                  <c:v>-0.2290457773160833</c:v>
                </c:pt>
                <c:pt idx="98">
                  <c:v>-8.6259520195407034E-3</c:v>
                </c:pt>
                <c:pt idx="99">
                  <c:v>2.532049946498598E-3</c:v>
                </c:pt>
                <c:pt idx="100">
                  <c:v>-0.23486644417885449</c:v>
                </c:pt>
                <c:pt idx="101">
                  <c:v>6.9188078670764819E-2</c:v>
                </c:pt>
                <c:pt idx="102">
                  <c:v>2.4513518832924703E-2</c:v>
                </c:pt>
                <c:pt idx="103">
                  <c:v>-9.1027060172947899E-2</c:v>
                </c:pt>
                <c:pt idx="104">
                  <c:v>-0.38907696492031585</c:v>
                </c:pt>
                <c:pt idx="105">
                  <c:v>4.1524757252866903E-2</c:v>
                </c:pt>
                <c:pt idx="106">
                  <c:v>9.7164523854527785E-2</c:v>
                </c:pt>
                <c:pt idx="107">
                  <c:v>-0.11355723723141994</c:v>
                </c:pt>
                <c:pt idx="108">
                  <c:v>-2.9800729295696826E-2</c:v>
                </c:pt>
                <c:pt idx="109">
                  <c:v>7.605565166143391E-2</c:v>
                </c:pt>
                <c:pt idx="110">
                  <c:v>-2.65266202502983E-2</c:v>
                </c:pt>
                <c:pt idx="111">
                  <c:v>3.8072883156588876E-2</c:v>
                </c:pt>
                <c:pt idx="112">
                  <c:v>-8.1506175005474982E-2</c:v>
                </c:pt>
                <c:pt idx="113">
                  <c:v>-1.8019066923829107E-2</c:v>
                </c:pt>
                <c:pt idx="114">
                  <c:v>7.3723179669344746E-2</c:v>
                </c:pt>
                <c:pt idx="115">
                  <c:v>0.13304723955198275</c:v>
                </c:pt>
                <c:pt idx="116">
                  <c:v>0.39633911254285065</c:v>
                </c:pt>
                <c:pt idx="117">
                  <c:v>0.24146885624328496</c:v>
                </c:pt>
                <c:pt idx="118">
                  <c:v>1.5225925720721884E-3</c:v>
                </c:pt>
                <c:pt idx="119">
                  <c:v>8.2961717599110019E-3</c:v>
                </c:pt>
                <c:pt idx="120">
                  <c:v>-1.8826160719903687E-2</c:v>
                </c:pt>
                <c:pt idx="121">
                  <c:v>-1.174383978175398E-2</c:v>
                </c:pt>
                <c:pt idx="122">
                  <c:v>-5.0236856306439939E-2</c:v>
                </c:pt>
                <c:pt idx="123">
                  <c:v>-0.12007258636280801</c:v>
                </c:pt>
                <c:pt idx="124">
                  <c:v>-0.10262458820640348</c:v>
                </c:pt>
                <c:pt idx="125">
                  <c:v>5.604228730142511E-2</c:v>
                </c:pt>
                <c:pt idx="126">
                  <c:v>6.21988731351788E-2</c:v>
                </c:pt>
                <c:pt idx="127">
                  <c:v>8.4813105040358036E-2</c:v>
                </c:pt>
                <c:pt idx="128">
                  <c:v>-6.2546881761429543E-2</c:v>
                </c:pt>
                <c:pt idx="129">
                  <c:v>-8.9900090274691369E-2</c:v>
                </c:pt>
                <c:pt idx="130">
                  <c:v>-9.1201485555809467E-2</c:v>
                </c:pt>
                <c:pt idx="131">
                  <c:v>-0.15955917206489348</c:v>
                </c:pt>
                <c:pt idx="132">
                  <c:v>-0.16950737941004904</c:v>
                </c:pt>
                <c:pt idx="133">
                  <c:v>-6.6598016583045566E-2</c:v>
                </c:pt>
                <c:pt idx="134">
                  <c:v>2.9795636353138082E-2</c:v>
                </c:pt>
                <c:pt idx="135">
                  <c:v>-3.3355306857387912E-2</c:v>
                </c:pt>
                <c:pt idx="136">
                  <c:v>-0.16279406614142933</c:v>
                </c:pt>
                <c:pt idx="137">
                  <c:v>-0.20646747584161471</c:v>
                </c:pt>
                <c:pt idx="138">
                  <c:v>-0.3428063830539585</c:v>
                </c:pt>
                <c:pt idx="139">
                  <c:v>-0.35595619981961873</c:v>
                </c:pt>
                <c:pt idx="140">
                  <c:v>-9.7254146001804223E-2</c:v>
                </c:pt>
                <c:pt idx="141">
                  <c:v>3.0200207018987554E-2</c:v>
                </c:pt>
                <c:pt idx="142">
                  <c:v>6.2540608015791047E-2</c:v>
                </c:pt>
                <c:pt idx="143">
                  <c:v>-5.1985007539565982E-2</c:v>
                </c:pt>
                <c:pt idx="144">
                  <c:v>-7.3047384820002781E-2</c:v>
                </c:pt>
                <c:pt idx="145">
                  <c:v>3.7121651536140748E-2</c:v>
                </c:pt>
                <c:pt idx="146">
                  <c:v>0.18857905264873159</c:v>
                </c:pt>
                <c:pt idx="147">
                  <c:v>-5.8866555703007306E-2</c:v>
                </c:pt>
                <c:pt idx="148">
                  <c:v>0.28029311982826777</c:v>
                </c:pt>
                <c:pt idx="149">
                  <c:v>0.24791299369047007</c:v>
                </c:pt>
                <c:pt idx="150">
                  <c:v>-5.6394455896573902E-2</c:v>
                </c:pt>
                <c:pt idx="151">
                  <c:v>-6.0677731165812113E-2</c:v>
                </c:pt>
                <c:pt idx="152">
                  <c:v>-0.10208366680673366</c:v>
                </c:pt>
                <c:pt idx="153">
                  <c:v>0.40364125743357693</c:v>
                </c:pt>
                <c:pt idx="154">
                  <c:v>2.8123338721671429E-2</c:v>
                </c:pt>
                <c:pt idx="155">
                  <c:v>-0.14395981808480934</c:v>
                </c:pt>
                <c:pt idx="156">
                  <c:v>-6.2831757752046094E-2</c:v>
                </c:pt>
                <c:pt idx="157">
                  <c:v>5.6891400907328867E-2</c:v>
                </c:pt>
                <c:pt idx="158">
                  <c:v>9.0407670274338145E-2</c:v>
                </c:pt>
                <c:pt idx="159">
                  <c:v>6.8549102510772189E-2</c:v>
                </c:pt>
                <c:pt idx="160">
                  <c:v>3.3657534397743549E-2</c:v>
                </c:pt>
                <c:pt idx="161">
                  <c:v>1.4636746807566119E-2</c:v>
                </c:pt>
                <c:pt idx="162">
                  <c:v>2.1717919624233136E-2</c:v>
                </c:pt>
                <c:pt idx="163">
                  <c:v>-0.14740814918189704</c:v>
                </c:pt>
                <c:pt idx="164">
                  <c:v>1.4479769304267389E-2</c:v>
                </c:pt>
                <c:pt idx="165">
                  <c:v>6.1456901678136826E-2</c:v>
                </c:pt>
                <c:pt idx="166">
                  <c:v>-5.5925170483084222E-2</c:v>
                </c:pt>
                <c:pt idx="167">
                  <c:v>-0.10433725765535119</c:v>
                </c:pt>
                <c:pt idx="168">
                  <c:v>-0.10739290660426327</c:v>
                </c:pt>
                <c:pt idx="169">
                  <c:v>-8.6404305038494403E-2</c:v>
                </c:pt>
                <c:pt idx="170">
                  <c:v>1.9586109278625408E-2</c:v>
                </c:pt>
                <c:pt idx="171">
                  <c:v>0.15057920547820908</c:v>
                </c:pt>
                <c:pt idx="172">
                  <c:v>0.14672885184156198</c:v>
                </c:pt>
                <c:pt idx="173">
                  <c:v>4.0022331724319522E-2</c:v>
                </c:pt>
                <c:pt idx="174">
                  <c:v>0.13282822895287497</c:v>
                </c:pt>
                <c:pt idx="175">
                  <c:v>0.10385971730414748</c:v>
                </c:pt>
                <c:pt idx="176">
                  <c:v>2.676660265990663E-2</c:v>
                </c:pt>
                <c:pt idx="177">
                  <c:v>3.4695409452529698E-2</c:v>
                </c:pt>
                <c:pt idx="178">
                  <c:v>-8.2303272250371887E-2</c:v>
                </c:pt>
                <c:pt idx="179">
                  <c:v>6.0498082803305342E-3</c:v>
                </c:pt>
                <c:pt idx="180">
                  <c:v>5.8258833148533411E-2</c:v>
                </c:pt>
                <c:pt idx="181">
                  <c:v>0.13664718960480096</c:v>
                </c:pt>
                <c:pt idx="182">
                  <c:v>0.66299767858603831</c:v>
                </c:pt>
                <c:pt idx="183">
                  <c:v>0.47530535526951795</c:v>
                </c:pt>
                <c:pt idx="184">
                  <c:v>0.86957178464955509</c:v>
                </c:pt>
                <c:pt idx="185">
                  <c:v>0.45900349857380429</c:v>
                </c:pt>
                <c:pt idx="186">
                  <c:v>0.84772138626427485</c:v>
                </c:pt>
                <c:pt idx="187">
                  <c:v>0.77686686304458585</c:v>
                </c:pt>
                <c:pt idx="188">
                  <c:v>0.58578584591962257</c:v>
                </c:pt>
                <c:pt idx="189">
                  <c:v>0.37505810155257807</c:v>
                </c:pt>
                <c:pt idx="190">
                  <c:v>0.38881143617887376</c:v>
                </c:pt>
                <c:pt idx="191">
                  <c:v>0.50479110926390147</c:v>
                </c:pt>
                <c:pt idx="192">
                  <c:v>0.67265990241553031</c:v>
                </c:pt>
                <c:pt idx="193">
                  <c:v>0.4518919711898261</c:v>
                </c:pt>
                <c:pt idx="194">
                  <c:v>0.43910387366699033</c:v>
                </c:pt>
                <c:pt idx="195">
                  <c:v>0.42788581134135745</c:v>
                </c:pt>
                <c:pt idx="196">
                  <c:v>0.24969373897547353</c:v>
                </c:pt>
                <c:pt idx="197">
                  <c:v>0.2154580540741193</c:v>
                </c:pt>
                <c:pt idx="198">
                  <c:v>0.40783644379128814</c:v>
                </c:pt>
                <c:pt idx="199">
                  <c:v>0.27232814338298983</c:v>
                </c:pt>
                <c:pt idx="200">
                  <c:v>0.28267543598170897</c:v>
                </c:pt>
                <c:pt idx="201">
                  <c:v>0.32462455836931525</c:v>
                </c:pt>
                <c:pt idx="202">
                  <c:v>0.31331845946349418</c:v>
                </c:pt>
                <c:pt idx="203">
                  <c:v>0.14514971023645473</c:v>
                </c:pt>
                <c:pt idx="204">
                  <c:v>0.13750788698833974</c:v>
                </c:pt>
                <c:pt idx="205">
                  <c:v>0.33216162854209541</c:v>
                </c:pt>
                <c:pt idx="206">
                  <c:v>0.45590638391591742</c:v>
                </c:pt>
                <c:pt idx="207">
                  <c:v>0.33928665216229659</c:v>
                </c:pt>
                <c:pt idx="208">
                  <c:v>0.42508481162487149</c:v>
                </c:pt>
                <c:pt idx="209">
                  <c:v>0.46032832411164715</c:v>
                </c:pt>
                <c:pt idx="210">
                  <c:v>0.38844129157713347</c:v>
                </c:pt>
                <c:pt idx="211">
                  <c:v>0.39089707312743671</c:v>
                </c:pt>
                <c:pt idx="212">
                  <c:v>0.20835680056313485</c:v>
                </c:pt>
                <c:pt idx="213">
                  <c:v>0.29388678429965615</c:v>
                </c:pt>
                <c:pt idx="214">
                  <c:v>0.25181560570701111</c:v>
                </c:pt>
                <c:pt idx="215">
                  <c:v>0.23096387363648119</c:v>
                </c:pt>
                <c:pt idx="216">
                  <c:v>0.20764515158986796</c:v>
                </c:pt>
                <c:pt idx="217">
                  <c:v>0.34484200308547563</c:v>
                </c:pt>
                <c:pt idx="218">
                  <c:v>0.42663206418273303</c:v>
                </c:pt>
                <c:pt idx="219">
                  <c:v>0.37947578968170559</c:v>
                </c:pt>
                <c:pt idx="220">
                  <c:v>0.2578096175058045</c:v>
                </c:pt>
                <c:pt idx="221">
                  <c:v>0.23491931715972625</c:v>
                </c:pt>
                <c:pt idx="222">
                  <c:v>0.16177250186869516</c:v>
                </c:pt>
                <c:pt idx="223">
                  <c:v>0.11062689959216744</c:v>
                </c:pt>
                <c:pt idx="224">
                  <c:v>0.15387370715812576</c:v>
                </c:pt>
                <c:pt idx="225">
                  <c:v>0.34504453996917039</c:v>
                </c:pt>
                <c:pt idx="226">
                  <c:v>0.45937652321091543</c:v>
                </c:pt>
                <c:pt idx="227">
                  <c:v>0.48143358146010801</c:v>
                </c:pt>
                <c:pt idx="228">
                  <c:v>0.45276163344362275</c:v>
                </c:pt>
                <c:pt idx="229">
                  <c:v>0.36992055382817141</c:v>
                </c:pt>
                <c:pt idx="230">
                  <c:v>0.23274117782795278</c:v>
                </c:pt>
                <c:pt idx="231">
                  <c:v>0.58150100895085777</c:v>
                </c:pt>
                <c:pt idx="232">
                  <c:v>0.64550238965910844</c:v>
                </c:pt>
                <c:pt idx="233">
                  <c:v>0.5389232222252156</c:v>
                </c:pt>
                <c:pt idx="234">
                  <c:v>0.26799913109032536</c:v>
                </c:pt>
                <c:pt idx="235">
                  <c:v>0.28109669548072747</c:v>
                </c:pt>
                <c:pt idx="236">
                  <c:v>0.48325724540363041</c:v>
                </c:pt>
                <c:pt idx="237">
                  <c:v>1.0008040247480694</c:v>
                </c:pt>
                <c:pt idx="238">
                  <c:v>0.81888193507222373</c:v>
                </c:pt>
                <c:pt idx="239">
                  <c:v>0.43894330222468769</c:v>
                </c:pt>
                <c:pt idx="240">
                  <c:v>0.25208980488307359</c:v>
                </c:pt>
                <c:pt idx="241">
                  <c:v>0.32315076453090086</c:v>
                </c:pt>
                <c:pt idx="242">
                  <c:v>0.38155579101717357</c:v>
                </c:pt>
                <c:pt idx="243">
                  <c:v>0.34472370932993324</c:v>
                </c:pt>
                <c:pt idx="244">
                  <c:v>0.21919391162842652</c:v>
                </c:pt>
                <c:pt idx="245">
                  <c:v>0.20771300283961563</c:v>
                </c:pt>
                <c:pt idx="246">
                  <c:v>0.20936583916109755</c:v>
                </c:pt>
                <c:pt idx="247">
                  <c:v>0.28227182940245177</c:v>
                </c:pt>
                <c:pt idx="248">
                  <c:v>0.29509866088950948</c:v>
                </c:pt>
                <c:pt idx="249">
                  <c:v>0.28293406132493165</c:v>
                </c:pt>
                <c:pt idx="250">
                  <c:v>0.31246237196300758</c:v>
                </c:pt>
                <c:pt idx="251">
                  <c:v>0.23357774618233748</c:v>
                </c:pt>
                <c:pt idx="252">
                  <c:v>0.17254270007478606</c:v>
                </c:pt>
                <c:pt idx="253">
                  <c:v>0.16878300332264737</c:v>
                </c:pt>
                <c:pt idx="254">
                  <c:v>0.20236585444988919</c:v>
                </c:pt>
                <c:pt idx="255">
                  <c:v>0.31542365703127195</c:v>
                </c:pt>
                <c:pt idx="256">
                  <c:v>0.32568008925797731</c:v>
                </c:pt>
                <c:pt idx="257">
                  <c:v>0.37360857486534449</c:v>
                </c:pt>
                <c:pt idx="258">
                  <c:v>0.36250992320836833</c:v>
                </c:pt>
                <c:pt idx="259">
                  <c:v>0.37874240986023983</c:v>
                </c:pt>
                <c:pt idx="260">
                  <c:v>0.36577102567505942</c:v>
                </c:pt>
                <c:pt idx="261">
                  <c:v>0.31026543245390537</c:v>
                </c:pt>
                <c:pt idx="262">
                  <c:v>0.40115317197061301</c:v>
                </c:pt>
                <c:pt idx="263">
                  <c:v>0.50545159797691253</c:v>
                </c:pt>
                <c:pt idx="264">
                  <c:v>0.45321582760060602</c:v>
                </c:pt>
                <c:pt idx="265">
                  <c:v>0.29412728106854474</c:v>
                </c:pt>
                <c:pt idx="266">
                  <c:v>0.6159469523978699</c:v>
                </c:pt>
                <c:pt idx="267">
                  <c:v>0.79482192032295507</c:v>
                </c:pt>
                <c:pt idx="268">
                  <c:v>0.59010295581437511</c:v>
                </c:pt>
                <c:pt idx="269">
                  <c:v>0.52806657713962624</c:v>
                </c:pt>
                <c:pt idx="270">
                  <c:v>0.47724661711009575</c:v>
                </c:pt>
                <c:pt idx="271">
                  <c:v>0.56289915709829941</c:v>
                </c:pt>
                <c:pt idx="272">
                  <c:v>0.93182762958484788</c:v>
                </c:pt>
                <c:pt idx="273">
                  <c:v>1.3965744282295616</c:v>
                </c:pt>
                <c:pt idx="274">
                  <c:v>0.73568683805930302</c:v>
                </c:pt>
                <c:pt idx="275">
                  <c:v>0.42941865596028289</c:v>
                </c:pt>
                <c:pt idx="276">
                  <c:v>0.22414238554253907</c:v>
                </c:pt>
                <c:pt idx="277">
                  <c:v>0.40146804435101735</c:v>
                </c:pt>
                <c:pt idx="278">
                  <c:v>0.57055513350335663</c:v>
                </c:pt>
                <c:pt idx="279">
                  <c:v>0.34748893770648492</c:v>
                </c:pt>
                <c:pt idx="280">
                  <c:v>0.323353730890724</c:v>
                </c:pt>
                <c:pt idx="281">
                  <c:v>0.35492842656573254</c:v>
                </c:pt>
                <c:pt idx="282">
                  <c:v>0.33397724499429943</c:v>
                </c:pt>
                <c:pt idx="283">
                  <c:v>0.39203313098908604</c:v>
                </c:pt>
                <c:pt idx="284">
                  <c:v>0.78648850421913408</c:v>
                </c:pt>
                <c:pt idx="285">
                  <c:v>1.0676236112994362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B-4651-942B-FC32D52352CD}"/>
            </c:ext>
          </c:extLst>
        </c:ser>
        <c:ser>
          <c:idx val="1"/>
          <c:order val="1"/>
          <c:tx>
            <c:v>Annual Average Mystery Surcharge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GasolineMGSData!$A$6:$A$291</c:f>
              <c:strCache>
                <c:ptCount val="282"/>
                <c:pt idx="5">
                  <c:v>2000</c:v>
                </c:pt>
                <c:pt idx="12">
                  <c:v>---</c:v>
                </c:pt>
                <c:pt idx="17">
                  <c:v>2001</c:v>
                </c:pt>
                <c:pt idx="24">
                  <c:v>---</c:v>
                </c:pt>
                <c:pt idx="29">
                  <c:v>2002</c:v>
                </c:pt>
                <c:pt idx="36">
                  <c:v>---</c:v>
                </c:pt>
                <c:pt idx="41">
                  <c:v>2003</c:v>
                </c:pt>
                <c:pt idx="48">
                  <c:v>---</c:v>
                </c:pt>
                <c:pt idx="53">
                  <c:v>2004</c:v>
                </c:pt>
                <c:pt idx="60">
                  <c:v>---</c:v>
                </c:pt>
                <c:pt idx="65">
                  <c:v>2005</c:v>
                </c:pt>
                <c:pt idx="72">
                  <c:v>---</c:v>
                </c:pt>
                <c:pt idx="77">
                  <c:v>2006</c:v>
                </c:pt>
                <c:pt idx="84">
                  <c:v>---</c:v>
                </c:pt>
                <c:pt idx="89">
                  <c:v>2007</c:v>
                </c:pt>
                <c:pt idx="96">
                  <c:v>---</c:v>
                </c:pt>
                <c:pt idx="101">
                  <c:v>2008</c:v>
                </c:pt>
                <c:pt idx="108">
                  <c:v>---</c:v>
                </c:pt>
                <c:pt idx="113">
                  <c:v>2009</c:v>
                </c:pt>
                <c:pt idx="120">
                  <c:v>---</c:v>
                </c:pt>
                <c:pt idx="125">
                  <c:v>2010</c:v>
                </c:pt>
                <c:pt idx="132">
                  <c:v>---</c:v>
                </c:pt>
                <c:pt idx="137">
                  <c:v>2011</c:v>
                </c:pt>
                <c:pt idx="144">
                  <c:v>---</c:v>
                </c:pt>
                <c:pt idx="149">
                  <c:v>2012</c:v>
                </c:pt>
                <c:pt idx="156">
                  <c:v>---</c:v>
                </c:pt>
                <c:pt idx="161">
                  <c:v>2013</c:v>
                </c:pt>
                <c:pt idx="168">
                  <c:v>---</c:v>
                </c:pt>
                <c:pt idx="173">
                  <c:v>2014</c:v>
                </c:pt>
                <c:pt idx="180">
                  <c:v>---</c:v>
                </c:pt>
                <c:pt idx="185">
                  <c:v>2015</c:v>
                </c:pt>
                <c:pt idx="192">
                  <c:v>---</c:v>
                </c:pt>
                <c:pt idx="197">
                  <c:v>2016</c:v>
                </c:pt>
                <c:pt idx="204">
                  <c:v>---</c:v>
                </c:pt>
                <c:pt idx="209">
                  <c:v>2017</c:v>
                </c:pt>
                <c:pt idx="216">
                  <c:v>---</c:v>
                </c:pt>
                <c:pt idx="221">
                  <c:v>2018</c:v>
                </c:pt>
                <c:pt idx="228">
                  <c:v>---</c:v>
                </c:pt>
                <c:pt idx="233">
                  <c:v>2019</c:v>
                </c:pt>
                <c:pt idx="240">
                  <c:v>---</c:v>
                </c:pt>
                <c:pt idx="245">
                  <c:v>2020</c:v>
                </c:pt>
                <c:pt idx="252">
                  <c:v>---</c:v>
                </c:pt>
                <c:pt idx="257">
                  <c:v>2021</c:v>
                </c:pt>
                <c:pt idx="264">
                  <c:v>---</c:v>
                </c:pt>
                <c:pt idx="269">
                  <c:v>2022</c:v>
                </c:pt>
                <c:pt idx="276">
                  <c:v>---</c:v>
                </c:pt>
                <c:pt idx="281">
                  <c:v>2023</c:v>
                </c:pt>
              </c:strCache>
            </c:strRef>
          </c:cat>
          <c:val>
            <c:numRef>
              <c:f>GasolineMGSData!$AQ$6:$AQ$291</c:f>
              <c:numCache>
                <c:formatCode>"$"#,##0.00</c:formatCode>
                <c:ptCount val="286"/>
                <c:pt idx="0">
                  <c:v>-1.7797892532486547E-2</c:v>
                </c:pt>
                <c:pt idx="1">
                  <c:v>-1.7797892532486547E-2</c:v>
                </c:pt>
                <c:pt idx="2">
                  <c:v>-1.7797892532486547E-2</c:v>
                </c:pt>
                <c:pt idx="3">
                  <c:v>-1.7797892532486547E-2</c:v>
                </c:pt>
                <c:pt idx="4">
                  <c:v>-1.7797892532486547E-2</c:v>
                </c:pt>
                <c:pt idx="5">
                  <c:v>-1.7797892532486547E-2</c:v>
                </c:pt>
                <c:pt idx="6">
                  <c:v>-1.7797892532486547E-2</c:v>
                </c:pt>
                <c:pt idx="7">
                  <c:v>-1.7797892532486547E-2</c:v>
                </c:pt>
                <c:pt idx="8">
                  <c:v>-1.7797892532486547E-2</c:v>
                </c:pt>
                <c:pt idx="9">
                  <c:v>-1.7797892532486547E-2</c:v>
                </c:pt>
                <c:pt idx="10">
                  <c:v>-1.7797892532486547E-2</c:v>
                </c:pt>
                <c:pt idx="11">
                  <c:v>-1.7797892532486547E-2</c:v>
                </c:pt>
                <c:pt idx="12">
                  <c:v>8.8988135078397104E-2</c:v>
                </c:pt>
                <c:pt idx="13">
                  <c:v>8.8988135078397104E-2</c:v>
                </c:pt>
                <c:pt idx="14">
                  <c:v>8.8988135078397104E-2</c:v>
                </c:pt>
                <c:pt idx="15">
                  <c:v>8.8988135078397104E-2</c:v>
                </c:pt>
                <c:pt idx="16">
                  <c:v>8.8988135078397104E-2</c:v>
                </c:pt>
                <c:pt idx="17">
                  <c:v>8.8988135078397104E-2</c:v>
                </c:pt>
                <c:pt idx="18">
                  <c:v>8.8988135078397104E-2</c:v>
                </c:pt>
                <c:pt idx="19">
                  <c:v>8.8988135078397104E-2</c:v>
                </c:pt>
                <c:pt idx="20">
                  <c:v>8.8988135078397104E-2</c:v>
                </c:pt>
                <c:pt idx="21">
                  <c:v>8.8988135078397104E-2</c:v>
                </c:pt>
                <c:pt idx="22">
                  <c:v>8.8988135078397104E-2</c:v>
                </c:pt>
                <c:pt idx="23">
                  <c:v>8.8988135078397104E-2</c:v>
                </c:pt>
                <c:pt idx="24">
                  <c:v>-3.4195901052233503E-2</c:v>
                </c:pt>
                <c:pt idx="25">
                  <c:v>-3.4195901052233503E-2</c:v>
                </c:pt>
                <c:pt idx="26">
                  <c:v>-3.4195901052233503E-2</c:v>
                </c:pt>
                <c:pt idx="27">
                  <c:v>-3.4195901052233503E-2</c:v>
                </c:pt>
                <c:pt idx="28">
                  <c:v>-3.4195901052233503E-2</c:v>
                </c:pt>
                <c:pt idx="29">
                  <c:v>-3.4195901052233503E-2</c:v>
                </c:pt>
                <c:pt idx="30">
                  <c:v>-3.4195901052233503E-2</c:v>
                </c:pt>
                <c:pt idx="31">
                  <c:v>-3.4195901052233503E-2</c:v>
                </c:pt>
                <c:pt idx="32">
                  <c:v>-3.4195901052233503E-2</c:v>
                </c:pt>
                <c:pt idx="33">
                  <c:v>-3.4195901052233503E-2</c:v>
                </c:pt>
                <c:pt idx="34">
                  <c:v>-3.4195901052233503E-2</c:v>
                </c:pt>
                <c:pt idx="35">
                  <c:v>-3.4195901052233503E-2</c:v>
                </c:pt>
                <c:pt idx="36">
                  <c:v>0.12379631506749483</c:v>
                </c:pt>
                <c:pt idx="37">
                  <c:v>0.12379631506749483</c:v>
                </c:pt>
                <c:pt idx="38">
                  <c:v>0.12379631506749483</c:v>
                </c:pt>
                <c:pt idx="39">
                  <c:v>0.12379631506749483</c:v>
                </c:pt>
                <c:pt idx="40">
                  <c:v>0.12379631506749483</c:v>
                </c:pt>
                <c:pt idx="41">
                  <c:v>0.12379631506749483</c:v>
                </c:pt>
                <c:pt idx="42">
                  <c:v>0.12379631506749483</c:v>
                </c:pt>
                <c:pt idx="43">
                  <c:v>0.12379631506749483</c:v>
                </c:pt>
                <c:pt idx="44">
                  <c:v>0.12379631506749483</c:v>
                </c:pt>
                <c:pt idx="45">
                  <c:v>0.12379631506749483</c:v>
                </c:pt>
                <c:pt idx="46">
                  <c:v>0.12379631506749483</c:v>
                </c:pt>
                <c:pt idx="47">
                  <c:v>0.12379631506749483</c:v>
                </c:pt>
                <c:pt idx="48">
                  <c:v>8.8149118676464799E-2</c:v>
                </c:pt>
                <c:pt idx="49">
                  <c:v>8.8149118676464799E-2</c:v>
                </c:pt>
                <c:pt idx="50">
                  <c:v>8.8149118676464799E-2</c:v>
                </c:pt>
                <c:pt idx="51">
                  <c:v>8.8149118676464799E-2</c:v>
                </c:pt>
                <c:pt idx="52">
                  <c:v>8.8149118676464799E-2</c:v>
                </c:pt>
                <c:pt idx="53">
                  <c:v>8.8149118676464799E-2</c:v>
                </c:pt>
                <c:pt idx="54">
                  <c:v>8.8149118676464799E-2</c:v>
                </c:pt>
                <c:pt idx="55">
                  <c:v>8.8149118676464799E-2</c:v>
                </c:pt>
                <c:pt idx="56">
                  <c:v>8.8149118676464799E-2</c:v>
                </c:pt>
                <c:pt idx="57">
                  <c:v>8.8149118676464799E-2</c:v>
                </c:pt>
                <c:pt idx="58">
                  <c:v>8.8149118676464799E-2</c:v>
                </c:pt>
                <c:pt idx="59">
                  <c:v>8.8149118676464799E-2</c:v>
                </c:pt>
                <c:pt idx="60">
                  <c:v>-6.3789992700179696E-2</c:v>
                </c:pt>
                <c:pt idx="61">
                  <c:v>-6.3789992700179696E-2</c:v>
                </c:pt>
                <c:pt idx="62">
                  <c:v>-6.3789992700179696E-2</c:v>
                </c:pt>
                <c:pt idx="63">
                  <c:v>-6.3789992700179696E-2</c:v>
                </c:pt>
                <c:pt idx="64">
                  <c:v>-6.3789992700179696E-2</c:v>
                </c:pt>
                <c:pt idx="65">
                  <c:v>-6.3789992700179696E-2</c:v>
                </c:pt>
                <c:pt idx="66">
                  <c:v>-6.3789992700179696E-2</c:v>
                </c:pt>
                <c:pt idx="67">
                  <c:v>-6.3789992700179696E-2</c:v>
                </c:pt>
                <c:pt idx="68">
                  <c:v>-6.3789992700179696E-2</c:v>
                </c:pt>
                <c:pt idx="69">
                  <c:v>-6.3789992700179696E-2</c:v>
                </c:pt>
                <c:pt idx="70">
                  <c:v>-6.3789992700179696E-2</c:v>
                </c:pt>
                <c:pt idx="71">
                  <c:v>-6.3789992700179696E-2</c:v>
                </c:pt>
                <c:pt idx="72">
                  <c:v>-6.0547103003969316E-2</c:v>
                </c:pt>
                <c:pt idx="73">
                  <c:v>-6.0547103003969316E-2</c:v>
                </c:pt>
                <c:pt idx="74">
                  <c:v>-6.0547103003969316E-2</c:v>
                </c:pt>
                <c:pt idx="75">
                  <c:v>-6.0547103003969316E-2</c:v>
                </c:pt>
                <c:pt idx="76">
                  <c:v>-6.0547103003969316E-2</c:v>
                </c:pt>
                <c:pt idx="77">
                  <c:v>-6.0547103003969316E-2</c:v>
                </c:pt>
                <c:pt idx="78">
                  <c:v>-6.0547103003969316E-2</c:v>
                </c:pt>
                <c:pt idx="79">
                  <c:v>-6.0547103003969316E-2</c:v>
                </c:pt>
                <c:pt idx="80">
                  <c:v>-6.0547103003969316E-2</c:v>
                </c:pt>
                <c:pt idx="81">
                  <c:v>-6.0547103003969316E-2</c:v>
                </c:pt>
                <c:pt idx="82">
                  <c:v>-6.0547103003969316E-2</c:v>
                </c:pt>
                <c:pt idx="83">
                  <c:v>-6.0547103003969316E-2</c:v>
                </c:pt>
                <c:pt idx="84">
                  <c:v>-1.7905760641002598E-2</c:v>
                </c:pt>
                <c:pt idx="85">
                  <c:v>-1.7905760641002598E-2</c:v>
                </c:pt>
                <c:pt idx="86">
                  <c:v>-1.7905760641002598E-2</c:v>
                </c:pt>
                <c:pt idx="87">
                  <c:v>-1.7905760641002598E-2</c:v>
                </c:pt>
                <c:pt idx="88">
                  <c:v>-1.7905760641002598E-2</c:v>
                </c:pt>
                <c:pt idx="89">
                  <c:v>-1.7905760641002598E-2</c:v>
                </c:pt>
                <c:pt idx="90">
                  <c:v>-1.7905760641002598E-2</c:v>
                </c:pt>
                <c:pt idx="91">
                  <c:v>-1.7905760641002598E-2</c:v>
                </c:pt>
                <c:pt idx="92">
                  <c:v>-1.7905760641002598E-2</c:v>
                </c:pt>
                <c:pt idx="93">
                  <c:v>-1.7905760641002598E-2</c:v>
                </c:pt>
                <c:pt idx="94">
                  <c:v>-1.7905760641002598E-2</c:v>
                </c:pt>
                <c:pt idx="95">
                  <c:v>-1.7905760641002598E-2</c:v>
                </c:pt>
                <c:pt idx="96">
                  <c:v>-8.2386316606077856E-2</c:v>
                </c:pt>
                <c:pt idx="97">
                  <c:v>-8.2386316606077856E-2</c:v>
                </c:pt>
                <c:pt idx="98">
                  <c:v>-8.2386316606077856E-2</c:v>
                </c:pt>
                <c:pt idx="99">
                  <c:v>-8.2386316606077856E-2</c:v>
                </c:pt>
                <c:pt idx="100">
                  <c:v>-8.2386316606077856E-2</c:v>
                </c:pt>
                <c:pt idx="101">
                  <c:v>-8.2386316606077856E-2</c:v>
                </c:pt>
                <c:pt idx="102">
                  <c:v>-8.2386316606077856E-2</c:v>
                </c:pt>
                <c:pt idx="103">
                  <c:v>-8.2386316606077856E-2</c:v>
                </c:pt>
                <c:pt idx="104">
                  <c:v>-8.2386316606077856E-2</c:v>
                </c:pt>
                <c:pt idx="105">
                  <c:v>-8.2386316606077856E-2</c:v>
                </c:pt>
                <c:pt idx="106">
                  <c:v>-8.2386316606077856E-2</c:v>
                </c:pt>
                <c:pt idx="107">
                  <c:v>-8.2386316606077856E-2</c:v>
                </c:pt>
                <c:pt idx="108">
                  <c:v>6.7722757973514167E-2</c:v>
                </c:pt>
                <c:pt idx="109">
                  <c:v>6.7722757973514167E-2</c:v>
                </c:pt>
                <c:pt idx="110">
                  <c:v>6.7722757973514167E-2</c:v>
                </c:pt>
                <c:pt idx="111">
                  <c:v>6.7722757973514167E-2</c:v>
                </c:pt>
                <c:pt idx="112">
                  <c:v>6.7722757973514167E-2</c:v>
                </c:pt>
                <c:pt idx="113">
                  <c:v>6.7722757973514167E-2</c:v>
                </c:pt>
                <c:pt idx="114">
                  <c:v>6.7722757973514167E-2</c:v>
                </c:pt>
                <c:pt idx="115">
                  <c:v>6.7722757973514167E-2</c:v>
                </c:pt>
                <c:pt idx="116">
                  <c:v>6.7722757973514167E-2</c:v>
                </c:pt>
                <c:pt idx="117">
                  <c:v>6.7722757973514167E-2</c:v>
                </c:pt>
                <c:pt idx="118">
                  <c:v>6.7722757973514167E-2</c:v>
                </c:pt>
                <c:pt idx="119">
                  <c:v>6.7722757973514167E-2</c:v>
                </c:pt>
                <c:pt idx="120">
                  <c:v>-4.1971449629764256E-2</c:v>
                </c:pt>
                <c:pt idx="121">
                  <c:v>-4.1971449629764256E-2</c:v>
                </c:pt>
                <c:pt idx="122">
                  <c:v>-4.1971449629764256E-2</c:v>
                </c:pt>
                <c:pt idx="123">
                  <c:v>-4.1971449629764256E-2</c:v>
                </c:pt>
                <c:pt idx="124">
                  <c:v>-4.1971449629764256E-2</c:v>
                </c:pt>
                <c:pt idx="125">
                  <c:v>-4.1971449629764256E-2</c:v>
                </c:pt>
                <c:pt idx="126">
                  <c:v>-4.1971449629764256E-2</c:v>
                </c:pt>
                <c:pt idx="127">
                  <c:v>-4.1971449629764256E-2</c:v>
                </c:pt>
                <c:pt idx="128">
                  <c:v>-4.1971449629764256E-2</c:v>
                </c:pt>
                <c:pt idx="129">
                  <c:v>-4.1971449629764256E-2</c:v>
                </c:pt>
                <c:pt idx="130">
                  <c:v>-4.1971449629764256E-2</c:v>
                </c:pt>
                <c:pt idx="131">
                  <c:v>-4.1971449629764256E-2</c:v>
                </c:pt>
                <c:pt idx="132">
                  <c:v>-0.11368229415504644</c:v>
                </c:pt>
                <c:pt idx="133">
                  <c:v>-0.11368229415504644</c:v>
                </c:pt>
                <c:pt idx="134">
                  <c:v>-0.11368229415504644</c:v>
                </c:pt>
                <c:pt idx="135">
                  <c:v>-0.11368229415504644</c:v>
                </c:pt>
                <c:pt idx="136">
                  <c:v>-0.11368229415504644</c:v>
                </c:pt>
                <c:pt idx="137">
                  <c:v>-0.11368229415504644</c:v>
                </c:pt>
                <c:pt idx="138">
                  <c:v>-0.11368229415504644</c:v>
                </c:pt>
                <c:pt idx="139">
                  <c:v>-0.11368229415504644</c:v>
                </c:pt>
                <c:pt idx="140">
                  <c:v>-0.11368229415504644</c:v>
                </c:pt>
                <c:pt idx="141">
                  <c:v>-0.11368229415504644</c:v>
                </c:pt>
                <c:pt idx="142">
                  <c:v>-0.11368229415504644</c:v>
                </c:pt>
                <c:pt idx="143">
                  <c:v>-0.11368229415504644</c:v>
                </c:pt>
                <c:pt idx="144">
                  <c:v>5.755348344849328E-2</c:v>
                </c:pt>
                <c:pt idx="145">
                  <c:v>5.755348344849328E-2</c:v>
                </c:pt>
                <c:pt idx="146">
                  <c:v>5.755348344849328E-2</c:v>
                </c:pt>
                <c:pt idx="147">
                  <c:v>5.755348344849328E-2</c:v>
                </c:pt>
                <c:pt idx="148">
                  <c:v>5.755348344849328E-2</c:v>
                </c:pt>
                <c:pt idx="149">
                  <c:v>5.755348344849328E-2</c:v>
                </c:pt>
                <c:pt idx="150">
                  <c:v>5.755348344849328E-2</c:v>
                </c:pt>
                <c:pt idx="151">
                  <c:v>5.755348344849328E-2</c:v>
                </c:pt>
                <c:pt idx="152">
                  <c:v>5.755348344849328E-2</c:v>
                </c:pt>
                <c:pt idx="153">
                  <c:v>5.755348344849328E-2</c:v>
                </c:pt>
                <c:pt idx="154">
                  <c:v>5.755348344849328E-2</c:v>
                </c:pt>
                <c:pt idx="155">
                  <c:v>5.755348344849328E-2</c:v>
                </c:pt>
                <c:pt idx="156">
                  <c:v>-7.2544079733269146E-4</c:v>
                </c:pt>
                <c:pt idx="157">
                  <c:v>-7.2544079733269146E-4</c:v>
                </c:pt>
                <c:pt idx="158">
                  <c:v>-7.2544079733269146E-4</c:v>
                </c:pt>
                <c:pt idx="159">
                  <c:v>-7.2544079733269146E-4</c:v>
                </c:pt>
                <c:pt idx="160">
                  <c:v>-7.2544079733269146E-4</c:v>
                </c:pt>
                <c:pt idx="161">
                  <c:v>-7.2544079733269146E-4</c:v>
                </c:pt>
                <c:pt idx="162">
                  <c:v>-7.2544079733269146E-4</c:v>
                </c:pt>
                <c:pt idx="163">
                  <c:v>-7.2544079733269146E-4</c:v>
                </c:pt>
                <c:pt idx="164">
                  <c:v>-7.2544079733269146E-4</c:v>
                </c:pt>
                <c:pt idx="165">
                  <c:v>-7.2544079733269146E-4</c:v>
                </c:pt>
                <c:pt idx="166">
                  <c:v>-7.2544079733269146E-4</c:v>
                </c:pt>
                <c:pt idx="167">
                  <c:v>-7.2544079733269146E-4</c:v>
                </c:pt>
                <c:pt idx="168">
                  <c:v>3.2084648423281306E-2</c:v>
                </c:pt>
                <c:pt idx="169">
                  <c:v>3.2084648423281306E-2</c:v>
                </c:pt>
                <c:pt idx="170">
                  <c:v>3.2084648423281306E-2</c:v>
                </c:pt>
                <c:pt idx="171">
                  <c:v>3.2084648423281306E-2</c:v>
                </c:pt>
                <c:pt idx="172">
                  <c:v>3.2084648423281306E-2</c:v>
                </c:pt>
                <c:pt idx="173">
                  <c:v>3.2084648423281306E-2</c:v>
                </c:pt>
                <c:pt idx="174">
                  <c:v>3.2084648423281306E-2</c:v>
                </c:pt>
                <c:pt idx="175">
                  <c:v>3.2084648423281306E-2</c:v>
                </c:pt>
                <c:pt idx="176">
                  <c:v>3.2084648423281306E-2</c:v>
                </c:pt>
                <c:pt idx="177">
                  <c:v>3.2084648423281306E-2</c:v>
                </c:pt>
                <c:pt idx="178">
                  <c:v>3.2084648423281306E-2</c:v>
                </c:pt>
                <c:pt idx="179">
                  <c:v>3.2084648423281306E-2</c:v>
                </c:pt>
                <c:pt idx="180">
                  <c:v>0.51173492350467387</c:v>
                </c:pt>
                <c:pt idx="181">
                  <c:v>0.51173492350467387</c:v>
                </c:pt>
                <c:pt idx="182">
                  <c:v>0.51173492350467387</c:v>
                </c:pt>
                <c:pt idx="183">
                  <c:v>0.51173492350467387</c:v>
                </c:pt>
                <c:pt idx="184">
                  <c:v>0.51173492350467387</c:v>
                </c:pt>
                <c:pt idx="185">
                  <c:v>0.51173492350467387</c:v>
                </c:pt>
                <c:pt idx="186">
                  <c:v>0.51173492350467387</c:v>
                </c:pt>
                <c:pt idx="187">
                  <c:v>0.51173492350467387</c:v>
                </c:pt>
                <c:pt idx="188">
                  <c:v>0.51173492350467387</c:v>
                </c:pt>
                <c:pt idx="189">
                  <c:v>0.51173492350467387</c:v>
                </c:pt>
                <c:pt idx="190">
                  <c:v>0.51173492350467387</c:v>
                </c:pt>
                <c:pt idx="191">
                  <c:v>0.51173492350467387</c:v>
                </c:pt>
                <c:pt idx="192">
                  <c:v>0.35021884190737906</c:v>
                </c:pt>
                <c:pt idx="193">
                  <c:v>0.35021884190737906</c:v>
                </c:pt>
                <c:pt idx="194">
                  <c:v>0.35021884190737906</c:v>
                </c:pt>
                <c:pt idx="195">
                  <c:v>0.35021884190737906</c:v>
                </c:pt>
                <c:pt idx="196">
                  <c:v>0.35021884190737906</c:v>
                </c:pt>
                <c:pt idx="197">
                  <c:v>0.35021884190737906</c:v>
                </c:pt>
                <c:pt idx="198">
                  <c:v>0.35021884190737906</c:v>
                </c:pt>
                <c:pt idx="199">
                  <c:v>0.35021884190737906</c:v>
                </c:pt>
                <c:pt idx="200">
                  <c:v>0.35021884190737906</c:v>
                </c:pt>
                <c:pt idx="201">
                  <c:v>0.35021884190737906</c:v>
                </c:pt>
                <c:pt idx="202">
                  <c:v>0.35021884190737906</c:v>
                </c:pt>
                <c:pt idx="203">
                  <c:v>0.35021884190737906</c:v>
                </c:pt>
                <c:pt idx="204">
                  <c:v>0.32621975968800182</c:v>
                </c:pt>
                <c:pt idx="205">
                  <c:v>0.32621975968800182</c:v>
                </c:pt>
                <c:pt idx="206">
                  <c:v>0.32621975968800182</c:v>
                </c:pt>
                <c:pt idx="207">
                  <c:v>0.32621975968800182</c:v>
                </c:pt>
                <c:pt idx="208">
                  <c:v>0.32621975968800182</c:v>
                </c:pt>
                <c:pt idx="209">
                  <c:v>0.32621975968800182</c:v>
                </c:pt>
                <c:pt idx="210">
                  <c:v>0.32621975968800182</c:v>
                </c:pt>
                <c:pt idx="211">
                  <c:v>0.32621975968800182</c:v>
                </c:pt>
                <c:pt idx="212">
                  <c:v>0.32621975968800182</c:v>
                </c:pt>
                <c:pt idx="213">
                  <c:v>0.32621975968800182</c:v>
                </c:pt>
                <c:pt idx="214">
                  <c:v>0.32621975968800182</c:v>
                </c:pt>
                <c:pt idx="215">
                  <c:v>0.32621975968800182</c:v>
                </c:pt>
                <c:pt idx="216">
                  <c:v>0.29695430803870787</c:v>
                </c:pt>
                <c:pt idx="217">
                  <c:v>0.29695430803870787</c:v>
                </c:pt>
                <c:pt idx="218">
                  <c:v>0.29695430803870787</c:v>
                </c:pt>
                <c:pt idx="219">
                  <c:v>0.29695430803870787</c:v>
                </c:pt>
                <c:pt idx="220">
                  <c:v>0.29695430803870787</c:v>
                </c:pt>
                <c:pt idx="221">
                  <c:v>0.29695430803870787</c:v>
                </c:pt>
                <c:pt idx="222">
                  <c:v>0.29695430803870787</c:v>
                </c:pt>
                <c:pt idx="223">
                  <c:v>0.29695430803870787</c:v>
                </c:pt>
                <c:pt idx="224">
                  <c:v>0.29695430803870787</c:v>
                </c:pt>
                <c:pt idx="225">
                  <c:v>0.29695430803870787</c:v>
                </c:pt>
                <c:pt idx="226">
                  <c:v>0.29695430803870787</c:v>
                </c:pt>
                <c:pt idx="227">
                  <c:v>0.29695430803870787</c:v>
                </c:pt>
                <c:pt idx="228">
                  <c:v>0.50936102666288274</c:v>
                </c:pt>
                <c:pt idx="229">
                  <c:v>0.50936102666288274</c:v>
                </c:pt>
                <c:pt idx="230">
                  <c:v>0.50936102666288274</c:v>
                </c:pt>
                <c:pt idx="231">
                  <c:v>0.50936102666288274</c:v>
                </c:pt>
                <c:pt idx="232">
                  <c:v>0.50936102666288274</c:v>
                </c:pt>
                <c:pt idx="233">
                  <c:v>0.50936102666288274</c:v>
                </c:pt>
                <c:pt idx="234">
                  <c:v>0.50936102666288274</c:v>
                </c:pt>
                <c:pt idx="235">
                  <c:v>0.50936102666288274</c:v>
                </c:pt>
                <c:pt idx="236">
                  <c:v>0.50936102666288274</c:v>
                </c:pt>
                <c:pt idx="237">
                  <c:v>0.50936102666288274</c:v>
                </c:pt>
                <c:pt idx="238">
                  <c:v>0.50936102666288274</c:v>
                </c:pt>
                <c:pt idx="239">
                  <c:v>0.50936102666288274</c:v>
                </c:pt>
                <c:pt idx="240">
                  <c:v>0.27867812442937162</c:v>
                </c:pt>
                <c:pt idx="241">
                  <c:v>0.27867812442937162</c:v>
                </c:pt>
                <c:pt idx="242">
                  <c:v>0.27867812442937162</c:v>
                </c:pt>
                <c:pt idx="243">
                  <c:v>0.27867812442937162</c:v>
                </c:pt>
                <c:pt idx="244">
                  <c:v>0.27867812442937162</c:v>
                </c:pt>
                <c:pt idx="245">
                  <c:v>0.27867812442937162</c:v>
                </c:pt>
                <c:pt idx="246">
                  <c:v>0.27867812442937162</c:v>
                </c:pt>
                <c:pt idx="247">
                  <c:v>0.27867812442937162</c:v>
                </c:pt>
                <c:pt idx="248">
                  <c:v>0.27867812442937162</c:v>
                </c:pt>
                <c:pt idx="249">
                  <c:v>0.27867812442937162</c:v>
                </c:pt>
                <c:pt idx="250">
                  <c:v>0.27867812442937162</c:v>
                </c:pt>
                <c:pt idx="251">
                  <c:v>0.27867812442937162</c:v>
                </c:pt>
                <c:pt idx="252">
                  <c:v>0.32352478667891793</c:v>
                </c:pt>
                <c:pt idx="253">
                  <c:v>0.32352478667891793</c:v>
                </c:pt>
                <c:pt idx="254">
                  <c:v>0.32352478667891793</c:v>
                </c:pt>
                <c:pt idx="255">
                  <c:v>0.32352478667891793</c:v>
                </c:pt>
                <c:pt idx="256">
                  <c:v>0.32352478667891793</c:v>
                </c:pt>
                <c:pt idx="257">
                  <c:v>0.32352478667891793</c:v>
                </c:pt>
                <c:pt idx="258">
                  <c:v>0.32352478667891793</c:v>
                </c:pt>
                <c:pt idx="259">
                  <c:v>0.32352478667891793</c:v>
                </c:pt>
                <c:pt idx="260">
                  <c:v>0.32352478667891793</c:v>
                </c:pt>
                <c:pt idx="261">
                  <c:v>0.32352478667891793</c:v>
                </c:pt>
                <c:pt idx="262">
                  <c:v>0.32352478667891793</c:v>
                </c:pt>
                <c:pt idx="263">
                  <c:v>0.32352478667891793</c:v>
                </c:pt>
                <c:pt idx="264">
                  <c:v>0.65082790336553054</c:v>
                </c:pt>
                <c:pt idx="265">
                  <c:v>0.65082790336553054</c:v>
                </c:pt>
                <c:pt idx="266">
                  <c:v>0.65082790336553054</c:v>
                </c:pt>
                <c:pt idx="267">
                  <c:v>0.65082790336553054</c:v>
                </c:pt>
                <c:pt idx="268">
                  <c:v>0.65082790336553054</c:v>
                </c:pt>
                <c:pt idx="269">
                  <c:v>0.65082790336553054</c:v>
                </c:pt>
                <c:pt idx="270">
                  <c:v>0.65082790336553054</c:v>
                </c:pt>
                <c:pt idx="271">
                  <c:v>0.65082790336553054</c:v>
                </c:pt>
                <c:pt idx="272">
                  <c:v>0.65082790336553054</c:v>
                </c:pt>
                <c:pt idx="273">
                  <c:v>0.65082790336553054</c:v>
                </c:pt>
                <c:pt idx="274">
                  <c:v>0.65082790336553054</c:v>
                </c:pt>
                <c:pt idx="275">
                  <c:v>0.65082790336553054</c:v>
                </c:pt>
                <c:pt idx="276">
                  <c:v>0.48020591500618098</c:v>
                </c:pt>
                <c:pt idx="277">
                  <c:v>0.48020591500618098</c:v>
                </c:pt>
                <c:pt idx="278">
                  <c:v>0.48020591500618098</c:v>
                </c:pt>
                <c:pt idx="279">
                  <c:v>0.48020591500618098</c:v>
                </c:pt>
                <c:pt idx="280">
                  <c:v>0.48020591500618098</c:v>
                </c:pt>
                <c:pt idx="281">
                  <c:v>0.48020591500618098</c:v>
                </c:pt>
                <c:pt idx="282">
                  <c:v>0.48020591500618098</c:v>
                </c:pt>
                <c:pt idx="283">
                  <c:v>0.48020591500618098</c:v>
                </c:pt>
                <c:pt idx="284">
                  <c:v>0.48020591500618098</c:v>
                </c:pt>
                <c:pt idx="285">
                  <c:v>0.48020591500618098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1-4067-9895-8AA983E7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99792"/>
        <c:axId val="205700184"/>
      </c:lineChart>
      <c:catAx>
        <c:axId val="2056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0184"/>
        <c:crosses val="autoZero"/>
        <c:auto val="1"/>
        <c:lblAlgn val="ctr"/>
        <c:lblOffset val="100"/>
        <c:noMultiLvlLbl val="0"/>
      </c:catAx>
      <c:valAx>
        <c:axId val="205700184"/>
        <c:scaling>
          <c:orientation val="minMax"/>
          <c:max val="1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97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 Spot Price versus NY/Gulf Average Spot Price - June 2003 to October 2023 ($2023)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Average Differential</c:v>
          </c:tx>
          <c:spPr>
            <a:ln w="158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SpotGasPrices!$A$45:$A$289</c:f>
              <c:strCache>
                <c:ptCount val="240"/>
                <c:pt idx="0">
                  <c:v>2003</c:v>
                </c:pt>
                <c:pt idx="7">
                  <c:v>---</c:v>
                </c:pt>
                <c:pt idx="12">
                  <c:v>2004</c:v>
                </c:pt>
                <c:pt idx="19">
                  <c:v>---</c:v>
                </c:pt>
                <c:pt idx="24">
                  <c:v>2005</c:v>
                </c:pt>
                <c:pt idx="31">
                  <c:v>---</c:v>
                </c:pt>
                <c:pt idx="36">
                  <c:v>2006</c:v>
                </c:pt>
                <c:pt idx="43">
                  <c:v>---</c:v>
                </c:pt>
                <c:pt idx="48">
                  <c:v>2007</c:v>
                </c:pt>
                <c:pt idx="55">
                  <c:v>---</c:v>
                </c:pt>
                <c:pt idx="60">
                  <c:v>2008</c:v>
                </c:pt>
                <c:pt idx="67">
                  <c:v>---</c:v>
                </c:pt>
                <c:pt idx="72">
                  <c:v>2009</c:v>
                </c:pt>
                <c:pt idx="79">
                  <c:v>---</c:v>
                </c:pt>
                <c:pt idx="84">
                  <c:v>2010</c:v>
                </c:pt>
                <c:pt idx="91">
                  <c:v>---</c:v>
                </c:pt>
                <c:pt idx="96">
                  <c:v>2011</c:v>
                </c:pt>
                <c:pt idx="103">
                  <c:v>---</c:v>
                </c:pt>
                <c:pt idx="108">
                  <c:v>2012</c:v>
                </c:pt>
                <c:pt idx="115">
                  <c:v>---</c:v>
                </c:pt>
                <c:pt idx="120">
                  <c:v>2013</c:v>
                </c:pt>
                <c:pt idx="127">
                  <c:v>---</c:v>
                </c:pt>
                <c:pt idx="132">
                  <c:v>2014</c:v>
                </c:pt>
                <c:pt idx="139">
                  <c:v>---</c:v>
                </c:pt>
                <c:pt idx="144">
                  <c:v>2015</c:v>
                </c:pt>
                <c:pt idx="151">
                  <c:v>---</c:v>
                </c:pt>
                <c:pt idx="156">
                  <c:v>2016</c:v>
                </c:pt>
                <c:pt idx="163">
                  <c:v>---</c:v>
                </c:pt>
                <c:pt idx="168">
                  <c:v>2017</c:v>
                </c:pt>
                <c:pt idx="175">
                  <c:v>---</c:v>
                </c:pt>
                <c:pt idx="180">
                  <c:v>2018</c:v>
                </c:pt>
                <c:pt idx="187">
                  <c:v>---</c:v>
                </c:pt>
                <c:pt idx="192">
                  <c:v>2019</c:v>
                </c:pt>
                <c:pt idx="199">
                  <c:v>---</c:v>
                </c:pt>
                <c:pt idx="204">
                  <c:v>2020</c:v>
                </c:pt>
                <c:pt idx="211">
                  <c:v>---</c:v>
                </c:pt>
                <c:pt idx="216">
                  <c:v>2021</c:v>
                </c:pt>
                <c:pt idx="223">
                  <c:v>---</c:v>
                </c:pt>
                <c:pt idx="227">
                  <c:v>2022</c:v>
                </c:pt>
                <c:pt idx="235">
                  <c:v>---</c:v>
                </c:pt>
                <c:pt idx="239">
                  <c:v>2023</c:v>
                </c:pt>
              </c:strCache>
            </c:strRef>
          </c:cat>
          <c:val>
            <c:numRef>
              <c:f>SpotGasPrices!$U$45:$U$289</c:f>
              <c:numCache>
                <c:formatCode>"$"#,##0.00</c:formatCode>
                <c:ptCount val="245"/>
                <c:pt idx="0">
                  <c:v>0.42708821448013068</c:v>
                </c:pt>
                <c:pt idx="1">
                  <c:v>0.1438809461663948</c:v>
                </c:pt>
                <c:pt idx="2">
                  <c:v>0.53417419014084522</c:v>
                </c:pt>
                <c:pt idx="3">
                  <c:v>0.15366937095032396</c:v>
                </c:pt>
                <c:pt idx="4">
                  <c:v>0.22701130540540537</c:v>
                </c:pt>
                <c:pt idx="5">
                  <c:v>0.2818233008130081</c:v>
                </c:pt>
                <c:pt idx="6">
                  <c:v>0.1502462832338578</c:v>
                </c:pt>
                <c:pt idx="7">
                  <c:v>0.14619356371490277</c:v>
                </c:pt>
                <c:pt idx="8">
                  <c:v>0.50727710526315828</c:v>
                </c:pt>
                <c:pt idx="9">
                  <c:v>0.38171562166488748</c:v>
                </c:pt>
                <c:pt idx="10">
                  <c:v>0.47787197872340381</c:v>
                </c:pt>
                <c:pt idx="11">
                  <c:v>0.50356517451084093</c:v>
                </c:pt>
                <c:pt idx="12">
                  <c:v>0.47845516605166083</c:v>
                </c:pt>
                <c:pt idx="13">
                  <c:v>0.38661931362196411</c:v>
                </c:pt>
                <c:pt idx="14">
                  <c:v>0.31903615567282295</c:v>
                </c:pt>
                <c:pt idx="15">
                  <c:v>0.37426014218009507</c:v>
                </c:pt>
                <c:pt idx="16">
                  <c:v>0.450466445783132</c:v>
                </c:pt>
                <c:pt idx="17">
                  <c:v>0.24484812565445035</c:v>
                </c:pt>
                <c:pt idx="18">
                  <c:v>0.21664694692590658</c:v>
                </c:pt>
                <c:pt idx="19">
                  <c:v>0.2202259648662821</c:v>
                </c:pt>
                <c:pt idx="20">
                  <c:v>0.50770527372262741</c:v>
                </c:pt>
                <c:pt idx="21">
                  <c:v>0.41781498965338848</c:v>
                </c:pt>
                <c:pt idx="22">
                  <c:v>0.50356224820143902</c:v>
                </c:pt>
                <c:pt idx="23">
                  <c:v>0.3315693132716051</c:v>
                </c:pt>
                <c:pt idx="24">
                  <c:v>0.36382688946015462</c:v>
                </c:pt>
                <c:pt idx="25">
                  <c:v>0.44875248208802443</c:v>
                </c:pt>
                <c:pt idx="26">
                  <c:v>0.32270990835030511</c:v>
                </c:pt>
                <c:pt idx="27">
                  <c:v>9.1310809859155073E-2</c:v>
                </c:pt>
                <c:pt idx="28">
                  <c:v>0.22704637048192766</c:v>
                </c:pt>
                <c:pt idx="29">
                  <c:v>0.18684473684210512</c:v>
                </c:pt>
                <c:pt idx="30">
                  <c:v>3.6739169207317124E-2</c:v>
                </c:pt>
                <c:pt idx="31">
                  <c:v>0.24669535552193622</c:v>
                </c:pt>
                <c:pt idx="32">
                  <c:v>0.3282649823855055</c:v>
                </c:pt>
                <c:pt idx="33">
                  <c:v>0.3102888213213213</c:v>
                </c:pt>
                <c:pt idx="34">
                  <c:v>0.4588344193548386</c:v>
                </c:pt>
                <c:pt idx="35">
                  <c:v>0.77335574814814834</c:v>
                </c:pt>
                <c:pt idx="36">
                  <c:v>0.46552487432232592</c:v>
                </c:pt>
                <c:pt idx="37">
                  <c:v>0.35453980098280069</c:v>
                </c:pt>
                <c:pt idx="38">
                  <c:v>0.25727270966159899</c:v>
                </c:pt>
                <c:pt idx="39">
                  <c:v>0.319195394282898</c:v>
                </c:pt>
                <c:pt idx="40">
                  <c:v>0.2713847274529233</c:v>
                </c:pt>
                <c:pt idx="41">
                  <c:v>0.33820906451612887</c:v>
                </c:pt>
                <c:pt idx="42">
                  <c:v>0.2614746110009909</c:v>
                </c:pt>
                <c:pt idx="43">
                  <c:v>0.39671829796063518</c:v>
                </c:pt>
                <c:pt idx="44">
                  <c:v>0.59417836451284778</c:v>
                </c:pt>
                <c:pt idx="45">
                  <c:v>0.71766726888464705</c:v>
                </c:pt>
                <c:pt idx="46">
                  <c:v>0.59171507746049601</c:v>
                </c:pt>
                <c:pt idx="47">
                  <c:v>0.43942643148079563</c:v>
                </c:pt>
                <c:pt idx="48">
                  <c:v>0.27097233767854445</c:v>
                </c:pt>
                <c:pt idx="49">
                  <c:v>0.26365596330275198</c:v>
                </c:pt>
                <c:pt idx="50">
                  <c:v>9.4705791253240523E-2</c:v>
                </c:pt>
                <c:pt idx="51">
                  <c:v>0.14978467312580968</c:v>
                </c:pt>
                <c:pt idx="52">
                  <c:v>0.36666768292682916</c:v>
                </c:pt>
                <c:pt idx="53">
                  <c:v>0.24519758346536524</c:v>
                </c:pt>
                <c:pt idx="54">
                  <c:v>0.21606521024967207</c:v>
                </c:pt>
                <c:pt idx="55">
                  <c:v>-2.1864056281979405E-3</c:v>
                </c:pt>
                <c:pt idx="56">
                  <c:v>0.31175064598262603</c:v>
                </c:pt>
                <c:pt idx="57">
                  <c:v>0.36022324940991357</c:v>
                </c:pt>
                <c:pt idx="58">
                  <c:v>0.41390781713317493</c:v>
                </c:pt>
                <c:pt idx="59">
                  <c:v>0.29612154944791191</c:v>
                </c:pt>
                <c:pt idx="60">
                  <c:v>0.57086774672668694</c:v>
                </c:pt>
                <c:pt idx="61">
                  <c:v>0.18603154607117567</c:v>
                </c:pt>
                <c:pt idx="62">
                  <c:v>0.21767253498626138</c:v>
                </c:pt>
                <c:pt idx="63">
                  <c:v>-0.14273781098165794</c:v>
                </c:pt>
                <c:pt idx="64">
                  <c:v>0.38641248909143822</c:v>
                </c:pt>
                <c:pt idx="65">
                  <c:v>3.5485180651994908E-2</c:v>
                </c:pt>
                <c:pt idx="66">
                  <c:v>0.24440634454021348</c:v>
                </c:pt>
                <c:pt idx="67">
                  <c:v>0.45172233983603571</c:v>
                </c:pt>
                <c:pt idx="68">
                  <c:v>0.4951607569523967</c:v>
                </c:pt>
                <c:pt idx="69">
                  <c:v>0.26759156876295798</c:v>
                </c:pt>
                <c:pt idx="70">
                  <c:v>0.3044390405177263</c:v>
                </c:pt>
                <c:pt idx="71">
                  <c:v>0.25033084879545076</c:v>
                </c:pt>
                <c:pt idx="72">
                  <c:v>0.2674556545645892</c:v>
                </c:pt>
                <c:pt idx="73">
                  <c:v>0.26502301126997319</c:v>
                </c:pt>
                <c:pt idx="74">
                  <c:v>0.29080165312230699</c:v>
                </c:pt>
                <c:pt idx="75">
                  <c:v>0.42595756335399981</c:v>
                </c:pt>
                <c:pt idx="76">
                  <c:v>0.18146265560165986</c:v>
                </c:pt>
                <c:pt idx="77">
                  <c:v>3.4844633199279329E-2</c:v>
                </c:pt>
                <c:pt idx="78">
                  <c:v>0.1581460483725321</c:v>
                </c:pt>
                <c:pt idx="79">
                  <c:v>4.2596602472690925E-2</c:v>
                </c:pt>
                <c:pt idx="80">
                  <c:v>0.1540193295223331</c:v>
                </c:pt>
                <c:pt idx="81">
                  <c:v>0.16752674710863835</c:v>
                </c:pt>
                <c:pt idx="82">
                  <c:v>0.13830510666990814</c:v>
                </c:pt>
                <c:pt idx="83">
                  <c:v>0.15653036053130953</c:v>
                </c:pt>
                <c:pt idx="84">
                  <c:v>0.37194645241208435</c:v>
                </c:pt>
                <c:pt idx="85">
                  <c:v>0.41914530459472243</c:v>
                </c:pt>
                <c:pt idx="86">
                  <c:v>0.34175958032540588</c:v>
                </c:pt>
                <c:pt idx="87">
                  <c:v>0.15423058382431676</c:v>
                </c:pt>
                <c:pt idx="88">
                  <c:v>0.19905467260448662</c:v>
                </c:pt>
                <c:pt idx="89">
                  <c:v>9.2103172717010295E-2</c:v>
                </c:pt>
                <c:pt idx="90">
                  <c:v>9.8963885682478825E-2</c:v>
                </c:pt>
                <c:pt idx="91">
                  <c:v>3.9118475363608685E-2</c:v>
                </c:pt>
                <c:pt idx="92">
                  <c:v>0.31071699976051592</c:v>
                </c:pt>
                <c:pt idx="93">
                  <c:v>0.41923782706171431</c:v>
                </c:pt>
                <c:pt idx="94">
                  <c:v>0.29548760815629693</c:v>
                </c:pt>
                <c:pt idx="95">
                  <c:v>4.2209382910552762E-2</c:v>
                </c:pt>
                <c:pt idx="96">
                  <c:v>6.6789586305278315E-2</c:v>
                </c:pt>
                <c:pt idx="97">
                  <c:v>-6.8092306194173613E-2</c:v>
                </c:pt>
                <c:pt idx="98">
                  <c:v>2.8520121830099887E-2</c:v>
                </c:pt>
                <c:pt idx="99">
                  <c:v>0.25357984300693248</c:v>
                </c:pt>
                <c:pt idx="100">
                  <c:v>0.29690759028535307</c:v>
                </c:pt>
                <c:pt idx="101">
                  <c:v>0.20807878265482005</c:v>
                </c:pt>
                <c:pt idx="102">
                  <c:v>0.154059090183984</c:v>
                </c:pt>
                <c:pt idx="103">
                  <c:v>0.16356453576864527</c:v>
                </c:pt>
                <c:pt idx="104">
                  <c:v>0.37907659786614367</c:v>
                </c:pt>
                <c:pt idx="105">
                  <c:v>0.28836779399455992</c:v>
                </c:pt>
                <c:pt idx="106">
                  <c:v>0.12904036117087214</c:v>
                </c:pt>
                <c:pt idx="107">
                  <c:v>0.54287400952940401</c:v>
                </c:pt>
                <c:pt idx="108">
                  <c:v>8.9829774531763551E-2</c:v>
                </c:pt>
                <c:pt idx="109">
                  <c:v>0.16518058610936492</c:v>
                </c:pt>
                <c:pt idx="110">
                  <c:v>0.17895691013503856</c:v>
                </c:pt>
                <c:pt idx="111">
                  <c:v>1.3295665213239438E-2</c:v>
                </c:pt>
                <c:pt idx="112">
                  <c:v>0.34382666859763855</c:v>
                </c:pt>
                <c:pt idx="113">
                  <c:v>0.16371094513532625</c:v>
                </c:pt>
                <c:pt idx="114">
                  <c:v>1.8760345120448108E-2</c:v>
                </c:pt>
                <c:pt idx="115">
                  <c:v>0.18638224986972363</c:v>
                </c:pt>
                <c:pt idx="116">
                  <c:v>0.45653825064824272</c:v>
                </c:pt>
                <c:pt idx="117">
                  <c:v>0.16059434083849977</c:v>
                </c:pt>
                <c:pt idx="118">
                  <c:v>0.27852090904008531</c:v>
                </c:pt>
                <c:pt idx="119">
                  <c:v>0.36189595827341203</c:v>
                </c:pt>
                <c:pt idx="120">
                  <c:v>0.40451125890776995</c:v>
                </c:pt>
                <c:pt idx="121">
                  <c:v>0.2087615091868007</c:v>
                </c:pt>
                <c:pt idx="122">
                  <c:v>-9.4717787554996713E-2</c:v>
                </c:pt>
                <c:pt idx="123">
                  <c:v>0.27134030681318322</c:v>
                </c:pt>
                <c:pt idx="124">
                  <c:v>0.22856704246700854</c:v>
                </c:pt>
                <c:pt idx="125">
                  <c:v>0.11748760667441771</c:v>
                </c:pt>
                <c:pt idx="126">
                  <c:v>7.5251329119627286E-2</c:v>
                </c:pt>
                <c:pt idx="127">
                  <c:v>2.3675498897040237E-2</c:v>
                </c:pt>
                <c:pt idx="128">
                  <c:v>0.16249698229413845</c:v>
                </c:pt>
                <c:pt idx="129">
                  <c:v>0.2089828962347593</c:v>
                </c:pt>
                <c:pt idx="130">
                  <c:v>0.41594349185057711</c:v>
                </c:pt>
                <c:pt idx="131">
                  <c:v>0.28969442622950825</c:v>
                </c:pt>
                <c:pt idx="132">
                  <c:v>0.31432804193955755</c:v>
                </c:pt>
                <c:pt idx="133">
                  <c:v>0.19435250996852038</c:v>
                </c:pt>
                <c:pt idx="134">
                  <c:v>0.18109555521921195</c:v>
                </c:pt>
                <c:pt idx="135">
                  <c:v>7.238374833530048E-2</c:v>
                </c:pt>
                <c:pt idx="136">
                  <c:v>6.4143208821014985E-2</c:v>
                </c:pt>
                <c:pt idx="137">
                  <c:v>-3.5177140897137971E-2</c:v>
                </c:pt>
                <c:pt idx="138">
                  <c:v>-5.8962893719230802E-2</c:v>
                </c:pt>
                <c:pt idx="139">
                  <c:v>-2.172194885048373E-2</c:v>
                </c:pt>
                <c:pt idx="140">
                  <c:v>0.44173587051916718</c:v>
                </c:pt>
                <c:pt idx="141">
                  <c:v>0.46387997577492701</c:v>
                </c:pt>
                <c:pt idx="142">
                  <c:v>0.50780233855595314</c:v>
                </c:pt>
                <c:pt idx="143">
                  <c:v>0.72581918378503407</c:v>
                </c:pt>
                <c:pt idx="144">
                  <c:v>0.27332718175646775</c:v>
                </c:pt>
                <c:pt idx="145">
                  <c:v>1.0352217561825903</c:v>
                </c:pt>
                <c:pt idx="146">
                  <c:v>0.61710811695396006</c:v>
                </c:pt>
                <c:pt idx="147">
                  <c:v>0.39890102124440541</c:v>
                </c:pt>
                <c:pt idx="148">
                  <c:v>0.41007621574348918</c:v>
                </c:pt>
                <c:pt idx="149">
                  <c:v>0.25343681742339963</c:v>
                </c:pt>
                <c:pt idx="150">
                  <c:v>0.54438352605432838</c:v>
                </c:pt>
                <c:pt idx="151">
                  <c:v>0.32336388846679853</c:v>
                </c:pt>
                <c:pt idx="152">
                  <c:v>-3.503471791692514E-2</c:v>
                </c:pt>
                <c:pt idx="153">
                  <c:v>0.41409199729561763</c:v>
                </c:pt>
                <c:pt idx="154">
                  <c:v>0.2038186478364632</c:v>
                </c:pt>
                <c:pt idx="155">
                  <c:v>3.842221380432842E-2</c:v>
                </c:pt>
                <c:pt idx="156">
                  <c:v>0.18573770631239161</c:v>
                </c:pt>
                <c:pt idx="157">
                  <c:v>7.1602540020279992E-2</c:v>
                </c:pt>
                <c:pt idx="158">
                  <c:v>-2.0439096695439973E-2</c:v>
                </c:pt>
                <c:pt idx="159">
                  <c:v>0.17395286172274982</c:v>
                </c:pt>
                <c:pt idx="160">
                  <c:v>0.14446201531467018</c:v>
                </c:pt>
                <c:pt idx="161">
                  <c:v>5.6727529800748244E-2</c:v>
                </c:pt>
                <c:pt idx="162">
                  <c:v>-0.12743588256734817</c:v>
                </c:pt>
                <c:pt idx="163">
                  <c:v>6.96836381306154E-3</c:v>
                </c:pt>
                <c:pt idx="164">
                  <c:v>0.26649335599315283</c:v>
                </c:pt>
                <c:pt idx="165">
                  <c:v>0.26816989060750351</c:v>
                </c:pt>
                <c:pt idx="166">
                  <c:v>0.20257737890759198</c:v>
                </c:pt>
                <c:pt idx="167">
                  <c:v>0.27217731772993425</c:v>
                </c:pt>
                <c:pt idx="168">
                  <c:v>0.22671354126268073</c:v>
                </c:pt>
                <c:pt idx="169">
                  <c:v>0.16213982417295092</c:v>
                </c:pt>
                <c:pt idx="170">
                  <c:v>0.18045293439611632</c:v>
                </c:pt>
                <c:pt idx="171">
                  <c:v>1.6205085508004036E-2</c:v>
                </c:pt>
                <c:pt idx="172">
                  <c:v>9.6668338988822766E-2</c:v>
                </c:pt>
                <c:pt idx="173">
                  <c:v>5.30103803072135E-2</c:v>
                </c:pt>
                <c:pt idx="174">
                  <c:v>-0.10421106464279339</c:v>
                </c:pt>
                <c:pt idx="175">
                  <c:v>8.1924120596932992E-2</c:v>
                </c:pt>
                <c:pt idx="176">
                  <c:v>0.10626772052001909</c:v>
                </c:pt>
                <c:pt idx="177">
                  <c:v>0.31191951641728832</c:v>
                </c:pt>
                <c:pt idx="178">
                  <c:v>0.28612447614410108</c:v>
                </c:pt>
                <c:pt idx="179">
                  <c:v>0.22623946690621133</c:v>
                </c:pt>
                <c:pt idx="180">
                  <c:v>0.14651639555694951</c:v>
                </c:pt>
                <c:pt idx="181">
                  <c:v>9.9502339230018721E-2</c:v>
                </c:pt>
                <c:pt idx="182">
                  <c:v>1.5862726356951962E-2</c:v>
                </c:pt>
                <c:pt idx="183">
                  <c:v>0.18891298491912933</c:v>
                </c:pt>
                <c:pt idx="184">
                  <c:v>0.31085252387448858</c:v>
                </c:pt>
                <c:pt idx="185">
                  <c:v>0.18738245224926409</c:v>
                </c:pt>
                <c:pt idx="186">
                  <c:v>0.23758094677052766</c:v>
                </c:pt>
                <c:pt idx="187">
                  <c:v>0.26646436403508778</c:v>
                </c:pt>
                <c:pt idx="188">
                  <c:v>0.36271623097129468</c:v>
                </c:pt>
                <c:pt idx="189">
                  <c:v>0.22935954280454118</c:v>
                </c:pt>
                <c:pt idx="190">
                  <c:v>0.58753521060622682</c:v>
                </c:pt>
                <c:pt idx="191">
                  <c:v>0.40907945386814104</c:v>
                </c:pt>
                <c:pt idx="192">
                  <c:v>0.14414026539862479</c:v>
                </c:pt>
                <c:pt idx="193">
                  <c:v>5.6360761738466048E-2</c:v>
                </c:pt>
                <c:pt idx="194">
                  <c:v>0.14030943100585436</c:v>
                </c:pt>
                <c:pt idx="195">
                  <c:v>0.42599106749909432</c:v>
                </c:pt>
                <c:pt idx="196">
                  <c:v>0.6360346459630225</c:v>
                </c:pt>
                <c:pt idx="197">
                  <c:v>0.2858906760287393</c:v>
                </c:pt>
                <c:pt idx="198">
                  <c:v>-1.496605687734931E-2</c:v>
                </c:pt>
                <c:pt idx="199">
                  <c:v>0.27013688166499317</c:v>
                </c:pt>
                <c:pt idx="200">
                  <c:v>0.39785350706283462</c:v>
                </c:pt>
                <c:pt idx="201">
                  <c:v>7.8075472173256055E-2</c:v>
                </c:pt>
                <c:pt idx="202">
                  <c:v>-0.12060164632648046</c:v>
                </c:pt>
                <c:pt idx="203">
                  <c:v>0.21479874334032789</c:v>
                </c:pt>
                <c:pt idx="204">
                  <c:v>0.23033822348592115</c:v>
                </c:pt>
                <c:pt idx="205">
                  <c:v>0.16030654069262573</c:v>
                </c:pt>
                <c:pt idx="206">
                  <c:v>0.20241668910964217</c:v>
                </c:pt>
                <c:pt idx="207">
                  <c:v>0.11525250691562905</c:v>
                </c:pt>
                <c:pt idx="208">
                  <c:v>8.8619003179870037E-2</c:v>
                </c:pt>
                <c:pt idx="209">
                  <c:v>0.18089322481352976</c:v>
                </c:pt>
                <c:pt idx="210">
                  <c:v>0.12225384683308116</c:v>
                </c:pt>
                <c:pt idx="211">
                  <c:v>0.14408368121659754</c:v>
                </c:pt>
                <c:pt idx="212">
                  <c:v>0.11522425992532703</c:v>
                </c:pt>
                <c:pt idx="213">
                  <c:v>0.11673695904136627</c:v>
                </c:pt>
                <c:pt idx="214">
                  <c:v>0.14516369722977385</c:v>
                </c:pt>
                <c:pt idx="215">
                  <c:v>0.18515463511580821</c:v>
                </c:pt>
                <c:pt idx="216">
                  <c:v>0.19081091918909365</c:v>
                </c:pt>
                <c:pt idx="217">
                  <c:v>0.14650839001769267</c:v>
                </c:pt>
                <c:pt idx="218">
                  <c:v>0.12483772165502405</c:v>
                </c:pt>
                <c:pt idx="219">
                  <c:v>9.5337519594622666E-3</c:v>
                </c:pt>
                <c:pt idx="220">
                  <c:v>8.0647269052638082E-2</c:v>
                </c:pt>
                <c:pt idx="221">
                  <c:v>0.21585276742412218</c:v>
                </c:pt>
                <c:pt idx="222">
                  <c:v>0.16442844384186617</c:v>
                </c:pt>
                <c:pt idx="223">
                  <c:v>0.13515076934568282</c:v>
                </c:pt>
                <c:pt idx="224">
                  <c:v>0.13501191155944681</c:v>
                </c:pt>
                <c:pt idx="225">
                  <c:v>0.63513112339306588</c:v>
                </c:pt>
                <c:pt idx="226">
                  <c:v>0.23572122106195215</c:v>
                </c:pt>
                <c:pt idx="227">
                  <c:v>0.25788719311930386</c:v>
                </c:pt>
                <c:pt idx="228">
                  <c:v>0.21234014093300635</c:v>
                </c:pt>
                <c:pt idx="229">
                  <c:v>-5.5557650636568257E-2</c:v>
                </c:pt>
                <c:pt idx="230">
                  <c:v>0.22127055991302336</c:v>
                </c:pt>
                <c:pt idx="231">
                  <c:v>1.3206276582841434</c:v>
                </c:pt>
                <c:pt idx="232">
                  <c:v>0.31178825684871736</c:v>
                </c:pt>
                <c:pt idx="233">
                  <c:v>0.20669105273234822</c:v>
                </c:pt>
                <c:pt idx="234">
                  <c:v>-1.295797295794765E-2</c:v>
                </c:pt>
                <c:pt idx="235">
                  <c:v>7.7131146171078857E-3</c:v>
                </c:pt>
                <c:pt idx="236">
                  <c:v>0.44283188073394508</c:v>
                </c:pt>
                <c:pt idx="237">
                  <c:v>0.23495595455810414</c:v>
                </c:pt>
                <c:pt idx="238">
                  <c:v>0.11004078776910808</c:v>
                </c:pt>
                <c:pt idx="239">
                  <c:v>0.1654052698379298</c:v>
                </c:pt>
                <c:pt idx="240">
                  <c:v>0.26117482276825643</c:v>
                </c:pt>
                <c:pt idx="241">
                  <c:v>0.28483302746891481</c:v>
                </c:pt>
                <c:pt idx="242">
                  <c:v>0.38881511012096648</c:v>
                </c:pt>
                <c:pt idx="243">
                  <c:v>0.92064690745933087</c:v>
                </c:pt>
                <c:pt idx="244">
                  <c:v>0.2204999999999997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FA4-9930-824AEEEC864A}"/>
            </c:ext>
          </c:extLst>
        </c:ser>
        <c:ser>
          <c:idx val="1"/>
          <c:order val="1"/>
          <c:tx>
            <c:v>Annual Average Differential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SpotGasPrices!$A$45:$A$289</c:f>
              <c:strCache>
                <c:ptCount val="240"/>
                <c:pt idx="0">
                  <c:v>2003</c:v>
                </c:pt>
                <c:pt idx="7">
                  <c:v>---</c:v>
                </c:pt>
                <c:pt idx="12">
                  <c:v>2004</c:v>
                </c:pt>
                <c:pt idx="19">
                  <c:v>---</c:v>
                </c:pt>
                <c:pt idx="24">
                  <c:v>2005</c:v>
                </c:pt>
                <c:pt idx="31">
                  <c:v>---</c:v>
                </c:pt>
                <c:pt idx="36">
                  <c:v>2006</c:v>
                </c:pt>
                <c:pt idx="43">
                  <c:v>---</c:v>
                </c:pt>
                <c:pt idx="48">
                  <c:v>2007</c:v>
                </c:pt>
                <c:pt idx="55">
                  <c:v>---</c:v>
                </c:pt>
                <c:pt idx="60">
                  <c:v>2008</c:v>
                </c:pt>
                <c:pt idx="67">
                  <c:v>---</c:v>
                </c:pt>
                <c:pt idx="72">
                  <c:v>2009</c:v>
                </c:pt>
                <c:pt idx="79">
                  <c:v>---</c:v>
                </c:pt>
                <c:pt idx="84">
                  <c:v>2010</c:v>
                </c:pt>
                <c:pt idx="91">
                  <c:v>---</c:v>
                </c:pt>
                <c:pt idx="96">
                  <c:v>2011</c:v>
                </c:pt>
                <c:pt idx="103">
                  <c:v>---</c:v>
                </c:pt>
                <c:pt idx="108">
                  <c:v>2012</c:v>
                </c:pt>
                <c:pt idx="115">
                  <c:v>---</c:v>
                </c:pt>
                <c:pt idx="120">
                  <c:v>2013</c:v>
                </c:pt>
                <c:pt idx="127">
                  <c:v>---</c:v>
                </c:pt>
                <c:pt idx="132">
                  <c:v>2014</c:v>
                </c:pt>
                <c:pt idx="139">
                  <c:v>---</c:v>
                </c:pt>
                <c:pt idx="144">
                  <c:v>2015</c:v>
                </c:pt>
                <c:pt idx="151">
                  <c:v>---</c:v>
                </c:pt>
                <c:pt idx="156">
                  <c:v>2016</c:v>
                </c:pt>
                <c:pt idx="163">
                  <c:v>---</c:v>
                </c:pt>
                <c:pt idx="168">
                  <c:v>2017</c:v>
                </c:pt>
                <c:pt idx="175">
                  <c:v>---</c:v>
                </c:pt>
                <c:pt idx="180">
                  <c:v>2018</c:v>
                </c:pt>
                <c:pt idx="187">
                  <c:v>---</c:v>
                </c:pt>
                <c:pt idx="192">
                  <c:v>2019</c:v>
                </c:pt>
                <c:pt idx="199">
                  <c:v>---</c:v>
                </c:pt>
                <c:pt idx="204">
                  <c:v>2020</c:v>
                </c:pt>
                <c:pt idx="211">
                  <c:v>---</c:v>
                </c:pt>
                <c:pt idx="216">
                  <c:v>2021</c:v>
                </c:pt>
                <c:pt idx="223">
                  <c:v>---</c:v>
                </c:pt>
                <c:pt idx="227">
                  <c:v>2022</c:v>
                </c:pt>
                <c:pt idx="235">
                  <c:v>---</c:v>
                </c:pt>
                <c:pt idx="239">
                  <c:v>2023</c:v>
                </c:pt>
              </c:strCache>
            </c:strRef>
          </c:cat>
          <c:val>
            <c:numRef>
              <c:f>SpotGasPrices!$V$45:$V$289</c:f>
              <c:numCache>
                <c:formatCode>"$"#,##0.00</c:formatCode>
                <c:ptCount val="245"/>
                <c:pt idx="0">
                  <c:v>0.27398480159856659</c:v>
                </c:pt>
                <c:pt idx="1">
                  <c:v>0.27398480159856659</c:v>
                </c:pt>
                <c:pt idx="2">
                  <c:v>0.27398480159856659</c:v>
                </c:pt>
                <c:pt idx="3">
                  <c:v>0.27398480159856659</c:v>
                </c:pt>
                <c:pt idx="4">
                  <c:v>0.27398480159856659</c:v>
                </c:pt>
                <c:pt idx="5">
                  <c:v>0.27398480159856659</c:v>
                </c:pt>
                <c:pt idx="6">
                  <c:v>0.27398480159856659</c:v>
                </c:pt>
                <c:pt idx="7">
                  <c:v>0.37391297831393538</c:v>
                </c:pt>
                <c:pt idx="8">
                  <c:v>0.37391297831393538</c:v>
                </c:pt>
                <c:pt idx="9">
                  <c:v>0.37391297831393538</c:v>
                </c:pt>
                <c:pt idx="10">
                  <c:v>0.37391297831393538</c:v>
                </c:pt>
                <c:pt idx="11">
                  <c:v>0.37391297831393538</c:v>
                </c:pt>
                <c:pt idx="12">
                  <c:v>0.37391297831393538</c:v>
                </c:pt>
                <c:pt idx="13">
                  <c:v>0.37391297831393538</c:v>
                </c:pt>
                <c:pt idx="14">
                  <c:v>0.37391297831393538</c:v>
                </c:pt>
                <c:pt idx="15">
                  <c:v>0.37391297831393538</c:v>
                </c:pt>
                <c:pt idx="16">
                  <c:v>0.37391297831393538</c:v>
                </c:pt>
                <c:pt idx="17">
                  <c:v>0.37391297831393538</c:v>
                </c:pt>
                <c:pt idx="18">
                  <c:v>0.37391297831393538</c:v>
                </c:pt>
                <c:pt idx="19">
                  <c:v>0.30484234633369428</c:v>
                </c:pt>
                <c:pt idx="20">
                  <c:v>0.30484234633369428</c:v>
                </c:pt>
                <c:pt idx="21">
                  <c:v>0.30484234633369428</c:v>
                </c:pt>
                <c:pt idx="22">
                  <c:v>0.30484234633369428</c:v>
                </c:pt>
                <c:pt idx="23">
                  <c:v>0.30484234633369428</c:v>
                </c:pt>
                <c:pt idx="24">
                  <c:v>0.30484234633369428</c:v>
                </c:pt>
                <c:pt idx="25">
                  <c:v>0.30484234633369428</c:v>
                </c:pt>
                <c:pt idx="26">
                  <c:v>0.30484234633369428</c:v>
                </c:pt>
                <c:pt idx="27">
                  <c:v>0.30484234633369428</c:v>
                </c:pt>
                <c:pt idx="28">
                  <c:v>0.30484234633369428</c:v>
                </c:pt>
                <c:pt idx="29">
                  <c:v>0.30484234633369428</c:v>
                </c:pt>
                <c:pt idx="30">
                  <c:v>0.30484234633369428</c:v>
                </c:pt>
                <c:pt idx="31">
                  <c:v>0.36542004241261816</c:v>
                </c:pt>
                <c:pt idx="32">
                  <c:v>0.36542004241261816</c:v>
                </c:pt>
                <c:pt idx="33">
                  <c:v>0.36542004241261816</c:v>
                </c:pt>
                <c:pt idx="34">
                  <c:v>0.36542004241261816</c:v>
                </c:pt>
                <c:pt idx="35">
                  <c:v>0.36542004241261816</c:v>
                </c:pt>
                <c:pt idx="36">
                  <c:v>0.36542004241261816</c:v>
                </c:pt>
                <c:pt idx="37">
                  <c:v>0.36542004241261816</c:v>
                </c:pt>
                <c:pt idx="38">
                  <c:v>0.36542004241261816</c:v>
                </c:pt>
                <c:pt idx="39">
                  <c:v>0.36542004241261816</c:v>
                </c:pt>
                <c:pt idx="40">
                  <c:v>0.36542004241261816</c:v>
                </c:pt>
                <c:pt idx="41">
                  <c:v>0.36542004241261816</c:v>
                </c:pt>
                <c:pt idx="42">
                  <c:v>0.36542004241261816</c:v>
                </c:pt>
                <c:pt idx="43">
                  <c:v>0.36222955685846953</c:v>
                </c:pt>
                <c:pt idx="44">
                  <c:v>0.36222955685846953</c:v>
                </c:pt>
                <c:pt idx="45">
                  <c:v>0.36222955685846953</c:v>
                </c:pt>
                <c:pt idx="46">
                  <c:v>0.36222955685846953</c:v>
                </c:pt>
                <c:pt idx="47">
                  <c:v>0.36222955685846953</c:v>
                </c:pt>
                <c:pt idx="48">
                  <c:v>0.36222955685846953</c:v>
                </c:pt>
                <c:pt idx="49">
                  <c:v>0.36222955685846953</c:v>
                </c:pt>
                <c:pt idx="50">
                  <c:v>0.36222955685846953</c:v>
                </c:pt>
                <c:pt idx="51">
                  <c:v>0.36222955685846953</c:v>
                </c:pt>
                <c:pt idx="52">
                  <c:v>0.36222955685846953</c:v>
                </c:pt>
                <c:pt idx="53">
                  <c:v>0.36222955685846953</c:v>
                </c:pt>
                <c:pt idx="54">
                  <c:v>0.36222955685846953</c:v>
                </c:pt>
                <c:pt idx="55">
                  <c:v>0.23982957395262841</c:v>
                </c:pt>
                <c:pt idx="56">
                  <c:v>0.23982957395262841</c:v>
                </c:pt>
                <c:pt idx="57">
                  <c:v>0.23982957395262841</c:v>
                </c:pt>
                <c:pt idx="58">
                  <c:v>0.23982957395262841</c:v>
                </c:pt>
                <c:pt idx="59">
                  <c:v>0.23982957395262841</c:v>
                </c:pt>
                <c:pt idx="60">
                  <c:v>0.23982957395262841</c:v>
                </c:pt>
                <c:pt idx="61">
                  <c:v>0.23982957395262841</c:v>
                </c:pt>
                <c:pt idx="62">
                  <c:v>0.23982957395262841</c:v>
                </c:pt>
                <c:pt idx="63">
                  <c:v>0.23982957395262841</c:v>
                </c:pt>
                <c:pt idx="64">
                  <c:v>0.23982957395262841</c:v>
                </c:pt>
                <c:pt idx="65">
                  <c:v>0.23982957395262841</c:v>
                </c:pt>
                <c:pt idx="66">
                  <c:v>0.23982957395262841</c:v>
                </c:pt>
                <c:pt idx="67">
                  <c:v>0.28274464786240894</c:v>
                </c:pt>
                <c:pt idx="68">
                  <c:v>0.28274464786240894</c:v>
                </c:pt>
                <c:pt idx="69">
                  <c:v>0.28274464786240894</c:v>
                </c:pt>
                <c:pt idx="70">
                  <c:v>0.28274464786240894</c:v>
                </c:pt>
                <c:pt idx="71">
                  <c:v>0.28274464786240894</c:v>
                </c:pt>
                <c:pt idx="72">
                  <c:v>0.28274464786240894</c:v>
                </c:pt>
                <c:pt idx="73">
                  <c:v>0.28274464786240894</c:v>
                </c:pt>
                <c:pt idx="74">
                  <c:v>0.28274464786240894</c:v>
                </c:pt>
                <c:pt idx="75">
                  <c:v>0.28274464786240894</c:v>
                </c:pt>
                <c:pt idx="76">
                  <c:v>0.28274464786240894</c:v>
                </c:pt>
                <c:pt idx="77">
                  <c:v>0.28274464786240894</c:v>
                </c:pt>
                <c:pt idx="78">
                  <c:v>0.28274464786240894</c:v>
                </c:pt>
                <c:pt idx="79">
                  <c:v>0.19468181653878211</c:v>
                </c:pt>
                <c:pt idx="80">
                  <c:v>0.19468181653878211</c:v>
                </c:pt>
                <c:pt idx="81">
                  <c:v>0.19468181653878211</c:v>
                </c:pt>
                <c:pt idx="82">
                  <c:v>0.19468181653878211</c:v>
                </c:pt>
                <c:pt idx="83">
                  <c:v>0.19468181653878211</c:v>
                </c:pt>
                <c:pt idx="84">
                  <c:v>0.19468181653878211</c:v>
                </c:pt>
                <c:pt idx="85">
                  <c:v>0.19468181653878211</c:v>
                </c:pt>
                <c:pt idx="86">
                  <c:v>0.19468181653878211</c:v>
                </c:pt>
                <c:pt idx="87">
                  <c:v>0.19468181653878211</c:v>
                </c:pt>
                <c:pt idx="88">
                  <c:v>0.19468181653878211</c:v>
                </c:pt>
                <c:pt idx="89">
                  <c:v>0.19468181653878211</c:v>
                </c:pt>
                <c:pt idx="90">
                  <c:v>0.19468181653878211</c:v>
                </c:pt>
                <c:pt idx="91">
                  <c:v>0.17055108344374856</c:v>
                </c:pt>
                <c:pt idx="92">
                  <c:v>0.17055108344374856</c:v>
                </c:pt>
                <c:pt idx="93">
                  <c:v>0.17055108344374856</c:v>
                </c:pt>
                <c:pt idx="94">
                  <c:v>0.17055108344374856</c:v>
                </c:pt>
                <c:pt idx="95">
                  <c:v>0.17055108344374856</c:v>
                </c:pt>
                <c:pt idx="96">
                  <c:v>0.17055108344374856</c:v>
                </c:pt>
                <c:pt idx="97">
                  <c:v>0.17055108344374856</c:v>
                </c:pt>
                <c:pt idx="98">
                  <c:v>0.17055108344374856</c:v>
                </c:pt>
                <c:pt idx="99">
                  <c:v>0.17055108344374856</c:v>
                </c:pt>
                <c:pt idx="100">
                  <c:v>0.17055108344374856</c:v>
                </c:pt>
                <c:pt idx="101">
                  <c:v>0.17055108344374856</c:v>
                </c:pt>
                <c:pt idx="102">
                  <c:v>0.17055108344374856</c:v>
                </c:pt>
                <c:pt idx="103">
                  <c:v>0.20637368276437038</c:v>
                </c:pt>
                <c:pt idx="104">
                  <c:v>0.20637368276437038</c:v>
                </c:pt>
                <c:pt idx="105">
                  <c:v>0.20637368276437038</c:v>
                </c:pt>
                <c:pt idx="106">
                  <c:v>0.20637368276437038</c:v>
                </c:pt>
                <c:pt idx="107">
                  <c:v>0.20637368276437038</c:v>
                </c:pt>
                <c:pt idx="108">
                  <c:v>0.20637368276437038</c:v>
                </c:pt>
                <c:pt idx="109">
                  <c:v>0.20637368276437038</c:v>
                </c:pt>
                <c:pt idx="110">
                  <c:v>0.20637368276437038</c:v>
                </c:pt>
                <c:pt idx="111">
                  <c:v>0.20637368276437038</c:v>
                </c:pt>
                <c:pt idx="112">
                  <c:v>0.20637368276437038</c:v>
                </c:pt>
                <c:pt idx="113">
                  <c:v>0.20637368276437038</c:v>
                </c:pt>
                <c:pt idx="114">
                  <c:v>0.20637368276437038</c:v>
                </c:pt>
                <c:pt idx="115">
                  <c:v>0.22126108119031454</c:v>
                </c:pt>
                <c:pt idx="116">
                  <c:v>0.22126108119031454</c:v>
                </c:pt>
                <c:pt idx="117">
                  <c:v>0.22126108119031454</c:v>
                </c:pt>
                <c:pt idx="118">
                  <c:v>0.22126108119031454</c:v>
                </c:pt>
                <c:pt idx="119">
                  <c:v>0.22126108119031454</c:v>
                </c:pt>
                <c:pt idx="120">
                  <c:v>0.22126108119031454</c:v>
                </c:pt>
                <c:pt idx="121">
                  <c:v>0.22126108119031454</c:v>
                </c:pt>
                <c:pt idx="122">
                  <c:v>0.22126108119031454</c:v>
                </c:pt>
                <c:pt idx="123">
                  <c:v>0.22126108119031454</c:v>
                </c:pt>
                <c:pt idx="124">
                  <c:v>0.22126108119031454</c:v>
                </c:pt>
                <c:pt idx="125">
                  <c:v>0.22126108119031454</c:v>
                </c:pt>
                <c:pt idx="126">
                  <c:v>0.22126108119031454</c:v>
                </c:pt>
                <c:pt idx="127">
                  <c:v>0.15274636043110498</c:v>
                </c:pt>
                <c:pt idx="128">
                  <c:v>0.15274636043110498</c:v>
                </c:pt>
                <c:pt idx="129">
                  <c:v>0.15274636043110498</c:v>
                </c:pt>
                <c:pt idx="130">
                  <c:v>0.15274636043110498</c:v>
                </c:pt>
                <c:pt idx="131">
                  <c:v>0.15274636043110498</c:v>
                </c:pt>
                <c:pt idx="132">
                  <c:v>0.15274636043110498</c:v>
                </c:pt>
                <c:pt idx="133">
                  <c:v>0.15274636043110498</c:v>
                </c:pt>
                <c:pt idx="134">
                  <c:v>0.15274636043110498</c:v>
                </c:pt>
                <c:pt idx="135">
                  <c:v>0.15274636043110498</c:v>
                </c:pt>
                <c:pt idx="136">
                  <c:v>0.15274636043110498</c:v>
                </c:pt>
                <c:pt idx="137">
                  <c:v>0.15274636043110498</c:v>
                </c:pt>
                <c:pt idx="138">
                  <c:v>0.15274636043110498</c:v>
                </c:pt>
                <c:pt idx="139">
                  <c:v>0.47083083792860309</c:v>
                </c:pt>
                <c:pt idx="140">
                  <c:v>0.47083083792860309</c:v>
                </c:pt>
                <c:pt idx="141">
                  <c:v>0.47083083792860309</c:v>
                </c:pt>
                <c:pt idx="142">
                  <c:v>0.47083083792860309</c:v>
                </c:pt>
                <c:pt idx="143">
                  <c:v>0.47083083792860309</c:v>
                </c:pt>
                <c:pt idx="144">
                  <c:v>0.47083083792860309</c:v>
                </c:pt>
                <c:pt idx="145">
                  <c:v>0.47083083792860309</c:v>
                </c:pt>
                <c:pt idx="146">
                  <c:v>0.47083083792860309</c:v>
                </c:pt>
                <c:pt idx="147">
                  <c:v>0.47083083792860309</c:v>
                </c:pt>
                <c:pt idx="148">
                  <c:v>0.47083083792860309</c:v>
                </c:pt>
                <c:pt idx="149">
                  <c:v>0.47083083792860309</c:v>
                </c:pt>
                <c:pt idx="150">
                  <c:v>0.47083083792860309</c:v>
                </c:pt>
                <c:pt idx="151">
                  <c:v>0.11910580861619451</c:v>
                </c:pt>
                <c:pt idx="152">
                  <c:v>0.11910580861619451</c:v>
                </c:pt>
                <c:pt idx="153">
                  <c:v>0.11910580861619451</c:v>
                </c:pt>
                <c:pt idx="154">
                  <c:v>0.11910580861619451</c:v>
                </c:pt>
                <c:pt idx="155">
                  <c:v>0.11910580861619451</c:v>
                </c:pt>
                <c:pt idx="156">
                  <c:v>0.11910580861619451</c:v>
                </c:pt>
                <c:pt idx="157">
                  <c:v>0.11910580861619451</c:v>
                </c:pt>
                <c:pt idx="158">
                  <c:v>0.11910580861619451</c:v>
                </c:pt>
                <c:pt idx="159">
                  <c:v>0.11910580861619451</c:v>
                </c:pt>
                <c:pt idx="160">
                  <c:v>0.11910580861619451</c:v>
                </c:pt>
                <c:pt idx="161">
                  <c:v>0.11910580861619451</c:v>
                </c:pt>
                <c:pt idx="162">
                  <c:v>0.11910580861619451</c:v>
                </c:pt>
                <c:pt idx="163">
                  <c:v>0.13728044558701993</c:v>
                </c:pt>
                <c:pt idx="164">
                  <c:v>0.13728044558701993</c:v>
                </c:pt>
                <c:pt idx="165">
                  <c:v>0.13728044558701993</c:v>
                </c:pt>
                <c:pt idx="166">
                  <c:v>0.13728044558701993</c:v>
                </c:pt>
                <c:pt idx="167">
                  <c:v>0.13728044558701993</c:v>
                </c:pt>
                <c:pt idx="168">
                  <c:v>0.13728044558701993</c:v>
                </c:pt>
                <c:pt idx="169">
                  <c:v>0.13728044558701993</c:v>
                </c:pt>
                <c:pt idx="170">
                  <c:v>0.13728044558701993</c:v>
                </c:pt>
                <c:pt idx="171">
                  <c:v>0.13728044558701993</c:v>
                </c:pt>
                <c:pt idx="172">
                  <c:v>0.13728044558701993</c:v>
                </c:pt>
                <c:pt idx="173">
                  <c:v>0.13728044558701993</c:v>
                </c:pt>
                <c:pt idx="174">
                  <c:v>0.13728044558701993</c:v>
                </c:pt>
                <c:pt idx="175">
                  <c:v>0.1832571391284902</c:v>
                </c:pt>
                <c:pt idx="176">
                  <c:v>0.1832571391284902</c:v>
                </c:pt>
                <c:pt idx="177">
                  <c:v>0.1832571391284902</c:v>
                </c:pt>
                <c:pt idx="178">
                  <c:v>0.1832571391284902</c:v>
                </c:pt>
                <c:pt idx="179">
                  <c:v>0.1832571391284902</c:v>
                </c:pt>
                <c:pt idx="180">
                  <c:v>0.1832571391284902</c:v>
                </c:pt>
                <c:pt idx="181">
                  <c:v>0.1832571391284902</c:v>
                </c:pt>
                <c:pt idx="182">
                  <c:v>0.1832571391284902</c:v>
                </c:pt>
                <c:pt idx="183">
                  <c:v>0.1832571391284902</c:v>
                </c:pt>
                <c:pt idx="184">
                  <c:v>0.1832571391284902</c:v>
                </c:pt>
                <c:pt idx="185">
                  <c:v>0.1832571391284902</c:v>
                </c:pt>
                <c:pt idx="186">
                  <c:v>0.1832571391284902</c:v>
                </c:pt>
                <c:pt idx="187">
                  <c:v>0.29407629942014529</c:v>
                </c:pt>
                <c:pt idx="188">
                  <c:v>0.29407629942014529</c:v>
                </c:pt>
                <c:pt idx="189">
                  <c:v>0.29407629942014529</c:v>
                </c:pt>
                <c:pt idx="190">
                  <c:v>0.29407629942014529</c:v>
                </c:pt>
                <c:pt idx="191">
                  <c:v>0.29407629942014529</c:v>
                </c:pt>
                <c:pt idx="192">
                  <c:v>0.29407629942014529</c:v>
                </c:pt>
                <c:pt idx="193">
                  <c:v>0.29407629942014529</c:v>
                </c:pt>
                <c:pt idx="194">
                  <c:v>0.29407629942014529</c:v>
                </c:pt>
                <c:pt idx="195">
                  <c:v>0.29407629942014529</c:v>
                </c:pt>
                <c:pt idx="196">
                  <c:v>0.29407629942014529</c:v>
                </c:pt>
                <c:pt idx="197">
                  <c:v>0.29407629942014529</c:v>
                </c:pt>
                <c:pt idx="198">
                  <c:v>0.29407629942014529</c:v>
                </c:pt>
                <c:pt idx="199">
                  <c:v>0.16169524941210253</c:v>
                </c:pt>
                <c:pt idx="200">
                  <c:v>0.16169524941210253</c:v>
                </c:pt>
                <c:pt idx="201">
                  <c:v>0.16169524941210253</c:v>
                </c:pt>
                <c:pt idx="202">
                  <c:v>0.16169524941210253</c:v>
                </c:pt>
                <c:pt idx="203">
                  <c:v>0.16169524941210253</c:v>
                </c:pt>
                <c:pt idx="204">
                  <c:v>0.16169524941210253</c:v>
                </c:pt>
                <c:pt idx="205">
                  <c:v>0.16169524941210253</c:v>
                </c:pt>
                <c:pt idx="206">
                  <c:v>0.16169524941210253</c:v>
                </c:pt>
                <c:pt idx="207">
                  <c:v>0.16169524941210253</c:v>
                </c:pt>
                <c:pt idx="208">
                  <c:v>0.16169524941210253</c:v>
                </c:pt>
                <c:pt idx="209">
                  <c:v>0.16169524941210253</c:v>
                </c:pt>
                <c:pt idx="210">
                  <c:v>0.16169524941210253</c:v>
                </c:pt>
                <c:pt idx="211">
                  <c:v>0.13658187463906432</c:v>
                </c:pt>
                <c:pt idx="212">
                  <c:v>0.13658187463906432</c:v>
                </c:pt>
                <c:pt idx="213">
                  <c:v>0.13658187463906432</c:v>
                </c:pt>
                <c:pt idx="214">
                  <c:v>0.13658187463906432</c:v>
                </c:pt>
                <c:pt idx="215">
                  <c:v>0.13658187463906432</c:v>
                </c:pt>
                <c:pt idx="216">
                  <c:v>0.13658187463906432</c:v>
                </c:pt>
                <c:pt idx="217">
                  <c:v>0.13658187463906432</c:v>
                </c:pt>
                <c:pt idx="218">
                  <c:v>0.13658187463906432</c:v>
                </c:pt>
                <c:pt idx="219">
                  <c:v>0.13658187463906432</c:v>
                </c:pt>
                <c:pt idx="220">
                  <c:v>0.13658187463906432</c:v>
                </c:pt>
                <c:pt idx="221">
                  <c:v>0.13658187463906432</c:v>
                </c:pt>
                <c:pt idx="222">
                  <c:v>0.13658187463906432</c:v>
                </c:pt>
                <c:pt idx="223">
                  <c:v>0.30025868863301458</c:v>
                </c:pt>
                <c:pt idx="224">
                  <c:v>0.30025868863301458</c:v>
                </c:pt>
                <c:pt idx="225">
                  <c:v>0.30025868863301458</c:v>
                </c:pt>
                <c:pt idx="226">
                  <c:v>0.30025868863301458</c:v>
                </c:pt>
                <c:pt idx="227">
                  <c:v>0.30025868863301458</c:v>
                </c:pt>
                <c:pt idx="228">
                  <c:v>0.30025868863301458</c:v>
                </c:pt>
                <c:pt idx="229">
                  <c:v>0.30025868863301458</c:v>
                </c:pt>
                <c:pt idx="230">
                  <c:v>0.30025868863301458</c:v>
                </c:pt>
                <c:pt idx="231">
                  <c:v>0.30025868863301458</c:v>
                </c:pt>
                <c:pt idx="232">
                  <c:v>0.30025868863301458</c:v>
                </c:pt>
                <c:pt idx="233">
                  <c:v>0.30025868863301458</c:v>
                </c:pt>
                <c:pt idx="234">
                  <c:v>0.30025868863301458</c:v>
                </c:pt>
                <c:pt idx="235">
                  <c:v>0.30369168753336628</c:v>
                </c:pt>
                <c:pt idx="236">
                  <c:v>0.30369168753336628</c:v>
                </c:pt>
                <c:pt idx="237">
                  <c:v>0.30369168753336628</c:v>
                </c:pt>
                <c:pt idx="238">
                  <c:v>0.30369168753336628</c:v>
                </c:pt>
                <c:pt idx="239">
                  <c:v>0.30369168753336628</c:v>
                </c:pt>
                <c:pt idx="240">
                  <c:v>0.30369168753336628</c:v>
                </c:pt>
                <c:pt idx="241">
                  <c:v>0.30369168753336628</c:v>
                </c:pt>
                <c:pt idx="242">
                  <c:v>0.30369168753336628</c:v>
                </c:pt>
                <c:pt idx="243">
                  <c:v>0.30369168753336628</c:v>
                </c:pt>
                <c:pt idx="244">
                  <c:v>0.30369168753336628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E-4EA7-9B6A-053A4FBCA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35696"/>
        <c:axId val="646436024"/>
      </c:lineChart>
      <c:catAx>
        <c:axId val="6464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36024"/>
        <c:crosses val="autoZero"/>
        <c:auto val="1"/>
        <c:lblAlgn val="ctr"/>
        <c:lblOffset val="100"/>
        <c:noMultiLvlLbl val="0"/>
      </c:catAx>
      <c:valAx>
        <c:axId val="646436024"/>
        <c:scaling>
          <c:orientation val="minMax"/>
          <c:max val="1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356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BA33AD-FD75-4360-8F2F-C9AA06959ACE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54C01-7989-4DDE-855F-D9817BBDCB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3</xdr:row>
      <xdr:rowOff>114300</xdr:rowOff>
    </xdr:from>
    <xdr:to>
      <xdr:col>18</xdr:col>
      <xdr:colOff>520700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503B5-6C9A-0885-8B47-354D0FE35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19</xdr:col>
      <xdr:colOff>552450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AE22E-78BC-624B-B634-0D318F61E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114300</xdr:rowOff>
    </xdr:from>
    <xdr:to>
      <xdr:col>11</xdr:col>
      <xdr:colOff>577850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F6E25-635E-C0FF-5B31-6ABD2F7F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654050</xdr:colOff>
      <xdr:row>16</xdr:row>
      <xdr:rowOff>50800</xdr:rowOff>
    </xdr:from>
    <xdr:to>
      <xdr:col>12</xdr:col>
      <xdr:colOff>273050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ED2F7-26FF-D66D-C49F-2AE37D16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0.51541</cdr:x>
      <cdr:y>0.1181</cdr:y>
    </cdr:from>
    <cdr:to>
      <cdr:x>0.62079</cdr:x>
      <cdr:y>0.23028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72864" y="743703"/>
          <a:ext cx="914523" cy="7064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300"/>
            <a:t>Torrance</a:t>
          </a:r>
          <a:r>
            <a:rPr lang="en-US" sz="1300" baseline="0"/>
            <a:t> </a:t>
          </a:r>
        </a:p>
        <a:p xmlns:a="http://schemas.openxmlformats.org/drawingml/2006/main">
          <a:r>
            <a:rPr lang="en-US" sz="1300" baseline="0"/>
            <a:t>Refinery Fire</a:t>
          </a:r>
        </a:p>
        <a:p xmlns:a="http://schemas.openxmlformats.org/drawingml/2006/main">
          <a:r>
            <a:rPr lang="en-US" sz="1300" baseline="0"/>
            <a:t>Feb. 18, 2015</a:t>
          </a:r>
          <a:endParaRPr lang="en-US" sz="1300"/>
        </a:p>
      </cdr:txBody>
    </cdr:sp>
  </cdr:relSizeAnchor>
  <cdr:relSizeAnchor xmlns:cdr="http://schemas.openxmlformats.org/drawingml/2006/chartDrawing">
    <cdr:from>
      <cdr:x>0.64819</cdr:x>
      <cdr:y>0.12904</cdr:y>
    </cdr:from>
    <cdr:to>
      <cdr:x>0.65033</cdr:x>
      <cdr:y>0.8783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D1EC474-E14A-4C07-80B5-FA6A6117A5D0}"/>
            </a:ext>
          </a:extLst>
        </cdr:cNvPr>
        <cdr:cNvCxnSpPr/>
      </cdr:nvCxnSpPr>
      <cdr:spPr>
        <a:xfrm xmlns:a="http://schemas.openxmlformats.org/drawingml/2006/main" flipV="1">
          <a:off x="5615189" y="811030"/>
          <a:ext cx="18538" cy="4709181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0.59772</cdr:x>
      <cdr:y>0.17542</cdr:y>
    </cdr:from>
    <cdr:to>
      <cdr:x>0.65003</cdr:x>
      <cdr:y>0.19551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6048B8B3-BB8D-4695-B403-54F3C22386D8}"/>
            </a:ext>
          </a:extLst>
        </cdr:cNvPr>
        <cdr:cNvCxnSpPr/>
      </cdr:nvCxnSpPr>
      <cdr:spPr>
        <a:xfrm xmlns:a="http://schemas.openxmlformats.org/drawingml/2006/main" flipV="1">
          <a:off x="5178018" y="1102534"/>
          <a:ext cx="453156" cy="12626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0.06596</cdr:x>
      <cdr:y>0.71057</cdr:y>
    </cdr:from>
    <cdr:to>
      <cdr:x>0.97848</cdr:x>
      <cdr:y>0.71254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AA359436-F4D4-40AE-BC7F-3E3C7EA4DE1B}"/>
            </a:ext>
          </a:extLst>
        </cdr:cNvPr>
        <cdr:cNvCxnSpPr/>
      </cdr:nvCxnSpPr>
      <cdr:spPr>
        <a:xfrm xmlns:a="http://schemas.openxmlformats.org/drawingml/2006/main" flipV="1">
          <a:off x="571297" y="4466059"/>
          <a:ext cx="7903576" cy="1231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91563" cy="63103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0.06337</cdr:x>
      <cdr:y>0.72881</cdr:y>
    </cdr:from>
    <cdr:to>
      <cdr:x>0.99553</cdr:x>
      <cdr:y>0.7317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AEC6B0CC-9F36-4617-A6BC-B0E8751B1EF5}"/>
            </a:ext>
          </a:extLst>
        </cdr:cNvPr>
        <cdr:cNvCxnSpPr/>
      </cdr:nvCxnSpPr>
      <cdr:spPr>
        <a:xfrm xmlns:a="http://schemas.openxmlformats.org/drawingml/2006/main" flipV="1">
          <a:off x="549217" y="4585573"/>
          <a:ext cx="8079027" cy="1816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dnav/pet/pet_pri_gnd_dcus_nus_w.htm" TargetMode="External"/><Relationship Id="rId13" Type="http://schemas.openxmlformats.org/officeDocument/2006/relationships/hyperlink" Target="http://www.cdtfa.ca.gov/taxes-and-fees/sales-tax-rates-for-fuels.htm" TargetMode="External"/><Relationship Id="rId18" Type="http://schemas.openxmlformats.org/officeDocument/2006/relationships/hyperlink" Target="http://www.api.org/oil-and-natural-gas/consumer-information/motor-fuel-taxes/gasoline-tax" TargetMode="External"/><Relationship Id="rId3" Type="http://schemas.openxmlformats.org/officeDocument/2006/relationships/hyperlink" Target="http://www.boe.ca.gov/sptaxprog/motor_vehicle_fuel_tax.htm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www.eia.gov/dnav/pet/pet_pri_gnd_dcus_nus_w.htm" TargetMode="External"/><Relationship Id="rId12" Type="http://schemas.openxmlformats.org/officeDocument/2006/relationships/hyperlink" Target="https://www.arb.ca.gov/cc/capandtrade/auction/auction.htm" TargetMode="External"/><Relationship Id="rId17" Type="http://schemas.openxmlformats.org/officeDocument/2006/relationships/hyperlink" Target="https://www.eia.gov/dnav/pet/hist/LeafHandler.ashx?n=pet&amp;s=emm_epmr_pte_nus_dpg&amp;f=m" TargetMode="External"/><Relationship Id="rId2" Type="http://schemas.openxmlformats.org/officeDocument/2006/relationships/hyperlink" Target="http://www.boe.ca.gov/sptaxprog/motor_vehicle_fuel_tax.htm" TargetMode="External"/><Relationship Id="rId16" Type="http://schemas.openxmlformats.org/officeDocument/2006/relationships/hyperlink" Target="https://www.eia.gov/dnav/pet/hist/LeafHandler.ashx?n=PET&amp;s=RBRTE&amp;f=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boe.ca.gov/sptaxprog/motor_vehicle_fuel_tax.htm" TargetMode="External"/><Relationship Id="rId6" Type="http://schemas.openxmlformats.org/officeDocument/2006/relationships/hyperlink" Target="https://www.eia.gov/dnav/pet/pet_pri_gnd_dcus_nus_w.htm" TargetMode="External"/><Relationship Id="rId11" Type="http://schemas.openxmlformats.org/officeDocument/2006/relationships/hyperlink" Target="https://www.eia.gov/tools/faqs/faq.php?id=10&amp;t=10" TargetMode="External"/><Relationship Id="rId5" Type="http://schemas.openxmlformats.org/officeDocument/2006/relationships/hyperlink" Target="http://www.taxpolicycenter.org/statistics/state-motor-fuels-tax-rates-2000-2011-2013-2017" TargetMode="External"/><Relationship Id="rId15" Type="http://schemas.openxmlformats.org/officeDocument/2006/relationships/hyperlink" Target="https://stillwaterassociates.com/lcfs-credit-and-price-trends/" TargetMode="External"/><Relationship Id="rId10" Type="http://schemas.openxmlformats.org/officeDocument/2006/relationships/hyperlink" Target="https://www.eia.gov/dnav/pet/hist/LeafHandler.ashx?n=pet&amp;s=emm_epmr_pte_sca_dpg&amp;f=m" TargetMode="External"/><Relationship Id="rId19" Type="http://schemas.openxmlformats.org/officeDocument/2006/relationships/hyperlink" Target="https://www.cdtfa.ca.gov/taxes-and-fees/tax-rates-stfd.htm" TargetMode="External"/><Relationship Id="rId4" Type="http://schemas.openxmlformats.org/officeDocument/2006/relationships/hyperlink" Target="http://www.boe.ca.gov/sptaxprog/motor_vehicle_fuel_tax.htm" TargetMode="External"/><Relationship Id="rId9" Type="http://schemas.openxmlformats.org/officeDocument/2006/relationships/hyperlink" Target="https://www.eia.gov/dnav/pet/pet_pri_gnd_dcus_nus_w.htm" TargetMode="External"/><Relationship Id="rId14" Type="http://schemas.openxmlformats.org/officeDocument/2006/relationships/hyperlink" Target="http://www.cdtfa.ca.gov/taxes-and-fees/sales-tax-rates-for-fuels.htm" TargetMode="Externa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dnav/pet/hist/LeafHandler.ashx?n=pet&amp;s=eer_epmru_pf4_y35ny_dpg&amp;f=m" TargetMode="External"/><Relationship Id="rId2" Type="http://schemas.openxmlformats.org/officeDocument/2006/relationships/hyperlink" Target="https://www.eia.gov/dnav/pet/hist/LeafHandler.ashx?n=PET&amp;s=EMA_EPMR_PRG_NUS_DPG&amp;f=M" TargetMode="External"/><Relationship Id="rId1" Type="http://schemas.openxmlformats.org/officeDocument/2006/relationships/hyperlink" Target="https://www.eia.gov/dnav/pet/hist/LeafHandler.ashx?n=PET&amp;s=RBRTE&amp;f=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Z332"/>
  <sheetViews>
    <sheetView tabSelected="1" workbookViewId="0">
      <pane xSplit="5" ySplit="5" topLeftCell="I6" activePane="bottomRight" state="frozen"/>
      <selection pane="topRight" activeCell="F1" sqref="F1"/>
      <selection pane="bottomLeft" activeCell="A6" sqref="A6"/>
      <selection pane="bottomRight" activeCell="K4" sqref="K4"/>
    </sheetView>
  </sheetViews>
  <sheetFormatPr baseColWidth="10" defaultColWidth="9.1640625" defaultRowHeight="15"/>
  <cols>
    <col min="1" max="2" width="9.1640625" style="2"/>
    <col min="3" max="3" width="11.5" style="28" bestFit="1" customWidth="1"/>
    <col min="4" max="5" width="9.1640625" style="2"/>
    <col min="6" max="6" width="9.1640625" style="4"/>
    <col min="7" max="7" width="9.1640625" style="2"/>
    <col min="8" max="8" width="9.1640625" style="4"/>
    <col min="9" max="9" width="9.1640625" style="2"/>
    <col min="10" max="10" width="9.1640625" style="4"/>
    <col min="11" max="11" width="9.1640625" style="2"/>
    <col min="12" max="12" width="8.6640625" style="4" customWidth="1"/>
    <col min="13" max="14" width="1.6640625" style="4" hidden="1" customWidth="1"/>
    <col min="15" max="15" width="8.6640625" style="4" customWidth="1"/>
    <col min="16" max="20" width="9.5" style="4" customWidth="1"/>
    <col min="21" max="23" width="8.6640625" style="4" customWidth="1"/>
    <col min="24" max="24" width="8.6640625" style="2" customWidth="1"/>
    <col min="25" max="25" width="8.6640625" style="4" customWidth="1"/>
    <col min="26" max="29" width="9.1640625" style="4"/>
    <col min="30" max="30" width="11.5" style="4" customWidth="1"/>
    <col min="31" max="31" width="9.1640625" style="4"/>
    <col min="32" max="32" width="11" style="4" customWidth="1"/>
    <col min="33" max="33" width="11.6640625" style="4" customWidth="1"/>
    <col min="34" max="34" width="13.6640625" style="12" customWidth="1"/>
    <col min="35" max="36" width="8.6640625" style="12" customWidth="1"/>
    <col min="37" max="37" width="15.6640625" style="24" customWidth="1"/>
    <col min="38" max="38" width="9.1640625" style="2"/>
    <col min="39" max="39" width="14.1640625" style="46" customWidth="1"/>
    <col min="40" max="40" width="18.1640625" style="4" customWidth="1"/>
    <col min="41" max="41" width="9.1640625" style="4"/>
    <col min="42" max="42" width="13.6640625" style="54" customWidth="1"/>
    <col min="43" max="43" width="9.1640625" style="4"/>
    <col min="44" max="44" width="9.1640625" style="16"/>
    <col min="45" max="45" width="9.1640625" style="93"/>
    <col min="46" max="48" width="9.1640625" style="2"/>
    <col min="49" max="49" width="9.1640625" style="4"/>
    <col min="50" max="50" width="9.1640625" style="2"/>
    <col min="51" max="51" width="10.5" style="2" bestFit="1" customWidth="1"/>
    <col min="52" max="16384" width="9.1640625" style="2"/>
  </cols>
  <sheetData>
    <row r="2" spans="1:52">
      <c r="L2" s="17" t="s">
        <v>13</v>
      </c>
      <c r="M2" s="17" t="s">
        <v>13</v>
      </c>
      <c r="N2" s="17" t="s">
        <v>13</v>
      </c>
      <c r="O2" s="17" t="s">
        <v>13</v>
      </c>
      <c r="S2" s="17" t="s">
        <v>15</v>
      </c>
      <c r="T2" s="17"/>
      <c r="U2" s="17" t="s">
        <v>14</v>
      </c>
      <c r="V2" s="17" t="s">
        <v>14</v>
      </c>
      <c r="W2" s="17" t="s">
        <v>14</v>
      </c>
      <c r="X2" s="6" t="s">
        <v>14</v>
      </c>
      <c r="Y2" s="17"/>
    </row>
    <row r="3" spans="1:52" ht="30" customHeight="1">
      <c r="L3" s="21" t="s">
        <v>5</v>
      </c>
      <c r="M3" s="21" t="s">
        <v>10</v>
      </c>
      <c r="N3" s="21" t="s">
        <v>6</v>
      </c>
      <c r="O3" s="18" t="s">
        <v>1</v>
      </c>
      <c r="P3" s="18"/>
      <c r="Q3" s="18"/>
      <c r="R3" s="18"/>
      <c r="S3" s="18" t="s">
        <v>16</v>
      </c>
      <c r="T3" s="18"/>
    </row>
    <row r="4" spans="1:52" ht="180" customHeight="1">
      <c r="D4" s="5" t="s">
        <v>0</v>
      </c>
      <c r="E4" s="5" t="s">
        <v>3</v>
      </c>
      <c r="F4" s="23" t="s">
        <v>90</v>
      </c>
      <c r="G4" s="5" t="s">
        <v>75</v>
      </c>
      <c r="H4" s="23" t="s">
        <v>74</v>
      </c>
      <c r="I4" s="5" t="s">
        <v>73</v>
      </c>
      <c r="J4" s="23" t="s">
        <v>72</v>
      </c>
      <c r="K4" s="5" t="s">
        <v>69</v>
      </c>
      <c r="L4" s="22" t="s">
        <v>4</v>
      </c>
      <c r="M4" s="22" t="s">
        <v>11</v>
      </c>
      <c r="N4" s="22" t="s">
        <v>7</v>
      </c>
      <c r="O4" s="19" t="s">
        <v>25</v>
      </c>
      <c r="P4" s="19" t="s">
        <v>20</v>
      </c>
      <c r="Q4" s="19" t="s">
        <v>104</v>
      </c>
      <c r="R4" s="19" t="s">
        <v>105</v>
      </c>
      <c r="S4" s="19" t="s">
        <v>12</v>
      </c>
      <c r="T4" s="19" t="s">
        <v>47</v>
      </c>
      <c r="U4" s="23" t="s">
        <v>2</v>
      </c>
      <c r="V4" s="23" t="s">
        <v>8</v>
      </c>
      <c r="W4" s="23" t="s">
        <v>9</v>
      </c>
      <c r="X4" s="5" t="s">
        <v>21</v>
      </c>
      <c r="Y4" s="23" t="s">
        <v>44</v>
      </c>
      <c r="Z4" s="9" t="s">
        <v>46</v>
      </c>
      <c r="AA4" s="9" t="s">
        <v>41</v>
      </c>
      <c r="AB4" s="4" t="s">
        <v>19</v>
      </c>
      <c r="AC4" s="9" t="s">
        <v>17</v>
      </c>
      <c r="AD4" s="9" t="s">
        <v>45</v>
      </c>
      <c r="AE4" s="9" t="s">
        <v>22</v>
      </c>
      <c r="AF4" s="9" t="s">
        <v>23</v>
      </c>
      <c r="AG4" s="9" t="s">
        <v>38</v>
      </c>
      <c r="AH4" s="12" t="s">
        <v>24</v>
      </c>
      <c r="AI4" s="27" t="s">
        <v>40</v>
      </c>
      <c r="AJ4" s="27" t="s">
        <v>101</v>
      </c>
      <c r="AK4" s="25" t="s">
        <v>26</v>
      </c>
      <c r="AL4" s="2" t="s">
        <v>18</v>
      </c>
      <c r="AM4" s="45" t="s">
        <v>51</v>
      </c>
      <c r="AN4" s="9" t="s">
        <v>53</v>
      </c>
      <c r="AO4" s="9" t="s">
        <v>102</v>
      </c>
      <c r="AP4" s="109" t="s">
        <v>103</v>
      </c>
      <c r="AQ4" s="9" t="s">
        <v>43</v>
      </c>
      <c r="AR4" s="31" t="s">
        <v>52</v>
      </c>
      <c r="AS4" s="94" t="s">
        <v>88</v>
      </c>
      <c r="AT4" s="8" t="s">
        <v>89</v>
      </c>
      <c r="AU4" s="8" t="s">
        <v>36</v>
      </c>
      <c r="AV4" s="8" t="s">
        <v>37</v>
      </c>
      <c r="AW4" s="9" t="s">
        <v>82</v>
      </c>
      <c r="AY4" s="91" t="s">
        <v>85</v>
      </c>
      <c r="AZ4" s="91" t="s">
        <v>86</v>
      </c>
    </row>
    <row r="5" spans="1:52" ht="100" customHeight="1">
      <c r="D5" s="5"/>
      <c r="E5" s="5"/>
      <c r="F5" s="23"/>
      <c r="G5" s="5"/>
      <c r="H5" s="23"/>
      <c r="I5" s="5"/>
      <c r="J5" s="23"/>
      <c r="K5" s="41" t="s">
        <v>70</v>
      </c>
      <c r="L5" s="39" t="s">
        <v>27</v>
      </c>
      <c r="M5" s="22"/>
      <c r="N5" s="22"/>
      <c r="O5" s="39" t="s">
        <v>28</v>
      </c>
      <c r="P5" s="19"/>
      <c r="Q5" s="19"/>
      <c r="R5" s="19"/>
      <c r="S5" s="40" t="s">
        <v>31</v>
      </c>
      <c r="T5" s="19"/>
      <c r="U5" s="30" t="s">
        <v>31</v>
      </c>
      <c r="V5" s="41" t="s">
        <v>49</v>
      </c>
      <c r="W5" s="112" t="s">
        <v>71</v>
      </c>
      <c r="X5" s="41" t="s">
        <v>49</v>
      </c>
      <c r="Y5" s="30"/>
      <c r="Z5" s="41" t="s">
        <v>48</v>
      </c>
      <c r="AA5" s="81" t="s">
        <v>50</v>
      </c>
      <c r="AB5" s="9" t="s">
        <v>35</v>
      </c>
      <c r="AC5" s="9"/>
      <c r="AD5" s="9"/>
      <c r="AE5" s="9"/>
      <c r="AF5" s="9"/>
      <c r="AG5" s="9"/>
      <c r="AH5" s="27" t="s">
        <v>34</v>
      </c>
      <c r="AI5" s="27"/>
      <c r="AJ5" s="27"/>
      <c r="AK5" s="25"/>
      <c r="AL5" s="8" t="s">
        <v>32</v>
      </c>
      <c r="AM5" s="45"/>
      <c r="AN5" s="9"/>
      <c r="AO5" s="9"/>
      <c r="AP5" s="109"/>
      <c r="AQ5" s="9"/>
      <c r="AR5" s="31"/>
      <c r="AS5" s="94"/>
      <c r="AT5" s="8"/>
      <c r="AU5" s="8"/>
    </row>
    <row r="6" spans="1:52">
      <c r="B6" s="26" t="s">
        <v>33</v>
      </c>
      <c r="C6" s="29"/>
      <c r="D6" s="2">
        <v>2000</v>
      </c>
      <c r="E6" s="2">
        <v>1</v>
      </c>
      <c r="K6" s="85">
        <v>25.51</v>
      </c>
      <c r="L6" s="4">
        <v>1.2889999999999999</v>
      </c>
      <c r="M6" s="1">
        <v>1.2789999999999999</v>
      </c>
      <c r="N6" s="1">
        <v>1.3169999999999999</v>
      </c>
      <c r="O6" s="1">
        <v>1.3680000000000001</v>
      </c>
      <c r="P6" s="4">
        <f t="shared" ref="P6:P69" si="0">(L6-0.1*O6)/0.9</f>
        <v>1.2802222222222222</v>
      </c>
      <c r="Q6" s="4">
        <f t="shared" ref="Q6:Q69" si="1">O6*$AL$291/$AL6</f>
        <v>2.4934474407582936</v>
      </c>
      <c r="R6" s="4">
        <f t="shared" ref="R6:R69" si="2">P6*$AL$291/$AL6</f>
        <v>2.3334552804107425</v>
      </c>
      <c r="S6" s="4">
        <v>0.19900000000000001</v>
      </c>
      <c r="T6" s="4">
        <f>(S6-0.1*(V6+Y6))/0.9</f>
        <v>0.19083605283605284</v>
      </c>
      <c r="U6" s="4">
        <v>0.184</v>
      </c>
      <c r="V6" s="4">
        <v>0.18</v>
      </c>
      <c r="W6" s="4">
        <v>1.2E-2</v>
      </c>
      <c r="X6" s="3">
        <v>7.2499999999999995E-2</v>
      </c>
      <c r="Y6" s="4">
        <f>(X6/(1+X6))*O6</f>
        <v>9.2475524475524484E-2</v>
      </c>
      <c r="Z6" s="4">
        <v>0</v>
      </c>
      <c r="AB6" s="4">
        <v>0</v>
      </c>
      <c r="AC6" s="4">
        <f t="shared" ref="AC6:AC69" si="3">V6+W6+(X6/(1+X6))*O6</f>
        <v>0.28447552447552449</v>
      </c>
      <c r="AD6" s="4">
        <f>U6+V6+W6+Y6+Z6+AB6</f>
        <v>0.46847552447552449</v>
      </c>
      <c r="AE6" s="4">
        <v>0.1</v>
      </c>
      <c r="AF6" s="4">
        <f>(O6-Z6-AB6-AC6-AE6)-(P6-T6)</f>
        <v>-0.10586169386169375</v>
      </c>
      <c r="AG6" s="4">
        <f t="shared" ref="AG6:AG69" si="4">(O6-P6-AF6)</f>
        <v>0.19363947163947171</v>
      </c>
      <c r="AL6">
        <v>168.8</v>
      </c>
      <c r="AM6" s="95">
        <f t="shared" ref="AM6:AM69" si="5">AL6/AL$291</f>
        <v>0.54863799318102779</v>
      </c>
      <c r="AN6" s="1">
        <f t="shared" ref="AN6:AN69" si="6">AF6/AM6</f>
        <v>-0.19295363277322972</v>
      </c>
      <c r="AO6" s="1"/>
      <c r="AP6" s="110"/>
      <c r="AQ6" s="1">
        <f>AVERAGE(AN6:AN17)</f>
        <v>-1.7797892532486547E-2</v>
      </c>
      <c r="AR6" s="15"/>
      <c r="AS6" s="7">
        <v>31</v>
      </c>
      <c r="AT6"/>
      <c r="AW6" s="4">
        <f t="shared" ref="AW6:AW69" si="7">O6*(AM$282/AM6)</f>
        <v>2.424553080568721</v>
      </c>
      <c r="AY6" s="4"/>
      <c r="AZ6" s="1" t="e">
        <f>AVERAGE($AY6:$AY17)</f>
        <v>#DIV/0!</v>
      </c>
    </row>
    <row r="7" spans="1:52">
      <c r="D7" s="2">
        <v>2000</v>
      </c>
      <c r="E7" s="2">
        <v>2</v>
      </c>
      <c r="K7" s="85">
        <v>27.78</v>
      </c>
      <c r="L7" s="4">
        <v>1.377</v>
      </c>
      <c r="M7" s="1">
        <v>1.371</v>
      </c>
      <c r="N7" s="1">
        <v>1.391</v>
      </c>
      <c r="O7" s="1">
        <v>1.448</v>
      </c>
      <c r="P7" s="4">
        <f t="shared" si="0"/>
        <v>1.3691111111111109</v>
      </c>
      <c r="Q7" s="4">
        <f t="shared" si="1"/>
        <v>2.6237197173144873</v>
      </c>
      <c r="R7" s="4">
        <f t="shared" si="2"/>
        <v>2.4807761170003921</v>
      </c>
      <c r="S7" s="4">
        <v>0.19900000000000001</v>
      </c>
      <c r="T7" s="4">
        <f t="shared" ref="T7:T70" si="8">(S7-0.1*(V7+Y7))/0.9</f>
        <v>0.19023517223517225</v>
      </c>
      <c r="U7" s="4">
        <v>0.184</v>
      </c>
      <c r="V7" s="4">
        <v>0.18</v>
      </c>
      <c r="W7" s="4">
        <v>1.2E-2</v>
      </c>
      <c r="X7" s="3">
        <v>7.2499999999999995E-2</v>
      </c>
      <c r="Y7" s="4">
        <f t="shared" ref="Y7:Y70" si="9">(X7/(1+X7))*O7</f>
        <v>9.788344988344988E-2</v>
      </c>
      <c r="Z7" s="4">
        <v>0</v>
      </c>
      <c r="AB7" s="4">
        <v>0</v>
      </c>
      <c r="AC7" s="4">
        <f t="shared" si="3"/>
        <v>0.28988344988344988</v>
      </c>
      <c r="AD7" s="4">
        <f t="shared" ref="AD7:AD70" si="10">U7+V7+W7+Y7+Z7+AB7</f>
        <v>0.47388344988344988</v>
      </c>
      <c r="AE7" s="4">
        <v>0.1</v>
      </c>
      <c r="AF7" s="4">
        <f t="shared" ref="AF7:AF70" si="11">(O7-Z7-AB7-AC7-AE7)-(P7-T7)</f>
        <v>-0.12075938875938874</v>
      </c>
      <c r="AG7" s="4">
        <f t="shared" si="4"/>
        <v>0.19964827764827775</v>
      </c>
      <c r="AL7">
        <v>169.8</v>
      </c>
      <c r="AM7" s="95">
        <f t="shared" si="5"/>
        <v>0.55188821825911449</v>
      </c>
      <c r="AN7" s="1">
        <f t="shared" si="6"/>
        <v>-0.21881131860418074</v>
      </c>
      <c r="AO7" s="1"/>
      <c r="AP7" s="110"/>
      <c r="AQ7" s="1">
        <f>AQ6</f>
        <v>-1.7797892532486547E-2</v>
      </c>
      <c r="AR7" s="15"/>
      <c r="AS7" s="7">
        <v>29</v>
      </c>
      <c r="AT7"/>
      <c r="AW7" s="4">
        <f t="shared" si="7"/>
        <v>2.5512259128386332</v>
      </c>
      <c r="AY7" s="4"/>
      <c r="AZ7" s="1" t="e">
        <f t="shared" ref="AZ7:AZ17" si="12">AZ6</f>
        <v>#DIV/0!</v>
      </c>
    </row>
    <row r="8" spans="1:52">
      <c r="D8" s="2">
        <v>2000</v>
      </c>
      <c r="E8" s="2">
        <v>3</v>
      </c>
      <c r="K8" s="85">
        <v>27.49</v>
      </c>
      <c r="L8" s="4">
        <v>1.516</v>
      </c>
      <c r="M8" s="1">
        <v>1.498</v>
      </c>
      <c r="N8" s="1">
        <v>1.57</v>
      </c>
      <c r="O8" s="1">
        <v>1.752</v>
      </c>
      <c r="P8" s="4">
        <f t="shared" si="0"/>
        <v>1.4897777777777776</v>
      </c>
      <c r="Q8" s="4">
        <f t="shared" si="1"/>
        <v>3.1485957476635513</v>
      </c>
      <c r="R8" s="4">
        <f t="shared" si="2"/>
        <v>2.6773447352024919</v>
      </c>
      <c r="S8" s="4">
        <v>0.19900000000000001</v>
      </c>
      <c r="T8" s="4">
        <f t="shared" si="8"/>
        <v>0.18795182595182597</v>
      </c>
      <c r="U8" s="4">
        <v>0.184</v>
      </c>
      <c r="V8" s="4">
        <v>0.18</v>
      </c>
      <c r="W8" s="4">
        <v>1.2E-2</v>
      </c>
      <c r="X8" s="3">
        <v>7.2499999999999995E-2</v>
      </c>
      <c r="Y8" s="4">
        <f t="shared" si="9"/>
        <v>0.11843356643356644</v>
      </c>
      <c r="Z8" s="4">
        <v>0</v>
      </c>
      <c r="AB8" s="4">
        <v>0</v>
      </c>
      <c r="AC8" s="4">
        <f t="shared" si="3"/>
        <v>0.31043356643356645</v>
      </c>
      <c r="AD8" s="4">
        <f t="shared" si="10"/>
        <v>0.49443356643356645</v>
      </c>
      <c r="AE8" s="4">
        <v>0.1</v>
      </c>
      <c r="AF8" s="4">
        <f t="shared" si="11"/>
        <v>3.9740481740481837E-2</v>
      </c>
      <c r="AG8" s="4">
        <f t="shared" si="4"/>
        <v>0.22248174048174052</v>
      </c>
      <c r="AL8">
        <v>171.2</v>
      </c>
      <c r="AM8" s="95">
        <f t="shared" si="5"/>
        <v>0.55643853336843574</v>
      </c>
      <c r="AN8" s="1">
        <f t="shared" si="6"/>
        <v>7.1419356060606232E-2</v>
      </c>
      <c r="AO8" s="1"/>
      <c r="AP8" s="110"/>
      <c r="AQ8" s="1">
        <f t="shared" ref="AQ8:AQ17" si="13">AQ7</f>
        <v>-1.7797892532486547E-2</v>
      </c>
      <c r="AR8" s="15"/>
      <c r="AS8" s="7">
        <v>31</v>
      </c>
      <c r="AT8"/>
      <c r="AW8" s="4">
        <f t="shared" si="7"/>
        <v>3.0615995327102805</v>
      </c>
      <c r="AY8" s="4"/>
      <c r="AZ8" s="1" t="e">
        <f t="shared" si="12"/>
        <v>#DIV/0!</v>
      </c>
    </row>
    <row r="9" spans="1:52">
      <c r="D9" s="2">
        <v>2000</v>
      </c>
      <c r="E9" s="2">
        <v>4</v>
      </c>
      <c r="K9" s="85">
        <v>22.76</v>
      </c>
      <c r="L9" s="4">
        <v>1.4650000000000001</v>
      </c>
      <c r="M9" s="1">
        <v>1.4370000000000001</v>
      </c>
      <c r="N9" s="1">
        <v>1.5509999999999999</v>
      </c>
      <c r="O9" s="1">
        <v>1.75</v>
      </c>
      <c r="P9" s="4">
        <f t="shared" si="0"/>
        <v>1.4333333333333333</v>
      </c>
      <c r="Q9" s="4">
        <f t="shared" si="1"/>
        <v>3.1431654991243434</v>
      </c>
      <c r="R9" s="4">
        <f t="shared" si="2"/>
        <v>2.5744022183304143</v>
      </c>
      <c r="S9" s="4">
        <v>0.19900000000000001</v>
      </c>
      <c r="T9" s="4">
        <f t="shared" si="8"/>
        <v>0.18796684796684796</v>
      </c>
      <c r="U9" s="4">
        <v>0.184</v>
      </c>
      <c r="V9" s="4">
        <v>0.18</v>
      </c>
      <c r="W9" s="4">
        <v>1.2E-2</v>
      </c>
      <c r="X9" s="3">
        <v>7.2499999999999995E-2</v>
      </c>
      <c r="Y9" s="4">
        <f t="shared" si="9"/>
        <v>0.1182983682983683</v>
      </c>
      <c r="Z9" s="4">
        <v>0</v>
      </c>
      <c r="AB9" s="4">
        <v>0</v>
      </c>
      <c r="AC9" s="4">
        <f t="shared" si="3"/>
        <v>0.31029836829836832</v>
      </c>
      <c r="AD9" s="4">
        <f t="shared" si="10"/>
        <v>0.49429836829836832</v>
      </c>
      <c r="AE9" s="4">
        <v>0.1</v>
      </c>
      <c r="AF9" s="4">
        <f t="shared" si="11"/>
        <v>9.433514633514628E-2</v>
      </c>
      <c r="AG9" s="4">
        <f t="shared" si="4"/>
        <v>0.22233152033152037</v>
      </c>
      <c r="AL9">
        <v>171.3</v>
      </c>
      <c r="AM9" s="95">
        <f t="shared" si="5"/>
        <v>0.55676355587624449</v>
      </c>
      <c r="AN9" s="1">
        <f t="shared" si="6"/>
        <v>0.16943484418027313</v>
      </c>
      <c r="AO9" s="1"/>
      <c r="AP9" s="110"/>
      <c r="AQ9" s="1">
        <f t="shared" si="13"/>
        <v>-1.7797892532486547E-2</v>
      </c>
      <c r="AR9" s="15"/>
      <c r="AS9" s="7">
        <v>30</v>
      </c>
      <c r="AT9"/>
      <c r="AW9" s="4">
        <f t="shared" si="7"/>
        <v>3.0563193228254519</v>
      </c>
      <c r="AY9" s="4"/>
      <c r="AZ9" s="1" t="e">
        <f t="shared" si="12"/>
        <v>#DIV/0!</v>
      </c>
    </row>
    <row r="10" spans="1:52">
      <c r="D10" s="2">
        <v>2000</v>
      </c>
      <c r="E10" s="2">
        <v>5</v>
      </c>
      <c r="K10" s="85">
        <v>27.74</v>
      </c>
      <c r="L10" s="4">
        <v>1.4870000000000001</v>
      </c>
      <c r="M10" s="1">
        <v>1.456</v>
      </c>
      <c r="N10" s="1">
        <v>1.5620000000000001</v>
      </c>
      <c r="O10" s="1">
        <v>1.651</v>
      </c>
      <c r="P10" s="4">
        <f t="shared" si="0"/>
        <v>1.4687777777777777</v>
      </c>
      <c r="Q10" s="4">
        <f t="shared" si="1"/>
        <v>2.961894</v>
      </c>
      <c r="R10" s="4">
        <f t="shared" si="2"/>
        <v>2.6349873333333336</v>
      </c>
      <c r="S10" s="4">
        <v>0.19900000000000001</v>
      </c>
      <c r="T10" s="4">
        <f t="shared" si="8"/>
        <v>0.18871043771043772</v>
      </c>
      <c r="U10" s="4">
        <v>0.184</v>
      </c>
      <c r="V10" s="4">
        <v>0.18</v>
      </c>
      <c r="W10" s="4">
        <v>1.2E-2</v>
      </c>
      <c r="X10" s="3">
        <v>7.2499999999999995E-2</v>
      </c>
      <c r="Y10" s="4">
        <f t="shared" si="9"/>
        <v>0.11160606060606061</v>
      </c>
      <c r="Z10" s="4">
        <v>0</v>
      </c>
      <c r="AB10" s="4">
        <v>0</v>
      </c>
      <c r="AC10" s="4">
        <f t="shared" si="3"/>
        <v>0.3036060606060606</v>
      </c>
      <c r="AD10" s="4">
        <f t="shared" si="10"/>
        <v>0.4876060606060606</v>
      </c>
      <c r="AE10" s="4">
        <v>0.1</v>
      </c>
      <c r="AF10" s="4">
        <f t="shared" si="11"/>
        <v>-3.2673400673400632E-2</v>
      </c>
      <c r="AG10" s="4">
        <f t="shared" si="4"/>
        <v>0.21489562289562292</v>
      </c>
      <c r="AL10">
        <v>171.5</v>
      </c>
      <c r="AM10" s="95">
        <f t="shared" si="5"/>
        <v>0.55741360089186176</v>
      </c>
      <c r="AN10" s="1">
        <f t="shared" si="6"/>
        <v>-5.8616080808080735E-2</v>
      </c>
      <c r="AO10" s="1"/>
      <c r="AP10" s="110"/>
      <c r="AQ10" s="1">
        <f t="shared" si="13"/>
        <v>-1.7797892532486547E-2</v>
      </c>
      <c r="AR10" s="15"/>
      <c r="AS10" s="7">
        <v>31</v>
      </c>
      <c r="AT10"/>
      <c r="AW10" s="4">
        <f t="shared" si="7"/>
        <v>2.8800563848396501</v>
      </c>
      <c r="AY10" s="4"/>
      <c r="AZ10" s="1" t="e">
        <f t="shared" si="12"/>
        <v>#DIV/0!</v>
      </c>
    </row>
    <row r="11" spans="1:52">
      <c r="A11" s="2">
        <v>2000</v>
      </c>
      <c r="B11" s="2">
        <f>D11</f>
        <v>2000</v>
      </c>
      <c r="D11" s="2">
        <v>2000</v>
      </c>
      <c r="E11" s="2">
        <v>6</v>
      </c>
      <c r="K11" s="85">
        <v>29.8</v>
      </c>
      <c r="L11" s="4">
        <v>1.633</v>
      </c>
      <c r="M11" s="1">
        <v>1.6120000000000001</v>
      </c>
      <c r="N11" s="1">
        <v>1.667</v>
      </c>
      <c r="O11" s="1">
        <v>1.6220000000000001</v>
      </c>
      <c r="P11" s="4">
        <f t="shared" si="0"/>
        <v>1.6342222222222222</v>
      </c>
      <c r="Q11" s="4">
        <f t="shared" si="1"/>
        <v>2.8946772737819026</v>
      </c>
      <c r="R11" s="4">
        <f t="shared" si="2"/>
        <v>2.9164894740912604</v>
      </c>
      <c r="S11" s="4">
        <v>0.19900000000000001</v>
      </c>
      <c r="T11" s="4">
        <f t="shared" si="8"/>
        <v>0.18892825692825693</v>
      </c>
      <c r="U11" s="4">
        <v>0.184</v>
      </c>
      <c r="V11" s="4">
        <v>0.18</v>
      </c>
      <c r="W11" s="4">
        <v>1.2E-2</v>
      </c>
      <c r="X11" s="3">
        <v>7.2499999999999995E-2</v>
      </c>
      <c r="Y11" s="4">
        <f t="shared" si="9"/>
        <v>0.10964568764568765</v>
      </c>
      <c r="Z11" s="4">
        <v>0</v>
      </c>
      <c r="AB11" s="4">
        <v>0</v>
      </c>
      <c r="AC11" s="4">
        <f t="shared" si="3"/>
        <v>0.30164568764568767</v>
      </c>
      <c r="AD11" s="4">
        <f t="shared" si="10"/>
        <v>0.48564568764568766</v>
      </c>
      <c r="AE11" s="4">
        <v>0.1</v>
      </c>
      <c r="AF11" s="4">
        <f t="shared" si="11"/>
        <v>-0.22493965293965301</v>
      </c>
      <c r="AG11" s="4">
        <f t="shared" si="4"/>
        <v>0.21271743071743088</v>
      </c>
      <c r="AL11">
        <v>172.4</v>
      </c>
      <c r="AM11" s="95">
        <f t="shared" si="5"/>
        <v>0.56033880346213982</v>
      </c>
      <c r="AN11" s="1">
        <f t="shared" si="6"/>
        <v>-0.40143508097213443</v>
      </c>
      <c r="AO11" s="1"/>
      <c r="AP11" s="110"/>
      <c r="AQ11" s="1">
        <f t="shared" si="13"/>
        <v>-1.7797892532486547E-2</v>
      </c>
      <c r="AR11" s="15"/>
      <c r="AS11" s="7">
        <v>30</v>
      </c>
      <c r="AT11"/>
      <c r="AW11" s="4">
        <f t="shared" si="7"/>
        <v>2.81469686774942</v>
      </c>
      <c r="AY11" s="4"/>
      <c r="AZ11" s="1" t="e">
        <f t="shared" si="12"/>
        <v>#DIV/0!</v>
      </c>
    </row>
    <row r="12" spans="1:52">
      <c r="D12" s="2">
        <v>2000</v>
      </c>
      <c r="E12" s="2">
        <v>7</v>
      </c>
      <c r="K12" s="85">
        <v>28.68</v>
      </c>
      <c r="L12" s="4">
        <v>1.5509999999999999</v>
      </c>
      <c r="M12" s="1">
        <v>1.5289999999999999</v>
      </c>
      <c r="N12" s="1">
        <v>1.6160000000000001</v>
      </c>
      <c r="O12" s="1">
        <v>1.71</v>
      </c>
      <c r="P12" s="4">
        <f t="shared" si="0"/>
        <v>1.5333333333333332</v>
      </c>
      <c r="Q12" s="4">
        <f t="shared" si="1"/>
        <v>3.0446609374999993</v>
      </c>
      <c r="R12" s="4">
        <f t="shared" si="2"/>
        <v>2.7301053240740738</v>
      </c>
      <c r="S12" s="4">
        <v>0.19900000000000001</v>
      </c>
      <c r="T12" s="4">
        <f t="shared" si="8"/>
        <v>0.18826728826728825</v>
      </c>
      <c r="U12" s="4">
        <v>0.184</v>
      </c>
      <c r="V12" s="4">
        <v>0.18</v>
      </c>
      <c r="W12" s="4">
        <v>1.2E-2</v>
      </c>
      <c r="X12" s="3">
        <v>7.2499999999999995E-2</v>
      </c>
      <c r="Y12" s="4">
        <f t="shared" si="9"/>
        <v>0.11559440559440559</v>
      </c>
      <c r="Z12" s="4">
        <v>0</v>
      </c>
      <c r="AB12" s="4">
        <v>0</v>
      </c>
      <c r="AC12" s="4">
        <f t="shared" si="3"/>
        <v>0.3075944055944056</v>
      </c>
      <c r="AD12" s="4">
        <f t="shared" si="10"/>
        <v>0.49159440559440559</v>
      </c>
      <c r="AE12" s="4">
        <v>0.1</v>
      </c>
      <c r="AF12" s="4">
        <f t="shared" si="11"/>
        <v>-4.2660450660450655E-2</v>
      </c>
      <c r="AG12" s="4">
        <f t="shared" si="4"/>
        <v>0.2193271173271174</v>
      </c>
      <c r="AL12">
        <v>172.8</v>
      </c>
      <c r="AM12" s="95">
        <f t="shared" si="5"/>
        <v>0.56163889349337448</v>
      </c>
      <c r="AN12" s="1">
        <f t="shared" si="6"/>
        <v>-7.5957080527497181E-2</v>
      </c>
      <c r="AO12" s="1"/>
      <c r="AP12" s="110"/>
      <c r="AQ12" s="1">
        <f t="shared" si="13"/>
        <v>-1.7797892532486547E-2</v>
      </c>
      <c r="AR12" s="15"/>
      <c r="AS12" s="7">
        <v>31</v>
      </c>
      <c r="AT12"/>
      <c r="AW12" s="4">
        <f t="shared" si="7"/>
        <v>2.9605364583333329</v>
      </c>
      <c r="AY12" s="4"/>
      <c r="AZ12" s="1" t="e">
        <f t="shared" si="12"/>
        <v>#DIV/0!</v>
      </c>
    </row>
    <row r="13" spans="1:52">
      <c r="D13" s="2">
        <v>2000</v>
      </c>
      <c r="E13" s="2">
        <v>8</v>
      </c>
      <c r="K13" s="85">
        <v>30.2</v>
      </c>
      <c r="L13" s="4">
        <v>1.4650000000000001</v>
      </c>
      <c r="M13" s="1">
        <v>1.4390000000000001</v>
      </c>
      <c r="N13" s="1">
        <v>1.5429999999999999</v>
      </c>
      <c r="O13" s="1">
        <v>1.6759999999999999</v>
      </c>
      <c r="P13" s="4">
        <f t="shared" si="0"/>
        <v>1.4415555555555557</v>
      </c>
      <c r="Q13" s="4">
        <f t="shared" si="1"/>
        <v>2.9841238194444437</v>
      </c>
      <c r="R13" s="4">
        <f t="shared" si="2"/>
        <v>2.5666946720679014</v>
      </c>
      <c r="S13" s="4">
        <v>0.19900000000000001</v>
      </c>
      <c r="T13" s="4">
        <f t="shared" si="8"/>
        <v>0.18852266252266253</v>
      </c>
      <c r="U13" s="4">
        <v>0.184</v>
      </c>
      <c r="V13" s="4">
        <v>0.18</v>
      </c>
      <c r="W13" s="4">
        <v>1.2E-2</v>
      </c>
      <c r="X13" s="3">
        <v>7.2499999999999995E-2</v>
      </c>
      <c r="Y13" s="4">
        <f t="shared" si="9"/>
        <v>0.11329603729603729</v>
      </c>
      <c r="Z13" s="4">
        <v>0</v>
      </c>
      <c r="AB13" s="4">
        <v>0</v>
      </c>
      <c r="AC13" s="4">
        <f t="shared" si="3"/>
        <v>0.30529603729603727</v>
      </c>
      <c r="AD13" s="4">
        <f t="shared" si="10"/>
        <v>0.48929603729603732</v>
      </c>
      <c r="AE13" s="4">
        <v>0.1</v>
      </c>
      <c r="AF13" s="4">
        <f t="shared" si="11"/>
        <v>1.767106967106935E-2</v>
      </c>
      <c r="AG13" s="4">
        <f t="shared" si="4"/>
        <v>0.21677337477337488</v>
      </c>
      <c r="AL13">
        <v>172.8</v>
      </c>
      <c r="AM13" s="95">
        <f t="shared" si="5"/>
        <v>0.56163889349337448</v>
      </c>
      <c r="AN13" s="1">
        <f t="shared" si="6"/>
        <v>3.1463400907219774E-2</v>
      </c>
      <c r="AO13" s="1"/>
      <c r="AP13" s="110"/>
      <c r="AQ13" s="1">
        <f t="shared" si="13"/>
        <v>-1.7797892532486547E-2</v>
      </c>
      <c r="AR13" s="15"/>
      <c r="AS13" s="7">
        <v>31</v>
      </c>
      <c r="AT13"/>
      <c r="AW13" s="4">
        <f t="shared" si="7"/>
        <v>2.9016719907407404</v>
      </c>
      <c r="AY13" s="4"/>
      <c r="AZ13" s="1" t="e">
        <f t="shared" si="12"/>
        <v>#DIV/0!</v>
      </c>
    </row>
    <row r="14" spans="1:52">
      <c r="D14" s="2">
        <v>2000</v>
      </c>
      <c r="E14" s="2">
        <v>9</v>
      </c>
      <c r="K14" s="85">
        <v>33.14</v>
      </c>
      <c r="L14" s="4">
        <v>1.55</v>
      </c>
      <c r="M14" s="1">
        <v>1.5249999999999999</v>
      </c>
      <c r="N14" s="1">
        <v>1.619</v>
      </c>
      <c r="O14" s="1">
        <v>1.8260000000000001</v>
      </c>
      <c r="P14" s="4">
        <f t="shared" si="0"/>
        <v>1.5193333333333332</v>
      </c>
      <c r="Q14" s="4">
        <f t="shared" si="1"/>
        <v>3.2343537478411055</v>
      </c>
      <c r="R14" s="4">
        <f t="shared" si="2"/>
        <v>2.6911618077144501</v>
      </c>
      <c r="S14" s="4">
        <v>0.19900000000000001</v>
      </c>
      <c r="T14" s="4">
        <f t="shared" si="8"/>
        <v>0.18739601139601139</v>
      </c>
      <c r="U14" s="4">
        <v>0.184</v>
      </c>
      <c r="V14" s="4">
        <v>0.18</v>
      </c>
      <c r="W14" s="4">
        <v>1.2E-2</v>
      </c>
      <c r="X14" s="3">
        <v>7.2499999999999995E-2</v>
      </c>
      <c r="Y14" s="4">
        <f t="shared" si="9"/>
        <v>0.12343589743589745</v>
      </c>
      <c r="Z14" s="4">
        <v>0</v>
      </c>
      <c r="AB14" s="4">
        <v>0</v>
      </c>
      <c r="AC14" s="4">
        <f t="shared" si="3"/>
        <v>0.31543589743589745</v>
      </c>
      <c r="AD14" s="4">
        <f t="shared" si="10"/>
        <v>0.49943589743589745</v>
      </c>
      <c r="AE14" s="4">
        <v>0.1</v>
      </c>
      <c r="AF14" s="4">
        <f t="shared" si="11"/>
        <v>7.8626780626780635E-2</v>
      </c>
      <c r="AG14" s="4">
        <f t="shared" si="4"/>
        <v>0.22803988603988623</v>
      </c>
      <c r="AL14">
        <v>173.7</v>
      </c>
      <c r="AM14" s="95">
        <f t="shared" si="5"/>
        <v>0.56456409606365243</v>
      </c>
      <c r="AN14" s="1">
        <f t="shared" si="6"/>
        <v>0.13926989189534958</v>
      </c>
      <c r="AO14" s="1"/>
      <c r="AP14" s="110"/>
      <c r="AQ14" s="1">
        <f t="shared" si="13"/>
        <v>-1.7797892532486547E-2</v>
      </c>
      <c r="AR14" s="15"/>
      <c r="AS14" s="7">
        <v>30</v>
      </c>
      <c r="AT14"/>
      <c r="AW14" s="4">
        <f t="shared" si="7"/>
        <v>3.1449880253310307</v>
      </c>
      <c r="AY14" s="4"/>
      <c r="AZ14" s="1" t="e">
        <f t="shared" si="12"/>
        <v>#DIV/0!</v>
      </c>
    </row>
    <row r="15" spans="1:52">
      <c r="D15" s="2">
        <v>2000</v>
      </c>
      <c r="E15" s="2">
        <v>10</v>
      </c>
      <c r="K15" s="85">
        <v>30.96</v>
      </c>
      <c r="L15" s="4">
        <v>1.532</v>
      </c>
      <c r="M15" s="1">
        <v>1.508</v>
      </c>
      <c r="N15" s="1">
        <v>1.6</v>
      </c>
      <c r="O15" s="1">
        <v>1.8120000000000001</v>
      </c>
      <c r="P15" s="4">
        <f t="shared" si="0"/>
        <v>1.5008888888888889</v>
      </c>
      <c r="Q15" s="4">
        <f t="shared" si="1"/>
        <v>3.2040221379310347</v>
      </c>
      <c r="R15" s="4">
        <f t="shared" si="2"/>
        <v>2.6539079616858237</v>
      </c>
      <c r="S15" s="4">
        <v>0.19900000000000001</v>
      </c>
      <c r="T15" s="4">
        <f t="shared" si="8"/>
        <v>0.1875011655011655</v>
      </c>
      <c r="U15" s="4">
        <v>0.184</v>
      </c>
      <c r="V15" s="4">
        <v>0.18</v>
      </c>
      <c r="W15" s="4">
        <v>1.2E-2</v>
      </c>
      <c r="X15" s="3">
        <v>7.2499999999999995E-2</v>
      </c>
      <c r="Y15" s="4">
        <f t="shared" si="9"/>
        <v>0.1224895104895105</v>
      </c>
      <c r="Z15" s="4">
        <v>0</v>
      </c>
      <c r="AB15" s="4">
        <v>0</v>
      </c>
      <c r="AC15" s="4">
        <f t="shared" si="3"/>
        <v>0.31448951048951052</v>
      </c>
      <c r="AD15" s="4">
        <f t="shared" si="10"/>
        <v>0.49848951048951051</v>
      </c>
      <c r="AE15" s="4">
        <v>0.1</v>
      </c>
      <c r="AF15" s="4">
        <f t="shared" si="11"/>
        <v>8.4122766122766146E-2</v>
      </c>
      <c r="AG15" s="4">
        <f t="shared" si="4"/>
        <v>0.22698834498834497</v>
      </c>
      <c r="AL15">
        <v>174</v>
      </c>
      <c r="AM15" s="95">
        <f t="shared" si="5"/>
        <v>0.56553916358707845</v>
      </c>
      <c r="AN15" s="1">
        <f t="shared" si="6"/>
        <v>0.14874790560780218</v>
      </c>
      <c r="AO15" s="1"/>
      <c r="AP15" s="110"/>
      <c r="AQ15" s="1">
        <f t="shared" si="13"/>
        <v>-1.7797892532486547E-2</v>
      </c>
      <c r="AR15" s="15"/>
      <c r="AS15" s="7">
        <v>31</v>
      </c>
      <c r="AT15"/>
      <c r="AW15" s="4">
        <f t="shared" si="7"/>
        <v>3.1154944827586206</v>
      </c>
      <c r="AY15" s="4"/>
      <c r="AZ15" s="1" t="e">
        <f t="shared" si="12"/>
        <v>#DIV/0!</v>
      </c>
    </row>
    <row r="16" spans="1:52">
      <c r="D16" s="2">
        <v>2000</v>
      </c>
      <c r="E16" s="2">
        <v>11</v>
      </c>
      <c r="K16" s="85">
        <v>32.549999999999997</v>
      </c>
      <c r="L16" s="4">
        <v>1.5169999999999999</v>
      </c>
      <c r="M16" s="1">
        <v>1.4950000000000001</v>
      </c>
      <c r="N16" s="1">
        <v>1.583</v>
      </c>
      <c r="O16" s="1">
        <v>1.766</v>
      </c>
      <c r="P16" s="4">
        <f t="shared" si="0"/>
        <v>1.4893333333333332</v>
      </c>
      <c r="Q16" s="4">
        <f t="shared" si="1"/>
        <v>3.1208902125215396</v>
      </c>
      <c r="R16" s="4">
        <f t="shared" si="2"/>
        <v>2.6319625272831702</v>
      </c>
      <c r="S16" s="4">
        <v>0.19900000000000001</v>
      </c>
      <c r="T16" s="4">
        <f t="shared" si="8"/>
        <v>0.18784667184667184</v>
      </c>
      <c r="U16" s="4">
        <v>0.184</v>
      </c>
      <c r="V16" s="4">
        <v>0.18</v>
      </c>
      <c r="W16" s="4">
        <v>1.2E-2</v>
      </c>
      <c r="X16" s="3">
        <v>7.2499999999999995E-2</v>
      </c>
      <c r="Y16" s="4">
        <f t="shared" si="9"/>
        <v>0.11937995337995339</v>
      </c>
      <c r="Z16" s="4">
        <v>0</v>
      </c>
      <c r="AB16" s="4">
        <v>0</v>
      </c>
      <c r="AC16" s="4">
        <f t="shared" si="3"/>
        <v>0.31137995337995339</v>
      </c>
      <c r="AD16" s="4">
        <f t="shared" si="10"/>
        <v>0.49537995337995339</v>
      </c>
      <c r="AE16" s="4">
        <v>0.1</v>
      </c>
      <c r="AF16" s="4">
        <f t="shared" si="11"/>
        <v>5.313338513338528E-2</v>
      </c>
      <c r="AG16" s="4">
        <f t="shared" si="4"/>
        <v>0.22353328153328156</v>
      </c>
      <c r="AL16">
        <v>174.1</v>
      </c>
      <c r="AM16" s="95">
        <f t="shared" si="5"/>
        <v>0.56586418609488709</v>
      </c>
      <c r="AN16" s="1">
        <f t="shared" si="6"/>
        <v>9.389776988727043E-2</v>
      </c>
      <c r="AO16" s="1"/>
      <c r="AP16" s="110"/>
      <c r="AQ16" s="1">
        <f t="shared" si="13"/>
        <v>-1.7797892532486547E-2</v>
      </c>
      <c r="AR16" s="15"/>
      <c r="AS16" s="7">
        <v>30</v>
      </c>
      <c r="AT16"/>
      <c r="AW16" s="4">
        <f t="shared" si="7"/>
        <v>3.0346595060310166</v>
      </c>
      <c r="AY16" s="4"/>
      <c r="AZ16" s="1" t="e">
        <f t="shared" si="12"/>
        <v>#DIV/0!</v>
      </c>
    </row>
    <row r="17" spans="1:52">
      <c r="B17" s="26" t="s">
        <v>33</v>
      </c>
      <c r="C17" s="29"/>
      <c r="D17" s="2">
        <v>2000</v>
      </c>
      <c r="E17" s="2">
        <v>12</v>
      </c>
      <c r="K17" s="85">
        <v>25.66</v>
      </c>
      <c r="L17" s="4">
        <v>1.4430000000000001</v>
      </c>
      <c r="M17" s="1">
        <v>1.4179999999999999</v>
      </c>
      <c r="N17" s="1">
        <v>1.516</v>
      </c>
      <c r="O17" s="1">
        <v>1.679</v>
      </c>
      <c r="P17" s="4">
        <f t="shared" si="0"/>
        <v>1.4167777777777779</v>
      </c>
      <c r="Q17" s="4">
        <f t="shared" si="1"/>
        <v>2.968848327586207</v>
      </c>
      <c r="R17" s="4">
        <f t="shared" si="2"/>
        <v>2.505180664750958</v>
      </c>
      <c r="S17" s="4">
        <v>0.19900000000000001</v>
      </c>
      <c r="T17" s="4">
        <f t="shared" si="8"/>
        <v>0.18850012950012951</v>
      </c>
      <c r="U17" s="4">
        <v>0.184</v>
      </c>
      <c r="V17" s="4">
        <v>0.18</v>
      </c>
      <c r="W17" s="4">
        <v>1.2E-2</v>
      </c>
      <c r="X17" s="3">
        <v>7.2499999999999995E-2</v>
      </c>
      <c r="Y17" s="4">
        <f t="shared" si="9"/>
        <v>0.11349883449883451</v>
      </c>
      <c r="Z17" s="4">
        <v>0</v>
      </c>
      <c r="AB17" s="4">
        <v>0</v>
      </c>
      <c r="AC17" s="4">
        <f t="shared" si="3"/>
        <v>0.30549883449883453</v>
      </c>
      <c r="AD17" s="4">
        <f t="shared" si="10"/>
        <v>0.48949883449883452</v>
      </c>
      <c r="AE17" s="4">
        <v>0.1</v>
      </c>
      <c r="AF17" s="4">
        <f t="shared" si="11"/>
        <v>4.522351722351714E-2</v>
      </c>
      <c r="AG17" s="4">
        <f t="shared" si="4"/>
        <v>0.21699870499870499</v>
      </c>
      <c r="AL17">
        <v>174</v>
      </c>
      <c r="AM17" s="95">
        <f t="shared" si="5"/>
        <v>0.56553916358707845</v>
      </c>
      <c r="AN17" s="1">
        <f t="shared" si="6"/>
        <v>7.9965314756762884E-2</v>
      </c>
      <c r="AO17" s="1"/>
      <c r="AP17" s="110"/>
      <c r="AQ17" s="1">
        <f t="shared" si="13"/>
        <v>-1.7797892532486547E-2</v>
      </c>
      <c r="AR17" s="15"/>
      <c r="AS17" s="7">
        <v>31</v>
      </c>
      <c r="AT17"/>
      <c r="AW17" s="4">
        <f t="shared" si="7"/>
        <v>2.8868185632183905</v>
      </c>
      <c r="AY17" s="4"/>
      <c r="AZ17" s="1" t="e">
        <f t="shared" si="12"/>
        <v>#DIV/0!</v>
      </c>
    </row>
    <row r="18" spans="1:52">
      <c r="A18" s="33" t="s">
        <v>39</v>
      </c>
      <c r="B18" s="26" t="s">
        <v>33</v>
      </c>
      <c r="C18" s="29"/>
      <c r="D18" s="2">
        <v>2001</v>
      </c>
      <c r="E18" s="2">
        <v>1</v>
      </c>
      <c r="K18" s="85">
        <v>25.62</v>
      </c>
      <c r="L18" s="4">
        <v>1.4470000000000001</v>
      </c>
      <c r="M18" s="1">
        <v>1.427</v>
      </c>
      <c r="N18" s="1">
        <v>1.5</v>
      </c>
      <c r="O18" s="1">
        <v>1.601</v>
      </c>
      <c r="P18" s="4">
        <f t="shared" si="0"/>
        <v>1.429888888888889</v>
      </c>
      <c r="Q18" s="4">
        <f t="shared" si="1"/>
        <v>2.8131426099371786</v>
      </c>
      <c r="R18" s="4">
        <f t="shared" si="2"/>
        <v>2.5124805501618126</v>
      </c>
      <c r="S18" s="4">
        <v>0.22600000000000001</v>
      </c>
      <c r="T18" s="4">
        <f t="shared" si="8"/>
        <v>0.21908598808598809</v>
      </c>
      <c r="U18" s="4">
        <v>0.184</v>
      </c>
      <c r="V18" s="4">
        <v>0.18</v>
      </c>
      <c r="W18" s="4">
        <v>1.2E-2</v>
      </c>
      <c r="X18" s="3">
        <v>7.2499999999999995E-2</v>
      </c>
      <c r="Y18" s="4">
        <f t="shared" si="9"/>
        <v>0.10822610722610723</v>
      </c>
      <c r="Z18" s="4">
        <v>0</v>
      </c>
      <c r="AB18" s="4">
        <v>0</v>
      </c>
      <c r="AC18" s="4">
        <f t="shared" si="3"/>
        <v>0.30022610722610721</v>
      </c>
      <c r="AD18" s="4">
        <f t="shared" si="10"/>
        <v>0.48422610722610726</v>
      </c>
      <c r="AE18" s="4">
        <v>0.1</v>
      </c>
      <c r="AF18" s="4">
        <f t="shared" si="11"/>
        <v>-1.0029008029008191E-2</v>
      </c>
      <c r="AG18" s="4">
        <f t="shared" si="4"/>
        <v>0.18114011914011918</v>
      </c>
      <c r="AL18">
        <v>175.1</v>
      </c>
      <c r="AM18" s="95">
        <f t="shared" si="5"/>
        <v>0.56911441117297368</v>
      </c>
      <c r="AN18" s="1">
        <f t="shared" si="6"/>
        <v>-1.7622129807498454E-2</v>
      </c>
      <c r="AO18" s="1"/>
      <c r="AP18" s="110"/>
      <c r="AQ18" s="1">
        <f>AVERAGE(AN18:AN29)</f>
        <v>8.8988135078397104E-2</v>
      </c>
      <c r="AR18" s="15"/>
      <c r="AS18" s="7">
        <v>31</v>
      </c>
      <c r="AT18"/>
      <c r="AW18" s="4">
        <f t="shared" si="7"/>
        <v>2.7354150199885785</v>
      </c>
      <c r="AY18" s="4"/>
      <c r="AZ18" s="1" t="e">
        <f>AVERAGE($AY18:$AY29)</f>
        <v>#DIV/0!</v>
      </c>
    </row>
    <row r="19" spans="1:52">
      <c r="D19" s="2">
        <v>2001</v>
      </c>
      <c r="E19" s="2">
        <v>2</v>
      </c>
      <c r="K19" s="85">
        <v>27.5</v>
      </c>
      <c r="L19" s="4">
        <v>1.45</v>
      </c>
      <c r="M19" s="1">
        <v>1.431</v>
      </c>
      <c r="N19" s="1">
        <v>1.5</v>
      </c>
      <c r="O19" s="1">
        <v>1.637</v>
      </c>
      <c r="P19" s="4">
        <f t="shared" si="0"/>
        <v>1.4292222222222222</v>
      </c>
      <c r="Q19" s="4">
        <f t="shared" si="1"/>
        <v>2.8649455460750852</v>
      </c>
      <c r="R19" s="4">
        <f t="shared" si="2"/>
        <v>2.5013096150929082</v>
      </c>
      <c r="S19" s="4">
        <v>0.22600000000000001</v>
      </c>
      <c r="T19" s="4">
        <f t="shared" si="8"/>
        <v>0.21881559181559182</v>
      </c>
      <c r="U19" s="4">
        <v>0.184</v>
      </c>
      <c r="V19" s="4">
        <v>0.18</v>
      </c>
      <c r="W19" s="4">
        <v>1.2E-2</v>
      </c>
      <c r="X19" s="3">
        <v>7.2499999999999995E-2</v>
      </c>
      <c r="Y19" s="4">
        <f t="shared" si="9"/>
        <v>0.11065967365967366</v>
      </c>
      <c r="Z19" s="4">
        <v>0</v>
      </c>
      <c r="AB19" s="4">
        <v>0</v>
      </c>
      <c r="AC19" s="4">
        <f t="shared" si="3"/>
        <v>0.30265967365967367</v>
      </c>
      <c r="AD19" s="4">
        <f t="shared" si="10"/>
        <v>0.48665967365967366</v>
      </c>
      <c r="AE19" s="4">
        <v>0.1</v>
      </c>
      <c r="AF19" s="4">
        <f t="shared" si="11"/>
        <v>2.3933695933695986E-2</v>
      </c>
      <c r="AG19" s="4">
        <f t="shared" si="4"/>
        <v>0.18384408184408185</v>
      </c>
      <c r="AL19">
        <v>175.8</v>
      </c>
      <c r="AM19" s="95">
        <f t="shared" si="5"/>
        <v>0.57138956872763447</v>
      </c>
      <c r="AN19" s="1">
        <f t="shared" si="6"/>
        <v>4.1886826857884966E-2</v>
      </c>
      <c r="AO19" s="1"/>
      <c r="AP19" s="110"/>
      <c r="AQ19" s="1">
        <f>AQ18</f>
        <v>8.8988135078397104E-2</v>
      </c>
      <c r="AR19" s="15"/>
      <c r="AS19" s="7">
        <v>28</v>
      </c>
      <c r="AT19"/>
      <c r="AW19" s="4">
        <f t="shared" si="7"/>
        <v>2.7857866325369733</v>
      </c>
      <c r="AY19" s="4"/>
      <c r="AZ19" s="1" t="e">
        <f t="shared" ref="AZ19:AZ29" si="14">AZ18</f>
        <v>#DIV/0!</v>
      </c>
    </row>
    <row r="20" spans="1:52">
      <c r="D20" s="2">
        <v>2001</v>
      </c>
      <c r="E20" s="2">
        <v>3</v>
      </c>
      <c r="K20" s="85">
        <v>24.5</v>
      </c>
      <c r="L20" s="4">
        <v>1.409</v>
      </c>
      <c r="M20" s="1">
        <v>1.3839999999999999</v>
      </c>
      <c r="N20" s="1">
        <v>1.4830000000000001</v>
      </c>
      <c r="O20" s="1">
        <v>1.6930000000000001</v>
      </c>
      <c r="P20" s="4">
        <f t="shared" si="0"/>
        <v>1.3774444444444445</v>
      </c>
      <c r="Q20" s="4">
        <f t="shared" si="1"/>
        <v>2.9562258967082866</v>
      </c>
      <c r="R20" s="4">
        <f t="shared" si="2"/>
        <v>2.40521969163829</v>
      </c>
      <c r="S20" s="4">
        <v>0.22600000000000001</v>
      </c>
      <c r="T20" s="4">
        <f t="shared" si="8"/>
        <v>0.2183949753949754</v>
      </c>
      <c r="U20" s="4">
        <v>0.184</v>
      </c>
      <c r="V20" s="4">
        <v>0.18</v>
      </c>
      <c r="W20" s="4">
        <v>1.2E-2</v>
      </c>
      <c r="X20" s="3">
        <v>7.2499999999999995E-2</v>
      </c>
      <c r="Y20" s="4">
        <f t="shared" si="9"/>
        <v>0.11444522144522146</v>
      </c>
      <c r="Z20" s="4">
        <v>0</v>
      </c>
      <c r="AB20" s="4">
        <v>0</v>
      </c>
      <c r="AC20" s="4">
        <f t="shared" si="3"/>
        <v>0.30644522144522146</v>
      </c>
      <c r="AD20" s="4">
        <f t="shared" si="10"/>
        <v>0.49044522144522146</v>
      </c>
      <c r="AE20" s="4">
        <v>0.1</v>
      </c>
      <c r="AF20" s="4">
        <f t="shared" si="11"/>
        <v>0.12750530950530958</v>
      </c>
      <c r="AG20" s="4">
        <f t="shared" si="4"/>
        <v>0.18805024605024601</v>
      </c>
      <c r="AL20">
        <v>176.2</v>
      </c>
      <c r="AM20" s="95">
        <f t="shared" si="5"/>
        <v>0.57268965875886901</v>
      </c>
      <c r="AN20" s="1">
        <f t="shared" si="6"/>
        <v>0.22264294029970549</v>
      </c>
      <c r="AO20" s="1"/>
      <c r="AP20" s="110"/>
      <c r="AQ20" s="1">
        <f t="shared" ref="AQ20:AQ29" si="15">AQ19</f>
        <v>8.8988135078397104E-2</v>
      </c>
      <c r="AR20" s="15"/>
      <c r="AS20" s="7">
        <v>31</v>
      </c>
      <c r="AT20"/>
      <c r="AW20" s="4">
        <f t="shared" si="7"/>
        <v>2.8745448921679913</v>
      </c>
      <c r="AY20" s="4"/>
      <c r="AZ20" s="1" t="e">
        <f t="shared" si="14"/>
        <v>#DIV/0!</v>
      </c>
    </row>
    <row r="21" spans="1:52">
      <c r="D21" s="2">
        <v>2001</v>
      </c>
      <c r="E21" s="2">
        <v>4</v>
      </c>
      <c r="K21" s="85">
        <v>25.66</v>
      </c>
      <c r="L21" s="4">
        <v>1.552</v>
      </c>
      <c r="M21" s="1">
        <v>1.5169999999999999</v>
      </c>
      <c r="N21" s="1">
        <v>1.629</v>
      </c>
      <c r="O21" s="1">
        <v>1.7929999999999999</v>
      </c>
      <c r="P21" s="4">
        <f t="shared" si="0"/>
        <v>1.5252222222222223</v>
      </c>
      <c r="Q21" s="4">
        <f t="shared" si="1"/>
        <v>3.1184516845675518</v>
      </c>
      <c r="R21" s="4">
        <f t="shared" si="2"/>
        <v>2.6527227039758805</v>
      </c>
      <c r="S21" s="4">
        <v>0.22600000000000001</v>
      </c>
      <c r="T21" s="4">
        <f t="shared" si="8"/>
        <v>0.21764387464387466</v>
      </c>
      <c r="U21" s="4">
        <v>0.184</v>
      </c>
      <c r="V21" s="4">
        <v>0.18</v>
      </c>
      <c r="W21" s="4">
        <v>1.2E-2</v>
      </c>
      <c r="X21" s="3">
        <v>7.2499999999999995E-2</v>
      </c>
      <c r="Y21" s="4">
        <f t="shared" si="9"/>
        <v>0.1212051282051282</v>
      </c>
      <c r="Z21" s="4">
        <v>0</v>
      </c>
      <c r="AB21" s="4">
        <v>0</v>
      </c>
      <c r="AC21" s="4">
        <f t="shared" si="3"/>
        <v>0.31320512820512819</v>
      </c>
      <c r="AD21" s="4">
        <f t="shared" si="10"/>
        <v>0.49720512820512819</v>
      </c>
      <c r="AE21" s="4">
        <v>0.1</v>
      </c>
      <c r="AF21" s="4">
        <f t="shared" si="11"/>
        <v>7.2216524216524025E-2</v>
      </c>
      <c r="AG21" s="4">
        <f t="shared" si="4"/>
        <v>0.19556125356125365</v>
      </c>
      <c r="AL21">
        <v>176.9</v>
      </c>
      <c r="AM21" s="95">
        <f t="shared" si="5"/>
        <v>0.57496481631352969</v>
      </c>
      <c r="AN21" s="1">
        <f t="shared" si="6"/>
        <v>0.12560164060046447</v>
      </c>
      <c r="AO21" s="1"/>
      <c r="AP21" s="110"/>
      <c r="AQ21" s="1">
        <f t="shared" si="15"/>
        <v>8.8988135078397104E-2</v>
      </c>
      <c r="AR21" s="15"/>
      <c r="AS21" s="7">
        <v>30</v>
      </c>
      <c r="AT21" s="15"/>
      <c r="AW21" s="4">
        <f t="shared" si="7"/>
        <v>3.0322883550028266</v>
      </c>
      <c r="AY21" s="4"/>
      <c r="AZ21" s="1" t="e">
        <f t="shared" si="14"/>
        <v>#DIV/0!</v>
      </c>
    </row>
    <row r="22" spans="1:52">
      <c r="D22" s="2">
        <v>2001</v>
      </c>
      <c r="E22" s="2">
        <v>5</v>
      </c>
      <c r="K22" s="85">
        <v>28.31</v>
      </c>
      <c r="L22" s="4">
        <v>1.702</v>
      </c>
      <c r="M22" s="1">
        <v>1.6539999999999999</v>
      </c>
      <c r="N22" s="1">
        <v>1.806</v>
      </c>
      <c r="O22" s="1">
        <v>1.948</v>
      </c>
      <c r="P22" s="4">
        <f t="shared" si="0"/>
        <v>1.6746666666666665</v>
      </c>
      <c r="Q22" s="4">
        <f t="shared" si="1"/>
        <v>3.3727805740011254</v>
      </c>
      <c r="R22" s="4">
        <f t="shared" si="2"/>
        <v>2.8995293640967925</v>
      </c>
      <c r="S22" s="4">
        <v>0.22600000000000001</v>
      </c>
      <c r="T22" s="4">
        <f t="shared" si="8"/>
        <v>0.21647966847966849</v>
      </c>
      <c r="U22" s="4">
        <v>0.184</v>
      </c>
      <c r="V22" s="4">
        <v>0.18</v>
      </c>
      <c r="W22" s="4">
        <v>1.2E-2</v>
      </c>
      <c r="X22" s="3">
        <v>7.2499999999999995E-2</v>
      </c>
      <c r="Y22" s="4">
        <f t="shared" si="9"/>
        <v>0.13168298368298367</v>
      </c>
      <c r="Z22" s="4">
        <v>0</v>
      </c>
      <c r="AB22" s="4">
        <v>0</v>
      </c>
      <c r="AC22" s="4">
        <f t="shared" si="3"/>
        <v>0.32368298368298365</v>
      </c>
      <c r="AD22" s="4">
        <f t="shared" si="10"/>
        <v>0.5076829836829837</v>
      </c>
      <c r="AE22" s="4">
        <v>0.1</v>
      </c>
      <c r="AF22" s="4">
        <f t="shared" si="11"/>
        <v>6.6130018130018176E-2</v>
      </c>
      <c r="AG22" s="4">
        <f t="shared" si="4"/>
        <v>0.20720331520331525</v>
      </c>
      <c r="AL22">
        <v>177.7</v>
      </c>
      <c r="AM22" s="95">
        <f t="shared" si="5"/>
        <v>0.57756499637599901</v>
      </c>
      <c r="AN22" s="1">
        <f t="shared" si="6"/>
        <v>0.11449796740619483</v>
      </c>
      <c r="AO22" s="1"/>
      <c r="AP22" s="110"/>
      <c r="AQ22" s="1">
        <f t="shared" si="15"/>
        <v>8.8988135078397104E-2</v>
      </c>
      <c r="AR22" s="15"/>
      <c r="AS22" s="7">
        <v>31</v>
      </c>
      <c r="AT22" s="15"/>
      <c r="AW22" s="4">
        <f t="shared" si="7"/>
        <v>3.2795900956668547</v>
      </c>
      <c r="AY22" s="4"/>
      <c r="AZ22" s="1" t="e">
        <f t="shared" si="14"/>
        <v>#DIV/0!</v>
      </c>
    </row>
    <row r="23" spans="1:52">
      <c r="A23" s="2">
        <f>A11+1</f>
        <v>2001</v>
      </c>
      <c r="B23" s="2">
        <f>D23</f>
        <v>2001</v>
      </c>
      <c r="D23" s="2">
        <v>2001</v>
      </c>
      <c r="E23" s="2">
        <v>6</v>
      </c>
      <c r="K23" s="85">
        <v>27.85</v>
      </c>
      <c r="L23" s="4">
        <v>1.6160000000000001</v>
      </c>
      <c r="M23" s="1">
        <v>1.548</v>
      </c>
      <c r="N23" s="1">
        <v>1.758</v>
      </c>
      <c r="O23" s="1">
        <v>1.927</v>
      </c>
      <c r="P23" s="4">
        <f t="shared" si="0"/>
        <v>1.5814444444444444</v>
      </c>
      <c r="Q23" s="4">
        <f t="shared" si="1"/>
        <v>3.330797848314607</v>
      </c>
      <c r="R23" s="4">
        <f t="shared" si="2"/>
        <v>2.7335089531835206</v>
      </c>
      <c r="S23" s="4">
        <v>0.22600000000000001</v>
      </c>
      <c r="T23" s="4">
        <f t="shared" si="8"/>
        <v>0.21663739963739964</v>
      </c>
      <c r="U23" s="4">
        <v>0.184</v>
      </c>
      <c r="V23" s="4">
        <v>0.18</v>
      </c>
      <c r="W23" s="4">
        <v>1.2E-2</v>
      </c>
      <c r="X23" s="3">
        <v>7.2499999999999995E-2</v>
      </c>
      <c r="Y23" s="4">
        <f t="shared" si="9"/>
        <v>0.13026340326340327</v>
      </c>
      <c r="Z23" s="4">
        <v>0</v>
      </c>
      <c r="AB23" s="4">
        <v>0</v>
      </c>
      <c r="AC23" s="4">
        <f t="shared" si="3"/>
        <v>0.3222634032634033</v>
      </c>
      <c r="AD23" s="4">
        <f t="shared" si="10"/>
        <v>0.50626340326340324</v>
      </c>
      <c r="AE23" s="4">
        <v>0.1</v>
      </c>
      <c r="AF23" s="4">
        <f t="shared" si="11"/>
        <v>0.13992955192955181</v>
      </c>
      <c r="AG23" s="4">
        <f t="shared" si="4"/>
        <v>0.20562600362600381</v>
      </c>
      <c r="AL23">
        <v>178</v>
      </c>
      <c r="AM23" s="95">
        <f t="shared" si="5"/>
        <v>0.57854006389942503</v>
      </c>
      <c r="AN23" s="1">
        <f t="shared" si="6"/>
        <v>0.2418666582680738</v>
      </c>
      <c r="AO23" s="1"/>
      <c r="AP23" s="110"/>
      <c r="AQ23" s="1">
        <f t="shared" si="15"/>
        <v>8.8988135078397104E-2</v>
      </c>
      <c r="AR23" s="15"/>
      <c r="AS23" s="7">
        <v>30</v>
      </c>
      <c r="AT23" s="15"/>
      <c r="AW23" s="4">
        <f t="shared" si="7"/>
        <v>3.2387673595505619</v>
      </c>
      <c r="AY23" s="4"/>
      <c r="AZ23" s="1" t="e">
        <f t="shared" si="14"/>
        <v>#DIV/0!</v>
      </c>
    </row>
    <row r="24" spans="1:52">
      <c r="D24" s="2">
        <v>2001</v>
      </c>
      <c r="E24" s="2">
        <v>7</v>
      </c>
      <c r="K24" s="85">
        <v>24.61</v>
      </c>
      <c r="L24" s="4">
        <v>1.421</v>
      </c>
      <c r="M24" s="1">
        <v>1.34</v>
      </c>
      <c r="N24" s="1">
        <v>1.5820000000000001</v>
      </c>
      <c r="O24" s="1">
        <v>1.77</v>
      </c>
      <c r="P24" s="4">
        <f t="shared" si="0"/>
        <v>1.3822222222222222</v>
      </c>
      <c r="Q24" s="4">
        <f t="shared" si="1"/>
        <v>3.0680432112676055</v>
      </c>
      <c r="R24" s="4">
        <f t="shared" si="2"/>
        <v>2.3958855962441317</v>
      </c>
      <c r="S24" s="4">
        <v>0.22600000000000001</v>
      </c>
      <c r="T24" s="4">
        <f t="shared" si="8"/>
        <v>0.21781662781662781</v>
      </c>
      <c r="U24" s="4">
        <v>0.184</v>
      </c>
      <c r="V24" s="4">
        <v>0.18</v>
      </c>
      <c r="W24" s="4">
        <v>1.2E-2</v>
      </c>
      <c r="X24" s="3">
        <v>7.2499999999999995E-2</v>
      </c>
      <c r="Y24" s="4">
        <f t="shared" si="9"/>
        <v>0.11965034965034965</v>
      </c>
      <c r="Z24" s="4">
        <v>0</v>
      </c>
      <c r="AB24" s="4">
        <v>0</v>
      </c>
      <c r="AC24" s="4">
        <f t="shared" si="3"/>
        <v>0.31165034965034966</v>
      </c>
      <c r="AD24" s="4">
        <f t="shared" si="10"/>
        <v>0.49565034965034965</v>
      </c>
      <c r="AE24" s="4">
        <v>0.1</v>
      </c>
      <c r="AF24" s="4">
        <f t="shared" si="11"/>
        <v>0.19394405594405573</v>
      </c>
      <c r="AG24" s="4">
        <f t="shared" si="4"/>
        <v>0.19383372183372205</v>
      </c>
      <c r="AL24">
        <v>177.5</v>
      </c>
      <c r="AM24" s="95">
        <f t="shared" si="5"/>
        <v>0.57691495136038173</v>
      </c>
      <c r="AN24" s="1">
        <f t="shared" si="6"/>
        <v>0.33617443175416095</v>
      </c>
      <c r="AO24" s="1"/>
      <c r="AP24" s="110"/>
      <c r="AQ24" s="1">
        <f t="shared" si="15"/>
        <v>8.8988135078397104E-2</v>
      </c>
      <c r="AR24" s="15"/>
      <c r="AS24" s="7">
        <v>31</v>
      </c>
      <c r="AT24" s="15"/>
      <c r="AW24" s="4">
        <f t="shared" si="7"/>
        <v>2.9832726760563379</v>
      </c>
      <c r="AY24" s="4"/>
      <c r="AZ24" s="1" t="e">
        <f t="shared" si="14"/>
        <v>#DIV/0!</v>
      </c>
    </row>
    <row r="25" spans="1:52">
      <c r="D25" s="2">
        <v>2001</v>
      </c>
      <c r="E25" s="2">
        <v>8</v>
      </c>
      <c r="K25" s="85">
        <v>25.68</v>
      </c>
      <c r="L25" s="4">
        <v>1.421</v>
      </c>
      <c r="M25" s="1">
        <v>1.3859999999999999</v>
      </c>
      <c r="N25" s="1">
        <v>1.4910000000000001</v>
      </c>
      <c r="O25" s="1">
        <v>1.5589999999999999</v>
      </c>
      <c r="P25" s="4">
        <f t="shared" si="0"/>
        <v>1.4056666666666668</v>
      </c>
      <c r="Q25" s="4">
        <f t="shared" si="1"/>
        <v>2.7023047267605635</v>
      </c>
      <c r="R25" s="4">
        <f t="shared" si="2"/>
        <v>2.4365232056338031</v>
      </c>
      <c r="S25" s="4">
        <v>0.22600000000000001</v>
      </c>
      <c r="T25" s="4">
        <f t="shared" si="8"/>
        <v>0.21940145040145037</v>
      </c>
      <c r="U25" s="4">
        <v>0.184</v>
      </c>
      <c r="V25" s="4">
        <v>0.18</v>
      </c>
      <c r="W25" s="4">
        <v>1.2E-2</v>
      </c>
      <c r="X25" s="3">
        <v>7.2499999999999995E-2</v>
      </c>
      <c r="Y25" s="4">
        <f t="shared" si="9"/>
        <v>0.10538694638694639</v>
      </c>
      <c r="Z25" s="4">
        <v>0</v>
      </c>
      <c r="AB25" s="4">
        <v>0</v>
      </c>
      <c r="AC25" s="4">
        <f t="shared" si="3"/>
        <v>0.2973869463869464</v>
      </c>
      <c r="AD25" s="4">
        <f t="shared" si="10"/>
        <v>0.4813869463869464</v>
      </c>
      <c r="AE25" s="4">
        <v>0.1</v>
      </c>
      <c r="AF25" s="4">
        <f t="shared" si="11"/>
        <v>-2.4652162652162968E-2</v>
      </c>
      <c r="AG25" s="4">
        <f t="shared" si="4"/>
        <v>0.17798549598549607</v>
      </c>
      <c r="AL25">
        <v>177.5</v>
      </c>
      <c r="AM25" s="95">
        <f t="shared" si="5"/>
        <v>0.57691495136038173</v>
      </c>
      <c r="AN25" s="1">
        <f t="shared" si="6"/>
        <v>-4.2731017100583843E-2</v>
      </c>
      <c r="AO25" s="1"/>
      <c r="AP25" s="110"/>
      <c r="AQ25" s="1">
        <f t="shared" si="15"/>
        <v>8.8988135078397104E-2</v>
      </c>
      <c r="AR25" s="15"/>
      <c r="AS25" s="7">
        <v>31</v>
      </c>
      <c r="AT25" s="15"/>
      <c r="AW25" s="4">
        <f t="shared" si="7"/>
        <v>2.6276396056338025</v>
      </c>
      <c r="AY25" s="4"/>
      <c r="AZ25" s="1" t="e">
        <f t="shared" si="14"/>
        <v>#DIV/0!</v>
      </c>
    </row>
    <row r="26" spans="1:52">
      <c r="D26" s="2">
        <v>2001</v>
      </c>
      <c r="E26" s="2">
        <v>9</v>
      </c>
      <c r="K26" s="85">
        <v>25.62</v>
      </c>
      <c r="L26" s="4">
        <v>1.522</v>
      </c>
      <c r="M26" s="1">
        <v>1.506</v>
      </c>
      <c r="N26" s="1">
        <v>1.552</v>
      </c>
      <c r="O26" s="1">
        <v>1.663</v>
      </c>
      <c r="P26" s="4">
        <f t="shared" si="0"/>
        <v>1.5063333333333335</v>
      </c>
      <c r="Q26" s="4">
        <f t="shared" si="1"/>
        <v>2.8696403421200225</v>
      </c>
      <c r="R26" s="4">
        <f t="shared" si="2"/>
        <v>2.5992993998878298</v>
      </c>
      <c r="S26" s="4">
        <v>0.22600000000000001</v>
      </c>
      <c r="T26" s="4">
        <f t="shared" si="8"/>
        <v>0.21862030562030563</v>
      </c>
      <c r="U26" s="4">
        <v>0.184</v>
      </c>
      <c r="V26" s="4">
        <v>0.18</v>
      </c>
      <c r="W26" s="4">
        <v>1.2E-2</v>
      </c>
      <c r="X26" s="3">
        <v>7.2499999999999995E-2</v>
      </c>
      <c r="Y26" s="4">
        <f t="shared" si="9"/>
        <v>0.11241724941724943</v>
      </c>
      <c r="Z26" s="4">
        <v>0</v>
      </c>
      <c r="AB26" s="4">
        <v>0</v>
      </c>
      <c r="AC26" s="4">
        <f t="shared" si="3"/>
        <v>0.30441724941724946</v>
      </c>
      <c r="AD26" s="4">
        <f t="shared" si="10"/>
        <v>0.4884172494172494</v>
      </c>
      <c r="AE26" s="4">
        <v>0.1</v>
      </c>
      <c r="AF26" s="4">
        <f t="shared" si="11"/>
        <v>-2.9130277130277493E-2</v>
      </c>
      <c r="AG26" s="4">
        <f t="shared" si="4"/>
        <v>0.185796943796944</v>
      </c>
      <c r="AL26">
        <v>178.3</v>
      </c>
      <c r="AM26" s="95">
        <f t="shared" si="5"/>
        <v>0.57951513142285105</v>
      </c>
      <c r="AN26" s="1">
        <f t="shared" si="6"/>
        <v>-5.0266637660962461E-2</v>
      </c>
      <c r="AO26" s="1"/>
      <c r="AP26" s="110"/>
      <c r="AQ26" s="1">
        <f t="shared" si="15"/>
        <v>8.8988135078397104E-2</v>
      </c>
      <c r="AR26" s="15"/>
      <c r="AS26" s="7">
        <v>30</v>
      </c>
      <c r="AT26" s="15"/>
      <c r="AW26" s="4">
        <f t="shared" si="7"/>
        <v>2.7903517106001123</v>
      </c>
      <c r="AY26" s="4"/>
      <c r="AZ26" s="1" t="e">
        <f t="shared" si="14"/>
        <v>#DIV/0!</v>
      </c>
    </row>
    <row r="27" spans="1:52">
      <c r="D27" s="2">
        <v>2001</v>
      </c>
      <c r="E27" s="2">
        <v>10</v>
      </c>
      <c r="K27" s="85">
        <v>20.54</v>
      </c>
      <c r="L27" s="4">
        <v>1.3149999999999999</v>
      </c>
      <c r="M27" s="1">
        <v>1.274</v>
      </c>
      <c r="N27" s="1">
        <v>1.4</v>
      </c>
      <c r="O27" s="1">
        <v>1.546</v>
      </c>
      <c r="P27" s="4">
        <f t="shared" si="0"/>
        <v>1.2893333333333332</v>
      </c>
      <c r="Q27" s="4">
        <f t="shared" si="1"/>
        <v>2.6767550140686551</v>
      </c>
      <c r="R27" s="4">
        <f t="shared" si="2"/>
        <v>2.2323605852560493</v>
      </c>
      <c r="S27" s="4">
        <v>0.22600000000000001</v>
      </c>
      <c r="T27" s="4">
        <f t="shared" si="8"/>
        <v>0.21949909349909349</v>
      </c>
      <c r="U27" s="4">
        <v>0.184</v>
      </c>
      <c r="V27" s="4">
        <v>0.18</v>
      </c>
      <c r="W27" s="4">
        <v>1.2E-2</v>
      </c>
      <c r="X27" s="3">
        <v>7.2499999999999995E-2</v>
      </c>
      <c r="Y27" s="4">
        <f t="shared" si="9"/>
        <v>0.10450815850815852</v>
      </c>
      <c r="Z27" s="4">
        <v>0</v>
      </c>
      <c r="AB27" s="4">
        <v>0</v>
      </c>
      <c r="AC27" s="4">
        <f t="shared" si="3"/>
        <v>0.29650815850815854</v>
      </c>
      <c r="AD27" s="4">
        <f t="shared" si="10"/>
        <v>0.48050815850815853</v>
      </c>
      <c r="AE27" s="4">
        <v>0.1</v>
      </c>
      <c r="AF27" s="4">
        <f t="shared" si="11"/>
        <v>7.9657601657601607E-2</v>
      </c>
      <c r="AG27" s="4">
        <f t="shared" si="4"/>
        <v>0.17700906500906521</v>
      </c>
      <c r="AL27">
        <v>177.7</v>
      </c>
      <c r="AM27" s="95">
        <f t="shared" si="5"/>
        <v>0.57756499637599901</v>
      </c>
      <c r="AN27" s="1">
        <f t="shared" si="6"/>
        <v>0.13791971839952699</v>
      </c>
      <c r="AO27" s="1"/>
      <c r="AP27" s="110"/>
      <c r="AQ27" s="1">
        <f t="shared" si="15"/>
        <v>8.8988135078397104E-2</v>
      </c>
      <c r="AR27" s="15"/>
      <c r="AS27" s="7">
        <v>31</v>
      </c>
      <c r="AT27" s="15"/>
      <c r="AW27" s="4">
        <f t="shared" si="7"/>
        <v>2.6027958356781093</v>
      </c>
      <c r="AY27" s="4"/>
      <c r="AZ27" s="1" t="e">
        <f t="shared" si="14"/>
        <v>#DIV/0!</v>
      </c>
    </row>
    <row r="28" spans="1:52">
      <c r="D28" s="2">
        <v>2001</v>
      </c>
      <c r="E28" s="2">
        <v>11</v>
      </c>
      <c r="K28" s="85">
        <v>18.8</v>
      </c>
      <c r="L28" s="4">
        <v>1.171</v>
      </c>
      <c r="M28" s="1">
        <v>1.139</v>
      </c>
      <c r="N28" s="1">
        <v>1.2350000000000001</v>
      </c>
      <c r="O28" s="1">
        <v>1.357</v>
      </c>
      <c r="P28" s="4">
        <f t="shared" si="0"/>
        <v>1.1503333333333334</v>
      </c>
      <c r="Q28" s="4">
        <f t="shared" si="1"/>
        <v>2.353492373167982</v>
      </c>
      <c r="R28" s="4">
        <f t="shared" si="2"/>
        <v>1.9950631736189404</v>
      </c>
      <c r="S28" s="4">
        <v>0.22600000000000001</v>
      </c>
      <c r="T28" s="4">
        <f t="shared" si="8"/>
        <v>0.22091867391867392</v>
      </c>
      <c r="U28" s="4">
        <v>0.184</v>
      </c>
      <c r="V28" s="4">
        <v>0.18</v>
      </c>
      <c r="W28" s="4">
        <v>1.2E-2</v>
      </c>
      <c r="X28" s="3">
        <v>7.2499999999999995E-2</v>
      </c>
      <c r="Y28" s="4">
        <f t="shared" si="9"/>
        <v>9.1731934731934736E-2</v>
      </c>
      <c r="Z28" s="4">
        <v>0</v>
      </c>
      <c r="AB28" s="4">
        <v>0</v>
      </c>
      <c r="AC28" s="4">
        <f t="shared" si="3"/>
        <v>0.28373193473193475</v>
      </c>
      <c r="AD28" s="4">
        <f t="shared" si="10"/>
        <v>0.46773193473193475</v>
      </c>
      <c r="AE28" s="4">
        <v>0.1</v>
      </c>
      <c r="AF28" s="4">
        <f t="shared" si="11"/>
        <v>4.3853405853405802E-2</v>
      </c>
      <c r="AG28" s="4">
        <f t="shared" si="4"/>
        <v>0.16281326081326075</v>
      </c>
      <c r="AL28">
        <v>177.4</v>
      </c>
      <c r="AM28" s="95">
        <f t="shared" si="5"/>
        <v>0.5765899288525731</v>
      </c>
      <c r="AN28" s="1">
        <f t="shared" si="6"/>
        <v>7.6056489471945973E-2</v>
      </c>
      <c r="AO28" s="1"/>
      <c r="AP28" s="110"/>
      <c r="AQ28" s="1">
        <f t="shared" si="15"/>
        <v>8.8988135078397104E-2</v>
      </c>
      <c r="AR28" s="15"/>
      <c r="AS28" s="7">
        <v>30</v>
      </c>
      <c r="AT28" s="15"/>
      <c r="AW28" s="4">
        <f t="shared" si="7"/>
        <v>2.2884649943630211</v>
      </c>
      <c r="AY28" s="4"/>
      <c r="AZ28" s="1" t="e">
        <f t="shared" si="14"/>
        <v>#DIV/0!</v>
      </c>
    </row>
    <row r="29" spans="1:52">
      <c r="B29" s="26" t="s">
        <v>33</v>
      </c>
      <c r="C29" s="29"/>
      <c r="D29" s="2">
        <v>2001</v>
      </c>
      <c r="E29" s="2">
        <v>12</v>
      </c>
      <c r="K29" s="85">
        <v>18.71</v>
      </c>
      <c r="L29" s="4">
        <v>1.0860000000000001</v>
      </c>
      <c r="M29" s="1">
        <v>1.0720000000000001</v>
      </c>
      <c r="N29" s="1">
        <v>1.1140000000000001</v>
      </c>
      <c r="O29" s="1">
        <v>1.1579999999999999</v>
      </c>
      <c r="P29" s="4">
        <f t="shared" si="0"/>
        <v>1.0780000000000001</v>
      </c>
      <c r="Q29" s="4">
        <f t="shared" si="1"/>
        <v>2.0163158913412564</v>
      </c>
      <c r="R29" s="4">
        <f t="shared" si="2"/>
        <v>1.8770194567062821</v>
      </c>
      <c r="S29" s="4">
        <v>0.22600000000000001</v>
      </c>
      <c r="T29" s="4">
        <f t="shared" si="8"/>
        <v>0.22241336441336443</v>
      </c>
      <c r="U29" s="4">
        <v>0.184</v>
      </c>
      <c r="V29" s="4">
        <v>0.18</v>
      </c>
      <c r="W29" s="4">
        <v>1.2E-2</v>
      </c>
      <c r="X29" s="3">
        <v>7.2499999999999995E-2</v>
      </c>
      <c r="Y29" s="4">
        <f t="shared" si="9"/>
        <v>7.8279720279720272E-2</v>
      </c>
      <c r="Z29" s="4">
        <v>0</v>
      </c>
      <c r="AB29" s="4">
        <v>0</v>
      </c>
      <c r="AC29" s="4">
        <f t="shared" si="3"/>
        <v>0.27027972027972025</v>
      </c>
      <c r="AD29" s="4">
        <f t="shared" si="10"/>
        <v>0.4542797202797203</v>
      </c>
      <c r="AE29" s="4">
        <v>0.1</v>
      </c>
      <c r="AF29" s="4">
        <f t="shared" si="11"/>
        <v>-6.7866355866355921E-2</v>
      </c>
      <c r="AG29" s="4">
        <f t="shared" si="4"/>
        <v>0.14786635586635577</v>
      </c>
      <c r="AL29">
        <v>176.7</v>
      </c>
      <c r="AM29" s="95">
        <f t="shared" si="5"/>
        <v>0.57431477129791231</v>
      </c>
      <c r="AN29" s="1">
        <f t="shared" si="6"/>
        <v>-0.11816926754814712</v>
      </c>
      <c r="AO29" s="1"/>
      <c r="AP29" s="110"/>
      <c r="AQ29" s="1">
        <f t="shared" si="15"/>
        <v>8.8988135078397104E-2</v>
      </c>
      <c r="AR29" s="15"/>
      <c r="AS29" s="7">
        <v>31</v>
      </c>
      <c r="AT29" s="15"/>
      <c r="AW29" s="4">
        <f t="shared" si="7"/>
        <v>1.9606047538200342</v>
      </c>
      <c r="AY29" s="4"/>
      <c r="AZ29" s="1" t="e">
        <f t="shared" si="14"/>
        <v>#DIV/0!</v>
      </c>
    </row>
    <row r="30" spans="1:52">
      <c r="A30" s="33" t="s">
        <v>39</v>
      </c>
      <c r="B30" s="26" t="s">
        <v>33</v>
      </c>
      <c r="C30" s="29"/>
      <c r="D30" s="2">
        <v>2002</v>
      </c>
      <c r="E30" s="2">
        <v>1</v>
      </c>
      <c r="K30" s="85">
        <v>19.420000000000002</v>
      </c>
      <c r="L30" s="4">
        <v>1.107</v>
      </c>
      <c r="M30" s="1">
        <v>1.0940000000000001</v>
      </c>
      <c r="N30" s="1">
        <v>1.1339999999999999</v>
      </c>
      <c r="O30" s="1">
        <v>1.1850000000000001</v>
      </c>
      <c r="P30" s="4">
        <f t="shared" si="0"/>
        <v>1.0983333333333332</v>
      </c>
      <c r="Q30" s="4">
        <f t="shared" si="1"/>
        <v>2.0586681818181822</v>
      </c>
      <c r="R30" s="4">
        <f t="shared" si="2"/>
        <v>1.9081045454545453</v>
      </c>
      <c r="S30" s="4">
        <v>0.19700000000000001</v>
      </c>
      <c r="T30" s="4">
        <f t="shared" si="8"/>
        <v>0.18998834498834499</v>
      </c>
      <c r="U30" s="4">
        <v>0.184</v>
      </c>
      <c r="V30" s="4">
        <v>0.18</v>
      </c>
      <c r="W30" s="4">
        <v>1.2E-2</v>
      </c>
      <c r="X30" s="3">
        <v>7.2499999999999995E-2</v>
      </c>
      <c r="Y30" s="4">
        <f t="shared" si="9"/>
        <v>8.0104895104895116E-2</v>
      </c>
      <c r="Z30" s="4">
        <v>0</v>
      </c>
      <c r="AB30" s="4">
        <v>0</v>
      </c>
      <c r="AC30" s="4">
        <f t="shared" si="3"/>
        <v>0.27210489510489511</v>
      </c>
      <c r="AD30" s="4">
        <f t="shared" si="10"/>
        <v>0.4561048951048951</v>
      </c>
      <c r="AE30" s="4">
        <v>0.1</v>
      </c>
      <c r="AF30" s="4">
        <f t="shared" si="11"/>
        <v>-9.5449883449883144E-2</v>
      </c>
      <c r="AG30" s="4">
        <f t="shared" si="4"/>
        <v>0.18211655011655004</v>
      </c>
      <c r="AL30">
        <v>177.1</v>
      </c>
      <c r="AM30" s="95">
        <f t="shared" si="5"/>
        <v>0.57561486132914708</v>
      </c>
      <c r="AN30" s="1">
        <f t="shared" si="6"/>
        <v>-0.16582247933884242</v>
      </c>
      <c r="AO30" s="1"/>
      <c r="AP30" s="110"/>
      <c r="AQ30" s="1">
        <f>AVERAGE(AN30:AN41)</f>
        <v>-3.4195901052233503E-2</v>
      </c>
      <c r="AR30" s="15"/>
      <c r="AS30" s="7">
        <v>31</v>
      </c>
      <c r="AT30" s="15"/>
      <c r="AW30" s="4">
        <f t="shared" si="7"/>
        <v>2.0017868435911916</v>
      </c>
      <c r="AY30" s="4"/>
      <c r="AZ30" s="1" t="e">
        <f>AVERAGE($AY30:$AY41)</f>
        <v>#DIV/0!</v>
      </c>
    </row>
    <row r="31" spans="1:52">
      <c r="D31" s="2">
        <v>2002</v>
      </c>
      <c r="E31" s="2">
        <v>2</v>
      </c>
      <c r="K31" s="85">
        <v>20.28</v>
      </c>
      <c r="L31" s="4">
        <v>1.1140000000000001</v>
      </c>
      <c r="M31" s="1">
        <v>1.0900000000000001</v>
      </c>
      <c r="N31" s="1">
        <v>1.1619999999999999</v>
      </c>
      <c r="O31" s="1">
        <v>1.274</v>
      </c>
      <c r="P31" s="4">
        <f t="shared" si="0"/>
        <v>1.0962222222222224</v>
      </c>
      <c r="Q31" s="4">
        <f t="shared" si="1"/>
        <v>2.2045717322834641</v>
      </c>
      <c r="R31" s="4">
        <f t="shared" si="2"/>
        <v>1.8969391863517062</v>
      </c>
      <c r="S31" s="4">
        <v>0.19700000000000001</v>
      </c>
      <c r="T31" s="4">
        <f t="shared" si="8"/>
        <v>0.18931986531986533</v>
      </c>
      <c r="U31" s="4">
        <v>0.184</v>
      </c>
      <c r="V31" s="4">
        <v>0.18</v>
      </c>
      <c r="W31" s="4">
        <v>1.2E-2</v>
      </c>
      <c r="X31" s="3">
        <v>7.2499999999999995E-2</v>
      </c>
      <c r="Y31" s="4">
        <f t="shared" si="9"/>
        <v>8.6121212121212126E-2</v>
      </c>
      <c r="Z31" s="4">
        <v>0</v>
      </c>
      <c r="AB31" s="4">
        <v>0</v>
      </c>
      <c r="AC31" s="4">
        <f t="shared" si="3"/>
        <v>0.2781212121212121</v>
      </c>
      <c r="AD31" s="4">
        <f t="shared" si="10"/>
        <v>0.46212121212121215</v>
      </c>
      <c r="AE31" s="4">
        <v>0.1</v>
      </c>
      <c r="AF31" s="4">
        <f t="shared" si="11"/>
        <v>-1.1023569023569157E-2</v>
      </c>
      <c r="AG31" s="4">
        <f t="shared" si="4"/>
        <v>0.18880134680134675</v>
      </c>
      <c r="AL31">
        <v>177.8</v>
      </c>
      <c r="AM31" s="95">
        <f t="shared" si="5"/>
        <v>0.57789001888380775</v>
      </c>
      <c r="AN31" s="1">
        <f t="shared" si="6"/>
        <v>-1.907554839735965E-2</v>
      </c>
      <c r="AO31" s="1"/>
      <c r="AP31" s="110"/>
      <c r="AQ31" s="1">
        <f>AQ30</f>
        <v>-3.4195901052233503E-2</v>
      </c>
      <c r="AR31" s="15"/>
      <c r="AS31" s="7">
        <v>28</v>
      </c>
      <c r="AT31" s="15"/>
      <c r="AW31" s="4">
        <f t="shared" si="7"/>
        <v>2.1436590551181101</v>
      </c>
      <c r="AY31" s="4"/>
      <c r="AZ31" s="1" t="e">
        <f t="shared" ref="AZ31:AZ41" si="16">AZ30</f>
        <v>#DIV/0!</v>
      </c>
    </row>
    <row r="32" spans="1:52">
      <c r="D32" s="2">
        <v>2002</v>
      </c>
      <c r="E32" s="2">
        <v>3</v>
      </c>
      <c r="K32" s="85">
        <v>23.7</v>
      </c>
      <c r="L32" s="4">
        <v>1.2490000000000001</v>
      </c>
      <c r="M32" s="1">
        <v>1.2210000000000001</v>
      </c>
      <c r="N32" s="1">
        <v>1.3069999999999999</v>
      </c>
      <c r="O32" s="1">
        <v>1.4610000000000001</v>
      </c>
      <c r="P32" s="4">
        <f t="shared" si="0"/>
        <v>1.2254444444444443</v>
      </c>
      <c r="Q32" s="4">
        <f t="shared" si="1"/>
        <v>2.5140231040268457</v>
      </c>
      <c r="R32" s="4">
        <f t="shared" si="2"/>
        <v>2.1086896961222963</v>
      </c>
      <c r="S32" s="4">
        <v>0.19700000000000001</v>
      </c>
      <c r="T32" s="4">
        <f t="shared" si="8"/>
        <v>0.18791530691530692</v>
      </c>
      <c r="U32" s="4">
        <v>0.184</v>
      </c>
      <c r="V32" s="4">
        <v>0.18</v>
      </c>
      <c r="W32" s="4">
        <v>1.2E-2</v>
      </c>
      <c r="X32" s="3">
        <v>7.2499999999999995E-2</v>
      </c>
      <c r="Y32" s="4">
        <f t="shared" si="9"/>
        <v>9.8762237762237762E-2</v>
      </c>
      <c r="Z32" s="4">
        <v>0</v>
      </c>
      <c r="AB32" s="4">
        <v>0</v>
      </c>
      <c r="AC32" s="4">
        <f t="shared" si="3"/>
        <v>0.29076223776223775</v>
      </c>
      <c r="AD32" s="4">
        <f t="shared" si="10"/>
        <v>0.47476223776223775</v>
      </c>
      <c r="AE32" s="4">
        <v>0.1</v>
      </c>
      <c r="AF32" s="4">
        <f t="shared" si="11"/>
        <v>3.2708624708625011E-2</v>
      </c>
      <c r="AG32" s="4">
        <f t="shared" si="4"/>
        <v>0.20284693084693073</v>
      </c>
      <c r="AL32">
        <v>178.8</v>
      </c>
      <c r="AM32" s="95">
        <f t="shared" si="5"/>
        <v>0.58114024396189445</v>
      </c>
      <c r="AN32" s="1">
        <f t="shared" si="6"/>
        <v>5.6283530608094878E-2</v>
      </c>
      <c r="AO32" s="1"/>
      <c r="AP32" s="110"/>
      <c r="AQ32" s="1">
        <f t="shared" ref="AQ32:AQ41" si="17">AQ31</f>
        <v>-3.4195901052233503E-2</v>
      </c>
      <c r="AR32" s="15"/>
      <c r="AS32" s="7">
        <v>31</v>
      </c>
      <c r="AT32" s="15"/>
      <c r="AW32" s="4">
        <f t="shared" si="7"/>
        <v>2.4445602348993285</v>
      </c>
      <c r="AY32" s="4"/>
      <c r="AZ32" s="1" t="e">
        <f t="shared" si="16"/>
        <v>#DIV/0!</v>
      </c>
    </row>
    <row r="33" spans="1:52">
      <c r="D33" s="2">
        <v>2002</v>
      </c>
      <c r="E33" s="2">
        <v>4</v>
      </c>
      <c r="K33" s="85">
        <v>25.73</v>
      </c>
      <c r="L33" s="4">
        <v>1.397</v>
      </c>
      <c r="M33" s="1">
        <v>1.3620000000000001</v>
      </c>
      <c r="N33" s="1">
        <v>1.4690000000000001</v>
      </c>
      <c r="O33" s="1">
        <v>1.61</v>
      </c>
      <c r="P33" s="4">
        <f t="shared" si="0"/>
        <v>1.3733333333333333</v>
      </c>
      <c r="Q33" s="4">
        <f t="shared" si="1"/>
        <v>2.7550072858731927</v>
      </c>
      <c r="R33" s="4">
        <f t="shared" si="2"/>
        <v>2.3500269187986649</v>
      </c>
      <c r="S33" s="4">
        <v>0.19700000000000001</v>
      </c>
      <c r="T33" s="4">
        <f t="shared" si="8"/>
        <v>0.18679616679616681</v>
      </c>
      <c r="U33" s="4">
        <v>0.184</v>
      </c>
      <c r="V33" s="4">
        <v>0.18</v>
      </c>
      <c r="W33" s="4">
        <v>1.2E-2</v>
      </c>
      <c r="X33" s="3">
        <v>7.2499999999999995E-2</v>
      </c>
      <c r="Y33" s="4">
        <f t="shared" si="9"/>
        <v>0.10883449883449885</v>
      </c>
      <c r="Z33" s="4">
        <v>0</v>
      </c>
      <c r="AB33" s="4">
        <v>0</v>
      </c>
      <c r="AC33" s="4">
        <f t="shared" si="3"/>
        <v>0.30083449883449886</v>
      </c>
      <c r="AD33" s="4">
        <f t="shared" si="10"/>
        <v>0.48483449883449886</v>
      </c>
      <c r="AE33" s="4">
        <v>0.1</v>
      </c>
      <c r="AF33" s="4">
        <f t="shared" si="11"/>
        <v>2.262833462833469E-2</v>
      </c>
      <c r="AG33" s="4">
        <f t="shared" si="4"/>
        <v>0.21403833203833211</v>
      </c>
      <c r="AL33">
        <v>179.8</v>
      </c>
      <c r="AM33" s="95">
        <f t="shared" si="5"/>
        <v>0.58439046903998104</v>
      </c>
      <c r="AN33" s="1">
        <f t="shared" si="6"/>
        <v>3.8721258862260077E-2</v>
      </c>
      <c r="AO33" s="1"/>
      <c r="AP33" s="110"/>
      <c r="AQ33" s="1">
        <f t="shared" si="17"/>
        <v>-3.4195901052233503E-2</v>
      </c>
      <c r="AR33" s="15"/>
      <c r="AS33" s="7">
        <v>30</v>
      </c>
      <c r="AT33" s="15"/>
      <c r="AW33" s="4">
        <f t="shared" si="7"/>
        <v>2.6788859844271413</v>
      </c>
      <c r="AY33" s="4"/>
      <c r="AZ33" s="1" t="e">
        <f t="shared" si="16"/>
        <v>#DIV/0!</v>
      </c>
    </row>
    <row r="34" spans="1:52">
      <c r="D34" s="2">
        <v>2002</v>
      </c>
      <c r="E34" s="2">
        <v>5</v>
      </c>
      <c r="K34" s="85">
        <v>25.35</v>
      </c>
      <c r="L34" s="4">
        <v>1.3919999999999999</v>
      </c>
      <c r="M34" s="1">
        <v>1.353</v>
      </c>
      <c r="N34" s="1">
        <v>1.47</v>
      </c>
      <c r="O34" s="1">
        <v>1.5680000000000001</v>
      </c>
      <c r="P34" s="4">
        <f t="shared" si="0"/>
        <v>1.3724444444444444</v>
      </c>
      <c r="Q34" s="4">
        <f t="shared" si="1"/>
        <v>2.6831375305895437</v>
      </c>
      <c r="R34" s="4">
        <f t="shared" si="2"/>
        <v>2.3485058657767888</v>
      </c>
      <c r="S34" s="4">
        <v>0.19700000000000001</v>
      </c>
      <c r="T34" s="4">
        <f t="shared" si="8"/>
        <v>0.1871116291116291</v>
      </c>
      <c r="U34" s="4">
        <v>0.184</v>
      </c>
      <c r="V34" s="4">
        <v>0.18</v>
      </c>
      <c r="W34" s="4">
        <v>1.2E-2</v>
      </c>
      <c r="X34" s="3">
        <v>7.2499999999999995E-2</v>
      </c>
      <c r="Y34" s="4">
        <f t="shared" si="9"/>
        <v>0.105995337995338</v>
      </c>
      <c r="Z34" s="4">
        <v>0</v>
      </c>
      <c r="AB34" s="4">
        <v>0</v>
      </c>
      <c r="AC34" s="4">
        <f t="shared" si="3"/>
        <v>0.29799533799533801</v>
      </c>
      <c r="AD34" s="4">
        <f t="shared" si="10"/>
        <v>0.481995337995338</v>
      </c>
      <c r="AE34" s="4">
        <v>0.1</v>
      </c>
      <c r="AF34" s="4">
        <f t="shared" si="11"/>
        <v>-1.5328153328153293E-2</v>
      </c>
      <c r="AG34" s="4">
        <f t="shared" si="4"/>
        <v>0.210883708883709</v>
      </c>
      <c r="AL34">
        <v>179.8</v>
      </c>
      <c r="AM34" s="95">
        <f t="shared" si="5"/>
        <v>0.58439046903998104</v>
      </c>
      <c r="AN34" s="1">
        <f t="shared" si="6"/>
        <v>-2.6229300682014747E-2</v>
      </c>
      <c r="AO34" s="1"/>
      <c r="AP34" s="110"/>
      <c r="AQ34" s="1">
        <f t="shared" si="17"/>
        <v>-3.4195901052233503E-2</v>
      </c>
      <c r="AR34" s="15"/>
      <c r="AS34" s="7">
        <v>31</v>
      </c>
      <c r="AT34" s="15"/>
      <c r="AW34" s="4">
        <f t="shared" si="7"/>
        <v>2.609002002224694</v>
      </c>
      <c r="AY34" s="4"/>
      <c r="AZ34" s="1" t="e">
        <f t="shared" si="16"/>
        <v>#DIV/0!</v>
      </c>
    </row>
    <row r="35" spans="1:52">
      <c r="A35" s="2">
        <f>A23+1</f>
        <v>2002</v>
      </c>
      <c r="B35" s="2">
        <f>D35</f>
        <v>2002</v>
      </c>
      <c r="D35" s="2">
        <v>2002</v>
      </c>
      <c r="E35" s="2">
        <v>6</v>
      </c>
      <c r="K35" s="85">
        <v>24.08</v>
      </c>
      <c r="L35" s="4">
        <v>1.3819999999999999</v>
      </c>
      <c r="M35" s="1">
        <v>1.341</v>
      </c>
      <c r="N35" s="1">
        <v>1.466</v>
      </c>
      <c r="O35" s="1">
        <v>1.5860000000000001</v>
      </c>
      <c r="P35" s="4">
        <f t="shared" si="0"/>
        <v>1.3593333333333331</v>
      </c>
      <c r="Q35" s="4">
        <f t="shared" si="1"/>
        <v>2.712430272373541</v>
      </c>
      <c r="R35" s="4">
        <f t="shared" si="2"/>
        <v>2.3247773540856027</v>
      </c>
      <c r="S35" s="4">
        <v>0.19700000000000001</v>
      </c>
      <c r="T35" s="4">
        <f t="shared" si="8"/>
        <v>0.18697643097643099</v>
      </c>
      <c r="U35" s="4">
        <v>0.184</v>
      </c>
      <c r="V35" s="4">
        <v>0.18</v>
      </c>
      <c r="W35" s="4">
        <v>1.2E-2</v>
      </c>
      <c r="X35" s="3">
        <v>7.2499999999999995E-2</v>
      </c>
      <c r="Y35" s="4">
        <f t="shared" si="9"/>
        <v>0.10721212121212122</v>
      </c>
      <c r="Z35" s="4">
        <v>0</v>
      </c>
      <c r="AB35" s="4">
        <v>0</v>
      </c>
      <c r="AC35" s="4">
        <f t="shared" si="3"/>
        <v>0.29921212121212121</v>
      </c>
      <c r="AD35" s="4">
        <f t="shared" si="10"/>
        <v>0.4832121212121212</v>
      </c>
      <c r="AE35" s="4">
        <v>0.1</v>
      </c>
      <c r="AF35" s="4">
        <f t="shared" si="11"/>
        <v>1.4430976430976683E-2</v>
      </c>
      <c r="AG35" s="4">
        <f t="shared" si="4"/>
        <v>0.21223569023569033</v>
      </c>
      <c r="AL35">
        <v>179.9</v>
      </c>
      <c r="AM35" s="95">
        <f t="shared" si="5"/>
        <v>0.58471549154778968</v>
      </c>
      <c r="AN35" s="1">
        <f t="shared" si="6"/>
        <v>2.4680338796525998E-2</v>
      </c>
      <c r="AO35" s="1"/>
      <c r="AP35" s="110"/>
      <c r="AQ35" s="1">
        <f t="shared" si="17"/>
        <v>-3.4195901052233503E-2</v>
      </c>
      <c r="AR35" s="15"/>
      <c r="AS35" s="7">
        <v>30</v>
      </c>
      <c r="AT35" s="15"/>
      <c r="AW35" s="4">
        <f t="shared" si="7"/>
        <v>2.6374853807670933</v>
      </c>
      <c r="AY35" s="4"/>
      <c r="AZ35" s="1" t="e">
        <f t="shared" si="16"/>
        <v>#DIV/0!</v>
      </c>
    </row>
    <row r="36" spans="1:52">
      <c r="D36" s="2">
        <v>2002</v>
      </c>
      <c r="E36" s="2">
        <v>7</v>
      </c>
      <c r="K36" s="85">
        <v>25.74</v>
      </c>
      <c r="L36" s="4">
        <v>1.397</v>
      </c>
      <c r="M36" s="1">
        <v>1.3640000000000001</v>
      </c>
      <c r="N36" s="1">
        <v>1.4630000000000001</v>
      </c>
      <c r="O36" s="1">
        <v>1.601</v>
      </c>
      <c r="P36" s="4">
        <f t="shared" si="0"/>
        <v>1.3743333333333332</v>
      </c>
      <c r="Q36" s="4">
        <f t="shared" si="1"/>
        <v>2.7350431482509716</v>
      </c>
      <c r="R36" s="4">
        <f t="shared" si="2"/>
        <v>2.3478207162687394</v>
      </c>
      <c r="S36" s="4">
        <v>0.19700000000000001</v>
      </c>
      <c r="T36" s="4">
        <f t="shared" si="8"/>
        <v>0.18686376586376588</v>
      </c>
      <c r="U36" s="4">
        <v>0.184</v>
      </c>
      <c r="V36" s="4">
        <v>0.18</v>
      </c>
      <c r="W36" s="4">
        <v>1.2E-2</v>
      </c>
      <c r="X36" s="3">
        <v>7.2499999999999995E-2</v>
      </c>
      <c r="Y36" s="4">
        <f t="shared" si="9"/>
        <v>0.10822610722610723</v>
      </c>
      <c r="Z36" s="4">
        <v>0</v>
      </c>
      <c r="AB36" s="4">
        <v>0</v>
      </c>
      <c r="AC36" s="4">
        <f t="shared" si="3"/>
        <v>0.30022610722610721</v>
      </c>
      <c r="AD36" s="4">
        <f t="shared" si="10"/>
        <v>0.48422610722610726</v>
      </c>
      <c r="AE36" s="4">
        <v>0.1</v>
      </c>
      <c r="AF36" s="4">
        <f t="shared" si="11"/>
        <v>1.3304325304325459E-2</v>
      </c>
      <c r="AG36" s="4">
        <f t="shared" si="4"/>
        <v>0.21336234136234133</v>
      </c>
      <c r="AL36">
        <v>180.1</v>
      </c>
      <c r="AM36" s="95">
        <f t="shared" si="5"/>
        <v>0.58536553656340706</v>
      </c>
      <c r="AN36" s="1">
        <f t="shared" si="6"/>
        <v>2.2728234706869063E-2</v>
      </c>
      <c r="AO36" s="1"/>
      <c r="AP36" s="110"/>
      <c r="AQ36" s="1">
        <f t="shared" si="17"/>
        <v>-3.4195901052233503E-2</v>
      </c>
      <c r="AR36" s="15"/>
      <c r="AS36" s="7">
        <v>31</v>
      </c>
      <c r="AT36" s="15"/>
      <c r="AW36" s="4">
        <f t="shared" si="7"/>
        <v>2.6594734591893392</v>
      </c>
      <c r="AY36" s="4"/>
      <c r="AZ36" s="1" t="e">
        <f t="shared" si="16"/>
        <v>#DIV/0!</v>
      </c>
    </row>
    <row r="37" spans="1:52">
      <c r="D37" s="2">
        <v>2002</v>
      </c>
      <c r="E37" s="2">
        <v>8</v>
      </c>
      <c r="K37" s="85">
        <v>26.65</v>
      </c>
      <c r="L37" s="4">
        <v>1.3959999999999999</v>
      </c>
      <c r="M37" s="1">
        <v>1.3580000000000001</v>
      </c>
      <c r="N37" s="1">
        <v>1.4710000000000001</v>
      </c>
      <c r="O37" s="1">
        <v>1.5880000000000001</v>
      </c>
      <c r="P37" s="4">
        <f t="shared" si="0"/>
        <v>1.3746666666666665</v>
      </c>
      <c r="Q37" s="4">
        <f t="shared" si="1"/>
        <v>2.7038270503597124</v>
      </c>
      <c r="R37" s="4">
        <f t="shared" si="2"/>
        <v>2.3405925179856113</v>
      </c>
      <c r="S37" s="4">
        <v>0.19700000000000001</v>
      </c>
      <c r="T37" s="4">
        <f t="shared" si="8"/>
        <v>0.18696140896140895</v>
      </c>
      <c r="U37" s="4">
        <v>0.184</v>
      </c>
      <c r="V37" s="4">
        <v>0.18</v>
      </c>
      <c r="W37" s="4">
        <v>1.2E-2</v>
      </c>
      <c r="X37" s="3">
        <v>7.2499999999999995E-2</v>
      </c>
      <c r="Y37" s="4">
        <f t="shared" si="9"/>
        <v>0.10734731934731935</v>
      </c>
      <c r="Z37" s="4">
        <v>0</v>
      </c>
      <c r="AB37" s="4">
        <v>0</v>
      </c>
      <c r="AC37" s="4">
        <f t="shared" si="3"/>
        <v>0.29934731934731934</v>
      </c>
      <c r="AD37" s="4">
        <f t="shared" si="10"/>
        <v>0.48334731934731934</v>
      </c>
      <c r="AE37" s="4">
        <v>0.1</v>
      </c>
      <c r="AF37" s="4">
        <f t="shared" si="11"/>
        <v>9.474229474231155E-4</v>
      </c>
      <c r="AG37" s="4">
        <f t="shared" si="4"/>
        <v>0.21238591038591048</v>
      </c>
      <c r="AL37">
        <v>180.7</v>
      </c>
      <c r="AM37" s="95">
        <f t="shared" si="5"/>
        <v>0.58731567161025899</v>
      </c>
      <c r="AN37" s="1">
        <f t="shared" si="6"/>
        <v>1.6131409278174731E-3</v>
      </c>
      <c r="AO37" s="1"/>
      <c r="AP37" s="110"/>
      <c r="AQ37" s="1">
        <f t="shared" si="17"/>
        <v>-3.4195901052233503E-2</v>
      </c>
      <c r="AR37" s="15"/>
      <c r="AS37" s="7">
        <v>31</v>
      </c>
      <c r="AT37" s="15"/>
      <c r="AW37" s="4">
        <f t="shared" si="7"/>
        <v>2.6291198671831766</v>
      </c>
      <c r="AY37" s="4"/>
      <c r="AZ37" s="1" t="e">
        <f t="shared" si="16"/>
        <v>#DIV/0!</v>
      </c>
    </row>
    <row r="38" spans="1:52">
      <c r="D38" s="2">
        <v>2002</v>
      </c>
      <c r="E38" s="2">
        <v>9</v>
      </c>
      <c r="K38" s="85">
        <v>28.4</v>
      </c>
      <c r="L38" s="4">
        <v>1.4</v>
      </c>
      <c r="M38" s="1">
        <v>1.363</v>
      </c>
      <c r="N38" s="1">
        <v>1.472</v>
      </c>
      <c r="O38" s="1">
        <v>1.579</v>
      </c>
      <c r="P38" s="4">
        <f t="shared" si="0"/>
        <v>1.3801111111111111</v>
      </c>
      <c r="Q38" s="4">
        <f t="shared" si="1"/>
        <v>2.6840470110497234</v>
      </c>
      <c r="R38" s="4">
        <f t="shared" si="2"/>
        <v>2.3459677661141805</v>
      </c>
      <c r="S38" s="4">
        <v>0.19700000000000001</v>
      </c>
      <c r="T38" s="4">
        <f t="shared" si="8"/>
        <v>0.18702900802900804</v>
      </c>
      <c r="U38" s="4">
        <v>0.184</v>
      </c>
      <c r="V38" s="4">
        <v>0.18</v>
      </c>
      <c r="W38" s="4">
        <v>1.2E-2</v>
      </c>
      <c r="X38" s="3">
        <v>7.2499999999999995E-2</v>
      </c>
      <c r="Y38" s="4">
        <f t="shared" si="9"/>
        <v>0.10673892773892774</v>
      </c>
      <c r="Z38" s="4">
        <v>0</v>
      </c>
      <c r="AB38" s="4">
        <v>0</v>
      </c>
      <c r="AC38" s="4">
        <f t="shared" si="3"/>
        <v>0.29873892773892774</v>
      </c>
      <c r="AD38" s="4">
        <f t="shared" si="10"/>
        <v>0.48273892773892774</v>
      </c>
      <c r="AE38" s="4">
        <v>0.1</v>
      </c>
      <c r="AF38" s="4">
        <f t="shared" si="11"/>
        <v>-1.2821030821031032E-2</v>
      </c>
      <c r="AG38" s="4">
        <f t="shared" si="4"/>
        <v>0.21170991970991992</v>
      </c>
      <c r="AL38">
        <v>181</v>
      </c>
      <c r="AM38" s="95">
        <f t="shared" si="5"/>
        <v>0.58829073913368501</v>
      </c>
      <c r="AN38" s="1">
        <f t="shared" si="6"/>
        <v>-2.1793698197444412E-2</v>
      </c>
      <c r="AO38" s="1"/>
      <c r="AP38" s="110"/>
      <c r="AQ38" s="1">
        <f t="shared" si="17"/>
        <v>-3.4195901052233503E-2</v>
      </c>
      <c r="AR38" s="15"/>
      <c r="AS38" s="7">
        <v>30</v>
      </c>
      <c r="AT38" s="15"/>
      <c r="AW38" s="4">
        <f t="shared" si="7"/>
        <v>2.6098863535911603</v>
      </c>
      <c r="AY38" s="4"/>
      <c r="AZ38" s="1" t="e">
        <f t="shared" si="16"/>
        <v>#DIV/0!</v>
      </c>
    </row>
    <row r="39" spans="1:52">
      <c r="D39" s="2">
        <v>2002</v>
      </c>
      <c r="E39" s="2">
        <v>10</v>
      </c>
      <c r="K39" s="85">
        <v>27.54</v>
      </c>
      <c r="L39" s="4">
        <v>1.4450000000000001</v>
      </c>
      <c r="M39" s="1">
        <v>1.427</v>
      </c>
      <c r="N39" s="1">
        <v>1.4830000000000001</v>
      </c>
      <c r="O39" s="1">
        <v>1.5309999999999999</v>
      </c>
      <c r="P39" s="4">
        <f t="shared" si="0"/>
        <v>1.4354444444444445</v>
      </c>
      <c r="Q39" s="4">
        <f t="shared" si="1"/>
        <v>2.5981483783783781</v>
      </c>
      <c r="R39" s="4">
        <f t="shared" si="2"/>
        <v>2.4359880180180178</v>
      </c>
      <c r="S39" s="4">
        <v>0.19700000000000001</v>
      </c>
      <c r="T39" s="4">
        <f t="shared" si="8"/>
        <v>0.1873895363895364</v>
      </c>
      <c r="U39" s="4">
        <v>0.184</v>
      </c>
      <c r="V39" s="4">
        <v>0.18</v>
      </c>
      <c r="W39" s="4">
        <v>1.2E-2</v>
      </c>
      <c r="X39" s="3">
        <v>7.2499999999999995E-2</v>
      </c>
      <c r="Y39" s="4">
        <f t="shared" si="9"/>
        <v>0.10349417249417249</v>
      </c>
      <c r="Z39" s="4">
        <v>0</v>
      </c>
      <c r="AB39" s="4">
        <v>0</v>
      </c>
      <c r="AC39" s="4">
        <f t="shared" si="3"/>
        <v>0.29549417249417248</v>
      </c>
      <c r="AD39" s="4">
        <f t="shared" si="10"/>
        <v>0.47949417249417248</v>
      </c>
      <c r="AE39" s="4">
        <v>0.1</v>
      </c>
      <c r="AF39" s="4">
        <f t="shared" si="11"/>
        <v>-0.11254908054908075</v>
      </c>
      <c r="AG39" s="4">
        <f t="shared" si="4"/>
        <v>0.20810463610463614</v>
      </c>
      <c r="AL39">
        <v>181.3</v>
      </c>
      <c r="AM39" s="95">
        <f t="shared" si="5"/>
        <v>0.58926580665711104</v>
      </c>
      <c r="AN39" s="1">
        <f t="shared" si="6"/>
        <v>-0.19099883155883188</v>
      </c>
      <c r="AO39" s="1"/>
      <c r="AP39" s="110"/>
      <c r="AQ39" s="1">
        <f t="shared" si="17"/>
        <v>-3.4195901052233503E-2</v>
      </c>
      <c r="AR39" s="15"/>
      <c r="AS39" s="7">
        <v>31</v>
      </c>
      <c r="AT39" s="15"/>
      <c r="AW39" s="4">
        <f t="shared" si="7"/>
        <v>2.5263611141753999</v>
      </c>
      <c r="AY39" s="4"/>
      <c r="AZ39" s="1" t="e">
        <f t="shared" si="16"/>
        <v>#DIV/0!</v>
      </c>
    </row>
    <row r="40" spans="1:52">
      <c r="D40" s="2">
        <v>2002</v>
      </c>
      <c r="E40" s="2">
        <v>11</v>
      </c>
      <c r="K40" s="85">
        <v>24.34</v>
      </c>
      <c r="L40" s="4">
        <v>1.419</v>
      </c>
      <c r="M40" s="1">
        <v>1.385</v>
      </c>
      <c r="N40" s="1">
        <v>1.4870000000000001</v>
      </c>
      <c r="O40" s="1">
        <v>1.5780000000000001</v>
      </c>
      <c r="P40" s="4">
        <f t="shared" si="0"/>
        <v>1.4013333333333333</v>
      </c>
      <c r="Q40" s="4">
        <f t="shared" si="1"/>
        <v>2.6779086486486485</v>
      </c>
      <c r="R40" s="4">
        <f t="shared" si="2"/>
        <v>2.3781005405405402</v>
      </c>
      <c r="S40" s="4">
        <v>0.19700000000000001</v>
      </c>
      <c r="T40" s="4">
        <f t="shared" si="8"/>
        <v>0.18703651903651902</v>
      </c>
      <c r="U40" s="4">
        <v>0.184</v>
      </c>
      <c r="V40" s="4">
        <v>0.18</v>
      </c>
      <c r="W40" s="4">
        <v>1.2E-2</v>
      </c>
      <c r="X40" s="3">
        <v>7.2499999999999995E-2</v>
      </c>
      <c r="Y40" s="4">
        <f t="shared" si="9"/>
        <v>0.10667132867132868</v>
      </c>
      <c r="Z40" s="4">
        <v>0</v>
      </c>
      <c r="AB40" s="4">
        <v>0</v>
      </c>
      <c r="AC40" s="4">
        <f t="shared" si="3"/>
        <v>0.29867132867132867</v>
      </c>
      <c r="AD40" s="4">
        <f t="shared" si="10"/>
        <v>0.48267132867132867</v>
      </c>
      <c r="AE40" s="4">
        <v>0.1</v>
      </c>
      <c r="AF40" s="4">
        <f t="shared" si="11"/>
        <v>-3.496814296814299E-2</v>
      </c>
      <c r="AG40" s="4">
        <f t="shared" si="4"/>
        <v>0.21163480963480974</v>
      </c>
      <c r="AL40">
        <v>181.3</v>
      </c>
      <c r="AM40" s="95">
        <f t="shared" si="5"/>
        <v>0.58926580665711104</v>
      </c>
      <c r="AN40" s="1">
        <f t="shared" si="6"/>
        <v>-5.9341883701883737E-2</v>
      </c>
      <c r="AO40" s="1"/>
      <c r="AP40" s="110"/>
      <c r="AQ40" s="1">
        <f t="shared" si="17"/>
        <v>-3.4195901052233503E-2</v>
      </c>
      <c r="AR40" s="15"/>
      <c r="AS40" s="7">
        <v>30</v>
      </c>
      <c r="AT40" s="15"/>
      <c r="AW40" s="4">
        <f t="shared" si="7"/>
        <v>2.6039175951461666</v>
      </c>
      <c r="AY40" s="4"/>
      <c r="AZ40" s="1" t="e">
        <f t="shared" si="16"/>
        <v>#DIV/0!</v>
      </c>
    </row>
    <row r="41" spans="1:52">
      <c r="B41" s="26" t="s">
        <v>33</v>
      </c>
      <c r="C41" s="29"/>
      <c r="D41" s="2">
        <v>2002</v>
      </c>
      <c r="E41" s="2">
        <v>12</v>
      </c>
      <c r="K41" s="85">
        <v>28.33</v>
      </c>
      <c r="L41" s="4">
        <v>1.3859999999999999</v>
      </c>
      <c r="M41" s="1">
        <v>1.3480000000000001</v>
      </c>
      <c r="N41" s="1">
        <v>1.4610000000000001</v>
      </c>
      <c r="O41" s="1">
        <v>1.536</v>
      </c>
      <c r="P41" s="4">
        <f t="shared" si="0"/>
        <v>1.3693333333333333</v>
      </c>
      <c r="Q41" s="4">
        <f t="shared" si="1"/>
        <v>2.6123972139303482</v>
      </c>
      <c r="R41" s="4">
        <f t="shared" si="2"/>
        <v>2.3289339745715862</v>
      </c>
      <c r="S41" s="4">
        <v>0.19700000000000001</v>
      </c>
      <c r="T41" s="4">
        <f t="shared" si="8"/>
        <v>0.18735198135198136</v>
      </c>
      <c r="U41" s="4">
        <v>0.184</v>
      </c>
      <c r="V41" s="4">
        <v>0.18</v>
      </c>
      <c r="W41" s="4">
        <v>1.2E-2</v>
      </c>
      <c r="X41" s="3">
        <v>7.2499999999999995E-2</v>
      </c>
      <c r="Y41" s="4">
        <f t="shared" si="9"/>
        <v>0.10383216783216784</v>
      </c>
      <c r="Z41" s="4">
        <v>0</v>
      </c>
      <c r="AB41" s="4">
        <v>0</v>
      </c>
      <c r="AC41" s="4">
        <f t="shared" si="3"/>
        <v>0.29583216783216781</v>
      </c>
      <c r="AD41" s="4">
        <f t="shared" si="10"/>
        <v>0.47983216783216787</v>
      </c>
      <c r="AE41" s="4">
        <v>0.1</v>
      </c>
      <c r="AF41" s="4">
        <f t="shared" si="11"/>
        <v>-4.1813519813519884E-2</v>
      </c>
      <c r="AG41" s="4">
        <f t="shared" si="4"/>
        <v>0.20848018648018662</v>
      </c>
      <c r="AL41">
        <v>180.9</v>
      </c>
      <c r="AM41" s="95">
        <f t="shared" si="5"/>
        <v>0.58796571662587638</v>
      </c>
      <c r="AN41" s="1">
        <f t="shared" si="6"/>
        <v>-7.1115574651992683E-2</v>
      </c>
      <c r="AO41" s="1"/>
      <c r="AP41" s="110"/>
      <c r="AQ41" s="1">
        <f t="shared" si="17"/>
        <v>-3.4195901052233503E-2</v>
      </c>
      <c r="AR41" s="15"/>
      <c r="AS41" s="7">
        <v>31</v>
      </c>
      <c r="AT41" s="15"/>
      <c r="AW41" s="4">
        <f t="shared" si="7"/>
        <v>2.5402162520729683</v>
      </c>
      <c r="AY41" s="4"/>
      <c r="AZ41" s="1" t="e">
        <f t="shared" si="16"/>
        <v>#DIV/0!</v>
      </c>
    </row>
    <row r="42" spans="1:52">
      <c r="A42" s="33" t="s">
        <v>39</v>
      </c>
      <c r="B42" s="26" t="s">
        <v>33</v>
      </c>
      <c r="C42" s="29"/>
      <c r="D42" s="2">
        <v>2003</v>
      </c>
      <c r="E42" s="2">
        <v>1</v>
      </c>
      <c r="K42" s="85">
        <v>31.18</v>
      </c>
      <c r="L42" s="4">
        <v>1.458</v>
      </c>
      <c r="M42" s="1">
        <v>1.4239999999999999</v>
      </c>
      <c r="N42" s="1">
        <v>1.5249999999999999</v>
      </c>
      <c r="O42" s="1">
        <v>1.613</v>
      </c>
      <c r="P42" s="4">
        <f t="shared" si="0"/>
        <v>1.4407777777777777</v>
      </c>
      <c r="Q42" s="4">
        <f t="shared" si="1"/>
        <v>2.7312786075949371</v>
      </c>
      <c r="R42" s="4">
        <f t="shared" si="2"/>
        <v>2.4396562447257382</v>
      </c>
      <c r="S42" s="4">
        <v>0.19700000000000001</v>
      </c>
      <c r="T42" s="4">
        <f t="shared" si="8"/>
        <v>0.18677363377363376</v>
      </c>
      <c r="U42" s="4">
        <v>0.184</v>
      </c>
      <c r="V42" s="4">
        <v>0.18</v>
      </c>
      <c r="W42" s="4">
        <v>1.2E-2</v>
      </c>
      <c r="X42" s="3">
        <v>7.2499999999999995E-2</v>
      </c>
      <c r="Y42" s="4">
        <f t="shared" si="9"/>
        <v>0.10903729603729603</v>
      </c>
      <c r="Z42" s="4">
        <v>0</v>
      </c>
      <c r="AB42" s="4">
        <v>0</v>
      </c>
      <c r="AC42" s="4">
        <f t="shared" si="3"/>
        <v>0.30103729603729601</v>
      </c>
      <c r="AD42" s="4">
        <f t="shared" si="10"/>
        <v>0.48503729603729606</v>
      </c>
      <c r="AE42" s="4">
        <v>0.1</v>
      </c>
      <c r="AF42" s="4">
        <f t="shared" si="11"/>
        <v>-4.2041440041439948E-2</v>
      </c>
      <c r="AG42" s="4">
        <f t="shared" si="4"/>
        <v>0.21426366226366222</v>
      </c>
      <c r="AL42">
        <v>181.7</v>
      </c>
      <c r="AM42" s="95">
        <f t="shared" si="5"/>
        <v>0.59056589668834569</v>
      </c>
      <c r="AN42" s="1">
        <f t="shared" si="6"/>
        <v>-7.1188397903081291E-2</v>
      </c>
      <c r="AO42" s="1"/>
      <c r="AP42" s="110"/>
      <c r="AQ42" s="1">
        <f>AVERAGE(AN42:AN53)</f>
        <v>0.12379631506749483</v>
      </c>
      <c r="AR42" s="15"/>
      <c r="AS42" s="7">
        <v>31</v>
      </c>
      <c r="AT42" s="15"/>
      <c r="AW42" s="4">
        <f t="shared" si="7"/>
        <v>2.6558129334067142</v>
      </c>
      <c r="AY42" s="4"/>
      <c r="AZ42" s="1">
        <f>AVERAGE($AY42:$AY53)</f>
        <v>-0.1963254638815049</v>
      </c>
    </row>
    <row r="43" spans="1:52">
      <c r="D43" s="2">
        <v>2003</v>
      </c>
      <c r="E43" s="2">
        <v>2</v>
      </c>
      <c r="K43" s="85">
        <v>32.770000000000003</v>
      </c>
      <c r="L43" s="4">
        <v>1.613</v>
      </c>
      <c r="M43" s="1">
        <v>1.5820000000000001</v>
      </c>
      <c r="N43" s="1">
        <v>1.6759999999999999</v>
      </c>
      <c r="O43" s="1">
        <v>1.8049999999999999</v>
      </c>
      <c r="P43" s="4">
        <f t="shared" si="0"/>
        <v>1.5916666666666668</v>
      </c>
      <c r="Q43" s="4">
        <f t="shared" si="1"/>
        <v>3.0330210540688145</v>
      </c>
      <c r="R43" s="4">
        <f t="shared" si="2"/>
        <v>2.6745476515565265</v>
      </c>
      <c r="S43" s="4">
        <v>0.20399999999999999</v>
      </c>
      <c r="T43" s="4">
        <f t="shared" si="8"/>
        <v>0.19310929810929808</v>
      </c>
      <c r="U43" s="4">
        <v>0.184</v>
      </c>
      <c r="V43" s="4">
        <v>0.18</v>
      </c>
      <c r="W43" s="4">
        <v>1.2E-2</v>
      </c>
      <c r="X43" s="3">
        <v>7.2499999999999995E-2</v>
      </c>
      <c r="Y43" s="4">
        <f t="shared" si="9"/>
        <v>0.12201631701631702</v>
      </c>
      <c r="Z43" s="4">
        <v>0</v>
      </c>
      <c r="AB43" s="4">
        <v>0</v>
      </c>
      <c r="AC43" s="4">
        <f t="shared" si="3"/>
        <v>0.31401631701631705</v>
      </c>
      <c r="AD43" s="4">
        <f t="shared" si="10"/>
        <v>0.49801631701631699</v>
      </c>
      <c r="AE43" s="4">
        <v>0.1</v>
      </c>
      <c r="AF43" s="4">
        <f t="shared" si="11"/>
        <v>-7.5736855736858733E-3</v>
      </c>
      <c r="AG43" s="4">
        <f t="shared" si="4"/>
        <v>0.22090701890701903</v>
      </c>
      <c r="AL43">
        <v>183.1</v>
      </c>
      <c r="AM43" s="95">
        <f t="shared" si="5"/>
        <v>0.59511621179766694</v>
      </c>
      <c r="AN43" s="1">
        <f t="shared" si="6"/>
        <v>-1.272639767417535E-2</v>
      </c>
      <c r="AO43" s="1"/>
      <c r="AP43" s="110"/>
      <c r="AQ43" s="1">
        <f>AQ42</f>
        <v>0.12379631506749483</v>
      </c>
      <c r="AR43" s="15"/>
      <c r="AS43" s="7">
        <v>28</v>
      </c>
      <c r="AT43" s="15"/>
      <c r="AW43" s="4">
        <f t="shared" si="7"/>
        <v>2.9492181867831788</v>
      </c>
      <c r="AY43" s="4"/>
      <c r="AZ43" s="1">
        <f t="shared" ref="AZ43:AZ53" si="18">AZ42</f>
        <v>-0.1963254638815049</v>
      </c>
    </row>
    <row r="44" spans="1:52">
      <c r="D44" s="2">
        <v>2003</v>
      </c>
      <c r="E44" s="2">
        <v>3</v>
      </c>
      <c r="K44" s="85">
        <v>30.61</v>
      </c>
      <c r="L44" s="4">
        <v>1.6930000000000001</v>
      </c>
      <c r="M44" s="1">
        <v>1.6359999999999999</v>
      </c>
      <c r="N44" s="1">
        <v>1.8089999999999999</v>
      </c>
      <c r="O44" s="1">
        <v>2.1030000000000002</v>
      </c>
      <c r="P44" s="4">
        <f t="shared" si="0"/>
        <v>1.6474444444444443</v>
      </c>
      <c r="Q44" s="4">
        <f t="shared" si="1"/>
        <v>3.5126607654723134</v>
      </c>
      <c r="R44" s="4">
        <f t="shared" si="2"/>
        <v>2.7517420177343466</v>
      </c>
      <c r="S44" s="4">
        <v>0.20399999999999999</v>
      </c>
      <c r="T44" s="4">
        <f t="shared" si="8"/>
        <v>0.19087101787101785</v>
      </c>
      <c r="U44" s="4">
        <v>0.184</v>
      </c>
      <c r="V44" s="4">
        <v>0.18</v>
      </c>
      <c r="W44" s="4">
        <v>1.2E-2</v>
      </c>
      <c r="X44" s="3">
        <v>7.2499999999999995E-2</v>
      </c>
      <c r="Y44" s="4">
        <f t="shared" si="9"/>
        <v>0.14216083916083919</v>
      </c>
      <c r="Z44" s="4">
        <v>0</v>
      </c>
      <c r="AB44" s="4">
        <v>0</v>
      </c>
      <c r="AC44" s="4">
        <f t="shared" si="3"/>
        <v>0.33416083916083916</v>
      </c>
      <c r="AD44" s="4">
        <f t="shared" si="10"/>
        <v>0.51816083916083922</v>
      </c>
      <c r="AE44" s="4">
        <v>0.1</v>
      </c>
      <c r="AF44" s="4">
        <f t="shared" si="11"/>
        <v>0.21226573426573436</v>
      </c>
      <c r="AG44" s="4">
        <f t="shared" si="4"/>
        <v>0.24328982128982157</v>
      </c>
      <c r="AL44">
        <v>184.2</v>
      </c>
      <c r="AM44" s="95">
        <f t="shared" si="5"/>
        <v>0.59869145938356227</v>
      </c>
      <c r="AN44" s="1">
        <f t="shared" si="6"/>
        <v>0.3545494610601127</v>
      </c>
      <c r="AO44" s="1"/>
      <c r="AP44" s="110"/>
      <c r="AQ44" s="1">
        <f t="shared" ref="AQ44:AQ53" si="19">AQ43</f>
        <v>0.12379631506749483</v>
      </c>
      <c r="AR44" s="15"/>
      <c r="AS44" s="7">
        <v>31</v>
      </c>
      <c r="AT44" s="15"/>
      <c r="AW44" s="4">
        <f t="shared" si="7"/>
        <v>3.4156053745928348</v>
      </c>
      <c r="AY44" s="4"/>
      <c r="AZ44" s="1">
        <f t="shared" si="18"/>
        <v>-0.1963254638815049</v>
      </c>
    </row>
    <row r="45" spans="1:52">
      <c r="D45" s="2">
        <v>2003</v>
      </c>
      <c r="E45" s="2">
        <v>4</v>
      </c>
      <c r="K45" s="85">
        <v>25</v>
      </c>
      <c r="L45" s="4">
        <v>1.589</v>
      </c>
      <c r="M45" s="1">
        <v>1.5169999999999999</v>
      </c>
      <c r="N45" s="1">
        <v>1.736</v>
      </c>
      <c r="O45" s="1">
        <v>2.0449999999999999</v>
      </c>
      <c r="P45" s="4">
        <f t="shared" si="0"/>
        <v>1.5383333333333333</v>
      </c>
      <c r="Q45" s="4">
        <f t="shared" si="1"/>
        <v>3.4232165125136014</v>
      </c>
      <c r="R45" s="4">
        <f t="shared" si="2"/>
        <v>2.5750846300326438</v>
      </c>
      <c r="S45" s="4">
        <v>0.20399999999999999</v>
      </c>
      <c r="T45" s="4">
        <f t="shared" si="8"/>
        <v>0.19130665630665628</v>
      </c>
      <c r="U45" s="4">
        <v>0.184</v>
      </c>
      <c r="V45" s="4">
        <v>0.18</v>
      </c>
      <c r="W45" s="4">
        <v>1.2E-2</v>
      </c>
      <c r="X45" s="3">
        <v>7.2499999999999995E-2</v>
      </c>
      <c r="Y45" s="4">
        <f t="shared" si="9"/>
        <v>0.13824009324009323</v>
      </c>
      <c r="Z45" s="4">
        <v>0</v>
      </c>
      <c r="AB45" s="4">
        <v>0</v>
      </c>
      <c r="AC45" s="4">
        <f t="shared" si="3"/>
        <v>0.33024009324009324</v>
      </c>
      <c r="AD45" s="4">
        <f t="shared" si="10"/>
        <v>0.51424009324009323</v>
      </c>
      <c r="AE45" s="4">
        <v>0.1</v>
      </c>
      <c r="AF45" s="4">
        <f t="shared" si="11"/>
        <v>0.26773322973322955</v>
      </c>
      <c r="AG45" s="4">
        <f t="shared" si="4"/>
        <v>0.23893343693343705</v>
      </c>
      <c r="AL45">
        <v>183.8</v>
      </c>
      <c r="AM45" s="95">
        <f t="shared" si="5"/>
        <v>0.59739136935232773</v>
      </c>
      <c r="AN45" s="1">
        <f t="shared" si="6"/>
        <v>0.44817056869016569</v>
      </c>
      <c r="AO45" s="1"/>
      <c r="AP45" s="110"/>
      <c r="AQ45" s="1">
        <f t="shared" si="19"/>
        <v>0.12379631506749483</v>
      </c>
      <c r="AR45" s="15"/>
      <c r="AS45" s="7">
        <v>30</v>
      </c>
      <c r="AT45" s="15"/>
      <c r="AW45" s="4">
        <f t="shared" si="7"/>
        <v>3.328632480957562</v>
      </c>
      <c r="AY45" s="4"/>
      <c r="AZ45" s="1">
        <f t="shared" si="18"/>
        <v>-0.1963254638815049</v>
      </c>
    </row>
    <row r="46" spans="1:52">
      <c r="D46" s="2">
        <v>2003</v>
      </c>
      <c r="E46" s="2">
        <v>5</v>
      </c>
      <c r="K46" s="85">
        <v>25.86</v>
      </c>
      <c r="L46" s="4">
        <v>1.4970000000000001</v>
      </c>
      <c r="M46" s="1">
        <v>1.4379999999999999</v>
      </c>
      <c r="N46" s="1">
        <v>1.6180000000000001</v>
      </c>
      <c r="O46" s="1">
        <v>1.8420000000000001</v>
      </c>
      <c r="P46" s="4">
        <f t="shared" si="0"/>
        <v>1.4586666666666668</v>
      </c>
      <c r="Q46" s="4">
        <f t="shared" si="1"/>
        <v>3.0884467683923709</v>
      </c>
      <c r="R46" s="4">
        <f t="shared" si="2"/>
        <v>2.4457189754768396</v>
      </c>
      <c r="S46" s="4">
        <v>0.20399999999999999</v>
      </c>
      <c r="T46" s="4">
        <f t="shared" si="8"/>
        <v>0.19283139083139081</v>
      </c>
      <c r="U46" s="4">
        <v>0.184</v>
      </c>
      <c r="V46" s="4">
        <v>0.18</v>
      </c>
      <c r="W46" s="4">
        <v>1.2E-2</v>
      </c>
      <c r="X46" s="3">
        <v>7.2499999999999995E-2</v>
      </c>
      <c r="Y46" s="4">
        <f t="shared" si="9"/>
        <v>0.12451748251748253</v>
      </c>
      <c r="Z46" s="4">
        <v>0</v>
      </c>
      <c r="AB46" s="4">
        <v>0</v>
      </c>
      <c r="AC46" s="4">
        <f t="shared" si="3"/>
        <v>0.31651748251748252</v>
      </c>
      <c r="AD46" s="4">
        <f t="shared" si="10"/>
        <v>0.50051748251748251</v>
      </c>
      <c r="AE46" s="4">
        <v>0.1</v>
      </c>
      <c r="AF46" s="4">
        <f t="shared" si="11"/>
        <v>0.15964724164724142</v>
      </c>
      <c r="AG46" s="4">
        <f t="shared" si="4"/>
        <v>0.22368609168609188</v>
      </c>
      <c r="AL46">
        <v>183.5</v>
      </c>
      <c r="AM46" s="95">
        <f t="shared" si="5"/>
        <v>0.59641630182890171</v>
      </c>
      <c r="AN46" s="1">
        <f t="shared" si="6"/>
        <v>0.26767752852778426</v>
      </c>
      <c r="AO46" s="1"/>
      <c r="AP46" s="110"/>
      <c r="AQ46" s="1">
        <f t="shared" si="19"/>
        <v>0.12379631506749483</v>
      </c>
      <c r="AR46" s="15"/>
      <c r="AS46" s="7">
        <v>31</v>
      </c>
      <c r="AT46" s="15"/>
      <c r="AW46" s="4">
        <f t="shared" si="7"/>
        <v>3.0031124795640327</v>
      </c>
      <c r="AY46" s="4"/>
      <c r="AZ46" s="1">
        <f t="shared" si="18"/>
        <v>-0.1963254638815049</v>
      </c>
    </row>
    <row r="47" spans="1:52">
      <c r="A47" s="2">
        <f>A35+1</f>
        <v>2003</v>
      </c>
      <c r="B47" s="2">
        <f>D47</f>
        <v>2003</v>
      </c>
      <c r="D47" s="2">
        <v>2003</v>
      </c>
      <c r="E47" s="2">
        <v>6</v>
      </c>
      <c r="K47" s="85">
        <v>27.65</v>
      </c>
      <c r="L47" s="4">
        <v>1.4930000000000001</v>
      </c>
      <c r="M47" s="1">
        <v>1.452</v>
      </c>
      <c r="N47" s="1">
        <v>1.579</v>
      </c>
      <c r="O47" s="1">
        <v>1.764</v>
      </c>
      <c r="P47" s="4">
        <f t="shared" si="0"/>
        <v>1.4628888888888891</v>
      </c>
      <c r="Q47" s="4">
        <f t="shared" si="1"/>
        <v>2.9544455307566686</v>
      </c>
      <c r="R47" s="4">
        <f t="shared" si="2"/>
        <v>2.4501278570132468</v>
      </c>
      <c r="S47" s="4">
        <v>0.20399999999999999</v>
      </c>
      <c r="T47" s="4">
        <f t="shared" si="8"/>
        <v>0.19341724941724939</v>
      </c>
      <c r="U47" s="4">
        <v>0.184</v>
      </c>
      <c r="V47" s="4">
        <v>0.18</v>
      </c>
      <c r="W47" s="4">
        <v>1.2E-2</v>
      </c>
      <c r="X47" s="3">
        <v>7.2499999999999995E-2</v>
      </c>
      <c r="Y47" s="4">
        <f t="shared" si="9"/>
        <v>0.11924475524475525</v>
      </c>
      <c r="Z47" s="4">
        <v>0</v>
      </c>
      <c r="AB47" s="4">
        <v>0</v>
      </c>
      <c r="AC47" s="4">
        <f t="shared" si="3"/>
        <v>0.31124475524475526</v>
      </c>
      <c r="AD47" s="4">
        <f t="shared" si="10"/>
        <v>0.49524475524475525</v>
      </c>
      <c r="AE47" s="4">
        <v>0.1</v>
      </c>
      <c r="AF47" s="4">
        <f t="shared" si="11"/>
        <v>8.3283605283605011E-2</v>
      </c>
      <c r="AG47" s="4">
        <f t="shared" si="4"/>
        <v>0.21782750582750587</v>
      </c>
      <c r="AL47">
        <v>183.7</v>
      </c>
      <c r="AM47" s="95">
        <f t="shared" si="5"/>
        <v>0.59706634684451898</v>
      </c>
      <c r="AN47" s="1">
        <f t="shared" si="6"/>
        <v>0.13948802461193271</v>
      </c>
      <c r="AO47" s="1"/>
      <c r="AP47" s="110"/>
      <c r="AQ47" s="1">
        <f t="shared" si="19"/>
        <v>0.12379631506749483</v>
      </c>
      <c r="AR47" s="15"/>
      <c r="AS47" s="7">
        <v>30</v>
      </c>
      <c r="AT47" s="15"/>
      <c r="AW47" s="4">
        <f t="shared" si="7"/>
        <v>2.8728137180185085</v>
      </c>
      <c r="AY47" s="4">
        <f>(O47-P47-AG47-(SpotGasPrices!K45-(SpotGasPrices!L45+SpotGasPrices!M45)/2))*($AL$279/AL47)</f>
        <v>-0.27857129135668124</v>
      </c>
      <c r="AZ47" s="1">
        <f t="shared" si="18"/>
        <v>-0.1963254638815049</v>
      </c>
    </row>
    <row r="48" spans="1:52">
      <c r="D48" s="2">
        <v>2003</v>
      </c>
      <c r="E48" s="2">
        <v>7</v>
      </c>
      <c r="K48" s="85">
        <v>28.35</v>
      </c>
      <c r="L48" s="4">
        <v>1.5129999999999999</v>
      </c>
      <c r="M48" s="1">
        <v>1.48</v>
      </c>
      <c r="N48" s="1">
        <v>1.581</v>
      </c>
      <c r="O48" s="1">
        <v>1.744</v>
      </c>
      <c r="P48" s="4">
        <f t="shared" si="0"/>
        <v>1.4873333333333334</v>
      </c>
      <c r="Q48" s="4">
        <f t="shared" si="1"/>
        <v>2.9177717455138659</v>
      </c>
      <c r="R48" s="4">
        <f t="shared" si="2"/>
        <v>2.4883596193583468</v>
      </c>
      <c r="S48" s="4">
        <v>0.20399999999999999</v>
      </c>
      <c r="T48" s="4">
        <f t="shared" si="8"/>
        <v>0.19356746956746954</v>
      </c>
      <c r="U48" s="4">
        <v>0.184</v>
      </c>
      <c r="V48" s="4">
        <v>0.18</v>
      </c>
      <c r="W48" s="4">
        <v>1.2E-2</v>
      </c>
      <c r="X48" s="3">
        <v>7.2499999999999995E-2</v>
      </c>
      <c r="Y48" s="4">
        <f t="shared" si="9"/>
        <v>0.11789277389277389</v>
      </c>
      <c r="Z48" s="4">
        <v>0</v>
      </c>
      <c r="AB48" s="4">
        <v>0</v>
      </c>
      <c r="AC48" s="4">
        <f t="shared" si="3"/>
        <v>0.30989277389277392</v>
      </c>
      <c r="AD48" s="4">
        <f t="shared" si="10"/>
        <v>0.49389277389277386</v>
      </c>
      <c r="AE48" s="4">
        <v>0.1</v>
      </c>
      <c r="AF48" s="4">
        <f t="shared" si="11"/>
        <v>4.0341362341362208E-2</v>
      </c>
      <c r="AG48" s="4">
        <f t="shared" si="4"/>
        <v>0.21632530432530439</v>
      </c>
      <c r="AL48">
        <v>183.9</v>
      </c>
      <c r="AM48" s="95">
        <f t="shared" si="5"/>
        <v>0.59771639186013636</v>
      </c>
      <c r="AN48" s="1">
        <f t="shared" si="6"/>
        <v>6.7492481201355356E-2</v>
      </c>
      <c r="AO48" s="1"/>
      <c r="AP48" s="110"/>
      <c r="AQ48" s="1">
        <f t="shared" si="19"/>
        <v>0.12379631506749483</v>
      </c>
      <c r="AR48" s="15"/>
      <c r="AS48" s="7">
        <v>31</v>
      </c>
      <c r="AT48" s="15"/>
      <c r="AW48" s="4">
        <f t="shared" si="7"/>
        <v>2.8371532354540507</v>
      </c>
      <c r="AY48" s="4">
        <f>(O48-P48-AG48-(SpotGasPrices!K46-(SpotGasPrices!L46+SpotGasPrices!M46)/2))*($AL$279/AL48)</f>
        <v>-7.3990331299216713E-2</v>
      </c>
      <c r="AZ48" s="1">
        <f t="shared" si="18"/>
        <v>-0.1963254638815049</v>
      </c>
    </row>
    <row r="49" spans="1:52">
      <c r="D49" s="2">
        <v>2003</v>
      </c>
      <c r="E49" s="2">
        <v>8</v>
      </c>
      <c r="K49" s="85">
        <v>29.89</v>
      </c>
      <c r="L49" s="4">
        <v>1.62</v>
      </c>
      <c r="M49" s="1">
        <v>1.5880000000000001</v>
      </c>
      <c r="N49" s="1">
        <v>1.6879999999999999</v>
      </c>
      <c r="O49" s="1">
        <v>1.867</v>
      </c>
      <c r="P49" s="4">
        <f t="shared" si="0"/>
        <v>1.5925555555555555</v>
      </c>
      <c r="Q49" s="4">
        <f t="shared" si="1"/>
        <v>3.1117104929577462</v>
      </c>
      <c r="R49" s="4">
        <f t="shared" si="2"/>
        <v>2.6542966431924881</v>
      </c>
      <c r="S49" s="4">
        <v>0.20399999999999999</v>
      </c>
      <c r="T49" s="4">
        <f t="shared" si="8"/>
        <v>0.19264361564361562</v>
      </c>
      <c r="U49" s="4">
        <v>0.184</v>
      </c>
      <c r="V49" s="4">
        <v>0.18</v>
      </c>
      <c r="W49" s="4">
        <v>1.2E-2</v>
      </c>
      <c r="X49" s="3">
        <v>7.2499999999999995E-2</v>
      </c>
      <c r="Y49" s="4">
        <f t="shared" si="9"/>
        <v>0.12620745920745921</v>
      </c>
      <c r="Z49" s="4">
        <v>0</v>
      </c>
      <c r="AB49" s="4">
        <v>0</v>
      </c>
      <c r="AC49" s="4">
        <f t="shared" si="3"/>
        <v>0.31820745920745919</v>
      </c>
      <c r="AD49" s="4">
        <f t="shared" si="10"/>
        <v>0.50220745920745924</v>
      </c>
      <c r="AE49" s="4">
        <v>0.1</v>
      </c>
      <c r="AF49" s="4">
        <f t="shared" si="11"/>
        <v>4.8880600880600644E-2</v>
      </c>
      <c r="AG49" s="4">
        <f t="shared" si="4"/>
        <v>0.22556384356384385</v>
      </c>
      <c r="AL49">
        <v>184.6</v>
      </c>
      <c r="AM49" s="95">
        <f t="shared" si="5"/>
        <v>0.59999154941479693</v>
      </c>
      <c r="AN49" s="1">
        <f t="shared" si="6"/>
        <v>8.1468815566279967E-2</v>
      </c>
      <c r="AO49" s="1"/>
      <c r="AP49" s="110"/>
      <c r="AQ49" s="1">
        <f t="shared" si="19"/>
        <v>0.12379631506749483</v>
      </c>
      <c r="AR49" s="15"/>
      <c r="AS49" s="7">
        <v>31</v>
      </c>
      <c r="AT49" s="15"/>
      <c r="AW49" s="4">
        <f t="shared" si="7"/>
        <v>3.0257334236186355</v>
      </c>
      <c r="AY49" s="4">
        <f>(O49-P49-AG49-(SpotGasPrices!K47-(SpotGasPrices!L47+SpotGasPrices!M47)/2))*($AL$279/AL49)</f>
        <v>-0.43849317643754304</v>
      </c>
      <c r="AZ49" s="1">
        <f t="shared" si="18"/>
        <v>-0.1963254638815049</v>
      </c>
    </row>
    <row r="50" spans="1:52">
      <c r="D50" s="2">
        <v>2003</v>
      </c>
      <c r="E50" s="2">
        <v>9</v>
      </c>
      <c r="K50" s="85">
        <v>27.11</v>
      </c>
      <c r="L50" s="4">
        <v>1.679</v>
      </c>
      <c r="M50" s="1">
        <v>1.6160000000000001</v>
      </c>
      <c r="N50" s="1">
        <v>1.81</v>
      </c>
      <c r="O50" s="1">
        <v>2.0219999999999998</v>
      </c>
      <c r="P50" s="4">
        <f t="shared" si="0"/>
        <v>1.6408888888888891</v>
      </c>
      <c r="Q50" s="4">
        <f t="shared" si="1"/>
        <v>3.3591293844492438</v>
      </c>
      <c r="R50" s="4">
        <f t="shared" si="2"/>
        <v>2.7259931173506122</v>
      </c>
      <c r="S50" s="4">
        <v>0.20399999999999999</v>
      </c>
      <c r="T50" s="4">
        <f t="shared" si="8"/>
        <v>0.19147940947940947</v>
      </c>
      <c r="U50" s="4">
        <v>0.184</v>
      </c>
      <c r="V50" s="4">
        <v>0.18</v>
      </c>
      <c r="W50" s="4">
        <v>1.2E-2</v>
      </c>
      <c r="X50" s="3">
        <v>7.2499999999999995E-2</v>
      </c>
      <c r="Y50" s="4">
        <f t="shared" si="9"/>
        <v>0.13668531468531467</v>
      </c>
      <c r="Z50" s="4">
        <v>0</v>
      </c>
      <c r="AB50" s="4">
        <v>0</v>
      </c>
      <c r="AC50" s="4">
        <f t="shared" si="3"/>
        <v>0.3286853146853147</v>
      </c>
      <c r="AD50" s="4">
        <f t="shared" si="10"/>
        <v>0.51268531468531464</v>
      </c>
      <c r="AE50" s="4">
        <v>0.1</v>
      </c>
      <c r="AF50" s="4">
        <f t="shared" si="11"/>
        <v>0.14390520590520528</v>
      </c>
      <c r="AG50" s="4">
        <f t="shared" si="4"/>
        <v>0.23720590520590545</v>
      </c>
      <c r="AL50">
        <v>185.2</v>
      </c>
      <c r="AM50" s="95">
        <f t="shared" si="5"/>
        <v>0.60194168446164897</v>
      </c>
      <c r="AN50" s="1">
        <f t="shared" si="6"/>
        <v>0.23906835100464585</v>
      </c>
      <c r="AO50" s="1"/>
      <c r="AP50" s="110"/>
      <c r="AQ50" s="1">
        <f t="shared" si="19"/>
        <v>0.12379631506749483</v>
      </c>
      <c r="AR50" s="15"/>
      <c r="AS50" s="7">
        <v>30</v>
      </c>
      <c r="AT50" s="15"/>
      <c r="AW50" s="4">
        <f t="shared" si="7"/>
        <v>3.2663160907127429</v>
      </c>
      <c r="AY50" s="4">
        <f>(O50-P50-AG50-(SpotGasPrices!K48-(SpotGasPrices!L48+SpotGasPrices!M48)/2))*($AL$279/AL50)</f>
        <v>8.2717970962322154E-2</v>
      </c>
      <c r="AZ50" s="1">
        <f t="shared" si="18"/>
        <v>-0.1963254638815049</v>
      </c>
    </row>
    <row r="51" spans="1:52">
      <c r="D51" s="2">
        <v>2003</v>
      </c>
      <c r="E51" s="2">
        <v>10</v>
      </c>
      <c r="K51" s="85">
        <v>29.61</v>
      </c>
      <c r="L51" s="4">
        <v>1.5640000000000001</v>
      </c>
      <c r="M51" s="1">
        <v>1.5129999999999999</v>
      </c>
      <c r="N51" s="1">
        <v>1.67</v>
      </c>
      <c r="O51" s="1">
        <v>1.7909999999999999</v>
      </c>
      <c r="P51" s="4">
        <f t="shared" si="0"/>
        <v>1.5387777777777778</v>
      </c>
      <c r="Q51" s="4">
        <f t="shared" si="1"/>
        <v>2.978587897297297</v>
      </c>
      <c r="R51" s="4">
        <f t="shared" si="2"/>
        <v>2.5591205279279281</v>
      </c>
      <c r="S51" s="4">
        <v>0.20399999999999999</v>
      </c>
      <c r="T51" s="4">
        <f t="shared" si="8"/>
        <v>0.19321445221445219</v>
      </c>
      <c r="U51" s="4">
        <v>0.184</v>
      </c>
      <c r="V51" s="4">
        <v>0.18</v>
      </c>
      <c r="W51" s="4">
        <v>1.2E-2</v>
      </c>
      <c r="X51" s="3">
        <v>7.2499999999999995E-2</v>
      </c>
      <c r="Y51" s="4">
        <f t="shared" si="9"/>
        <v>0.12106993006993007</v>
      </c>
      <c r="Z51" s="4">
        <v>0</v>
      </c>
      <c r="AB51" s="4">
        <v>0</v>
      </c>
      <c r="AC51" s="4">
        <f t="shared" si="3"/>
        <v>0.31306993006993006</v>
      </c>
      <c r="AD51" s="4">
        <f t="shared" si="10"/>
        <v>0.49706993006993005</v>
      </c>
      <c r="AE51" s="4">
        <v>0.1</v>
      </c>
      <c r="AF51" s="4">
        <f t="shared" si="11"/>
        <v>3.2366744366744138E-2</v>
      </c>
      <c r="AG51" s="4">
        <f t="shared" si="4"/>
        <v>0.21985547785547799</v>
      </c>
      <c r="AL51">
        <v>185</v>
      </c>
      <c r="AM51" s="95">
        <f t="shared" si="5"/>
        <v>0.6012916394460317</v>
      </c>
      <c r="AN51" s="1">
        <f t="shared" si="6"/>
        <v>5.3828695167894784E-2</v>
      </c>
      <c r="AO51" s="1"/>
      <c r="AP51" s="110"/>
      <c r="AQ51" s="1">
        <f t="shared" si="19"/>
        <v>0.12379631506749483</v>
      </c>
      <c r="AR51" s="15"/>
      <c r="AS51" s="7">
        <v>31</v>
      </c>
      <c r="AT51" s="15"/>
      <c r="AW51" s="4">
        <f t="shared" si="7"/>
        <v>2.8962890270270267</v>
      </c>
      <c r="AY51" s="4">
        <f>(O51-P51-AG51-(SpotGasPrices!K49-(SpotGasPrices!L49+SpotGasPrices!M49)/2))*($AL$279/AL51)</f>
        <v>-0.16774572852852901</v>
      </c>
      <c r="AZ51" s="1">
        <f t="shared" si="18"/>
        <v>-0.1963254638815049</v>
      </c>
    </row>
    <row r="52" spans="1:52">
      <c r="D52" s="2">
        <v>2003</v>
      </c>
      <c r="E52" s="2">
        <v>11</v>
      </c>
      <c r="K52" s="85">
        <v>28.75</v>
      </c>
      <c r="L52" s="4">
        <v>1.512</v>
      </c>
      <c r="M52" s="1">
        <v>1.474</v>
      </c>
      <c r="N52" s="1">
        <v>1.593</v>
      </c>
      <c r="O52" s="1">
        <v>1.6919999999999999</v>
      </c>
      <c r="P52" s="4">
        <f t="shared" si="0"/>
        <v>1.492</v>
      </c>
      <c r="Q52" s="4">
        <f t="shared" si="1"/>
        <v>2.8215681951219516</v>
      </c>
      <c r="R52" s="4">
        <f t="shared" si="2"/>
        <v>2.4880494959349591</v>
      </c>
      <c r="S52" s="4">
        <v>0.20399999999999999</v>
      </c>
      <c r="T52" s="4">
        <f t="shared" si="8"/>
        <v>0.19395804195804195</v>
      </c>
      <c r="U52" s="4">
        <v>0.184</v>
      </c>
      <c r="V52" s="4">
        <v>0.18</v>
      </c>
      <c r="W52" s="4">
        <v>1.2E-2</v>
      </c>
      <c r="X52" s="3">
        <v>7.2499999999999995E-2</v>
      </c>
      <c r="Y52" s="4">
        <f t="shared" si="9"/>
        <v>0.11437762237762238</v>
      </c>
      <c r="Z52" s="4">
        <v>0</v>
      </c>
      <c r="AB52" s="4">
        <v>0</v>
      </c>
      <c r="AC52" s="4">
        <f t="shared" si="3"/>
        <v>0.30637762237762239</v>
      </c>
      <c r="AD52" s="4">
        <f t="shared" si="10"/>
        <v>0.49037762237762239</v>
      </c>
      <c r="AE52" s="4">
        <v>0.1</v>
      </c>
      <c r="AF52" s="4">
        <f t="shared" si="11"/>
        <v>-1.2419580419580578E-2</v>
      </c>
      <c r="AG52" s="4">
        <f t="shared" si="4"/>
        <v>0.21241958041958053</v>
      </c>
      <c r="AL52">
        <v>184.5</v>
      </c>
      <c r="AM52" s="95">
        <f t="shared" si="5"/>
        <v>0.5996665269069883</v>
      </c>
      <c r="AN52" s="1">
        <f t="shared" si="6"/>
        <v>-2.0710811529933745E-2</v>
      </c>
      <c r="AO52" s="1"/>
      <c r="AP52" s="110"/>
      <c r="AQ52" s="1">
        <f t="shared" si="19"/>
        <v>0.12379631506749483</v>
      </c>
      <c r="AR52" s="15"/>
      <c r="AS52" s="7">
        <v>30</v>
      </c>
      <c r="AT52" s="15"/>
      <c r="AW52" s="4">
        <f t="shared" si="7"/>
        <v>2.743607804878049</v>
      </c>
      <c r="AY52" s="4">
        <f>(O52-P52-AG52-(SpotGasPrices!K50-(SpotGasPrices!L50+SpotGasPrices!M50)/2))*($AL$279/AL52)</f>
        <v>-0.29303637940379434</v>
      </c>
      <c r="AZ52" s="1">
        <f t="shared" si="18"/>
        <v>-0.1963254638815049</v>
      </c>
    </row>
    <row r="53" spans="1:52">
      <c r="B53" s="26" t="s">
        <v>33</v>
      </c>
      <c r="C53" s="29"/>
      <c r="D53" s="2">
        <v>2003</v>
      </c>
      <c r="E53" s="2">
        <v>12</v>
      </c>
      <c r="K53" s="85">
        <v>29.81</v>
      </c>
      <c r="L53" s="4">
        <v>1.4790000000000001</v>
      </c>
      <c r="M53" s="1">
        <v>1.448</v>
      </c>
      <c r="N53" s="1">
        <v>1.5429999999999999</v>
      </c>
      <c r="O53" s="1">
        <v>1.633</v>
      </c>
      <c r="P53" s="4">
        <f t="shared" si="0"/>
        <v>1.461888888888889</v>
      </c>
      <c r="Q53" s="4">
        <f t="shared" si="1"/>
        <v>2.7261353391209981</v>
      </c>
      <c r="R53" s="4">
        <f t="shared" si="2"/>
        <v>2.4404819117381082</v>
      </c>
      <c r="S53" s="4">
        <v>0.20399999999999999</v>
      </c>
      <c r="T53" s="4">
        <f t="shared" si="8"/>
        <v>0.19440119140119139</v>
      </c>
      <c r="U53" s="4">
        <v>0.184</v>
      </c>
      <c r="V53" s="4">
        <v>0.18</v>
      </c>
      <c r="W53" s="4">
        <v>1.2E-2</v>
      </c>
      <c r="X53" s="3">
        <v>7.2499999999999995E-2</v>
      </c>
      <c r="Y53" s="4">
        <f t="shared" si="9"/>
        <v>0.1103892773892774</v>
      </c>
      <c r="Z53" s="4">
        <v>0</v>
      </c>
      <c r="AB53" s="4">
        <v>0</v>
      </c>
      <c r="AC53" s="4">
        <f t="shared" si="3"/>
        <v>0.3023892773892774</v>
      </c>
      <c r="AD53" s="4">
        <f t="shared" si="10"/>
        <v>0.4863892773892774</v>
      </c>
      <c r="AE53" s="4">
        <v>0.1</v>
      </c>
      <c r="AF53" s="4">
        <f t="shared" si="11"/>
        <v>-3.6876974876975055E-2</v>
      </c>
      <c r="AG53" s="4">
        <f t="shared" si="4"/>
        <v>0.20798808598808605</v>
      </c>
      <c r="AL53">
        <v>184.3</v>
      </c>
      <c r="AM53" s="95">
        <f t="shared" si="5"/>
        <v>0.59901648189137102</v>
      </c>
      <c r="AN53" s="1">
        <f t="shared" si="6"/>
        <v>-6.1562537913042815E-2</v>
      </c>
      <c r="AO53" s="1"/>
      <c r="AP53" s="110"/>
      <c r="AQ53" s="1">
        <f t="shared" si="19"/>
        <v>0.12379631506749483</v>
      </c>
      <c r="AR53" s="15"/>
      <c r="AS53" s="7">
        <v>31</v>
      </c>
      <c r="AT53" s="15"/>
      <c r="AW53" s="4">
        <f t="shared" si="7"/>
        <v>2.6508117742810633</v>
      </c>
      <c r="AY53" s="4">
        <f>(O53-P53-AG53-(SpotGasPrices!K51-(SpotGasPrices!L51+SpotGasPrices!M51)/2))*($AL$279/AL53)</f>
        <v>-0.20515931110709212</v>
      </c>
      <c r="AZ53" s="1">
        <f t="shared" si="18"/>
        <v>-0.1963254638815049</v>
      </c>
    </row>
    <row r="54" spans="1:52">
      <c r="A54" s="33" t="s">
        <v>39</v>
      </c>
      <c r="B54" s="26" t="s">
        <v>33</v>
      </c>
      <c r="C54" s="29"/>
      <c r="D54" s="2">
        <v>2004</v>
      </c>
      <c r="E54" s="2">
        <v>1</v>
      </c>
      <c r="K54" s="85">
        <v>31.28</v>
      </c>
      <c r="L54" s="4">
        <v>1.5720000000000001</v>
      </c>
      <c r="M54" s="1">
        <v>1.5549999999999999</v>
      </c>
      <c r="N54" s="1">
        <v>1.6080000000000001</v>
      </c>
      <c r="O54" s="1">
        <v>1.675</v>
      </c>
      <c r="P54" s="4">
        <f t="shared" si="0"/>
        <v>1.5605555555555557</v>
      </c>
      <c r="Q54" s="4">
        <f t="shared" si="1"/>
        <v>2.7826615820734344</v>
      </c>
      <c r="R54" s="4">
        <f t="shared" si="2"/>
        <v>2.5925361141108714</v>
      </c>
      <c r="S54" s="4">
        <v>0.20399999999999999</v>
      </c>
      <c r="T54" s="4">
        <f t="shared" si="8"/>
        <v>0.19408572908572905</v>
      </c>
      <c r="U54" s="4">
        <v>0.184</v>
      </c>
      <c r="V54" s="4">
        <v>0.18</v>
      </c>
      <c r="W54" s="4">
        <v>1.2E-2</v>
      </c>
      <c r="X54" s="3">
        <v>7.2499999999999995E-2</v>
      </c>
      <c r="Y54" s="4">
        <f t="shared" si="9"/>
        <v>0.11322843822843823</v>
      </c>
      <c r="Z54" s="4">
        <v>0</v>
      </c>
      <c r="AB54" s="4">
        <v>0</v>
      </c>
      <c r="AC54" s="4">
        <f t="shared" si="3"/>
        <v>0.30522843822843826</v>
      </c>
      <c r="AD54" s="4">
        <f t="shared" si="10"/>
        <v>0.4892284382284382</v>
      </c>
      <c r="AE54" s="4">
        <v>0.1</v>
      </c>
      <c r="AF54" s="4">
        <f t="shared" si="11"/>
        <v>-9.6698264698265035E-2</v>
      </c>
      <c r="AG54" s="4">
        <f t="shared" si="4"/>
        <v>0.21114270914270938</v>
      </c>
      <c r="AL54">
        <v>185.2</v>
      </c>
      <c r="AM54" s="95">
        <f t="shared" si="5"/>
        <v>0.60194168446164897</v>
      </c>
      <c r="AN54" s="1">
        <f t="shared" si="6"/>
        <v>-0.16064390819643576</v>
      </c>
      <c r="AO54" s="1"/>
      <c r="AP54" s="110"/>
      <c r="AQ54" s="1">
        <f>AVERAGE(AN54:AN65)</f>
        <v>8.8149118676464799E-2</v>
      </c>
      <c r="AR54" s="15"/>
      <c r="AS54" s="7">
        <v>31</v>
      </c>
      <c r="AT54" s="15"/>
      <c r="AW54" s="4">
        <f t="shared" si="7"/>
        <v>2.7057761879049678</v>
      </c>
      <c r="AY54" s="4">
        <f>(O54-P54-AG54-(SpotGasPrices!K52-(SpotGasPrices!L52+SpotGasPrices!M52)/2))*($AL$279/AL54)</f>
        <v>-0.2972046396288302</v>
      </c>
      <c r="AZ54" s="1">
        <f>AVERAGE($AY54:$AY65)</f>
        <v>-0.27679261073770972</v>
      </c>
    </row>
    <row r="55" spans="1:52">
      <c r="D55" s="2">
        <v>2004</v>
      </c>
      <c r="E55" s="2">
        <v>2</v>
      </c>
      <c r="K55" s="85">
        <v>30.86</v>
      </c>
      <c r="L55" s="4">
        <v>1.6479999999999999</v>
      </c>
      <c r="M55" s="1">
        <v>1.615</v>
      </c>
      <c r="N55" s="1">
        <v>1.718</v>
      </c>
      <c r="O55" s="1">
        <v>1.8680000000000001</v>
      </c>
      <c r="P55" s="4">
        <f t="shared" si="0"/>
        <v>1.6235555555555554</v>
      </c>
      <c r="Q55" s="4">
        <f t="shared" si="1"/>
        <v>3.086624210526316</v>
      </c>
      <c r="R55" s="4">
        <f t="shared" si="2"/>
        <v>2.6827119298245612</v>
      </c>
      <c r="S55" s="4">
        <v>0.20699999999999999</v>
      </c>
      <c r="T55" s="4">
        <f t="shared" si="8"/>
        <v>0.19596943796943794</v>
      </c>
      <c r="U55" s="4">
        <v>0.184</v>
      </c>
      <c r="V55" s="4">
        <v>0.18</v>
      </c>
      <c r="W55" s="4">
        <v>1.2E-2</v>
      </c>
      <c r="X55" s="3">
        <v>7.2499999999999995E-2</v>
      </c>
      <c r="Y55" s="4">
        <f t="shared" si="9"/>
        <v>0.12627505827505828</v>
      </c>
      <c r="Z55" s="4">
        <v>0</v>
      </c>
      <c r="AB55" s="4">
        <v>0</v>
      </c>
      <c r="AC55" s="4">
        <f t="shared" si="3"/>
        <v>0.31827505827505831</v>
      </c>
      <c r="AD55" s="4">
        <f t="shared" si="10"/>
        <v>0.50227505827505825</v>
      </c>
      <c r="AE55" s="4">
        <v>0.1</v>
      </c>
      <c r="AF55" s="4">
        <f t="shared" si="11"/>
        <v>2.2138824138824287E-2</v>
      </c>
      <c r="AG55" s="4">
        <f t="shared" si="4"/>
        <v>0.2223056203056204</v>
      </c>
      <c r="AL55">
        <v>186.2</v>
      </c>
      <c r="AM55" s="95">
        <f t="shared" si="5"/>
        <v>0.60519190953973556</v>
      </c>
      <c r="AN55" s="1">
        <f t="shared" si="6"/>
        <v>3.6581493886230977E-2</v>
      </c>
      <c r="AO55" s="1"/>
      <c r="AP55" s="110"/>
      <c r="AQ55" s="1">
        <f>AQ54</f>
        <v>8.8149118676464799E-2</v>
      </c>
      <c r="AR55" s="15"/>
      <c r="AS55" s="7">
        <v>29</v>
      </c>
      <c r="AT55" s="15"/>
      <c r="AW55" s="4">
        <f t="shared" si="7"/>
        <v>3.0013402792696033</v>
      </c>
      <c r="AY55" s="4">
        <f>(O55-P55-AG55-(SpotGasPrices!K53-(SpotGasPrices!L53+SpotGasPrices!M53)/2))*($AL$279/AL55)</f>
        <v>-0.45591862911246378</v>
      </c>
      <c r="AZ55" s="1">
        <f t="shared" ref="AZ55:AZ65" si="20">AZ54</f>
        <v>-0.27679261073770972</v>
      </c>
    </row>
    <row r="56" spans="1:52">
      <c r="D56" s="2">
        <v>2004</v>
      </c>
      <c r="E56" s="2">
        <v>3</v>
      </c>
      <c r="K56" s="85">
        <v>33.630000000000003</v>
      </c>
      <c r="L56" s="4">
        <v>1.736</v>
      </c>
      <c r="M56" s="1">
        <v>1.6890000000000001</v>
      </c>
      <c r="N56" s="1">
        <v>1.835</v>
      </c>
      <c r="O56" s="1">
        <v>2.0960000000000001</v>
      </c>
      <c r="P56" s="4">
        <f t="shared" si="0"/>
        <v>1.696</v>
      </c>
      <c r="Q56" s="4">
        <f t="shared" si="1"/>
        <v>3.4411868516542157</v>
      </c>
      <c r="R56" s="4">
        <f t="shared" si="2"/>
        <v>2.7844718036286018</v>
      </c>
      <c r="S56" s="4">
        <v>0.20699999999999999</v>
      </c>
      <c r="T56" s="4">
        <f t="shared" si="8"/>
        <v>0.19425692825692822</v>
      </c>
      <c r="U56" s="4">
        <v>0.184</v>
      </c>
      <c r="V56" s="4">
        <v>0.18</v>
      </c>
      <c r="W56" s="4">
        <v>1.2E-2</v>
      </c>
      <c r="X56" s="3">
        <v>7.2499999999999995E-2</v>
      </c>
      <c r="Y56" s="4">
        <f t="shared" si="9"/>
        <v>0.14168764568764569</v>
      </c>
      <c r="Z56" s="4">
        <v>0</v>
      </c>
      <c r="AB56" s="4">
        <v>0</v>
      </c>
      <c r="AC56" s="4">
        <f t="shared" si="3"/>
        <v>0.3336876456876457</v>
      </c>
      <c r="AD56" s="4">
        <f t="shared" si="10"/>
        <v>0.51768764568764569</v>
      </c>
      <c r="AE56" s="4">
        <v>0.1</v>
      </c>
      <c r="AF56" s="4">
        <f t="shared" si="11"/>
        <v>0.1605692825692826</v>
      </c>
      <c r="AG56" s="4">
        <f t="shared" si="4"/>
        <v>0.23943071743071753</v>
      </c>
      <c r="AL56">
        <v>187.4</v>
      </c>
      <c r="AM56" s="95">
        <f t="shared" si="5"/>
        <v>0.60909217963343965</v>
      </c>
      <c r="AN56" s="1">
        <f t="shared" si="6"/>
        <v>0.26362066028481185</v>
      </c>
      <c r="AO56" s="1"/>
      <c r="AP56" s="110"/>
      <c r="AQ56" s="1">
        <f t="shared" ref="AQ56:AQ65" si="21">AQ55</f>
        <v>8.8149118676464799E-2</v>
      </c>
      <c r="AR56" s="15"/>
      <c r="AS56" s="7">
        <v>31</v>
      </c>
      <c r="AT56" s="15"/>
      <c r="AW56" s="4">
        <f t="shared" si="7"/>
        <v>3.3461062966915689</v>
      </c>
      <c r="AY56" s="4">
        <f>(O56-P56-AG56-(SpotGasPrices!K54-(SpotGasPrices!L54+SpotGasPrices!M54)/2))*($AL$279/AL56)</f>
        <v>-0.11438749713427392</v>
      </c>
      <c r="AZ56" s="1">
        <f t="shared" si="20"/>
        <v>-0.27679261073770972</v>
      </c>
    </row>
    <row r="57" spans="1:52">
      <c r="D57" s="2">
        <v>2004</v>
      </c>
      <c r="E57" s="2">
        <v>4</v>
      </c>
      <c r="K57" s="85">
        <v>33.590000000000003</v>
      </c>
      <c r="L57" s="4">
        <v>1.798</v>
      </c>
      <c r="M57" s="1">
        <v>1.756</v>
      </c>
      <c r="N57" s="1">
        <v>1.8859999999999999</v>
      </c>
      <c r="O57" s="1">
        <v>2.1389999999999998</v>
      </c>
      <c r="P57" s="4">
        <f t="shared" si="0"/>
        <v>1.7601111111111112</v>
      </c>
      <c r="Q57" s="4">
        <f t="shared" si="1"/>
        <v>3.5005758989361699</v>
      </c>
      <c r="R57" s="4">
        <f t="shared" si="2"/>
        <v>2.8805060939716314</v>
      </c>
      <c r="S57" s="4">
        <v>0.20699999999999999</v>
      </c>
      <c r="T57" s="4">
        <f t="shared" si="8"/>
        <v>0.19393395493395493</v>
      </c>
      <c r="U57" s="4">
        <v>0.184</v>
      </c>
      <c r="V57" s="4">
        <v>0.18</v>
      </c>
      <c r="W57" s="4">
        <v>1.2E-2</v>
      </c>
      <c r="X57" s="3">
        <v>7.2499999999999995E-2</v>
      </c>
      <c r="Y57" s="4">
        <f t="shared" si="9"/>
        <v>0.14459440559440559</v>
      </c>
      <c r="Z57" s="4">
        <v>0</v>
      </c>
      <c r="AB57" s="4">
        <v>0</v>
      </c>
      <c r="AC57" s="4">
        <f t="shared" si="3"/>
        <v>0.33659440559440557</v>
      </c>
      <c r="AD57" s="4">
        <f t="shared" si="10"/>
        <v>0.52059440559440562</v>
      </c>
      <c r="AE57" s="4">
        <v>0.1</v>
      </c>
      <c r="AF57" s="4">
        <f t="shared" si="11"/>
        <v>0.136228438228438</v>
      </c>
      <c r="AG57" s="4">
        <f t="shared" si="4"/>
        <v>0.24266045066045061</v>
      </c>
      <c r="AL57">
        <v>188</v>
      </c>
      <c r="AM57" s="95">
        <f t="shared" si="5"/>
        <v>0.61104231468029158</v>
      </c>
      <c r="AN57" s="1">
        <f t="shared" si="6"/>
        <v>0.22294436073500931</v>
      </c>
      <c r="AO57" s="1"/>
      <c r="AP57" s="110"/>
      <c r="AQ57" s="1">
        <f t="shared" si="21"/>
        <v>8.8149118676464799E-2</v>
      </c>
      <c r="AR57" s="15"/>
      <c r="AS57" s="7">
        <v>30</v>
      </c>
      <c r="AT57" s="15"/>
      <c r="AW57" s="4">
        <f t="shared" si="7"/>
        <v>3.4038544148936167</v>
      </c>
      <c r="AY57" s="4">
        <f>(O57-P57-AG57-(SpotGasPrices!K55-(SpotGasPrices!L55+SpotGasPrices!M55)/2))*($AL$279/AL57)</f>
        <v>-0.24692443971631248</v>
      </c>
      <c r="AZ57" s="1">
        <f t="shared" si="20"/>
        <v>-0.27679261073770972</v>
      </c>
    </row>
    <row r="58" spans="1:52">
      <c r="D58" s="2">
        <v>2004</v>
      </c>
      <c r="E58" s="2">
        <v>5</v>
      </c>
      <c r="K58" s="85">
        <v>37.57</v>
      </c>
      <c r="L58" s="4">
        <v>1.9830000000000001</v>
      </c>
      <c r="M58" s="1">
        <v>1.9450000000000001</v>
      </c>
      <c r="N58" s="1">
        <v>2.0640000000000001</v>
      </c>
      <c r="O58" s="1">
        <v>2.2519999999999998</v>
      </c>
      <c r="P58" s="4">
        <f t="shared" si="0"/>
        <v>1.953111111111111</v>
      </c>
      <c r="Q58" s="4">
        <f t="shared" si="1"/>
        <v>3.6640671179270221</v>
      </c>
      <c r="R58" s="4">
        <f t="shared" si="2"/>
        <v>3.177766518596862</v>
      </c>
      <c r="S58" s="4">
        <v>0.20699999999999999</v>
      </c>
      <c r="T58" s="4">
        <f t="shared" si="8"/>
        <v>0.19308521108521107</v>
      </c>
      <c r="U58" s="4">
        <v>0.184</v>
      </c>
      <c r="V58" s="4">
        <v>0.18</v>
      </c>
      <c r="W58" s="4">
        <v>1.2E-2</v>
      </c>
      <c r="X58" s="3">
        <v>7.2499999999999995E-2</v>
      </c>
      <c r="Y58" s="4">
        <f t="shared" si="9"/>
        <v>0.15223310023310022</v>
      </c>
      <c r="Z58" s="4">
        <v>0</v>
      </c>
      <c r="AB58" s="4">
        <v>0</v>
      </c>
      <c r="AC58" s="4">
        <f t="shared" si="3"/>
        <v>0.34423310023310022</v>
      </c>
      <c r="AD58" s="4">
        <f t="shared" si="10"/>
        <v>0.52823310023310022</v>
      </c>
      <c r="AE58" s="4">
        <v>0.1</v>
      </c>
      <c r="AF58" s="4">
        <f t="shared" si="11"/>
        <v>4.7740999740999435E-2</v>
      </c>
      <c r="AG58" s="4">
        <f t="shared" si="4"/>
        <v>0.25114788914788932</v>
      </c>
      <c r="AL58">
        <v>189.1</v>
      </c>
      <c r="AM58" s="95">
        <f t="shared" si="5"/>
        <v>0.61461756226618691</v>
      </c>
      <c r="AN58" s="1">
        <f t="shared" si="6"/>
        <v>7.7675944639413214E-2</v>
      </c>
      <c r="AO58" s="1"/>
      <c r="AP58" s="110"/>
      <c r="AQ58" s="1">
        <f t="shared" si="21"/>
        <v>8.8149118676464799E-2</v>
      </c>
      <c r="AR58" s="15"/>
      <c r="AS58" s="7">
        <v>31</v>
      </c>
      <c r="AT58" s="15"/>
      <c r="AW58" s="4">
        <f t="shared" si="7"/>
        <v>3.5628283447911158</v>
      </c>
      <c r="AY58" s="4">
        <f>(O58-P58-AG58-(SpotGasPrices!K56-(SpotGasPrices!L56+SpotGasPrices!M56)/2))*($AL$279/AL58)</f>
        <v>-0.41251889574397271</v>
      </c>
      <c r="AZ58" s="1">
        <f t="shared" si="20"/>
        <v>-0.27679261073770972</v>
      </c>
    </row>
    <row r="59" spans="1:52">
      <c r="A59" s="2">
        <f>A47+1</f>
        <v>2004</v>
      </c>
      <c r="B59" s="2">
        <f>D59</f>
        <v>2004</v>
      </c>
      <c r="D59" s="2">
        <v>2004</v>
      </c>
      <c r="E59" s="2">
        <v>6</v>
      </c>
      <c r="K59" s="85">
        <v>35.18</v>
      </c>
      <c r="L59" s="4">
        <v>1.9690000000000001</v>
      </c>
      <c r="M59" s="1">
        <v>1.91</v>
      </c>
      <c r="N59" s="1">
        <v>2.093</v>
      </c>
      <c r="O59" s="1">
        <v>2.2749999999999999</v>
      </c>
      <c r="P59" s="4">
        <f t="shared" si="0"/>
        <v>1.9350000000000001</v>
      </c>
      <c r="Q59" s="4">
        <f t="shared" si="1"/>
        <v>3.6897813653136531</v>
      </c>
      <c r="R59" s="4">
        <f t="shared" si="2"/>
        <v>3.1383415129151295</v>
      </c>
      <c r="S59" s="4">
        <v>0.20699999999999999</v>
      </c>
      <c r="T59" s="4">
        <f t="shared" si="8"/>
        <v>0.1929124579124579</v>
      </c>
      <c r="U59" s="4">
        <v>0.184</v>
      </c>
      <c r="V59" s="4">
        <v>0.18</v>
      </c>
      <c r="W59" s="4">
        <v>1.2E-2</v>
      </c>
      <c r="X59" s="3">
        <v>7.2499999999999995E-2</v>
      </c>
      <c r="Y59" s="4">
        <f t="shared" si="9"/>
        <v>0.15378787878787878</v>
      </c>
      <c r="Z59" s="4">
        <v>0</v>
      </c>
      <c r="AB59" s="4">
        <v>0</v>
      </c>
      <c r="AC59" s="4">
        <f t="shared" si="3"/>
        <v>0.34578787878787876</v>
      </c>
      <c r="AD59" s="4">
        <f t="shared" si="10"/>
        <v>0.52978787878787881</v>
      </c>
      <c r="AE59" s="4">
        <v>0.1</v>
      </c>
      <c r="AF59" s="4">
        <f t="shared" si="11"/>
        <v>8.7124579124578938E-2</v>
      </c>
      <c r="AG59" s="4">
        <f t="shared" si="4"/>
        <v>0.25287542087542092</v>
      </c>
      <c r="AL59">
        <v>189.7</v>
      </c>
      <c r="AM59" s="95">
        <f t="shared" si="5"/>
        <v>0.61656769731303895</v>
      </c>
      <c r="AN59" s="1">
        <f t="shared" si="6"/>
        <v>0.14130577956688628</v>
      </c>
      <c r="AO59" s="1"/>
      <c r="AP59" s="110"/>
      <c r="AQ59" s="1">
        <f t="shared" si="21"/>
        <v>8.8149118676464799E-2</v>
      </c>
      <c r="AR59" s="15"/>
      <c r="AS59" s="7">
        <v>30</v>
      </c>
      <c r="AT59" s="15"/>
      <c r="AW59" s="4">
        <f t="shared" si="7"/>
        <v>3.5878321033210332</v>
      </c>
      <c r="AY59" s="4">
        <f>(O59-P59-AG59-(SpotGasPrices!K57-(SpotGasPrices!L57+SpotGasPrices!M57)/2))*($AL$279/AL59)</f>
        <v>-0.32656494425896698</v>
      </c>
      <c r="AZ59" s="1">
        <f t="shared" si="20"/>
        <v>-0.27679261073770972</v>
      </c>
    </row>
    <row r="60" spans="1:52">
      <c r="D60" s="2">
        <v>2004</v>
      </c>
      <c r="E60" s="2">
        <v>7</v>
      </c>
      <c r="K60" s="85">
        <v>38.22</v>
      </c>
      <c r="L60" s="4">
        <v>1.911</v>
      </c>
      <c r="M60" s="1">
        <v>1.863</v>
      </c>
      <c r="N60" s="1">
        <v>2.012</v>
      </c>
      <c r="O60" s="1">
        <v>2.1859999999999999</v>
      </c>
      <c r="P60" s="4">
        <f t="shared" si="0"/>
        <v>1.8804444444444446</v>
      </c>
      <c r="Q60" s="4">
        <f t="shared" si="1"/>
        <v>3.5510496620908127</v>
      </c>
      <c r="R60" s="4">
        <f t="shared" si="2"/>
        <v>3.0546896656107005</v>
      </c>
      <c r="S60" s="4">
        <v>0.20699999999999999</v>
      </c>
      <c r="T60" s="4">
        <f t="shared" si="8"/>
        <v>0.19358093758093756</v>
      </c>
      <c r="U60" s="4">
        <v>0.184</v>
      </c>
      <c r="V60" s="4">
        <v>0.18</v>
      </c>
      <c r="W60" s="4">
        <v>1.2E-2</v>
      </c>
      <c r="X60" s="3">
        <v>7.2499999999999995E-2</v>
      </c>
      <c r="Y60" s="4">
        <f t="shared" si="9"/>
        <v>0.14777156177156178</v>
      </c>
      <c r="Z60" s="4">
        <v>0</v>
      </c>
      <c r="AB60" s="4">
        <v>0</v>
      </c>
      <c r="AC60" s="4">
        <f t="shared" si="3"/>
        <v>0.33977156177156176</v>
      </c>
      <c r="AD60" s="4">
        <f t="shared" si="10"/>
        <v>0.52377156177156181</v>
      </c>
      <c r="AE60" s="4">
        <v>0.1</v>
      </c>
      <c r="AF60" s="4">
        <f t="shared" si="11"/>
        <v>5.9364931364931151E-2</v>
      </c>
      <c r="AG60" s="4">
        <f t="shared" si="4"/>
        <v>0.24619062419062421</v>
      </c>
      <c r="AL60">
        <v>189.4</v>
      </c>
      <c r="AM60" s="95">
        <f t="shared" si="5"/>
        <v>0.61559262978961293</v>
      </c>
      <c r="AN60" s="1">
        <f t="shared" si="6"/>
        <v>9.6435416040019706E-2</v>
      </c>
      <c r="AO60" s="1"/>
      <c r="AP60" s="110"/>
      <c r="AQ60" s="1">
        <f t="shared" si="21"/>
        <v>8.8149118676464799E-2</v>
      </c>
      <c r="AR60" s="15"/>
      <c r="AS60" s="7">
        <v>31</v>
      </c>
      <c r="AT60" s="15"/>
      <c r="AW60" s="4">
        <f t="shared" si="7"/>
        <v>3.4529335797254488</v>
      </c>
      <c r="AY60" s="4">
        <f>(O60-P60-AG60-(SpotGasPrices!K58-(SpotGasPrices!L58+SpotGasPrices!M58)/2))*($AL$279/AL60)</f>
        <v>-0.28107388634674835</v>
      </c>
      <c r="AZ60" s="1">
        <f t="shared" si="20"/>
        <v>-0.27679261073770972</v>
      </c>
    </row>
    <row r="61" spans="1:52">
      <c r="D61" s="2">
        <v>2004</v>
      </c>
      <c r="E61" s="2">
        <v>8</v>
      </c>
      <c r="K61" s="85">
        <v>42.74</v>
      </c>
      <c r="L61" s="4">
        <v>1.8779999999999999</v>
      </c>
      <c r="M61" s="1">
        <v>1.8420000000000001</v>
      </c>
      <c r="N61" s="1">
        <v>1.9550000000000001</v>
      </c>
      <c r="O61" s="1">
        <v>2.085</v>
      </c>
      <c r="P61" s="4">
        <f t="shared" si="0"/>
        <v>1.8549999999999998</v>
      </c>
      <c r="Q61" s="4">
        <f t="shared" si="1"/>
        <v>3.3851927968337727</v>
      </c>
      <c r="R61" s="4">
        <f t="shared" si="2"/>
        <v>3.0117662532981528</v>
      </c>
      <c r="S61" s="4">
        <v>0.20699999999999999</v>
      </c>
      <c r="T61" s="4">
        <f t="shared" si="8"/>
        <v>0.19433954933954931</v>
      </c>
      <c r="U61" s="4">
        <v>0.184</v>
      </c>
      <c r="V61" s="4">
        <v>0.18</v>
      </c>
      <c r="W61" s="4">
        <v>1.2E-2</v>
      </c>
      <c r="X61" s="3">
        <v>7.2499999999999995E-2</v>
      </c>
      <c r="Y61" s="4">
        <f t="shared" si="9"/>
        <v>0.14094405594405596</v>
      </c>
      <c r="Z61" s="4">
        <v>0</v>
      </c>
      <c r="AB61" s="4">
        <v>0</v>
      </c>
      <c r="AC61" s="4">
        <f t="shared" si="3"/>
        <v>0.33294405594405596</v>
      </c>
      <c r="AD61" s="4">
        <f t="shared" si="10"/>
        <v>0.5169440559440559</v>
      </c>
      <c r="AE61" s="4">
        <v>0.1</v>
      </c>
      <c r="AF61" s="4">
        <f t="shared" si="11"/>
        <v>-8.6045066045066232E-3</v>
      </c>
      <c r="AG61" s="4">
        <f t="shared" si="4"/>
        <v>0.23860450660450683</v>
      </c>
      <c r="AL61">
        <v>189.5</v>
      </c>
      <c r="AM61" s="95">
        <f t="shared" si="5"/>
        <v>0.61591765229742157</v>
      </c>
      <c r="AN61" s="1">
        <f t="shared" si="6"/>
        <v>-1.3970222435436186E-2</v>
      </c>
      <c r="AO61" s="1"/>
      <c r="AP61" s="110"/>
      <c r="AQ61" s="1">
        <f t="shared" si="21"/>
        <v>8.8149118676464799E-2</v>
      </c>
      <c r="AR61" s="15"/>
      <c r="AS61" s="7">
        <v>31</v>
      </c>
      <c r="AT61" s="15"/>
      <c r="AW61" s="4">
        <f t="shared" si="7"/>
        <v>3.2916593667546179</v>
      </c>
      <c r="AY61" s="4">
        <f>(O61-P61-AG61-(SpotGasPrices!K59-(SpotGasPrices!L59+SpotGasPrices!M59)/2))*($AL$279/AL61)</f>
        <v>-0.32255200117267652</v>
      </c>
      <c r="AZ61" s="1">
        <f t="shared" si="20"/>
        <v>-0.27679261073770972</v>
      </c>
    </row>
    <row r="62" spans="1:52">
      <c r="D62" s="2">
        <v>2004</v>
      </c>
      <c r="E62" s="2">
        <v>9</v>
      </c>
      <c r="K62" s="85">
        <v>43.2</v>
      </c>
      <c r="L62" s="4">
        <v>1.87</v>
      </c>
      <c r="M62" s="1">
        <v>1.841</v>
      </c>
      <c r="N62" s="1">
        <v>1.931</v>
      </c>
      <c r="O62" s="1">
        <v>2.069</v>
      </c>
      <c r="P62" s="4">
        <f t="shared" si="0"/>
        <v>1.8478888888888889</v>
      </c>
      <c r="Q62" s="4">
        <f t="shared" si="1"/>
        <v>3.3521395418641386</v>
      </c>
      <c r="R62" s="4">
        <f t="shared" si="2"/>
        <v>2.9939011181323503</v>
      </c>
      <c r="S62" s="4">
        <v>0.20699999999999999</v>
      </c>
      <c r="T62" s="4">
        <f t="shared" si="8"/>
        <v>0.19445972545972545</v>
      </c>
      <c r="U62" s="4">
        <v>0.184</v>
      </c>
      <c r="V62" s="4">
        <v>0.18</v>
      </c>
      <c r="W62" s="4">
        <v>1.2E-2</v>
      </c>
      <c r="X62" s="3">
        <v>7.2499999999999995E-2</v>
      </c>
      <c r="Y62" s="4">
        <f t="shared" si="9"/>
        <v>0.13986247086247086</v>
      </c>
      <c r="Z62" s="4">
        <v>0</v>
      </c>
      <c r="AB62" s="4">
        <v>0</v>
      </c>
      <c r="AC62" s="4">
        <f t="shared" si="3"/>
        <v>0.33186247086247089</v>
      </c>
      <c r="AD62" s="4">
        <f t="shared" si="10"/>
        <v>0.51586247086247083</v>
      </c>
      <c r="AE62" s="4">
        <v>0.1</v>
      </c>
      <c r="AF62" s="4">
        <f t="shared" si="11"/>
        <v>-1.6291634291634605E-2</v>
      </c>
      <c r="AG62" s="4">
        <f t="shared" si="4"/>
        <v>0.23740274540274564</v>
      </c>
      <c r="AL62">
        <v>189.9</v>
      </c>
      <c r="AM62" s="95">
        <f t="shared" si="5"/>
        <v>0.61721774232865634</v>
      </c>
      <c r="AN62" s="1">
        <f t="shared" si="6"/>
        <v>-2.6395278642135388E-2</v>
      </c>
      <c r="AO62" s="1"/>
      <c r="AP62" s="110"/>
      <c r="AQ62" s="1">
        <f t="shared" si="21"/>
        <v>8.8149118676464799E-2</v>
      </c>
      <c r="AR62" s="15"/>
      <c r="AS62" s="7">
        <v>30</v>
      </c>
      <c r="AT62" s="15"/>
      <c r="AW62" s="4">
        <f t="shared" si="7"/>
        <v>3.2595193786203263</v>
      </c>
      <c r="AY62" s="4">
        <f>(O62-P62-AG62-(SpotGasPrices!K60-(SpotGasPrices!L60+SpotGasPrices!M60)/2))*($AL$279/AL62)</f>
        <v>-0.38807727497903444</v>
      </c>
      <c r="AZ62" s="1">
        <f t="shared" si="20"/>
        <v>-0.27679261073770972</v>
      </c>
    </row>
    <row r="63" spans="1:52">
      <c r="D63" s="2">
        <v>2004</v>
      </c>
      <c r="E63" s="2">
        <v>10</v>
      </c>
      <c r="K63" s="85">
        <v>49.78</v>
      </c>
      <c r="L63" s="4">
        <v>2</v>
      </c>
      <c r="M63" s="1">
        <v>1.954</v>
      </c>
      <c r="N63" s="1">
        <v>2.0950000000000002</v>
      </c>
      <c r="O63" s="1">
        <v>2.33</v>
      </c>
      <c r="P63" s="4">
        <f t="shared" si="0"/>
        <v>1.9633333333333332</v>
      </c>
      <c r="Q63" s="4">
        <f t="shared" si="1"/>
        <v>3.7552301204819276</v>
      </c>
      <c r="R63" s="4">
        <f t="shared" si="2"/>
        <v>3.1642783132530115</v>
      </c>
      <c r="S63" s="4">
        <v>0.20699999999999999</v>
      </c>
      <c r="T63" s="4">
        <f t="shared" si="8"/>
        <v>0.19249935249935246</v>
      </c>
      <c r="U63" s="4">
        <v>0.184</v>
      </c>
      <c r="V63" s="4">
        <v>0.18</v>
      </c>
      <c r="W63" s="4">
        <v>1.2E-2</v>
      </c>
      <c r="X63" s="3">
        <v>7.2499999999999995E-2</v>
      </c>
      <c r="Y63" s="4">
        <f t="shared" si="9"/>
        <v>0.15750582750582751</v>
      </c>
      <c r="Z63" s="4">
        <v>0</v>
      </c>
      <c r="AB63" s="4">
        <v>0</v>
      </c>
      <c r="AC63" s="4">
        <f t="shared" si="3"/>
        <v>0.34950582750582748</v>
      </c>
      <c r="AD63" s="4">
        <f t="shared" si="10"/>
        <v>0.53350582750582753</v>
      </c>
      <c r="AE63" s="4">
        <v>0.1</v>
      </c>
      <c r="AF63" s="4">
        <f t="shared" si="11"/>
        <v>0.10966019166019159</v>
      </c>
      <c r="AG63" s="4">
        <f t="shared" si="4"/>
        <v>0.25700647500647533</v>
      </c>
      <c r="AL63">
        <v>190.9</v>
      </c>
      <c r="AM63" s="95">
        <f t="shared" si="5"/>
        <v>0.62046796740674293</v>
      </c>
      <c r="AN63" s="1">
        <f t="shared" si="6"/>
        <v>0.17673787757088949</v>
      </c>
      <c r="AO63" s="1"/>
      <c r="AP63" s="110"/>
      <c r="AQ63" s="1">
        <f t="shared" si="21"/>
        <v>8.8149118676464799E-2</v>
      </c>
      <c r="AR63" s="15"/>
      <c r="AS63" s="7">
        <v>31</v>
      </c>
      <c r="AT63" s="15"/>
      <c r="AW63" s="4">
        <f t="shared" si="7"/>
        <v>3.6514724986904139</v>
      </c>
      <c r="AY63" s="4">
        <f>(O63-P63-AG63-(SpotGasPrices!K61-(SpotGasPrices!L61+SpotGasPrices!M61)/2))*($AL$279/AL63)</f>
        <v>-0.26513515433715529</v>
      </c>
      <c r="AZ63" s="1">
        <f t="shared" si="20"/>
        <v>-0.27679261073770972</v>
      </c>
    </row>
    <row r="64" spans="1:52">
      <c r="D64" s="2">
        <v>2004</v>
      </c>
      <c r="E64" s="2">
        <v>11</v>
      </c>
      <c r="K64" s="85">
        <v>43.11</v>
      </c>
      <c r="L64" s="4">
        <v>1.9790000000000001</v>
      </c>
      <c r="M64" s="1">
        <v>1.9319999999999999</v>
      </c>
      <c r="N64" s="1">
        <v>2.0790000000000002</v>
      </c>
      <c r="O64" s="1">
        <v>2.3039999999999998</v>
      </c>
      <c r="P64" s="4">
        <f t="shared" si="0"/>
        <v>1.9428888888888891</v>
      </c>
      <c r="Q64" s="4">
        <f t="shared" si="1"/>
        <v>3.711382115183246</v>
      </c>
      <c r="R64" s="4">
        <f t="shared" si="2"/>
        <v>3.1296888342059339</v>
      </c>
      <c r="S64" s="4">
        <v>0.20699999999999999</v>
      </c>
      <c r="T64" s="4">
        <f t="shared" si="8"/>
        <v>0.19269463869463865</v>
      </c>
      <c r="U64" s="4">
        <v>0.184</v>
      </c>
      <c r="V64" s="4">
        <v>0.18</v>
      </c>
      <c r="W64" s="4">
        <v>1.2E-2</v>
      </c>
      <c r="X64" s="3">
        <v>7.2499999999999995E-2</v>
      </c>
      <c r="Y64" s="4">
        <f t="shared" si="9"/>
        <v>0.15574825174825174</v>
      </c>
      <c r="Z64" s="4">
        <v>0</v>
      </c>
      <c r="AB64" s="4">
        <v>0</v>
      </c>
      <c r="AC64" s="4">
        <f t="shared" si="3"/>
        <v>0.34774825174825175</v>
      </c>
      <c r="AD64" s="4">
        <f t="shared" si="10"/>
        <v>0.53174825174825169</v>
      </c>
      <c r="AE64" s="4">
        <v>0.1</v>
      </c>
      <c r="AF64" s="4">
        <f t="shared" si="11"/>
        <v>0.10605749805749753</v>
      </c>
      <c r="AG64" s="4">
        <f t="shared" si="4"/>
        <v>0.25505361305361318</v>
      </c>
      <c r="AL64">
        <v>191</v>
      </c>
      <c r="AM64" s="95">
        <f t="shared" si="5"/>
        <v>0.62079298991455156</v>
      </c>
      <c r="AN64" s="1">
        <f t="shared" si="6"/>
        <v>0.17084197112486035</v>
      </c>
      <c r="AO64" s="1"/>
      <c r="AP64" s="110"/>
      <c r="AQ64" s="1">
        <f t="shared" si="21"/>
        <v>8.8149118676464799E-2</v>
      </c>
      <c r="AR64" s="15"/>
      <c r="AS64" s="7">
        <v>30</v>
      </c>
      <c r="AT64" s="15"/>
      <c r="AW64" s="4">
        <f t="shared" si="7"/>
        <v>3.6088360209424084</v>
      </c>
      <c r="AY64" s="4">
        <f>(O64-P64-AG64-(SpotGasPrices!K62-(SpotGasPrices!L62+SpotGasPrices!M62)/2))*($AL$279/AL64)</f>
        <v>-7.168281093659172E-2</v>
      </c>
      <c r="AZ64" s="1">
        <f t="shared" si="20"/>
        <v>-0.27679261073770972</v>
      </c>
    </row>
    <row r="65" spans="1:52">
      <c r="B65" s="26" t="s">
        <v>33</v>
      </c>
      <c r="C65" s="29"/>
      <c r="D65" s="2">
        <v>2004</v>
      </c>
      <c r="E65" s="2">
        <v>12</v>
      </c>
      <c r="K65" s="85">
        <v>39.6</v>
      </c>
      <c r="L65" s="4">
        <v>1.841</v>
      </c>
      <c r="M65" s="1">
        <v>1.8</v>
      </c>
      <c r="N65" s="1">
        <v>1.9279999999999999</v>
      </c>
      <c r="O65" s="1">
        <v>2.097</v>
      </c>
      <c r="P65" s="4">
        <f t="shared" si="0"/>
        <v>1.8125555555555555</v>
      </c>
      <c r="Q65" s="4">
        <f t="shared" si="1"/>
        <v>3.3903630425643714</v>
      </c>
      <c r="R65" s="4">
        <f t="shared" si="2"/>
        <v>2.9304822928709049</v>
      </c>
      <c r="S65" s="4">
        <v>0.20699999999999999</v>
      </c>
      <c r="T65" s="4">
        <f t="shared" si="8"/>
        <v>0.19424941724941722</v>
      </c>
      <c r="U65" s="4">
        <v>0.184</v>
      </c>
      <c r="V65" s="4">
        <v>0.18</v>
      </c>
      <c r="W65" s="4">
        <v>1.2E-2</v>
      </c>
      <c r="X65" s="3">
        <v>7.2499999999999995E-2</v>
      </c>
      <c r="Y65" s="4">
        <f t="shared" si="9"/>
        <v>0.14175524475524476</v>
      </c>
      <c r="Z65" s="4">
        <v>0</v>
      </c>
      <c r="AB65" s="4">
        <v>0</v>
      </c>
      <c r="AC65" s="4">
        <f t="shared" si="3"/>
        <v>0.33375524475524476</v>
      </c>
      <c r="AD65" s="4">
        <f t="shared" si="10"/>
        <v>0.5177552447552447</v>
      </c>
      <c r="AE65" s="4">
        <v>0.1</v>
      </c>
      <c r="AF65" s="4">
        <f t="shared" si="11"/>
        <v>4.4938616938616782E-2</v>
      </c>
      <c r="AG65" s="4">
        <f t="shared" si="4"/>
        <v>0.23950582750582772</v>
      </c>
      <c r="AL65">
        <v>190.3</v>
      </c>
      <c r="AM65" s="95">
        <f t="shared" si="5"/>
        <v>0.618517832359891</v>
      </c>
      <c r="AN65" s="1">
        <f t="shared" si="6"/>
        <v>7.2655329543463806E-2</v>
      </c>
      <c r="AO65" s="1"/>
      <c r="AP65" s="110"/>
      <c r="AQ65" s="1">
        <f t="shared" si="21"/>
        <v>8.8149118676464799E-2</v>
      </c>
      <c r="AR65" s="15"/>
      <c r="AS65" s="7">
        <v>31</v>
      </c>
      <c r="AT65" s="15"/>
      <c r="AW65" s="4">
        <f t="shared" si="7"/>
        <v>3.2966867577509191</v>
      </c>
      <c r="AY65" s="4">
        <f>(O65-P65-AG65-(SpotGasPrices!K63-(SpotGasPrices!L63+SpotGasPrices!M63)/2))*($AL$279/AL65)</f>
        <v>-0.13947115548549083</v>
      </c>
      <c r="AZ65" s="1">
        <f t="shared" si="20"/>
        <v>-0.27679261073770972</v>
      </c>
    </row>
    <row r="66" spans="1:52">
      <c r="A66" s="33" t="s">
        <v>39</v>
      </c>
      <c r="B66" s="26" t="s">
        <v>33</v>
      </c>
      <c r="C66" s="29"/>
      <c r="D66" s="2">
        <v>2005</v>
      </c>
      <c r="E66" s="2">
        <v>1</v>
      </c>
      <c r="K66" s="85">
        <v>44.51</v>
      </c>
      <c r="L66" s="4">
        <v>1.831</v>
      </c>
      <c r="M66" s="1">
        <v>1.8109999999999999</v>
      </c>
      <c r="N66" s="1">
        <v>1.873</v>
      </c>
      <c r="O66" s="1">
        <v>1.968</v>
      </c>
      <c r="P66" s="4">
        <f t="shared" si="0"/>
        <v>1.8157777777777775</v>
      </c>
      <c r="Q66" s="4">
        <f t="shared" si="1"/>
        <v>3.1751259989512324</v>
      </c>
      <c r="R66" s="4">
        <f t="shared" si="2"/>
        <v>2.9295341618598143</v>
      </c>
      <c r="S66" s="4">
        <v>0.20699999999999999</v>
      </c>
      <c r="T66" s="4">
        <f t="shared" si="8"/>
        <v>0.1952183372183372</v>
      </c>
      <c r="U66" s="4">
        <v>0.184</v>
      </c>
      <c r="V66" s="4">
        <v>0.18</v>
      </c>
      <c r="W66" s="4">
        <v>1.2999999999999999E-2</v>
      </c>
      <c r="X66" s="3">
        <v>7.2499999999999995E-2</v>
      </c>
      <c r="Y66" s="4">
        <f t="shared" si="9"/>
        <v>0.13303496503496504</v>
      </c>
      <c r="Z66" s="4">
        <v>0</v>
      </c>
      <c r="AB66" s="4">
        <v>0</v>
      </c>
      <c r="AC66" s="4">
        <f t="shared" si="3"/>
        <v>0.32603496503496504</v>
      </c>
      <c r="AD66" s="4">
        <f t="shared" si="10"/>
        <v>0.51003496503496504</v>
      </c>
      <c r="AE66" s="4">
        <v>0.1</v>
      </c>
      <c r="AF66" s="4">
        <f t="shared" si="11"/>
        <v>-7.8594405594405448E-2</v>
      </c>
      <c r="AG66" s="4">
        <f t="shared" si="4"/>
        <v>0.23081662781662793</v>
      </c>
      <c r="AL66">
        <v>190.7</v>
      </c>
      <c r="AM66" s="95">
        <f t="shared" si="5"/>
        <v>0.61981792239112554</v>
      </c>
      <c r="AN66" s="1">
        <f t="shared" si="6"/>
        <v>-0.12680240882871693</v>
      </c>
      <c r="AO66" s="1"/>
      <c r="AP66" s="110"/>
      <c r="AQ66" s="1">
        <f>AVERAGE(AN66:AN77)</f>
        <v>-6.3789992700179696E-2</v>
      </c>
      <c r="AR66" s="15"/>
      <c r="AS66" s="7">
        <v>31</v>
      </c>
      <c r="AT66" s="15"/>
      <c r="AW66" s="4">
        <f t="shared" si="7"/>
        <v>3.0873967488201366</v>
      </c>
      <c r="AY66" s="4">
        <f>(O66-P66-AG66-(SpotGasPrices!K64-(SpotGasPrices!L64+SpotGasPrices!M64)/2))*($AL$279/AL66)</f>
        <v>-0.33613379129522769</v>
      </c>
      <c r="AZ66" s="1">
        <f>AVERAGE($AY66:$AY77)</f>
        <v>-0.35705952338752395</v>
      </c>
    </row>
    <row r="67" spans="1:52">
      <c r="D67" s="2">
        <v>2005</v>
      </c>
      <c r="E67" s="2">
        <v>2</v>
      </c>
      <c r="K67" s="85">
        <v>45.48</v>
      </c>
      <c r="L67" s="4">
        <v>1.91</v>
      </c>
      <c r="M67" s="1">
        <v>1.8859999999999999</v>
      </c>
      <c r="N67" s="1">
        <v>1.9590000000000001</v>
      </c>
      <c r="O67" s="1">
        <v>2.1179999999999999</v>
      </c>
      <c r="P67" s="4">
        <f t="shared" si="0"/>
        <v>1.8868888888888888</v>
      </c>
      <c r="Q67" s="4">
        <f t="shared" si="1"/>
        <v>3.3975348175182476</v>
      </c>
      <c r="R67" s="4">
        <f t="shared" si="2"/>
        <v>3.0268039172749388</v>
      </c>
      <c r="S67" s="4">
        <v>0.21</v>
      </c>
      <c r="T67" s="4">
        <f t="shared" si="8"/>
        <v>0.19742501942501942</v>
      </c>
      <c r="U67" s="4">
        <v>0.184</v>
      </c>
      <c r="V67" s="4">
        <v>0.18</v>
      </c>
      <c r="W67" s="4">
        <v>1.2999999999999999E-2</v>
      </c>
      <c r="X67" s="3">
        <v>7.2499999999999995E-2</v>
      </c>
      <c r="Y67" s="4">
        <f t="shared" si="9"/>
        <v>0.14317482517482516</v>
      </c>
      <c r="Z67" s="4">
        <v>0</v>
      </c>
      <c r="AB67" s="4">
        <v>0</v>
      </c>
      <c r="AC67" s="4">
        <f t="shared" si="3"/>
        <v>0.33617482517482516</v>
      </c>
      <c r="AD67" s="4">
        <f t="shared" si="10"/>
        <v>0.52017482517482516</v>
      </c>
      <c r="AE67" s="4">
        <v>0.1</v>
      </c>
      <c r="AF67" s="4">
        <f t="shared" si="11"/>
        <v>-7.6386946386948207E-3</v>
      </c>
      <c r="AG67" s="4">
        <f t="shared" si="4"/>
        <v>0.23874980574980587</v>
      </c>
      <c r="AL67">
        <v>191.8</v>
      </c>
      <c r="AM67" s="95">
        <f t="shared" si="5"/>
        <v>0.62339316997702099</v>
      </c>
      <c r="AN67" s="1">
        <f t="shared" si="6"/>
        <v>-1.2253414067684432E-2</v>
      </c>
      <c r="AO67" s="1"/>
      <c r="AP67" s="110"/>
      <c r="AQ67" s="1">
        <f>AQ66</f>
        <v>-6.3789992700179696E-2</v>
      </c>
      <c r="AR67" s="15"/>
      <c r="AS67" s="7">
        <v>28</v>
      </c>
      <c r="AT67" s="15"/>
      <c r="AW67" s="4">
        <f t="shared" si="7"/>
        <v>3.3036603753910319</v>
      </c>
      <c r="AY67" s="4">
        <f>(O67-P67-AG67-(SpotGasPrices!K65-(SpotGasPrices!L65+SpotGasPrices!M65)/2))*($AL$279/AL67)</f>
        <v>-0.50363514424748024</v>
      </c>
      <c r="AZ67" s="1">
        <f t="shared" ref="AZ67:AZ77" si="22">AZ66</f>
        <v>-0.35705952338752395</v>
      </c>
    </row>
    <row r="68" spans="1:52">
      <c r="D68" s="2">
        <v>2005</v>
      </c>
      <c r="E68" s="2">
        <v>3</v>
      </c>
      <c r="K68" s="85">
        <v>53.1</v>
      </c>
      <c r="L68" s="4">
        <v>2.0790000000000002</v>
      </c>
      <c r="M68" s="1">
        <v>2.0630000000000002</v>
      </c>
      <c r="N68" s="1">
        <v>2.1150000000000002</v>
      </c>
      <c r="O68" s="1">
        <v>2.3010000000000002</v>
      </c>
      <c r="P68" s="4">
        <f t="shared" si="0"/>
        <v>2.0543333333333336</v>
      </c>
      <c r="Q68" s="4">
        <f t="shared" si="1"/>
        <v>3.6624468235902738</v>
      </c>
      <c r="R68" s="4">
        <f t="shared" si="2"/>
        <v>3.2698333729953442</v>
      </c>
      <c r="S68" s="4">
        <v>0.21</v>
      </c>
      <c r="T68" s="4">
        <f t="shared" si="8"/>
        <v>0.196050505050505</v>
      </c>
      <c r="U68" s="4">
        <v>0.184</v>
      </c>
      <c r="V68" s="4">
        <v>0.18</v>
      </c>
      <c r="W68" s="4">
        <v>1.2999999999999999E-2</v>
      </c>
      <c r="X68" s="3">
        <v>7.2499999999999995E-2</v>
      </c>
      <c r="Y68" s="4">
        <f t="shared" si="9"/>
        <v>0.15554545454545457</v>
      </c>
      <c r="Z68" s="4">
        <v>0</v>
      </c>
      <c r="AB68" s="4">
        <v>0</v>
      </c>
      <c r="AC68" s="4">
        <f t="shared" si="3"/>
        <v>0.3485454545454546</v>
      </c>
      <c r="AD68" s="4">
        <f t="shared" si="10"/>
        <v>0.53254545454545454</v>
      </c>
      <c r="AE68" s="4">
        <v>0.1</v>
      </c>
      <c r="AF68" s="4">
        <f t="shared" si="11"/>
        <v>-5.8282828282831822E-3</v>
      </c>
      <c r="AG68" s="4">
        <f t="shared" si="4"/>
        <v>0.25249494949494977</v>
      </c>
      <c r="AL68">
        <v>193.3</v>
      </c>
      <c r="AM68" s="95">
        <f t="shared" si="5"/>
        <v>0.62826850759415098</v>
      </c>
      <c r="AN68" s="1">
        <f t="shared" si="6"/>
        <v>-9.276738779413941E-3</v>
      </c>
      <c r="AO68" s="1"/>
      <c r="AP68" s="110"/>
      <c r="AQ68" s="1">
        <f t="shared" ref="AQ68:AQ77" si="23">AQ67</f>
        <v>-6.3789992700179696E-2</v>
      </c>
      <c r="AR68" s="15"/>
      <c r="AS68" s="7">
        <v>31</v>
      </c>
      <c r="AT68" s="15"/>
      <c r="AW68" s="4">
        <f t="shared" si="7"/>
        <v>3.5612528194516293</v>
      </c>
      <c r="AY68" s="4">
        <f>(O68-P68-AG68-(SpotGasPrices!K66-(SpotGasPrices!L66+SpotGasPrices!M66)/2))*($AL$279/AL68)</f>
        <v>-0.41368364315686657</v>
      </c>
      <c r="AZ68" s="1">
        <f t="shared" si="22"/>
        <v>-0.35705952338752395</v>
      </c>
    </row>
    <row r="69" spans="1:52">
      <c r="D69" s="2">
        <v>2005</v>
      </c>
      <c r="E69" s="2">
        <v>4</v>
      </c>
      <c r="K69" s="85">
        <v>51.88</v>
      </c>
      <c r="L69" s="4">
        <v>2.2429999999999999</v>
      </c>
      <c r="M69" s="1">
        <v>2.2109999999999999</v>
      </c>
      <c r="N69" s="1">
        <v>2.31</v>
      </c>
      <c r="O69" s="1">
        <v>2.5510000000000002</v>
      </c>
      <c r="P69" s="4">
        <f t="shared" si="0"/>
        <v>2.2087777777777773</v>
      </c>
      <c r="Q69" s="4">
        <f t="shared" si="1"/>
        <v>4.0332411151079137</v>
      </c>
      <c r="R69" s="4">
        <f t="shared" si="2"/>
        <v>3.4921730095923258</v>
      </c>
      <c r="S69" s="4">
        <v>0.21</v>
      </c>
      <c r="T69" s="4">
        <f t="shared" si="8"/>
        <v>0.19417275317275315</v>
      </c>
      <c r="U69" s="4">
        <v>0.184</v>
      </c>
      <c r="V69" s="4">
        <v>0.18</v>
      </c>
      <c r="W69" s="4">
        <v>1.2999999999999999E-2</v>
      </c>
      <c r="X69" s="3">
        <v>7.2499999999999995E-2</v>
      </c>
      <c r="Y69" s="4">
        <f t="shared" si="9"/>
        <v>0.17244522144522145</v>
      </c>
      <c r="Z69" s="4">
        <v>0</v>
      </c>
      <c r="AB69" s="4">
        <v>0</v>
      </c>
      <c r="AC69" s="4">
        <f t="shared" si="3"/>
        <v>0.36544522144522146</v>
      </c>
      <c r="AD69" s="4">
        <f t="shared" si="10"/>
        <v>0.54944522144522145</v>
      </c>
      <c r="AE69" s="4">
        <v>0.1</v>
      </c>
      <c r="AF69" s="4">
        <f t="shared" si="11"/>
        <v>7.0949753949754335E-2</v>
      </c>
      <c r="AG69" s="4">
        <f t="shared" si="4"/>
        <v>0.27127246827246854</v>
      </c>
      <c r="AL69">
        <v>194.6</v>
      </c>
      <c r="AM69" s="95">
        <f t="shared" si="5"/>
        <v>0.63249380019566359</v>
      </c>
      <c r="AN69" s="1">
        <f t="shared" si="6"/>
        <v>0.11217462357386877</v>
      </c>
      <c r="AO69" s="1"/>
      <c r="AP69" s="110"/>
      <c r="AQ69" s="1">
        <f t="shared" si="23"/>
        <v>-6.3789992700179696E-2</v>
      </c>
      <c r="AR69" s="15"/>
      <c r="AS69" s="7">
        <v>30</v>
      </c>
      <c r="AT69" s="15"/>
      <c r="AW69" s="4">
        <f t="shared" si="7"/>
        <v>3.9218020041109969</v>
      </c>
      <c r="AY69" s="4">
        <f>(O69-P69-AG69-(SpotGasPrices!K67-(SpotGasPrices!L67+SpotGasPrices!M67)/2))*($AL$279/AL69)</f>
        <v>-0.37910043127402782</v>
      </c>
      <c r="AZ69" s="1">
        <f t="shared" si="22"/>
        <v>-0.35705952338752395</v>
      </c>
    </row>
    <row r="70" spans="1:52">
      <c r="D70" s="2">
        <v>2005</v>
      </c>
      <c r="E70" s="2">
        <v>5</v>
      </c>
      <c r="K70" s="85">
        <v>48.65</v>
      </c>
      <c r="L70" s="4">
        <v>2.161</v>
      </c>
      <c r="M70" s="1">
        <v>2.1139999999999999</v>
      </c>
      <c r="N70" s="1">
        <v>2.2589999999999999</v>
      </c>
      <c r="O70" s="1">
        <v>2.4750000000000001</v>
      </c>
      <c r="P70" s="4">
        <f t="shared" ref="P70:P133" si="24">(L70-0.1*O70)/0.9</f>
        <v>2.1261111111111108</v>
      </c>
      <c r="Q70" s="4">
        <f t="shared" ref="Q70:Q133" si="25">O70*$AL$291/$AL70</f>
        <v>3.9171076388888886</v>
      </c>
      <c r="R70" s="4">
        <f t="shared" ref="R70:R133" si="26">P70*$AL$291/$AL70</f>
        <v>3.3649317472565152</v>
      </c>
      <c r="S70" s="4">
        <v>0.21</v>
      </c>
      <c r="T70" s="4">
        <f t="shared" si="8"/>
        <v>0.19474358974358974</v>
      </c>
      <c r="U70" s="4">
        <v>0.184</v>
      </c>
      <c r="V70" s="4">
        <v>0.18</v>
      </c>
      <c r="W70" s="4">
        <v>1.2999999999999999E-2</v>
      </c>
      <c r="X70" s="3">
        <v>7.2499999999999995E-2</v>
      </c>
      <c r="Y70" s="4">
        <f t="shared" si="9"/>
        <v>0.16730769230769232</v>
      </c>
      <c r="Z70" s="4">
        <v>0</v>
      </c>
      <c r="AB70" s="4">
        <v>0</v>
      </c>
      <c r="AC70" s="4">
        <f t="shared" ref="AC70:AC133" si="27">V70+W70+(X70/(1+X70))*O70</f>
        <v>0.36030769230769233</v>
      </c>
      <c r="AD70" s="4">
        <f t="shared" si="10"/>
        <v>0.54430769230769238</v>
      </c>
      <c r="AE70" s="4">
        <v>0.1</v>
      </c>
      <c r="AF70" s="4">
        <f t="shared" si="11"/>
        <v>8.3324786324786793E-2</v>
      </c>
      <c r="AG70" s="4">
        <f t="shared" ref="AG70:AG133" si="28">(O70-P70-AF70)</f>
        <v>0.26556410256410246</v>
      </c>
      <c r="AL70">
        <v>194.4</v>
      </c>
      <c r="AM70" s="95">
        <f t="shared" ref="AM70:AM133" si="29">AL70/AL$291</f>
        <v>0.63184375518004621</v>
      </c>
      <c r="AN70" s="1">
        <f t="shared" ref="AN70:AN133" si="30">AF70/AM70</f>
        <v>0.13187561899862901</v>
      </c>
      <c r="AO70" s="1"/>
      <c r="AP70" s="110"/>
      <c r="AQ70" s="1">
        <f t="shared" si="23"/>
        <v>-6.3789992700179696E-2</v>
      </c>
      <c r="AR70" s="15"/>
      <c r="AS70" s="7">
        <v>31</v>
      </c>
      <c r="AT70" s="15"/>
      <c r="AW70" s="4">
        <f t="shared" ref="AW70:AW133" si="31">O70*(AM$282/AM70)</f>
        <v>3.8088773148148154</v>
      </c>
      <c r="AY70" s="4">
        <f>(O70-P70-AG70-(SpotGasPrices!K68-(SpotGasPrices!L68+SpotGasPrices!M68)/2))*($AL$279/AL70)</f>
        <v>-0.19342452560585241</v>
      </c>
      <c r="AZ70" s="1">
        <f t="shared" si="22"/>
        <v>-0.35705952338752395</v>
      </c>
    </row>
    <row r="71" spans="1:52">
      <c r="A71" s="2">
        <f>A59+1</f>
        <v>2005</v>
      </c>
      <c r="B71" s="2">
        <f>D71</f>
        <v>2005</v>
      </c>
      <c r="D71" s="2">
        <v>2005</v>
      </c>
      <c r="E71" s="2">
        <v>6</v>
      </c>
      <c r="K71" s="85">
        <v>54.35</v>
      </c>
      <c r="L71" s="4">
        <v>2.1560000000000001</v>
      </c>
      <c r="M71" s="1">
        <v>2.1230000000000002</v>
      </c>
      <c r="N71" s="1">
        <v>2.2250000000000001</v>
      </c>
      <c r="O71" s="1">
        <v>2.3639999999999999</v>
      </c>
      <c r="P71" s="4">
        <f t="shared" si="24"/>
        <v>2.1328888888888891</v>
      </c>
      <c r="Q71" s="4">
        <f t="shared" si="25"/>
        <v>3.7395076812339325</v>
      </c>
      <c r="R71" s="4">
        <f t="shared" si="26"/>
        <v>3.3739231739502999</v>
      </c>
      <c r="S71" s="4">
        <v>0.21</v>
      </c>
      <c r="T71" s="4">
        <f t="shared" ref="T71:T134" si="32">(S71-0.1*(V71+Y71))/0.9</f>
        <v>0.19557731157731156</v>
      </c>
      <c r="U71" s="4">
        <v>0.184</v>
      </c>
      <c r="V71" s="4">
        <v>0.18</v>
      </c>
      <c r="W71" s="4">
        <v>1.2999999999999999E-2</v>
      </c>
      <c r="X71" s="3">
        <v>7.2499999999999995E-2</v>
      </c>
      <c r="Y71" s="4">
        <f t="shared" ref="Y71:Y134" si="33">(X71/(1+X71))*O71</f>
        <v>0.1598041958041958</v>
      </c>
      <c r="Z71" s="4">
        <v>0</v>
      </c>
      <c r="AB71" s="4">
        <v>0</v>
      </c>
      <c r="AC71" s="4">
        <f t="shared" si="27"/>
        <v>0.35280419580419581</v>
      </c>
      <c r="AD71" s="4">
        <f t="shared" ref="AD71:AD134" si="34">U71+V71+W71+Y71+Z71+AB71</f>
        <v>0.53680419580419581</v>
      </c>
      <c r="AE71" s="4">
        <v>0.1</v>
      </c>
      <c r="AF71" s="4">
        <f t="shared" ref="AF71:AF134" si="35">(O71-Z71-AB71-AC71-AE71)-(P71-T71)</f>
        <v>-2.6115773115773511E-2</v>
      </c>
      <c r="AG71" s="4">
        <f t="shared" si="28"/>
        <v>0.25722688422688433</v>
      </c>
      <c r="AL71">
        <v>194.5</v>
      </c>
      <c r="AM71" s="95">
        <f t="shared" si="29"/>
        <v>0.63216877768785495</v>
      </c>
      <c r="AN71" s="1">
        <f t="shared" si="30"/>
        <v>-4.1311393471995632E-2</v>
      </c>
      <c r="AO71" s="1"/>
      <c r="AP71" s="110"/>
      <c r="AQ71" s="1">
        <f t="shared" si="23"/>
        <v>-6.3789992700179696E-2</v>
      </c>
      <c r="AR71" s="15"/>
      <c r="AS71" s="7">
        <v>30</v>
      </c>
      <c r="AT71" s="15"/>
      <c r="AW71" s="4">
        <f t="shared" si="31"/>
        <v>3.6361844730077117</v>
      </c>
      <c r="AY71" s="4">
        <f>(O71-P71-AG71-(SpotGasPrices!K69-(SpotGasPrices!L69+SpotGasPrices!M69)/2))*($AL$279/AL71)</f>
        <v>-0.39241940245644197</v>
      </c>
      <c r="AZ71" s="1">
        <f t="shared" si="22"/>
        <v>-0.35705952338752395</v>
      </c>
    </row>
    <row r="72" spans="1:52">
      <c r="D72" s="2">
        <v>2005</v>
      </c>
      <c r="E72" s="2">
        <v>7</v>
      </c>
      <c r="K72" s="85">
        <v>57.52</v>
      </c>
      <c r="L72" s="4">
        <v>2.29</v>
      </c>
      <c r="M72" s="1">
        <v>2.2469999999999999</v>
      </c>
      <c r="N72" s="1">
        <v>2.38</v>
      </c>
      <c r="O72" s="1">
        <v>2.5150000000000001</v>
      </c>
      <c r="P72" s="4">
        <f t="shared" si="24"/>
        <v>2.2650000000000001</v>
      </c>
      <c r="Q72" s="4">
        <f t="shared" si="25"/>
        <v>3.960043833162743</v>
      </c>
      <c r="R72" s="4">
        <f t="shared" si="26"/>
        <v>3.5664013050153529</v>
      </c>
      <c r="S72" s="4">
        <v>0.21</v>
      </c>
      <c r="T72" s="4">
        <f t="shared" si="32"/>
        <v>0.19444314944314944</v>
      </c>
      <c r="U72" s="4">
        <v>0.184</v>
      </c>
      <c r="V72" s="4">
        <v>0.18</v>
      </c>
      <c r="W72" s="4">
        <v>1.2999999999999999E-2</v>
      </c>
      <c r="X72" s="3">
        <v>7.2499999999999995E-2</v>
      </c>
      <c r="Y72" s="4">
        <f t="shared" si="33"/>
        <v>0.17001165501165502</v>
      </c>
      <c r="Z72" s="4">
        <v>0</v>
      </c>
      <c r="AB72" s="4">
        <v>0</v>
      </c>
      <c r="AC72" s="4">
        <f t="shared" si="27"/>
        <v>0.363011655011655</v>
      </c>
      <c r="AD72" s="4">
        <f t="shared" si="34"/>
        <v>0.54701165501165505</v>
      </c>
      <c r="AE72" s="4">
        <v>0.1</v>
      </c>
      <c r="AF72" s="4">
        <f t="shared" si="35"/>
        <v>-1.8568505568505422E-2</v>
      </c>
      <c r="AG72" s="4">
        <f t="shared" si="28"/>
        <v>0.26856850556850542</v>
      </c>
      <c r="AL72">
        <v>195.4</v>
      </c>
      <c r="AM72" s="95">
        <f t="shared" si="29"/>
        <v>0.63509398025813291</v>
      </c>
      <c r="AN72" s="1">
        <f t="shared" si="30"/>
        <v>-2.9237413903621452E-2</v>
      </c>
      <c r="AO72" s="1"/>
      <c r="AP72" s="110"/>
      <c r="AQ72" s="1">
        <f t="shared" si="23"/>
        <v>-6.3789992700179696E-2</v>
      </c>
      <c r="AR72" s="15"/>
      <c r="AS72" s="7">
        <v>31</v>
      </c>
      <c r="AT72" s="15"/>
      <c r="AW72" s="4">
        <f t="shared" si="31"/>
        <v>3.8506271750255889</v>
      </c>
      <c r="AY72" s="4">
        <f>(O72-P72-AG72-(SpotGasPrices!K70-(SpotGasPrices!L70+SpotGasPrices!M70)/2))*($AL$279/AL72)</f>
        <v>-0.46298391751014029</v>
      </c>
      <c r="AZ72" s="1">
        <f t="shared" si="22"/>
        <v>-0.35705952338752395</v>
      </c>
    </row>
    <row r="73" spans="1:52">
      <c r="D73" s="2">
        <v>2005</v>
      </c>
      <c r="E73" s="2">
        <v>8</v>
      </c>
      <c r="K73" s="85">
        <v>63.98</v>
      </c>
      <c r="L73" s="4">
        <v>2.4860000000000002</v>
      </c>
      <c r="M73" s="1">
        <v>2.4489999999999998</v>
      </c>
      <c r="N73" s="1">
        <v>2.5640000000000001</v>
      </c>
      <c r="O73" s="1">
        <v>2.677</v>
      </c>
      <c r="P73" s="4">
        <f t="shared" si="24"/>
        <v>2.464777777777778</v>
      </c>
      <c r="Q73" s="4">
        <f t="shared" si="25"/>
        <v>4.193662255600815</v>
      </c>
      <c r="R73" s="4">
        <f t="shared" si="26"/>
        <v>3.8612049066530889</v>
      </c>
      <c r="S73" s="4">
        <v>0.21</v>
      </c>
      <c r="T73" s="4">
        <f t="shared" si="32"/>
        <v>0.19322636622636621</v>
      </c>
      <c r="U73" s="4">
        <v>0.184</v>
      </c>
      <c r="V73" s="4">
        <v>0.18</v>
      </c>
      <c r="W73" s="4">
        <v>1.2999999999999999E-2</v>
      </c>
      <c r="X73" s="3">
        <v>7.2499999999999995E-2</v>
      </c>
      <c r="Y73" s="4">
        <f t="shared" si="33"/>
        <v>0.18096270396270397</v>
      </c>
      <c r="Z73" s="4">
        <v>0</v>
      </c>
      <c r="AB73" s="4">
        <v>0</v>
      </c>
      <c r="AC73" s="4">
        <f t="shared" si="27"/>
        <v>0.37396270396270398</v>
      </c>
      <c r="AD73" s="4">
        <f t="shared" si="34"/>
        <v>0.55796270396270398</v>
      </c>
      <c r="AE73" s="4">
        <v>0.1</v>
      </c>
      <c r="AF73" s="4">
        <f t="shared" si="35"/>
        <v>-6.851411551411557E-2</v>
      </c>
      <c r="AG73" s="4">
        <f t="shared" si="28"/>
        <v>0.28073633773633766</v>
      </c>
      <c r="AL73">
        <v>196.4</v>
      </c>
      <c r="AM73" s="95">
        <f t="shared" si="29"/>
        <v>0.63834420533621961</v>
      </c>
      <c r="AN73" s="1">
        <f t="shared" si="30"/>
        <v>-0.10733098999156543</v>
      </c>
      <c r="AO73" s="1"/>
      <c r="AP73" s="110"/>
      <c r="AQ73" s="1">
        <f t="shared" si="23"/>
        <v>-6.3789992700179696E-2</v>
      </c>
      <c r="AR73" s="15"/>
      <c r="AS73" s="7">
        <v>31</v>
      </c>
      <c r="AT73" s="15"/>
      <c r="AW73" s="4">
        <f t="shared" si="31"/>
        <v>4.0777906822810586</v>
      </c>
      <c r="AY73" s="4">
        <f>(O73-P73-AG73-(SpotGasPrices!K71-(SpotGasPrices!L71+SpotGasPrices!M71)/2))*($AL$279/AL73)</f>
        <v>-0.41654022704986043</v>
      </c>
      <c r="AZ73" s="1">
        <f t="shared" si="22"/>
        <v>-0.35705952338752395</v>
      </c>
    </row>
    <row r="74" spans="1:52">
      <c r="D74" s="2">
        <v>2005</v>
      </c>
      <c r="E74" s="2">
        <v>9</v>
      </c>
      <c r="K74" s="85">
        <v>62.91</v>
      </c>
      <c r="L74" s="4">
        <v>2.903</v>
      </c>
      <c r="M74" s="1">
        <v>2.8620000000000001</v>
      </c>
      <c r="N74" s="1">
        <v>2.9910000000000001</v>
      </c>
      <c r="O74" s="1">
        <v>2.99</v>
      </c>
      <c r="P74" s="4">
        <f t="shared" si="24"/>
        <v>2.8933333333333335</v>
      </c>
      <c r="Q74" s="4">
        <f t="shared" si="25"/>
        <v>4.6274461267605638</v>
      </c>
      <c r="R74" s="4">
        <f t="shared" si="26"/>
        <v>4.477840845070423</v>
      </c>
      <c r="S74" s="4">
        <v>0.21</v>
      </c>
      <c r="T74" s="4">
        <f t="shared" si="32"/>
        <v>0.19087542087542084</v>
      </c>
      <c r="U74" s="4">
        <v>0.184</v>
      </c>
      <c r="V74" s="4">
        <v>0.18</v>
      </c>
      <c r="W74" s="4">
        <v>1.2999999999999999E-2</v>
      </c>
      <c r="X74" s="3">
        <v>7.2499999999999995E-2</v>
      </c>
      <c r="Y74" s="4">
        <f t="shared" si="33"/>
        <v>0.20212121212121215</v>
      </c>
      <c r="Z74" s="4">
        <v>0</v>
      </c>
      <c r="AB74" s="4">
        <v>0</v>
      </c>
      <c r="AC74" s="4">
        <f t="shared" si="27"/>
        <v>0.39512121212121215</v>
      </c>
      <c r="AD74" s="4">
        <f t="shared" si="34"/>
        <v>0.57912121212121215</v>
      </c>
      <c r="AE74" s="4">
        <v>0.1</v>
      </c>
      <c r="AF74" s="4">
        <f t="shared" si="35"/>
        <v>-0.20757912457912475</v>
      </c>
      <c r="AG74" s="4">
        <f t="shared" si="28"/>
        <v>0.30424579124579143</v>
      </c>
      <c r="AL74">
        <v>198.8</v>
      </c>
      <c r="AM74" s="95">
        <f t="shared" si="29"/>
        <v>0.64614474552362755</v>
      </c>
      <c r="AN74" s="1">
        <f t="shared" si="30"/>
        <v>-0.32125793178261514</v>
      </c>
      <c r="AO74" s="1"/>
      <c r="AP74" s="110"/>
      <c r="AQ74" s="1">
        <f t="shared" si="23"/>
        <v>-6.3789992700179696E-2</v>
      </c>
      <c r="AR74" s="15"/>
      <c r="AS74" s="7">
        <v>30</v>
      </c>
      <c r="AT74" s="15"/>
      <c r="AW74" s="4">
        <f t="shared" si="31"/>
        <v>4.4995890342052318</v>
      </c>
      <c r="AY74" s="4">
        <f>(O74-P74-AG74-(SpotGasPrices!K72-(SpotGasPrices!L72+SpotGasPrices!M72)/2))*($AL$279/AL74)</f>
        <v>-0.39961658990982918</v>
      </c>
      <c r="AZ74" s="1">
        <f t="shared" si="22"/>
        <v>-0.35705952338752395</v>
      </c>
    </row>
    <row r="75" spans="1:52">
      <c r="D75" s="2">
        <v>2005</v>
      </c>
      <c r="E75" s="2">
        <v>10</v>
      </c>
      <c r="K75" s="85">
        <v>58.54</v>
      </c>
      <c r="L75" s="4">
        <v>2.7170000000000001</v>
      </c>
      <c r="M75" s="1">
        <v>2.6890000000000001</v>
      </c>
      <c r="N75" s="1">
        <v>2.7749999999999999</v>
      </c>
      <c r="O75" s="1">
        <v>2.883</v>
      </c>
      <c r="P75" s="4">
        <f t="shared" si="24"/>
        <v>2.6985555555555556</v>
      </c>
      <c r="Q75" s="4">
        <f t="shared" si="25"/>
        <v>4.4528890210843377</v>
      </c>
      <c r="R75" s="4">
        <f t="shared" si="26"/>
        <v>4.1680084655287821</v>
      </c>
      <c r="S75" s="4">
        <v>0.21</v>
      </c>
      <c r="T75" s="4">
        <f t="shared" si="32"/>
        <v>0.19167909867909866</v>
      </c>
      <c r="U75" s="4">
        <v>0.184</v>
      </c>
      <c r="V75" s="4">
        <v>0.18</v>
      </c>
      <c r="W75" s="4">
        <v>1.2999999999999999E-2</v>
      </c>
      <c r="X75" s="3">
        <v>7.2499999999999995E-2</v>
      </c>
      <c r="Y75" s="4">
        <f t="shared" si="33"/>
        <v>0.19488811188811189</v>
      </c>
      <c r="Z75" s="4">
        <v>0</v>
      </c>
      <c r="AB75" s="4">
        <v>0</v>
      </c>
      <c r="AC75" s="4">
        <f t="shared" si="27"/>
        <v>0.3878881118881119</v>
      </c>
      <c r="AD75" s="4">
        <f t="shared" si="34"/>
        <v>0.57188811188811184</v>
      </c>
      <c r="AE75" s="4">
        <v>0.1</v>
      </c>
      <c r="AF75" s="4">
        <f t="shared" si="35"/>
        <v>-0.11176456876456875</v>
      </c>
      <c r="AG75" s="4">
        <f t="shared" si="28"/>
        <v>0.29620901320901316</v>
      </c>
      <c r="AL75">
        <v>199.2</v>
      </c>
      <c r="AM75" s="95">
        <f t="shared" si="29"/>
        <v>0.64744483555486221</v>
      </c>
      <c r="AN75" s="1">
        <f t="shared" si="30"/>
        <v>-0.17262407949981742</v>
      </c>
      <c r="AO75" s="1"/>
      <c r="AP75" s="110"/>
      <c r="AQ75" s="1">
        <f t="shared" si="23"/>
        <v>-6.3789992700179696E-2</v>
      </c>
      <c r="AR75" s="15"/>
      <c r="AS75" s="7">
        <v>31</v>
      </c>
      <c r="AT75" s="15"/>
      <c r="AW75" s="4">
        <f t="shared" si="31"/>
        <v>4.3298549698795181</v>
      </c>
      <c r="AY75" s="4">
        <f>(O75-P75-AG75-(SpotGasPrices!K73-(SpotGasPrices!L73+SpotGasPrices!M73)/2))*($AL$279/AL75)</f>
        <v>-0.38712322623828649</v>
      </c>
      <c r="AZ75" s="1">
        <f t="shared" si="22"/>
        <v>-0.35705952338752395</v>
      </c>
    </row>
    <row r="76" spans="1:52">
      <c r="D76" s="2">
        <v>2005</v>
      </c>
      <c r="E76" s="2">
        <v>11</v>
      </c>
      <c r="K76" s="85">
        <v>55.24</v>
      </c>
      <c r="L76" s="4">
        <v>2.2570000000000001</v>
      </c>
      <c r="M76" s="1">
        <v>2.222</v>
      </c>
      <c r="N76" s="1">
        <v>2.331</v>
      </c>
      <c r="O76" s="1">
        <v>2.5270000000000001</v>
      </c>
      <c r="P76" s="4">
        <f t="shared" si="24"/>
        <v>2.2270000000000003</v>
      </c>
      <c r="Q76" s="4">
        <f t="shared" si="25"/>
        <v>3.9346387500000004</v>
      </c>
      <c r="R76" s="4">
        <f t="shared" si="26"/>
        <v>3.4675269078947375</v>
      </c>
      <c r="S76" s="4">
        <v>0.21</v>
      </c>
      <c r="T76" s="4">
        <f t="shared" si="32"/>
        <v>0.19435301735301733</v>
      </c>
      <c r="U76" s="4">
        <v>0.184</v>
      </c>
      <c r="V76" s="4">
        <v>0.18</v>
      </c>
      <c r="W76" s="4">
        <v>1.2999999999999999E-2</v>
      </c>
      <c r="X76" s="3">
        <v>7.2499999999999995E-2</v>
      </c>
      <c r="Y76" s="4">
        <f t="shared" si="33"/>
        <v>0.17082284382284382</v>
      </c>
      <c r="Z76" s="4">
        <v>0</v>
      </c>
      <c r="AB76" s="4">
        <v>0</v>
      </c>
      <c r="AC76" s="4">
        <f t="shared" si="27"/>
        <v>0.3638228438228438</v>
      </c>
      <c r="AD76" s="4">
        <f t="shared" si="34"/>
        <v>0.54782284382284385</v>
      </c>
      <c r="AE76" s="4">
        <v>0.1</v>
      </c>
      <c r="AF76" s="4">
        <f t="shared" si="35"/>
        <v>3.0530173530173066E-2</v>
      </c>
      <c r="AG76" s="4">
        <f t="shared" si="28"/>
        <v>0.26946982646982676</v>
      </c>
      <c r="AL76">
        <v>197.6</v>
      </c>
      <c r="AM76" s="95">
        <f t="shared" si="29"/>
        <v>0.64224447542992347</v>
      </c>
      <c r="AN76" s="1">
        <f t="shared" si="30"/>
        <v>4.753668532490829E-2</v>
      </c>
      <c r="AO76" s="1"/>
      <c r="AP76" s="110"/>
      <c r="AQ76" s="1">
        <f t="shared" si="23"/>
        <v>-6.3789992700179696E-2</v>
      </c>
      <c r="AR76" s="15"/>
      <c r="AS76" s="7">
        <v>30</v>
      </c>
      <c r="AT76" s="15"/>
      <c r="AW76" s="4">
        <f t="shared" si="31"/>
        <v>3.8259240384615394</v>
      </c>
      <c r="AY76" s="4">
        <f>(O76-P76-AG76-(SpotGasPrices!K74-(SpotGasPrices!L74+SpotGasPrices!M74)/2))*($AL$279/AL76)</f>
        <v>-0.13493462513120494</v>
      </c>
      <c r="AZ76" s="1">
        <f t="shared" si="22"/>
        <v>-0.35705952338752395</v>
      </c>
    </row>
    <row r="77" spans="1:52">
      <c r="B77" s="26" t="s">
        <v>33</v>
      </c>
      <c r="C77" s="29"/>
      <c r="D77" s="2">
        <v>2005</v>
      </c>
      <c r="E77" s="2">
        <v>12</v>
      </c>
      <c r="K77" s="85">
        <v>56.86</v>
      </c>
      <c r="L77" s="4">
        <v>2.1850000000000001</v>
      </c>
      <c r="M77" s="1">
        <v>2.1739999999999999</v>
      </c>
      <c r="N77" s="1">
        <v>2.2090000000000001</v>
      </c>
      <c r="O77" s="1">
        <v>2.274</v>
      </c>
      <c r="P77" s="4">
        <f t="shared" si="24"/>
        <v>2.1751111111111112</v>
      </c>
      <c r="Q77" s="4">
        <f t="shared" si="25"/>
        <v>3.5551008841463414</v>
      </c>
      <c r="R77" s="4">
        <f t="shared" si="26"/>
        <v>3.4005010704607046</v>
      </c>
      <c r="S77" s="4">
        <v>0.21</v>
      </c>
      <c r="T77" s="4">
        <f t="shared" si="32"/>
        <v>0.19625330225330223</v>
      </c>
      <c r="U77" s="4">
        <v>0.184</v>
      </c>
      <c r="V77" s="4">
        <v>0.18</v>
      </c>
      <c r="W77" s="4">
        <v>1.2999999999999999E-2</v>
      </c>
      <c r="X77" s="3">
        <v>7.2499999999999995E-2</v>
      </c>
      <c r="Y77" s="4">
        <f t="shared" si="33"/>
        <v>0.15372027972027971</v>
      </c>
      <c r="Z77" s="4">
        <v>0</v>
      </c>
      <c r="AB77" s="4">
        <v>0</v>
      </c>
      <c r="AC77" s="4">
        <f t="shared" si="27"/>
        <v>0.34672027972027974</v>
      </c>
      <c r="AD77" s="4">
        <f t="shared" si="34"/>
        <v>0.53072027972027969</v>
      </c>
      <c r="AE77" s="4">
        <v>0.1</v>
      </c>
      <c r="AF77" s="4">
        <f t="shared" si="35"/>
        <v>-0.15157808857808885</v>
      </c>
      <c r="AG77" s="4">
        <f t="shared" si="28"/>
        <v>0.25046697746697766</v>
      </c>
      <c r="AL77">
        <v>196.8</v>
      </c>
      <c r="AM77" s="95">
        <f t="shared" si="29"/>
        <v>0.63964429536745426</v>
      </c>
      <c r="AN77" s="1">
        <f t="shared" si="30"/>
        <v>-0.23697246997413196</v>
      </c>
      <c r="AO77" s="1"/>
      <c r="AP77" s="110"/>
      <c r="AQ77" s="1">
        <f t="shared" si="23"/>
        <v>-6.3789992700179696E-2</v>
      </c>
      <c r="AR77" s="15"/>
      <c r="AS77" s="7">
        <v>31</v>
      </c>
      <c r="AT77" s="15"/>
      <c r="AW77" s="4">
        <f t="shared" si="31"/>
        <v>3.4568728658536583</v>
      </c>
      <c r="AY77" s="4">
        <f>(O77-P77-AG77-(SpotGasPrices!K75-(SpotGasPrices!L75+SpotGasPrices!M75)/2))*($AL$279/AL77)</f>
        <v>-0.26511875677506824</v>
      </c>
      <c r="AZ77" s="1">
        <f t="shared" si="22"/>
        <v>-0.35705952338752395</v>
      </c>
    </row>
    <row r="78" spans="1:52">
      <c r="A78" s="33" t="s">
        <v>39</v>
      </c>
      <c r="B78" s="26" t="s">
        <v>33</v>
      </c>
      <c r="C78" s="29"/>
      <c r="D78" s="2">
        <v>2006</v>
      </c>
      <c r="E78" s="2">
        <v>1</v>
      </c>
      <c r="K78" s="85">
        <v>62.99</v>
      </c>
      <c r="L78" s="4">
        <v>2.3159999999999998</v>
      </c>
      <c r="M78" s="1">
        <v>2.2999999999999998</v>
      </c>
      <c r="N78" s="1">
        <v>2.3479999999999999</v>
      </c>
      <c r="O78" s="1">
        <v>2.379</v>
      </c>
      <c r="P78" s="4">
        <f t="shared" si="24"/>
        <v>2.3090000000000002</v>
      </c>
      <c r="Q78" s="4">
        <f t="shared" si="25"/>
        <v>3.6911210741301055</v>
      </c>
      <c r="R78" s="4">
        <f t="shared" si="26"/>
        <v>3.5825130559757943</v>
      </c>
      <c r="S78" s="4">
        <v>0.21</v>
      </c>
      <c r="T78" s="4">
        <f t="shared" si="32"/>
        <v>0.19546464646464645</v>
      </c>
      <c r="U78" s="4">
        <v>0.184</v>
      </c>
      <c r="V78" s="4">
        <v>0.18</v>
      </c>
      <c r="W78" s="4">
        <v>1.4E-2</v>
      </c>
      <c r="X78" s="3">
        <v>7.2499999999999995E-2</v>
      </c>
      <c r="Y78" s="4">
        <f t="shared" si="33"/>
        <v>0.16081818181818183</v>
      </c>
      <c r="Z78" s="4">
        <v>0</v>
      </c>
      <c r="AB78" s="4">
        <v>0</v>
      </c>
      <c r="AC78" s="4">
        <f t="shared" si="27"/>
        <v>0.35481818181818181</v>
      </c>
      <c r="AD78" s="4">
        <f t="shared" si="34"/>
        <v>0.53881818181818186</v>
      </c>
      <c r="AE78" s="4">
        <v>0.1</v>
      </c>
      <c r="AF78" s="4">
        <f t="shared" si="35"/>
        <v>-0.18935353535353538</v>
      </c>
      <c r="AG78" s="4">
        <f t="shared" si="28"/>
        <v>0.25935353535353523</v>
      </c>
      <c r="AL78">
        <v>198.3</v>
      </c>
      <c r="AM78" s="95">
        <f t="shared" si="29"/>
        <v>0.64451963298458426</v>
      </c>
      <c r="AN78" s="1">
        <f t="shared" si="30"/>
        <v>-0.29379017436085514</v>
      </c>
      <c r="AO78" s="1"/>
      <c r="AP78" s="110"/>
      <c r="AQ78" s="1">
        <f>AVERAGE(AN78:AN89)</f>
        <v>-6.0547103003969316E-2</v>
      </c>
      <c r="AR78" s="15"/>
      <c r="AS78" s="7">
        <v>31</v>
      </c>
      <c r="AT78" s="15"/>
      <c r="AW78" s="4">
        <f t="shared" si="31"/>
        <v>3.5891347957639934</v>
      </c>
      <c r="AY78" s="4">
        <f>(O78-P78-AG78-(SpotGasPrices!K76-(SpotGasPrices!L76+SpotGasPrices!M76)/2))*($AL$279/AL78)</f>
        <v>-0.52351756821874829</v>
      </c>
      <c r="AZ78" s="1">
        <f>AVERAGE($AY78:$AY89)</f>
        <v>-0.41259436521442727</v>
      </c>
    </row>
    <row r="79" spans="1:52">
      <c r="D79" s="2">
        <v>2006</v>
      </c>
      <c r="E79" s="2">
        <v>2</v>
      </c>
      <c r="K79" s="85">
        <v>60.21</v>
      </c>
      <c r="L79" s="4">
        <v>2.2799999999999998</v>
      </c>
      <c r="M79" s="1">
        <v>2.2490000000000001</v>
      </c>
      <c r="N79" s="1">
        <v>2.3450000000000002</v>
      </c>
      <c r="O79" s="1">
        <v>2.4950000000000001</v>
      </c>
      <c r="P79" s="4">
        <f t="shared" si="24"/>
        <v>2.2561111111111112</v>
      </c>
      <c r="Q79" s="4">
        <f t="shared" si="25"/>
        <v>3.8633072219426272</v>
      </c>
      <c r="R79" s="4">
        <f t="shared" si="26"/>
        <v>3.4934069535312866</v>
      </c>
      <c r="S79" s="4">
        <v>0.2</v>
      </c>
      <c r="T79" s="4">
        <f t="shared" si="32"/>
        <v>0.18348225848225849</v>
      </c>
      <c r="U79" s="4">
        <v>0.184</v>
      </c>
      <c r="V79" s="4">
        <v>0.18</v>
      </c>
      <c r="W79" s="4">
        <v>1.4E-2</v>
      </c>
      <c r="X79" s="3">
        <v>7.2499999999999995E-2</v>
      </c>
      <c r="Y79" s="4">
        <f t="shared" si="33"/>
        <v>0.16865967365967366</v>
      </c>
      <c r="Z79" s="4">
        <v>0</v>
      </c>
      <c r="AB79" s="4">
        <v>0</v>
      </c>
      <c r="AC79" s="4">
        <f t="shared" si="27"/>
        <v>0.36265967365967366</v>
      </c>
      <c r="AD79" s="4">
        <f t="shared" si="34"/>
        <v>0.54665967365967361</v>
      </c>
      <c r="AE79" s="4">
        <v>0.1</v>
      </c>
      <c r="AF79" s="4">
        <f t="shared" si="35"/>
        <v>-4.0288526288526416E-2</v>
      </c>
      <c r="AG79" s="4">
        <f t="shared" si="28"/>
        <v>0.27917741517741534</v>
      </c>
      <c r="AL79">
        <v>198.7</v>
      </c>
      <c r="AM79" s="95">
        <f t="shared" si="29"/>
        <v>0.6458197230158188</v>
      </c>
      <c r="AN79" s="1">
        <f t="shared" si="30"/>
        <v>-6.2383548926609016E-2</v>
      </c>
      <c r="AO79" s="1"/>
      <c r="AP79" s="110"/>
      <c r="AQ79" s="1">
        <f>AQ78</f>
        <v>-6.0547103003969316E-2</v>
      </c>
      <c r="AR79" s="15"/>
      <c r="AS79" s="7">
        <v>28</v>
      </c>
      <c r="AT79" s="15"/>
      <c r="AW79" s="4">
        <f t="shared" si="31"/>
        <v>3.7565634121791653</v>
      </c>
      <c r="AY79" s="4">
        <f>(O79-P79-AG79-(SpotGasPrices!K77-(SpotGasPrices!L77+SpotGasPrices!M77)/2))*($AL$279/AL79)</f>
        <v>-0.37838454099796848</v>
      </c>
      <c r="AZ79" s="1">
        <f t="shared" ref="AZ79:AZ89" si="36">AZ78</f>
        <v>-0.41259436521442727</v>
      </c>
    </row>
    <row r="80" spans="1:52">
      <c r="D80" s="2">
        <v>2006</v>
      </c>
      <c r="E80" s="2">
        <v>3</v>
      </c>
      <c r="K80" s="85">
        <v>62.06</v>
      </c>
      <c r="L80" s="4">
        <v>2.4249999999999998</v>
      </c>
      <c r="M80" s="1">
        <v>2.4129999999999998</v>
      </c>
      <c r="N80" s="1">
        <v>2.4510000000000001</v>
      </c>
      <c r="O80" s="1">
        <v>2.5790000000000002</v>
      </c>
      <c r="P80" s="4">
        <f t="shared" si="24"/>
        <v>2.4078888888888885</v>
      </c>
      <c r="Q80" s="4">
        <f t="shared" si="25"/>
        <v>3.9713889339339339</v>
      </c>
      <c r="R80" s="4">
        <f t="shared" si="26"/>
        <v>3.7078958074741402</v>
      </c>
      <c r="S80" s="4">
        <v>0.2</v>
      </c>
      <c r="T80" s="4">
        <f t="shared" si="32"/>
        <v>0.18285133385133384</v>
      </c>
      <c r="U80" s="4">
        <v>0.184</v>
      </c>
      <c r="V80" s="4">
        <v>0.18</v>
      </c>
      <c r="W80" s="4">
        <v>1.4E-2</v>
      </c>
      <c r="X80" s="3">
        <v>7.2499999999999995E-2</v>
      </c>
      <c r="Y80" s="4">
        <f t="shared" si="33"/>
        <v>0.17433799533799535</v>
      </c>
      <c r="Z80" s="4">
        <v>0</v>
      </c>
      <c r="AB80" s="4">
        <v>0</v>
      </c>
      <c r="AC80" s="4">
        <f t="shared" si="27"/>
        <v>0.36833799533799538</v>
      </c>
      <c r="AD80" s="4">
        <f t="shared" si="34"/>
        <v>0.55233799533799532</v>
      </c>
      <c r="AE80" s="4">
        <v>0.1</v>
      </c>
      <c r="AF80" s="4">
        <f t="shared" si="35"/>
        <v>-0.11437555037554992</v>
      </c>
      <c r="AG80" s="4">
        <f t="shared" si="28"/>
        <v>0.28548666148666157</v>
      </c>
      <c r="AL80">
        <v>199.8</v>
      </c>
      <c r="AM80" s="95">
        <f t="shared" si="29"/>
        <v>0.64939497060171425</v>
      </c>
      <c r="AN80" s="1">
        <f t="shared" si="30"/>
        <v>-0.17612632612410317</v>
      </c>
      <c r="AO80" s="1"/>
      <c r="AP80" s="110"/>
      <c r="AQ80" s="1">
        <f t="shared" ref="AQ80:AQ89" si="37">AQ79</f>
        <v>-6.0547103003969316E-2</v>
      </c>
      <c r="AR80" s="15"/>
      <c r="AS80" s="7">
        <v>31</v>
      </c>
      <c r="AT80" s="15"/>
      <c r="AW80" s="4">
        <f t="shared" si="31"/>
        <v>3.8616588088088091</v>
      </c>
      <c r="AY80" s="4">
        <f>(O80-P80-AG80-(SpotGasPrices!K78-(SpotGasPrices!L78+SpotGasPrices!M78)/2))*($AL$279/AL80)</f>
        <v>-0.47114466725985171</v>
      </c>
      <c r="AZ80" s="1">
        <f t="shared" si="36"/>
        <v>-0.41259436521442727</v>
      </c>
    </row>
    <row r="81" spans="1:52">
      <c r="D81" s="2">
        <v>2006</v>
      </c>
      <c r="E81" s="2">
        <v>4</v>
      </c>
      <c r="K81" s="85">
        <v>70.260000000000005</v>
      </c>
      <c r="L81" s="4">
        <v>2.742</v>
      </c>
      <c r="M81" s="1">
        <v>2.7189999999999999</v>
      </c>
      <c r="N81" s="1">
        <v>2.7909999999999999</v>
      </c>
      <c r="O81" s="1">
        <v>2.88</v>
      </c>
      <c r="P81" s="4">
        <f t="shared" si="24"/>
        <v>2.726666666666667</v>
      </c>
      <c r="Q81" s="4">
        <f t="shared" si="25"/>
        <v>4.3974812903225802</v>
      </c>
      <c r="R81" s="4">
        <f t="shared" si="26"/>
        <v>4.163356129032258</v>
      </c>
      <c r="S81" s="4">
        <v>0.2</v>
      </c>
      <c r="T81" s="4">
        <f t="shared" si="32"/>
        <v>0.18059052059052061</v>
      </c>
      <c r="U81" s="4">
        <v>0.184</v>
      </c>
      <c r="V81" s="4">
        <v>0.18</v>
      </c>
      <c r="W81" s="4">
        <v>1.4E-2</v>
      </c>
      <c r="X81" s="3">
        <v>7.2499999999999995E-2</v>
      </c>
      <c r="Y81" s="4">
        <f t="shared" si="33"/>
        <v>0.19468531468531469</v>
      </c>
      <c r="Z81" s="4">
        <v>0</v>
      </c>
      <c r="AB81" s="4">
        <v>0</v>
      </c>
      <c r="AC81" s="4">
        <f t="shared" si="27"/>
        <v>0.3886853146853147</v>
      </c>
      <c r="AD81" s="4">
        <f t="shared" si="34"/>
        <v>0.57268531468531469</v>
      </c>
      <c r="AE81" s="4">
        <v>0.1</v>
      </c>
      <c r="AF81" s="4">
        <f t="shared" si="35"/>
        <v>-0.15476146076146158</v>
      </c>
      <c r="AG81" s="4">
        <f t="shared" si="28"/>
        <v>0.30809479409479446</v>
      </c>
      <c r="AL81">
        <v>201.5</v>
      </c>
      <c r="AM81" s="95">
        <f t="shared" si="29"/>
        <v>0.65492035323446152</v>
      </c>
      <c r="AN81" s="1">
        <f t="shared" si="30"/>
        <v>-0.23630577366719427</v>
      </c>
      <c r="AO81" s="1"/>
      <c r="AP81" s="110"/>
      <c r="AQ81" s="1">
        <f t="shared" si="37"/>
        <v>-6.0547103003969316E-2</v>
      </c>
      <c r="AR81" s="15"/>
      <c r="AS81" s="7">
        <v>30</v>
      </c>
      <c r="AT81" s="15"/>
      <c r="AW81" s="4">
        <f t="shared" si="31"/>
        <v>4.275978163771712</v>
      </c>
      <c r="AY81" s="4">
        <f>(O81-P81-AG81-(SpotGasPrices!K79-(SpotGasPrices!L79+SpotGasPrices!M79)/2))*($AL$279/AL81)</f>
        <v>-0.67331701461262872</v>
      </c>
      <c r="AZ81" s="1">
        <f t="shared" si="36"/>
        <v>-0.41259436521442727</v>
      </c>
    </row>
    <row r="82" spans="1:52">
      <c r="D82" s="2">
        <v>2006</v>
      </c>
      <c r="E82" s="2">
        <v>5</v>
      </c>
      <c r="K82" s="85">
        <v>69.78</v>
      </c>
      <c r="L82" s="4">
        <v>2.907</v>
      </c>
      <c r="M82" s="1">
        <v>2.831</v>
      </c>
      <c r="N82" s="1">
        <v>3.0659999999999998</v>
      </c>
      <c r="O82" s="1">
        <v>3.2909999999999999</v>
      </c>
      <c r="P82" s="4">
        <f t="shared" si="24"/>
        <v>2.8643333333333332</v>
      </c>
      <c r="Q82" s="4">
        <f t="shared" si="25"/>
        <v>5.0002235111111109</v>
      </c>
      <c r="R82" s="4">
        <f t="shared" si="26"/>
        <v>4.3519619802469132</v>
      </c>
      <c r="S82" s="4">
        <v>0.2</v>
      </c>
      <c r="T82" s="4">
        <f t="shared" si="32"/>
        <v>0.17750349650349653</v>
      </c>
      <c r="U82" s="4">
        <v>0.184</v>
      </c>
      <c r="V82" s="4">
        <v>0.18</v>
      </c>
      <c r="W82" s="4">
        <v>1.4E-2</v>
      </c>
      <c r="X82" s="3">
        <v>7.2499999999999995E-2</v>
      </c>
      <c r="Y82" s="4">
        <f t="shared" si="33"/>
        <v>0.22246853146853146</v>
      </c>
      <c r="Z82" s="4">
        <v>0</v>
      </c>
      <c r="AB82" s="4">
        <v>0</v>
      </c>
      <c r="AC82" s="4">
        <f t="shared" si="27"/>
        <v>0.41646853146853147</v>
      </c>
      <c r="AD82" s="4">
        <f t="shared" si="34"/>
        <v>0.60046853146853141</v>
      </c>
      <c r="AE82" s="4">
        <v>0.1</v>
      </c>
      <c r="AF82" s="4">
        <f t="shared" si="35"/>
        <v>8.7701631701631921E-2</v>
      </c>
      <c r="AG82" s="4">
        <f t="shared" si="28"/>
        <v>0.33896503496503483</v>
      </c>
      <c r="AL82">
        <v>202.5</v>
      </c>
      <c r="AM82" s="95">
        <f t="shared" si="29"/>
        <v>0.65817057831254822</v>
      </c>
      <c r="AN82" s="1">
        <f t="shared" si="30"/>
        <v>0.13325061099887797</v>
      </c>
      <c r="AO82" s="1"/>
      <c r="AP82" s="110"/>
      <c r="AQ82" s="1">
        <f t="shared" si="37"/>
        <v>-6.0547103003969316E-2</v>
      </c>
      <c r="AR82" s="15"/>
      <c r="AS82" s="7">
        <v>31</v>
      </c>
      <c r="AT82" s="15"/>
      <c r="AW82" s="4">
        <f t="shared" si="31"/>
        <v>4.8620665185185183</v>
      </c>
      <c r="AY82" s="4">
        <f>(O82-P82-AG82-(SpotGasPrices!K80-(SpotGasPrices!L80+SpotGasPrices!M80)/2))*($AL$279/AL82)</f>
        <v>-0.62000972510288088</v>
      </c>
      <c r="AZ82" s="1">
        <f t="shared" si="36"/>
        <v>-0.41259436521442727</v>
      </c>
    </row>
    <row r="83" spans="1:52">
      <c r="A83" s="2">
        <f>A71+1</f>
        <v>2006</v>
      </c>
      <c r="B83" s="2">
        <f>D83</f>
        <v>2006</v>
      </c>
      <c r="D83" s="2">
        <v>2006</v>
      </c>
      <c r="E83" s="2">
        <v>6</v>
      </c>
      <c r="K83" s="85">
        <v>68.56</v>
      </c>
      <c r="L83" s="4">
        <v>2.8849999999999998</v>
      </c>
      <c r="M83" s="1">
        <v>2.8079999999999998</v>
      </c>
      <c r="N83" s="1">
        <v>3.044</v>
      </c>
      <c r="O83" s="1">
        <v>3.214</v>
      </c>
      <c r="P83" s="4">
        <f t="shared" si="24"/>
        <v>2.8484444444444441</v>
      </c>
      <c r="Q83" s="4">
        <f t="shared" si="25"/>
        <v>4.8736056875308034</v>
      </c>
      <c r="R83" s="4">
        <f t="shared" si="26"/>
        <v>4.3192890619352706</v>
      </c>
      <c r="S83" s="4">
        <v>0.2</v>
      </c>
      <c r="T83" s="4">
        <f t="shared" si="32"/>
        <v>0.1780818440818441</v>
      </c>
      <c r="U83" s="4">
        <v>0.184</v>
      </c>
      <c r="V83" s="4">
        <v>0.18</v>
      </c>
      <c r="W83" s="4">
        <v>1.4E-2</v>
      </c>
      <c r="X83" s="3">
        <v>7.2499999999999995E-2</v>
      </c>
      <c r="Y83" s="4">
        <f t="shared" si="33"/>
        <v>0.21726340326340327</v>
      </c>
      <c r="Z83" s="4">
        <v>0</v>
      </c>
      <c r="AB83" s="4">
        <v>0</v>
      </c>
      <c r="AC83" s="4">
        <f t="shared" si="27"/>
        <v>0.41126340326340327</v>
      </c>
      <c r="AD83" s="4">
        <f t="shared" si="34"/>
        <v>0.59526340326340321</v>
      </c>
      <c r="AE83" s="4">
        <v>0.1</v>
      </c>
      <c r="AF83" s="4">
        <f t="shared" si="35"/>
        <v>3.2373996373996405E-2</v>
      </c>
      <c r="AG83" s="4">
        <f t="shared" si="28"/>
        <v>0.33318155918155945</v>
      </c>
      <c r="AL83">
        <v>202.9</v>
      </c>
      <c r="AM83" s="95">
        <f t="shared" si="29"/>
        <v>0.65947066834378287</v>
      </c>
      <c r="AN83" s="1">
        <f t="shared" si="30"/>
        <v>4.9090881411453166E-2</v>
      </c>
      <c r="AO83" s="1"/>
      <c r="AP83" s="110"/>
      <c r="AQ83" s="1">
        <f t="shared" si="37"/>
        <v>-6.0547103003969316E-2</v>
      </c>
      <c r="AR83" s="15"/>
      <c r="AS83" s="7">
        <v>30</v>
      </c>
      <c r="AT83" s="15"/>
      <c r="AW83" s="4">
        <f t="shared" si="31"/>
        <v>4.7389471660916698</v>
      </c>
      <c r="AY83" s="4">
        <f>(O83-P83-AG83-(SpotGasPrices!K81-(SpotGasPrices!L81+SpotGasPrices!M81)/2))*($AL$279/AL83)</f>
        <v>-0.40336049577423572</v>
      </c>
      <c r="AZ83" s="1">
        <f t="shared" si="36"/>
        <v>-0.41259436521442727</v>
      </c>
    </row>
    <row r="84" spans="1:52">
      <c r="D84" s="2">
        <v>2006</v>
      </c>
      <c r="E84" s="2">
        <v>7</v>
      </c>
      <c r="K84" s="85">
        <v>73.67</v>
      </c>
      <c r="L84" s="4">
        <v>2.9809999999999999</v>
      </c>
      <c r="M84" s="1">
        <v>2.923</v>
      </c>
      <c r="N84" s="1">
        <v>3.101</v>
      </c>
      <c r="O84" s="1">
        <v>3.214</v>
      </c>
      <c r="P84" s="4">
        <f t="shared" si="24"/>
        <v>2.9551111111111106</v>
      </c>
      <c r="Q84" s="4">
        <f t="shared" si="25"/>
        <v>4.8592363341523344</v>
      </c>
      <c r="R84" s="4">
        <f t="shared" si="26"/>
        <v>4.4678230499590486</v>
      </c>
      <c r="S84" s="4">
        <v>0.2</v>
      </c>
      <c r="T84" s="4">
        <f t="shared" si="32"/>
        <v>0.1780818440818441</v>
      </c>
      <c r="U84" s="4">
        <v>0.184</v>
      </c>
      <c r="V84" s="4">
        <v>0.18</v>
      </c>
      <c r="W84" s="4">
        <v>1.4E-2</v>
      </c>
      <c r="X84" s="3">
        <v>7.2499999999999995E-2</v>
      </c>
      <c r="Y84" s="4">
        <f t="shared" si="33"/>
        <v>0.21726340326340327</v>
      </c>
      <c r="Z84" s="4">
        <v>0</v>
      </c>
      <c r="AB84" s="4">
        <v>0</v>
      </c>
      <c r="AC84" s="4">
        <f t="shared" si="27"/>
        <v>0.41126340326340327</v>
      </c>
      <c r="AD84" s="4">
        <f t="shared" si="34"/>
        <v>0.59526340326340321</v>
      </c>
      <c r="AE84" s="4">
        <v>0.1</v>
      </c>
      <c r="AF84" s="4">
        <f t="shared" si="35"/>
        <v>-7.429267029267006E-2</v>
      </c>
      <c r="AG84" s="4">
        <f t="shared" si="28"/>
        <v>0.33318155918155945</v>
      </c>
      <c r="AL84">
        <v>203.5</v>
      </c>
      <c r="AM84" s="95">
        <f t="shared" si="29"/>
        <v>0.6614208033906348</v>
      </c>
      <c r="AN84" s="1">
        <f t="shared" si="30"/>
        <v>-0.11232285091703238</v>
      </c>
      <c r="AO84" s="1"/>
      <c r="AP84" s="110"/>
      <c r="AQ84" s="1">
        <f t="shared" si="37"/>
        <v>-6.0547103003969316E-2</v>
      </c>
      <c r="AR84" s="15"/>
      <c r="AS84" s="7">
        <v>31</v>
      </c>
      <c r="AT84" s="15"/>
      <c r="AW84" s="4">
        <f t="shared" si="31"/>
        <v>4.7249748402948404</v>
      </c>
      <c r="AY84" s="4">
        <f>(O84-P84-AG84-(SpotGasPrices!K82-(SpotGasPrices!L82+SpotGasPrices!M82)/2))*($AL$279/AL84)</f>
        <v>-0.45220600127400118</v>
      </c>
      <c r="AZ84" s="1">
        <f t="shared" si="36"/>
        <v>-0.41259436521442727</v>
      </c>
    </row>
    <row r="85" spans="1:52">
      <c r="D85" s="2">
        <v>2006</v>
      </c>
      <c r="E85" s="2">
        <v>8</v>
      </c>
      <c r="K85" s="85">
        <v>73.23</v>
      </c>
      <c r="L85" s="4">
        <v>2.952</v>
      </c>
      <c r="M85" s="1">
        <v>2.91</v>
      </c>
      <c r="N85" s="1">
        <v>3.04</v>
      </c>
      <c r="O85" s="1">
        <v>3.1659999999999999</v>
      </c>
      <c r="P85" s="4">
        <f t="shared" si="24"/>
        <v>2.9282222222222218</v>
      </c>
      <c r="Q85" s="4">
        <f t="shared" si="25"/>
        <v>4.7772750662089258</v>
      </c>
      <c r="R85" s="4">
        <f t="shared" si="26"/>
        <v>4.4184848422429281</v>
      </c>
      <c r="S85" s="4">
        <v>0.2</v>
      </c>
      <c r="T85" s="4">
        <f t="shared" si="32"/>
        <v>0.17844237244237246</v>
      </c>
      <c r="U85" s="4">
        <v>0.184</v>
      </c>
      <c r="V85" s="4">
        <v>0.18</v>
      </c>
      <c r="W85" s="4">
        <v>1.4E-2</v>
      </c>
      <c r="X85" s="3">
        <v>7.2499999999999995E-2</v>
      </c>
      <c r="Y85" s="4">
        <f t="shared" si="33"/>
        <v>0.21401864801864801</v>
      </c>
      <c r="Z85" s="4">
        <v>0</v>
      </c>
      <c r="AB85" s="4">
        <v>0</v>
      </c>
      <c r="AC85" s="4">
        <f t="shared" si="27"/>
        <v>0.40801864801864801</v>
      </c>
      <c r="AD85" s="4">
        <f t="shared" si="34"/>
        <v>0.59201864801864801</v>
      </c>
      <c r="AE85" s="4">
        <v>0.1</v>
      </c>
      <c r="AF85" s="4">
        <f t="shared" si="35"/>
        <v>-9.1798497798497358E-2</v>
      </c>
      <c r="AG85" s="4">
        <f t="shared" si="28"/>
        <v>0.32957627557627545</v>
      </c>
      <c r="AL85">
        <v>203.9</v>
      </c>
      <c r="AM85" s="95">
        <f t="shared" si="29"/>
        <v>0.66272089342186946</v>
      </c>
      <c r="AN85" s="1">
        <f t="shared" si="30"/>
        <v>-0.13851758516999255</v>
      </c>
      <c r="AO85" s="1"/>
      <c r="AP85" s="110"/>
      <c r="AQ85" s="1">
        <f t="shared" si="37"/>
        <v>-6.0547103003969316E-2</v>
      </c>
      <c r="AR85" s="15"/>
      <c r="AS85" s="7">
        <v>31</v>
      </c>
      <c r="AT85" s="15"/>
      <c r="AW85" s="4">
        <f t="shared" si="31"/>
        <v>4.6452781755762631</v>
      </c>
      <c r="AY85" s="4">
        <f>(O85-P85-AG85-(SpotGasPrices!K83-(SpotGasPrices!L83+SpotGasPrices!M83)/2))*($AL$279/AL85)</f>
        <v>-0.3833648843841384</v>
      </c>
      <c r="AZ85" s="1">
        <f t="shared" si="36"/>
        <v>-0.41259436521442727</v>
      </c>
    </row>
    <row r="86" spans="1:52">
      <c r="D86" s="2">
        <v>2006</v>
      </c>
      <c r="E86" s="2">
        <v>9</v>
      </c>
      <c r="K86" s="85">
        <v>61.96</v>
      </c>
      <c r="L86" s="4">
        <v>2.5550000000000002</v>
      </c>
      <c r="M86" s="1">
        <v>2.5009999999999999</v>
      </c>
      <c r="N86" s="1">
        <v>2.669</v>
      </c>
      <c r="O86" s="1">
        <v>2.8919999999999999</v>
      </c>
      <c r="P86" s="4">
        <f t="shared" si="24"/>
        <v>2.5175555555555555</v>
      </c>
      <c r="Q86" s="4">
        <f t="shared" si="25"/>
        <v>4.3853352981764413</v>
      </c>
      <c r="R86" s="4">
        <f t="shared" si="26"/>
        <v>3.8175398488582224</v>
      </c>
      <c r="S86" s="4">
        <v>0.2</v>
      </c>
      <c r="T86" s="4">
        <f t="shared" si="32"/>
        <v>0.18050038850038849</v>
      </c>
      <c r="U86" s="4">
        <v>0.184</v>
      </c>
      <c r="V86" s="4">
        <v>0.18</v>
      </c>
      <c r="W86" s="4">
        <v>1.4E-2</v>
      </c>
      <c r="X86" s="3">
        <v>7.2499999999999995E-2</v>
      </c>
      <c r="Y86" s="4">
        <f t="shared" si="33"/>
        <v>0.19549650349650349</v>
      </c>
      <c r="Z86" s="4">
        <v>0</v>
      </c>
      <c r="AB86" s="4">
        <v>0</v>
      </c>
      <c r="AC86" s="4">
        <f t="shared" si="27"/>
        <v>0.3894965034965035</v>
      </c>
      <c r="AD86" s="4">
        <f t="shared" si="34"/>
        <v>0.5734965034965035</v>
      </c>
      <c r="AE86" s="4">
        <v>0.1</v>
      </c>
      <c r="AF86" s="4">
        <f t="shared" si="35"/>
        <v>6.5448329448329456E-2</v>
      </c>
      <c r="AG86" s="4">
        <f t="shared" si="28"/>
        <v>0.3089961149961149</v>
      </c>
      <c r="AL86">
        <v>202.9</v>
      </c>
      <c r="AM86" s="95">
        <f t="shared" si="29"/>
        <v>0.65947066834378287</v>
      </c>
      <c r="AN86" s="1">
        <f t="shared" si="30"/>
        <v>9.9243730752572548E-2</v>
      </c>
      <c r="AO86" s="1"/>
      <c r="AP86" s="110"/>
      <c r="AQ86" s="1">
        <f t="shared" si="37"/>
        <v>-6.0547103003969316E-2</v>
      </c>
      <c r="AR86" s="15"/>
      <c r="AS86" s="7">
        <v>30</v>
      </c>
      <c r="AT86" s="15"/>
      <c r="AW86" s="4">
        <f t="shared" si="31"/>
        <v>4.26416776737309</v>
      </c>
      <c r="AY86" s="4">
        <f>(O86-P86-AG86-(SpotGasPrices!K84-(SpotGasPrices!L84+SpotGasPrices!M84)/2))*($AL$279/AL86)</f>
        <v>-0.21304651771534983</v>
      </c>
      <c r="AZ86" s="1">
        <f t="shared" si="36"/>
        <v>-0.41259436521442727</v>
      </c>
    </row>
    <row r="87" spans="1:52">
      <c r="D87" s="2">
        <v>2006</v>
      </c>
      <c r="E87" s="2">
        <v>10</v>
      </c>
      <c r="K87" s="85">
        <v>57.81</v>
      </c>
      <c r="L87" s="4">
        <v>2.2450000000000001</v>
      </c>
      <c r="M87" s="1">
        <v>2.214</v>
      </c>
      <c r="N87" s="1">
        <v>2.3090000000000002</v>
      </c>
      <c r="O87" s="1">
        <v>2.548</v>
      </c>
      <c r="P87" s="4">
        <f t="shared" si="24"/>
        <v>2.2113333333333336</v>
      </c>
      <c r="Q87" s="4">
        <f t="shared" si="25"/>
        <v>3.8847656491575813</v>
      </c>
      <c r="R87" s="4">
        <f t="shared" si="26"/>
        <v>3.3714724380574825</v>
      </c>
      <c r="S87" s="4">
        <v>0.2</v>
      </c>
      <c r="T87" s="4">
        <f t="shared" si="32"/>
        <v>0.18308417508417507</v>
      </c>
      <c r="U87" s="4">
        <v>0.184</v>
      </c>
      <c r="V87" s="4">
        <v>0.18</v>
      </c>
      <c r="W87" s="4">
        <v>1.4E-2</v>
      </c>
      <c r="X87" s="3">
        <v>7.2499999999999995E-2</v>
      </c>
      <c r="Y87" s="4">
        <f t="shared" si="33"/>
        <v>0.17224242424242425</v>
      </c>
      <c r="Z87" s="4">
        <v>0</v>
      </c>
      <c r="AB87" s="4">
        <v>0</v>
      </c>
      <c r="AC87" s="4">
        <f t="shared" si="27"/>
        <v>0.36624242424242426</v>
      </c>
      <c r="AD87" s="4">
        <f t="shared" si="34"/>
        <v>0.5502424242424242</v>
      </c>
      <c r="AE87" s="4">
        <v>0.1</v>
      </c>
      <c r="AF87" s="4">
        <f t="shared" si="35"/>
        <v>5.3508417508417505E-2</v>
      </c>
      <c r="AG87" s="4">
        <f t="shared" si="28"/>
        <v>0.28315824915824894</v>
      </c>
      <c r="AL87">
        <v>201.8</v>
      </c>
      <c r="AM87" s="95">
        <f t="shared" si="29"/>
        <v>0.65589542075788754</v>
      </c>
      <c r="AN87" s="1">
        <f t="shared" si="30"/>
        <v>8.1580715179545696E-2</v>
      </c>
      <c r="AO87" s="1"/>
      <c r="AP87" s="110"/>
      <c r="AQ87" s="1">
        <f t="shared" si="37"/>
        <v>-6.0547103003969316E-2</v>
      </c>
      <c r="AR87" s="15"/>
      <c r="AS87" s="7">
        <v>31</v>
      </c>
      <c r="AT87" s="15"/>
      <c r="AW87" s="4">
        <f t="shared" si="31"/>
        <v>3.7774289395441025</v>
      </c>
      <c r="AY87" s="4">
        <f>(O87-P87-AG87-(SpotGasPrices!K85-(SpotGasPrices!L85+SpotGasPrices!M85)/2))*($AL$279/AL87)</f>
        <v>-0.1838453195316227</v>
      </c>
      <c r="AZ87" s="1">
        <f t="shared" si="36"/>
        <v>-0.41259436521442727</v>
      </c>
    </row>
    <row r="88" spans="1:52">
      <c r="D88" s="2">
        <v>2006</v>
      </c>
      <c r="E88" s="2">
        <v>11</v>
      </c>
      <c r="K88" s="85">
        <v>58.76</v>
      </c>
      <c r="L88" s="4">
        <v>2.2290000000000001</v>
      </c>
      <c r="M88" s="1">
        <v>2.2109999999999999</v>
      </c>
      <c r="N88" s="1">
        <v>2.2669999999999999</v>
      </c>
      <c r="O88" s="1">
        <v>2.4620000000000002</v>
      </c>
      <c r="P88" s="4">
        <f t="shared" si="24"/>
        <v>2.2031111111111112</v>
      </c>
      <c r="Q88" s="4">
        <f t="shared" si="25"/>
        <v>3.7592357419354836</v>
      </c>
      <c r="R88" s="4">
        <f t="shared" si="26"/>
        <v>3.3639374623655915</v>
      </c>
      <c r="S88" s="4">
        <v>0.2</v>
      </c>
      <c r="T88" s="4">
        <f t="shared" si="32"/>
        <v>0.18373012173012174</v>
      </c>
      <c r="U88" s="4">
        <v>0.184</v>
      </c>
      <c r="V88" s="4">
        <v>0.18</v>
      </c>
      <c r="W88" s="4">
        <v>1.4E-2</v>
      </c>
      <c r="X88" s="3">
        <v>7.2499999999999995E-2</v>
      </c>
      <c r="Y88" s="4">
        <f t="shared" si="33"/>
        <v>0.16642890442890446</v>
      </c>
      <c r="Z88" s="4">
        <v>0</v>
      </c>
      <c r="AB88" s="4">
        <v>0</v>
      </c>
      <c r="AC88" s="4">
        <f t="shared" si="27"/>
        <v>0.36042890442890446</v>
      </c>
      <c r="AD88" s="4">
        <f t="shared" si="34"/>
        <v>0.54442890442890446</v>
      </c>
      <c r="AE88" s="4">
        <v>0.1</v>
      </c>
      <c r="AF88" s="4">
        <f t="shared" si="35"/>
        <v>-1.780989380989384E-2</v>
      </c>
      <c r="AG88" s="4">
        <f t="shared" si="28"/>
        <v>0.27669878269878279</v>
      </c>
      <c r="AL88">
        <v>201.5</v>
      </c>
      <c r="AM88" s="95">
        <f t="shared" si="29"/>
        <v>0.65492035323446152</v>
      </c>
      <c r="AN88" s="1">
        <f t="shared" si="30"/>
        <v>-2.7193984309597258E-2</v>
      </c>
      <c r="AO88" s="1"/>
      <c r="AP88" s="110"/>
      <c r="AQ88" s="1">
        <f t="shared" si="37"/>
        <v>-6.0547103003969316E-2</v>
      </c>
      <c r="AR88" s="15"/>
      <c r="AS88" s="7">
        <v>30</v>
      </c>
      <c r="AT88" s="15"/>
      <c r="AW88" s="4">
        <f t="shared" si="31"/>
        <v>3.6553674441687347</v>
      </c>
      <c r="AY88" s="4">
        <f>(O88-P88-AG88-(SpotGasPrices!K86-(SpotGasPrices!L86+SpotGasPrices!M86)/2))*($AL$279/AL88)</f>
        <v>-0.35393161327083916</v>
      </c>
      <c r="AZ88" s="1">
        <f t="shared" si="36"/>
        <v>-0.41259436521442727</v>
      </c>
    </row>
    <row r="89" spans="1:52">
      <c r="B89" s="26" t="s">
        <v>33</v>
      </c>
      <c r="C89" s="29"/>
      <c r="D89" s="2">
        <v>2006</v>
      </c>
      <c r="E89" s="2">
        <v>12</v>
      </c>
      <c r="K89" s="85">
        <v>62.47</v>
      </c>
      <c r="L89" s="4">
        <v>2.3130000000000002</v>
      </c>
      <c r="M89" s="1">
        <v>2.2839999999999998</v>
      </c>
      <c r="N89" s="1">
        <v>2.3719999999999999</v>
      </c>
      <c r="O89" s="1">
        <v>2.5419999999999998</v>
      </c>
      <c r="P89" s="4">
        <f t="shared" si="24"/>
        <v>2.2875555555555556</v>
      </c>
      <c r="Q89" s="4">
        <f t="shared" si="25"/>
        <v>3.8756178493557973</v>
      </c>
      <c r="R89" s="4">
        <f t="shared" si="26"/>
        <v>3.4876833762801449</v>
      </c>
      <c r="S89" s="4">
        <v>0.2</v>
      </c>
      <c r="T89" s="4">
        <f t="shared" si="32"/>
        <v>0.18312924112924114</v>
      </c>
      <c r="U89" s="4">
        <v>0.184</v>
      </c>
      <c r="V89" s="4">
        <v>0.18</v>
      </c>
      <c r="W89" s="4">
        <v>1.4E-2</v>
      </c>
      <c r="X89" s="3">
        <v>7.2499999999999995E-2</v>
      </c>
      <c r="Y89" s="4">
        <f t="shared" si="33"/>
        <v>0.17183682983682982</v>
      </c>
      <c r="Z89" s="4">
        <v>0</v>
      </c>
      <c r="AB89" s="4">
        <v>0</v>
      </c>
      <c r="AC89" s="4">
        <f t="shared" si="27"/>
        <v>0.36583682983682986</v>
      </c>
      <c r="AD89" s="4">
        <f t="shared" si="34"/>
        <v>0.5498368298368298</v>
      </c>
      <c r="AE89" s="4">
        <v>0.1</v>
      </c>
      <c r="AF89" s="4">
        <f t="shared" si="35"/>
        <v>-2.8263144263144468E-2</v>
      </c>
      <c r="AG89" s="4">
        <f t="shared" si="28"/>
        <v>0.28270758870758872</v>
      </c>
      <c r="AL89">
        <v>201.8</v>
      </c>
      <c r="AM89" s="95">
        <f t="shared" si="29"/>
        <v>0.65589542075788754</v>
      </c>
      <c r="AN89" s="1">
        <f t="shared" si="30"/>
        <v>-4.3090930914697331E-2</v>
      </c>
      <c r="AO89" s="1"/>
      <c r="AP89" s="110"/>
      <c r="AQ89" s="1">
        <f t="shared" si="37"/>
        <v>-6.0547103003969316E-2</v>
      </c>
      <c r="AR89" s="15"/>
      <c r="AS89" s="7">
        <v>31</v>
      </c>
      <c r="AT89" s="15"/>
      <c r="AW89" s="4">
        <f t="shared" si="31"/>
        <v>3.7685338949454898</v>
      </c>
      <c r="AY89" s="4">
        <f>(O89-P89-AG89-(SpotGasPrices!K87-(SpotGasPrices!L87+SpotGasPrices!M87)/2))*($AL$279/AL89)</f>
        <v>-0.2950040344308632</v>
      </c>
      <c r="AZ89" s="1">
        <f t="shared" si="36"/>
        <v>-0.41259436521442727</v>
      </c>
    </row>
    <row r="90" spans="1:52">
      <c r="A90" s="33" t="s">
        <v>39</v>
      </c>
      <c r="B90" s="26" t="s">
        <v>33</v>
      </c>
      <c r="C90" s="29"/>
      <c r="D90" s="2">
        <v>2007</v>
      </c>
      <c r="E90" s="2">
        <v>1</v>
      </c>
      <c r="F90" s="4">
        <v>2.1403240000000001</v>
      </c>
      <c r="K90" s="85">
        <v>53.68</v>
      </c>
      <c r="L90" s="4">
        <v>2.2400000000000002</v>
      </c>
      <c r="M90" s="1">
        <v>2.1909999999999998</v>
      </c>
      <c r="N90" s="1">
        <v>2.343</v>
      </c>
      <c r="O90" s="1">
        <v>2.5710000000000002</v>
      </c>
      <c r="P90" s="4">
        <f t="shared" si="24"/>
        <v>2.2032222222222222</v>
      </c>
      <c r="Q90" s="4">
        <f t="shared" si="25"/>
        <v>3.9079032339340767</v>
      </c>
      <c r="R90" s="4">
        <f t="shared" si="26"/>
        <v>3.3488834100729847</v>
      </c>
      <c r="S90" s="4">
        <v>0.2</v>
      </c>
      <c r="T90" s="4">
        <f t="shared" si="32"/>
        <v>0.18291142191142193</v>
      </c>
      <c r="U90" s="4">
        <v>0.184</v>
      </c>
      <c r="V90" s="4">
        <v>0.18</v>
      </c>
      <c r="W90" s="4">
        <v>1.4E-2</v>
      </c>
      <c r="X90" s="3">
        <v>7.2499999999999995E-2</v>
      </c>
      <c r="Y90" s="4">
        <f t="shared" si="33"/>
        <v>0.17379720279720282</v>
      </c>
      <c r="Z90" s="4">
        <v>0</v>
      </c>
      <c r="AB90" s="4">
        <v>0</v>
      </c>
      <c r="AC90" s="4">
        <f t="shared" si="27"/>
        <v>0.36779720279720285</v>
      </c>
      <c r="AD90" s="4">
        <f t="shared" si="34"/>
        <v>0.55179720279720279</v>
      </c>
      <c r="AE90" s="4">
        <v>0.1</v>
      </c>
      <c r="AF90" s="4">
        <f t="shared" si="35"/>
        <v>8.2891996891997E-2</v>
      </c>
      <c r="AG90" s="4">
        <f t="shared" si="28"/>
        <v>0.28488578088578098</v>
      </c>
      <c r="AL90">
        <v>202.416</v>
      </c>
      <c r="AM90" s="95">
        <f t="shared" si="29"/>
        <v>0.65789755940598882</v>
      </c>
      <c r="AN90" s="1">
        <f t="shared" si="30"/>
        <v>0.1259952947185875</v>
      </c>
      <c r="AO90" s="1"/>
      <c r="AP90" s="110"/>
      <c r="AQ90" s="1">
        <f>AVERAGE(AN90:AN101)</f>
        <v>-1.7905760641002598E-2</v>
      </c>
      <c r="AR90" s="15"/>
      <c r="AS90" s="7">
        <v>31</v>
      </c>
      <c r="AT90" s="15"/>
      <c r="AW90" s="4">
        <f t="shared" si="31"/>
        <v>3.799927229072801</v>
      </c>
      <c r="AY90" s="4">
        <f>(O90-P90-AG90-(SpotGasPrices!K88-(SpotGasPrices!L88+SpotGasPrices!M88)/2))*($AL$279/AL90)</f>
        <v>-0.26222394584529995</v>
      </c>
      <c r="AZ90" s="1">
        <f>AVERAGE($AY90:$AY101)</f>
        <v>-0.36820137822106314</v>
      </c>
    </row>
    <row r="91" spans="1:52">
      <c r="D91" s="2">
        <v>2007</v>
      </c>
      <c r="E91" s="2">
        <v>2</v>
      </c>
      <c r="F91" s="4">
        <v>1.873329</v>
      </c>
      <c r="K91" s="85">
        <v>57.56</v>
      </c>
      <c r="L91" s="4">
        <v>2.278</v>
      </c>
      <c r="M91" s="1">
        <v>2.2349999999999999</v>
      </c>
      <c r="N91" s="1">
        <v>2.3690000000000002</v>
      </c>
      <c r="O91" s="1">
        <v>2.6680000000000001</v>
      </c>
      <c r="P91" s="4">
        <f t="shared" si="24"/>
        <v>2.2346666666666666</v>
      </c>
      <c r="Q91" s="4">
        <f t="shared" si="25"/>
        <v>4.0337605000515975</v>
      </c>
      <c r="R91" s="4">
        <f t="shared" si="26"/>
        <v>3.3786019980442163</v>
      </c>
      <c r="S91" s="4">
        <v>0.2</v>
      </c>
      <c r="T91" s="4">
        <f t="shared" si="32"/>
        <v>0.18218285418285418</v>
      </c>
      <c r="U91" s="4">
        <v>0.184</v>
      </c>
      <c r="V91" s="4">
        <v>0.18</v>
      </c>
      <c r="W91" s="4">
        <v>1.4E-2</v>
      </c>
      <c r="X91" s="3">
        <v>7.2499999999999995E-2</v>
      </c>
      <c r="Y91" s="4">
        <f t="shared" si="33"/>
        <v>0.18035431235431237</v>
      </c>
      <c r="Z91" s="4">
        <v>0</v>
      </c>
      <c r="AB91" s="4">
        <v>0</v>
      </c>
      <c r="AC91" s="4">
        <f t="shared" si="27"/>
        <v>0.37435431235431238</v>
      </c>
      <c r="AD91" s="4">
        <f t="shared" si="34"/>
        <v>0.55835431235431243</v>
      </c>
      <c r="AE91" s="4">
        <v>0.1</v>
      </c>
      <c r="AF91" s="4">
        <f t="shared" si="35"/>
        <v>0.14116187516187528</v>
      </c>
      <c r="AG91" s="4">
        <f t="shared" si="28"/>
        <v>0.29217145817145829</v>
      </c>
      <c r="AL91">
        <v>203.499</v>
      </c>
      <c r="AM91" s="95">
        <f t="shared" si="29"/>
        <v>0.66141755316555673</v>
      </c>
      <c r="AN91" s="1">
        <f t="shared" si="30"/>
        <v>0.21342323693447796</v>
      </c>
      <c r="AO91" s="1"/>
      <c r="AP91" s="110"/>
      <c r="AQ91" s="1">
        <f>AQ90</f>
        <v>-1.7905760641002598E-2</v>
      </c>
      <c r="AR91" s="15"/>
      <c r="AS91" s="7">
        <v>28</v>
      </c>
      <c r="AT91" s="15"/>
      <c r="AW91" s="4">
        <f t="shared" si="31"/>
        <v>3.9223070383638254</v>
      </c>
      <c r="AY91" s="4">
        <f>(O91-P91-AG91-(SpotGasPrices!K89-(SpotGasPrices!L89+SpotGasPrices!M89)/2))*($AL$279/AL91)</f>
        <v>-0.36880173002943162</v>
      </c>
      <c r="AZ91" s="1">
        <f t="shared" ref="AZ91:AZ101" si="38">AZ90</f>
        <v>-0.36820137822106314</v>
      </c>
    </row>
    <row r="92" spans="1:52">
      <c r="D92" s="2">
        <v>2007</v>
      </c>
      <c r="E92" s="2">
        <v>3</v>
      </c>
      <c r="F92" s="4">
        <v>2.1560229999999998</v>
      </c>
      <c r="K92" s="85">
        <v>62.05</v>
      </c>
      <c r="L92" s="4">
        <v>2.5630000000000002</v>
      </c>
      <c r="M92" s="1">
        <v>2.5030000000000001</v>
      </c>
      <c r="N92" s="1">
        <v>2.6890000000000001</v>
      </c>
      <c r="O92" s="1">
        <v>3.06</v>
      </c>
      <c r="P92" s="4">
        <f t="shared" si="24"/>
        <v>2.5077777777777777</v>
      </c>
      <c r="Q92" s="4">
        <f t="shared" si="25"/>
        <v>4.5846802563403326</v>
      </c>
      <c r="R92" s="4">
        <f t="shared" si="26"/>
        <v>3.7573069493682389</v>
      </c>
      <c r="S92" s="4">
        <v>0.2</v>
      </c>
      <c r="T92" s="4">
        <f t="shared" si="32"/>
        <v>0.17923853923853925</v>
      </c>
      <c r="U92" s="4">
        <v>0.184</v>
      </c>
      <c r="V92" s="4">
        <v>0.18</v>
      </c>
      <c r="W92" s="4">
        <v>1.4E-2</v>
      </c>
      <c r="X92" s="3">
        <v>7.2499999999999995E-2</v>
      </c>
      <c r="Y92" s="4">
        <f t="shared" si="33"/>
        <v>0.20685314685314685</v>
      </c>
      <c r="Z92" s="4">
        <v>0</v>
      </c>
      <c r="AB92" s="4">
        <v>0</v>
      </c>
      <c r="AC92" s="4">
        <f t="shared" si="27"/>
        <v>0.40085314685314688</v>
      </c>
      <c r="AD92" s="4">
        <f t="shared" si="34"/>
        <v>0.58485314685314682</v>
      </c>
      <c r="AE92" s="4">
        <v>0.1</v>
      </c>
      <c r="AF92" s="4">
        <f t="shared" si="35"/>
        <v>0.23060761460761503</v>
      </c>
      <c r="AG92" s="4">
        <f t="shared" si="28"/>
        <v>0.32161460761460736</v>
      </c>
      <c r="AL92">
        <v>205.352</v>
      </c>
      <c r="AM92" s="95">
        <f t="shared" si="29"/>
        <v>0.66744022023525129</v>
      </c>
      <c r="AN92" s="1">
        <f t="shared" si="30"/>
        <v>0.34551051557296508</v>
      </c>
      <c r="AO92" s="1"/>
      <c r="AP92" s="110"/>
      <c r="AQ92" s="1">
        <f t="shared" ref="AQ92:AQ101" si="39">AQ91</f>
        <v>-1.7905760641002598E-2</v>
      </c>
      <c r="AR92" s="15"/>
      <c r="AS92" s="7">
        <v>31</v>
      </c>
      <c r="AT92" s="15"/>
      <c r="AW92" s="4">
        <f t="shared" si="31"/>
        <v>4.4580047917721766</v>
      </c>
      <c r="AY92" s="4">
        <f>(O92-P92-AG92-(SpotGasPrices!K90-(SpotGasPrices!L90+SpotGasPrices!M90)/2))*($AL$279/AL92)</f>
        <v>-0.36047329247124671</v>
      </c>
      <c r="AZ92" s="1">
        <f t="shared" si="38"/>
        <v>-0.36820137822106314</v>
      </c>
    </row>
    <row r="93" spans="1:52">
      <c r="D93" s="2">
        <v>2007</v>
      </c>
      <c r="E93" s="2">
        <v>4</v>
      </c>
      <c r="F93" s="4">
        <v>2.1610499999999999</v>
      </c>
      <c r="K93" s="85">
        <v>67.489999999999995</v>
      </c>
      <c r="L93" s="4">
        <v>2.8450000000000002</v>
      </c>
      <c r="M93" s="1">
        <v>2.7869999999999999</v>
      </c>
      <c r="N93" s="1">
        <v>2.9649999999999999</v>
      </c>
      <c r="O93" s="1">
        <v>3.2919999999999998</v>
      </c>
      <c r="P93" s="4">
        <f t="shared" si="24"/>
        <v>2.7953333333333332</v>
      </c>
      <c r="Q93" s="4">
        <f t="shared" si="25"/>
        <v>4.9004428553457897</v>
      </c>
      <c r="R93" s="4">
        <f t="shared" si="26"/>
        <v>4.1611091317263869</v>
      </c>
      <c r="S93" s="4">
        <v>0.2</v>
      </c>
      <c r="T93" s="4">
        <f t="shared" si="32"/>
        <v>0.1774959854959855</v>
      </c>
      <c r="U93" s="4">
        <v>0.184</v>
      </c>
      <c r="V93" s="4">
        <v>0.18</v>
      </c>
      <c r="W93" s="4">
        <v>1.4E-2</v>
      </c>
      <c r="X93" s="3">
        <v>7.2499999999999995E-2</v>
      </c>
      <c r="Y93" s="4">
        <f t="shared" si="33"/>
        <v>0.22253613053613053</v>
      </c>
      <c r="Z93" s="4">
        <v>0</v>
      </c>
      <c r="AB93" s="4">
        <v>0</v>
      </c>
      <c r="AC93" s="4">
        <f t="shared" si="27"/>
        <v>0.41653613053613053</v>
      </c>
      <c r="AD93" s="4">
        <f t="shared" si="34"/>
        <v>0.60053613053613053</v>
      </c>
      <c r="AE93" s="4">
        <v>0.1</v>
      </c>
      <c r="AF93" s="4">
        <f t="shared" si="35"/>
        <v>0.15762652162652158</v>
      </c>
      <c r="AG93" s="4">
        <f t="shared" si="28"/>
        <v>0.33904014504014501</v>
      </c>
      <c r="AL93">
        <v>206.68600000000001</v>
      </c>
      <c r="AM93" s="95">
        <f t="shared" si="29"/>
        <v>0.67177602048941898</v>
      </c>
      <c r="AN93" s="1">
        <f t="shared" si="30"/>
        <v>0.23464148290330991</v>
      </c>
      <c r="AO93" s="1"/>
      <c r="AP93" s="110"/>
      <c r="AQ93" s="1">
        <f t="shared" si="39"/>
        <v>-1.7905760641002598E-2</v>
      </c>
      <c r="AR93" s="15"/>
      <c r="AS93" s="7">
        <v>30</v>
      </c>
      <c r="AT93" s="15"/>
      <c r="AW93" s="4">
        <f t="shared" si="31"/>
        <v>4.7650428185750355</v>
      </c>
      <c r="AY93" s="4">
        <f>(O93-P93-AG93-(SpotGasPrices!K91-(SpotGasPrices!L91+SpotGasPrices!M91)/2))*($AL$279/AL93)</f>
        <v>-0.34586365325681068</v>
      </c>
      <c r="AZ93" s="1">
        <f t="shared" si="38"/>
        <v>-0.36820137822106314</v>
      </c>
    </row>
    <row r="94" spans="1:52">
      <c r="D94" s="2">
        <v>2007</v>
      </c>
      <c r="E94" s="2">
        <v>5</v>
      </c>
      <c r="F94" s="4">
        <v>2.1681819999999998</v>
      </c>
      <c r="K94" s="85">
        <v>67.209999999999994</v>
      </c>
      <c r="L94" s="4">
        <v>3.1459999999999999</v>
      </c>
      <c r="M94" s="1">
        <v>3.1190000000000002</v>
      </c>
      <c r="N94" s="1">
        <v>3.202</v>
      </c>
      <c r="O94" s="1">
        <v>3.4390000000000001</v>
      </c>
      <c r="P94" s="4">
        <f t="shared" si="24"/>
        <v>3.1134444444444442</v>
      </c>
      <c r="Q94" s="4">
        <f t="shared" si="25"/>
        <v>5.0881733934762847</v>
      </c>
      <c r="R94" s="4">
        <f t="shared" si="26"/>
        <v>4.6064975819391609</v>
      </c>
      <c r="S94" s="4">
        <v>0.2</v>
      </c>
      <c r="T94" s="4">
        <f t="shared" si="32"/>
        <v>0.17639186739186741</v>
      </c>
      <c r="U94" s="4">
        <v>0.184</v>
      </c>
      <c r="V94" s="4">
        <v>0.18</v>
      </c>
      <c r="W94" s="4">
        <v>1.4E-2</v>
      </c>
      <c r="X94" s="3">
        <v>7.2499999999999995E-2</v>
      </c>
      <c r="Y94" s="4">
        <f t="shared" si="33"/>
        <v>0.23247319347319348</v>
      </c>
      <c r="Z94" s="4">
        <v>0</v>
      </c>
      <c r="AB94" s="4">
        <v>0</v>
      </c>
      <c r="AC94" s="4">
        <f t="shared" si="27"/>
        <v>0.42647319347319346</v>
      </c>
      <c r="AD94" s="4">
        <f t="shared" si="34"/>
        <v>0.61047319347319351</v>
      </c>
      <c r="AE94" s="4">
        <v>0.1</v>
      </c>
      <c r="AF94" s="4">
        <f t="shared" si="35"/>
        <v>-2.4525770525770429E-2</v>
      </c>
      <c r="AG94" s="4">
        <f t="shared" si="28"/>
        <v>0.35008132608132625</v>
      </c>
      <c r="AL94">
        <v>207.94900000000001</v>
      </c>
      <c r="AM94" s="95">
        <f t="shared" si="29"/>
        <v>0.67588105476304239</v>
      </c>
      <c r="AN94" s="1">
        <f t="shared" si="30"/>
        <v>-3.6287110509953466E-2</v>
      </c>
      <c r="AO94" s="1"/>
      <c r="AP94" s="110"/>
      <c r="AQ94" s="1">
        <f t="shared" si="39"/>
        <v>-1.7905760641002598E-2</v>
      </c>
      <c r="AR94" s="15"/>
      <c r="AS94" s="7">
        <v>31</v>
      </c>
      <c r="AT94" s="15"/>
      <c r="AW94" s="4">
        <f t="shared" si="31"/>
        <v>4.9475863312639152</v>
      </c>
      <c r="AY94" s="4">
        <f>(O94-P94-AG94-(SpotGasPrices!K92-(SpotGasPrices!L92+SpotGasPrices!M92)/2))*($AL$279/AL94)</f>
        <v>-0.46077902719381103</v>
      </c>
      <c r="AZ94" s="1">
        <f t="shared" si="38"/>
        <v>-0.36820137822106314</v>
      </c>
    </row>
    <row r="95" spans="1:52">
      <c r="A95" s="2">
        <f>A83+1</f>
        <v>2007</v>
      </c>
      <c r="B95" s="2">
        <f>D95</f>
        <v>2007</v>
      </c>
      <c r="D95" s="2">
        <v>2007</v>
      </c>
      <c r="E95" s="2">
        <v>6</v>
      </c>
      <c r="F95" s="4">
        <v>2.1130119999999999</v>
      </c>
      <c r="K95" s="85">
        <v>71.05</v>
      </c>
      <c r="L95" s="4">
        <v>3.056</v>
      </c>
      <c r="M95" s="1">
        <v>3.024</v>
      </c>
      <c r="N95" s="1">
        <v>3.1219999999999999</v>
      </c>
      <c r="O95" s="1">
        <v>3.2810000000000001</v>
      </c>
      <c r="P95" s="4">
        <f t="shared" si="24"/>
        <v>3.0309999999999997</v>
      </c>
      <c r="Q95" s="4">
        <f t="shared" si="25"/>
        <v>4.8450149314621411</v>
      </c>
      <c r="R95" s="4">
        <f t="shared" si="26"/>
        <v>4.4758428092842877</v>
      </c>
      <c r="S95" s="4">
        <v>0.2</v>
      </c>
      <c r="T95" s="4">
        <f t="shared" si="32"/>
        <v>0.17757860657860661</v>
      </c>
      <c r="U95" s="4">
        <v>0.184</v>
      </c>
      <c r="V95" s="4">
        <v>0.18</v>
      </c>
      <c r="W95" s="4">
        <v>1.4E-2</v>
      </c>
      <c r="X95" s="3">
        <v>7.2499999999999995E-2</v>
      </c>
      <c r="Y95" s="4">
        <f t="shared" si="33"/>
        <v>0.22179254079254079</v>
      </c>
      <c r="Z95" s="4">
        <v>0</v>
      </c>
      <c r="AB95" s="4">
        <v>0</v>
      </c>
      <c r="AC95" s="4">
        <f t="shared" si="27"/>
        <v>0.4157925407925408</v>
      </c>
      <c r="AD95" s="4">
        <f t="shared" si="34"/>
        <v>0.59979254079254085</v>
      </c>
      <c r="AE95" s="4">
        <v>0.1</v>
      </c>
      <c r="AF95" s="4">
        <f t="shared" si="35"/>
        <v>-8.8213934213933864E-2</v>
      </c>
      <c r="AG95" s="4">
        <f t="shared" si="28"/>
        <v>0.33821393421393431</v>
      </c>
      <c r="AL95">
        <v>208.352</v>
      </c>
      <c r="AM95" s="95">
        <f t="shared" si="29"/>
        <v>0.67719089546951128</v>
      </c>
      <c r="AN95" s="1">
        <f t="shared" si="30"/>
        <v>-0.13026450119766186</v>
      </c>
      <c r="AO95" s="1"/>
      <c r="AP95" s="110"/>
      <c r="AQ95" s="1">
        <f t="shared" si="39"/>
        <v>-1.7905760641002598E-2</v>
      </c>
      <c r="AR95" s="15"/>
      <c r="AS95" s="7">
        <v>30</v>
      </c>
      <c r="AT95" s="15"/>
      <c r="AW95" s="4">
        <f t="shared" si="31"/>
        <v>4.711146377284595</v>
      </c>
      <c r="AY95" s="4">
        <f>(O95-P95-AG95-(SpotGasPrices!K93-(SpotGasPrices!L93+SpotGasPrices!M93)/2))*($AL$279/AL95)</f>
        <v>-0.38864044003879483</v>
      </c>
      <c r="AZ95" s="1">
        <f t="shared" si="38"/>
        <v>-0.36820137822106314</v>
      </c>
    </row>
    <row r="96" spans="1:52">
      <c r="D96" s="2">
        <v>2007</v>
      </c>
      <c r="E96" s="2">
        <v>7</v>
      </c>
      <c r="F96" s="4">
        <v>1.9680949999999999</v>
      </c>
      <c r="K96" s="85">
        <v>76.930000000000007</v>
      </c>
      <c r="L96" s="4">
        <v>2.9649999999999999</v>
      </c>
      <c r="M96" s="1">
        <v>2.9470000000000001</v>
      </c>
      <c r="N96" s="1">
        <v>3.0009999999999999</v>
      </c>
      <c r="O96" s="1">
        <v>3.1259999999999999</v>
      </c>
      <c r="P96" s="4">
        <f t="shared" si="24"/>
        <v>2.947111111111111</v>
      </c>
      <c r="Q96" s="4">
        <f t="shared" si="25"/>
        <v>4.6173027522935781</v>
      </c>
      <c r="R96" s="4">
        <f t="shared" si="26"/>
        <v>4.3530723751274207</v>
      </c>
      <c r="S96" s="4">
        <v>0.2</v>
      </c>
      <c r="T96" s="4">
        <f t="shared" si="32"/>
        <v>0.17874281274281276</v>
      </c>
      <c r="U96" s="4">
        <v>0.184</v>
      </c>
      <c r="V96" s="4">
        <v>0.18</v>
      </c>
      <c r="W96" s="4">
        <v>1.4E-2</v>
      </c>
      <c r="X96" s="3">
        <v>7.2499999999999995E-2</v>
      </c>
      <c r="Y96" s="4">
        <f t="shared" si="33"/>
        <v>0.21131468531468531</v>
      </c>
      <c r="Z96" s="4">
        <v>0</v>
      </c>
      <c r="AB96" s="4">
        <v>0</v>
      </c>
      <c r="AC96" s="4">
        <f t="shared" si="27"/>
        <v>0.40531468531468529</v>
      </c>
      <c r="AD96" s="4">
        <f t="shared" si="34"/>
        <v>0.58931468531468534</v>
      </c>
      <c r="AE96" s="4">
        <v>0.1</v>
      </c>
      <c r="AF96" s="4">
        <f t="shared" si="35"/>
        <v>-0.1476829836829836</v>
      </c>
      <c r="AG96" s="4">
        <f t="shared" si="28"/>
        <v>0.32657187257187248</v>
      </c>
      <c r="AL96">
        <v>208.29900000000001</v>
      </c>
      <c r="AM96" s="95">
        <f t="shared" si="29"/>
        <v>0.67701863354037273</v>
      </c>
      <c r="AN96" s="1">
        <f t="shared" si="30"/>
        <v>-0.21813725112807669</v>
      </c>
      <c r="AO96" s="1"/>
      <c r="AP96" s="110"/>
      <c r="AQ96" s="1">
        <f t="shared" si="39"/>
        <v>-1.7905760641002598E-2</v>
      </c>
      <c r="AR96" s="15"/>
      <c r="AS96" s="7">
        <v>31</v>
      </c>
      <c r="AT96" s="15"/>
      <c r="AW96" s="4">
        <f t="shared" si="31"/>
        <v>4.4897259228320827</v>
      </c>
      <c r="AY96" s="4">
        <f>(O96-P96-AG96-(SpotGasPrices!K94-(SpotGasPrices!L94+SpotGasPrices!M94)/2))*($AL$279/AL96)</f>
        <v>-0.46666783485918417</v>
      </c>
      <c r="AZ96" s="1">
        <f t="shared" si="38"/>
        <v>-0.36820137822106314</v>
      </c>
    </row>
    <row r="97" spans="1:52">
      <c r="D97" s="2">
        <v>2007</v>
      </c>
      <c r="E97" s="2">
        <v>8</v>
      </c>
      <c r="F97" s="4">
        <v>1.874522</v>
      </c>
      <c r="K97" s="85">
        <v>70.760000000000005</v>
      </c>
      <c r="L97" s="4">
        <v>2.786</v>
      </c>
      <c r="M97" s="1">
        <v>2.7770000000000001</v>
      </c>
      <c r="N97" s="1">
        <v>2.806</v>
      </c>
      <c r="O97" s="1">
        <v>2.899</v>
      </c>
      <c r="P97" s="4">
        <f t="shared" si="24"/>
        <v>2.7734444444444448</v>
      </c>
      <c r="Q97" s="4">
        <f t="shared" si="25"/>
        <v>4.2898763881741271</v>
      </c>
      <c r="R97" s="4">
        <f t="shared" si="26"/>
        <v>4.1040820407502352</v>
      </c>
      <c r="S97" s="4">
        <v>0.2</v>
      </c>
      <c r="T97" s="4">
        <f t="shared" si="32"/>
        <v>0.18044781144781147</v>
      </c>
      <c r="U97" s="4">
        <v>0.184</v>
      </c>
      <c r="V97" s="4">
        <v>0.18</v>
      </c>
      <c r="W97" s="4">
        <v>1.4E-2</v>
      </c>
      <c r="X97" s="3">
        <v>7.2499999999999995E-2</v>
      </c>
      <c r="Y97" s="4">
        <f t="shared" si="33"/>
        <v>0.19596969696969696</v>
      </c>
      <c r="Z97" s="4">
        <v>0</v>
      </c>
      <c r="AB97" s="4">
        <v>0</v>
      </c>
      <c r="AC97" s="4">
        <f t="shared" si="27"/>
        <v>0.38996969696969697</v>
      </c>
      <c r="AD97" s="4">
        <f t="shared" si="34"/>
        <v>0.57396969696969702</v>
      </c>
      <c r="AE97" s="4">
        <v>0.1</v>
      </c>
      <c r="AF97" s="4">
        <f t="shared" si="35"/>
        <v>-0.18396632996633011</v>
      </c>
      <c r="AG97" s="4">
        <f t="shared" si="28"/>
        <v>0.30952188552188531</v>
      </c>
      <c r="AL97">
        <v>207.917</v>
      </c>
      <c r="AM97" s="95">
        <f t="shared" si="29"/>
        <v>0.67577704756054358</v>
      </c>
      <c r="AN97" s="1">
        <f t="shared" si="30"/>
        <v>-0.27222932567837527</v>
      </c>
      <c r="AO97" s="1"/>
      <c r="AP97" s="110"/>
      <c r="AQ97" s="1">
        <f t="shared" si="39"/>
        <v>-1.7905760641002598E-2</v>
      </c>
      <c r="AR97" s="15"/>
      <c r="AS97" s="7">
        <v>31</v>
      </c>
      <c r="AT97" s="15"/>
      <c r="AW97" s="4">
        <f t="shared" si="31"/>
        <v>4.171346402651058</v>
      </c>
      <c r="AY97" s="4">
        <f>(O97-P97-AG97-(SpotGasPrices!K95-(SpotGasPrices!L95+SpotGasPrices!M95)/2))*($AL$279/AL97)</f>
        <v>-0.35541558374700472</v>
      </c>
      <c r="AZ97" s="1">
        <f t="shared" si="38"/>
        <v>-0.36820137822106314</v>
      </c>
    </row>
    <row r="98" spans="1:52">
      <c r="D98" s="2">
        <v>2007</v>
      </c>
      <c r="E98" s="2">
        <v>9</v>
      </c>
      <c r="F98" s="4">
        <v>1.5768420000000001</v>
      </c>
      <c r="K98" s="85">
        <v>77.17</v>
      </c>
      <c r="L98" s="4">
        <v>2.8029999999999999</v>
      </c>
      <c r="M98" s="1">
        <v>2.8170000000000002</v>
      </c>
      <c r="N98" s="1">
        <v>2.7759999999999998</v>
      </c>
      <c r="O98" s="1">
        <v>2.8740000000000001</v>
      </c>
      <c r="P98" s="4">
        <f t="shared" si="24"/>
        <v>2.7951111111111113</v>
      </c>
      <c r="Q98" s="4">
        <f t="shared" si="25"/>
        <v>4.2411936016115881</v>
      </c>
      <c r="R98" s="4">
        <f t="shared" si="26"/>
        <v>4.124776395350696</v>
      </c>
      <c r="S98" s="4">
        <v>0.2</v>
      </c>
      <c r="T98" s="4">
        <f t="shared" si="32"/>
        <v>0.18063558663558663</v>
      </c>
      <c r="U98" s="4">
        <v>0.184</v>
      </c>
      <c r="V98" s="4">
        <v>0.18</v>
      </c>
      <c r="W98" s="4">
        <v>1.4E-2</v>
      </c>
      <c r="X98" s="3">
        <v>7.2499999999999995E-2</v>
      </c>
      <c r="Y98" s="4">
        <f t="shared" si="33"/>
        <v>0.19427972027972029</v>
      </c>
      <c r="Z98" s="4">
        <v>0</v>
      </c>
      <c r="AB98" s="4">
        <v>0</v>
      </c>
      <c r="AC98" s="4">
        <f t="shared" si="27"/>
        <v>0.3882797202797203</v>
      </c>
      <c r="AD98" s="4">
        <f t="shared" si="34"/>
        <v>0.57227972027972029</v>
      </c>
      <c r="AE98" s="4">
        <v>0.1</v>
      </c>
      <c r="AF98" s="4">
        <f t="shared" si="35"/>
        <v>-0.228755244755245</v>
      </c>
      <c r="AG98" s="4">
        <f t="shared" si="28"/>
        <v>0.30764413364413379</v>
      </c>
      <c r="AL98">
        <v>208.49</v>
      </c>
      <c r="AM98" s="95">
        <f t="shared" si="29"/>
        <v>0.6776394265302873</v>
      </c>
      <c r="AN98" s="1">
        <f t="shared" si="30"/>
        <v>-0.33757664592590042</v>
      </c>
      <c r="AO98" s="1"/>
      <c r="AP98" s="110"/>
      <c r="AQ98" s="1">
        <f t="shared" si="39"/>
        <v>-1.7905760641002598E-2</v>
      </c>
      <c r="AR98" s="15"/>
      <c r="AS98" s="7">
        <v>30</v>
      </c>
      <c r="AT98" s="15"/>
      <c r="AW98" s="4">
        <f t="shared" si="31"/>
        <v>4.1240087294354648</v>
      </c>
      <c r="AY98" s="4">
        <f>(O98-P98-AG98-(SpotGasPrices!K96-(SpotGasPrices!L96+SpotGasPrices!M96)/2))*($AL$279/AL98)</f>
        <v>-0.47206113482661094</v>
      </c>
      <c r="AZ98" s="1">
        <f t="shared" si="38"/>
        <v>-0.36820137822106314</v>
      </c>
    </row>
    <row r="99" spans="1:52">
      <c r="D99" s="2">
        <v>2007</v>
      </c>
      <c r="E99" s="2">
        <v>10</v>
      </c>
      <c r="F99" s="4">
        <v>1.518227</v>
      </c>
      <c r="K99" s="85">
        <v>82.34</v>
      </c>
      <c r="L99" s="4">
        <v>2.8029999999999999</v>
      </c>
      <c r="M99" s="1">
        <v>2.7909999999999999</v>
      </c>
      <c r="N99" s="1">
        <v>2.8279999999999998</v>
      </c>
      <c r="O99" s="1">
        <v>3.0649999999999999</v>
      </c>
      <c r="P99" s="4">
        <f t="shared" si="24"/>
        <v>2.7738888888888891</v>
      </c>
      <c r="Q99" s="4">
        <f t="shared" si="25"/>
        <v>4.5133993902439027</v>
      </c>
      <c r="R99" s="4">
        <f t="shared" si="26"/>
        <v>4.0847205284552848</v>
      </c>
      <c r="S99" s="4">
        <v>0.2</v>
      </c>
      <c r="T99" s="4">
        <f t="shared" si="32"/>
        <v>0.17920098420098421</v>
      </c>
      <c r="U99" s="4">
        <v>0.184</v>
      </c>
      <c r="V99" s="4">
        <v>0.18</v>
      </c>
      <c r="W99" s="4">
        <v>1.4E-2</v>
      </c>
      <c r="X99" s="3">
        <v>7.2499999999999995E-2</v>
      </c>
      <c r="Y99" s="4">
        <f t="shared" si="33"/>
        <v>0.20719114219114218</v>
      </c>
      <c r="Z99" s="4">
        <v>0</v>
      </c>
      <c r="AB99" s="4">
        <v>0</v>
      </c>
      <c r="AC99" s="4">
        <f t="shared" si="27"/>
        <v>0.40119114219114216</v>
      </c>
      <c r="AD99" s="4">
        <f t="shared" si="34"/>
        <v>0.58519114219114221</v>
      </c>
      <c r="AE99" s="4">
        <v>0.1</v>
      </c>
      <c r="AF99" s="4">
        <f t="shared" si="35"/>
        <v>-3.0879046879047412E-2</v>
      </c>
      <c r="AG99" s="4">
        <f t="shared" si="28"/>
        <v>0.32199015799015829</v>
      </c>
      <c r="AL99">
        <v>208.93600000000001</v>
      </c>
      <c r="AM99" s="95">
        <f t="shared" si="29"/>
        <v>0.67908902691511386</v>
      </c>
      <c r="AN99" s="1">
        <f t="shared" si="30"/>
        <v>-4.5471279398109452E-2</v>
      </c>
      <c r="AO99" s="1"/>
      <c r="AP99" s="110"/>
      <c r="AQ99" s="1">
        <f t="shared" si="39"/>
        <v>-1.7905760641002598E-2</v>
      </c>
      <c r="AR99" s="15"/>
      <c r="AS99" s="7">
        <v>31</v>
      </c>
      <c r="AT99" s="15"/>
      <c r="AW99" s="4">
        <f t="shared" si="31"/>
        <v>4.3886934276524876</v>
      </c>
      <c r="AY99" s="4">
        <f>(O99-P99-AG99-(SpotGasPrices!K97-(SpotGasPrices!L97+SpotGasPrices!M97)/2))*($AL$279/AL99)</f>
        <v>-0.39920030305222032</v>
      </c>
      <c r="AZ99" s="1">
        <f t="shared" si="38"/>
        <v>-0.36820137822106314</v>
      </c>
    </row>
    <row r="100" spans="1:52">
      <c r="D100" s="2">
        <v>2007</v>
      </c>
      <c r="E100" s="2">
        <v>11</v>
      </c>
      <c r="F100" s="4">
        <v>1.707381</v>
      </c>
      <c r="K100" s="85">
        <v>92.41</v>
      </c>
      <c r="L100" s="4">
        <v>3.08</v>
      </c>
      <c r="M100" s="1">
        <v>3.0640000000000001</v>
      </c>
      <c r="N100" s="1">
        <v>3.1120000000000001</v>
      </c>
      <c r="O100" s="1">
        <v>3.3479999999999999</v>
      </c>
      <c r="P100" s="4">
        <f t="shared" si="24"/>
        <v>3.0502222222222222</v>
      </c>
      <c r="Q100" s="4">
        <f t="shared" si="25"/>
        <v>4.9010239369674133</v>
      </c>
      <c r="R100" s="4">
        <f t="shared" si="26"/>
        <v>4.465117121917876</v>
      </c>
      <c r="S100" s="4">
        <v>0.2</v>
      </c>
      <c r="T100" s="4">
        <f t="shared" si="32"/>
        <v>0.17707536907536908</v>
      </c>
      <c r="U100" s="4">
        <v>0.184</v>
      </c>
      <c r="V100" s="4">
        <v>0.18</v>
      </c>
      <c r="W100" s="4">
        <v>1.4E-2</v>
      </c>
      <c r="X100" s="3">
        <v>7.2499999999999995E-2</v>
      </c>
      <c r="Y100" s="4">
        <f t="shared" si="33"/>
        <v>0.22632167832167832</v>
      </c>
      <c r="Z100" s="4">
        <v>0</v>
      </c>
      <c r="AB100" s="4">
        <v>0</v>
      </c>
      <c r="AC100" s="4">
        <f t="shared" si="27"/>
        <v>0.42032167832167833</v>
      </c>
      <c r="AD100" s="4">
        <f t="shared" si="34"/>
        <v>0.60432167832167827</v>
      </c>
      <c r="AE100" s="4">
        <v>0.1</v>
      </c>
      <c r="AF100" s="4">
        <f t="shared" si="35"/>
        <v>-4.546853146853147E-2</v>
      </c>
      <c r="AG100" s="4">
        <f t="shared" si="28"/>
        <v>0.34324630924630917</v>
      </c>
      <c r="AL100">
        <v>210.17699999999999</v>
      </c>
      <c r="AM100" s="95">
        <f t="shared" si="29"/>
        <v>0.68312255623701945</v>
      </c>
      <c r="AN100" s="1">
        <f t="shared" si="30"/>
        <v>-6.6559845013748148E-2</v>
      </c>
      <c r="AO100" s="1"/>
      <c r="AP100" s="110"/>
      <c r="AQ100" s="1">
        <f t="shared" si="39"/>
        <v>-1.7905760641002598E-2</v>
      </c>
      <c r="AR100" s="15"/>
      <c r="AS100" s="7">
        <v>30</v>
      </c>
      <c r="AT100" s="15"/>
      <c r="AW100" s="4">
        <f t="shared" si="31"/>
        <v>4.765607844816512</v>
      </c>
      <c r="AY100" s="4">
        <f>(O100-P100-AG100-(SpotGasPrices!K98-(SpotGasPrices!L98+SpotGasPrices!M98)/2))*($AL$279/AL100)</f>
        <v>-0.30197013945388945</v>
      </c>
      <c r="AZ100" s="1">
        <f t="shared" si="38"/>
        <v>-0.36820137822106314</v>
      </c>
    </row>
    <row r="101" spans="1:52">
      <c r="B101" s="26" t="s">
        <v>33</v>
      </c>
      <c r="C101" s="29"/>
      <c r="D101" s="2">
        <v>2007</v>
      </c>
      <c r="E101" s="2">
        <v>12</v>
      </c>
      <c r="F101" s="4">
        <v>1.9495</v>
      </c>
      <c r="K101" s="85">
        <v>90.93</v>
      </c>
      <c r="L101" s="4">
        <v>3.0179999999999998</v>
      </c>
      <c r="M101" s="1">
        <v>2.984</v>
      </c>
      <c r="N101" s="1">
        <v>3.0920000000000001</v>
      </c>
      <c r="O101" s="1">
        <v>3.3069999999999999</v>
      </c>
      <c r="P101" s="4">
        <f t="shared" si="24"/>
        <v>2.9858888888888884</v>
      </c>
      <c r="Q101" s="4">
        <f t="shared" si="25"/>
        <v>4.8442552562417873</v>
      </c>
      <c r="R101" s="4">
        <f t="shared" si="26"/>
        <v>4.3738760037961733</v>
      </c>
      <c r="S101" s="4">
        <v>0.2</v>
      </c>
      <c r="T101" s="4">
        <f t="shared" si="32"/>
        <v>0.17738332038332039</v>
      </c>
      <c r="U101" s="4">
        <v>0.184</v>
      </c>
      <c r="V101" s="4">
        <v>0.18</v>
      </c>
      <c r="W101" s="4">
        <v>1.4E-2</v>
      </c>
      <c r="X101" s="3">
        <v>7.2499999999999995E-2</v>
      </c>
      <c r="Y101" s="4">
        <f t="shared" si="33"/>
        <v>0.22355011655011656</v>
      </c>
      <c r="Z101" s="4">
        <v>0</v>
      </c>
      <c r="AB101" s="4">
        <v>0</v>
      </c>
      <c r="AC101" s="4">
        <f t="shared" si="27"/>
        <v>0.41755011655011653</v>
      </c>
      <c r="AD101" s="4">
        <f t="shared" si="34"/>
        <v>0.60155011655011659</v>
      </c>
      <c r="AE101" s="4">
        <v>0.1</v>
      </c>
      <c r="AF101" s="4">
        <f t="shared" si="35"/>
        <v>-1.905568505568489E-2</v>
      </c>
      <c r="AG101" s="4">
        <f t="shared" si="28"/>
        <v>0.34016679616679646</v>
      </c>
      <c r="AL101">
        <v>210.036</v>
      </c>
      <c r="AM101" s="95">
        <f t="shared" si="29"/>
        <v>0.68266427450100919</v>
      </c>
      <c r="AN101" s="1">
        <f t="shared" si="30"/>
        <v>-2.7913698969546295E-2</v>
      </c>
      <c r="AO101" s="1"/>
      <c r="AP101" s="110"/>
      <c r="AQ101" s="1">
        <f t="shared" si="39"/>
        <v>-1.7905760641002598E-2</v>
      </c>
      <c r="AR101" s="15"/>
      <c r="AS101" s="7">
        <v>31</v>
      </c>
      <c r="AT101" s="15"/>
      <c r="AW101" s="4">
        <f t="shared" si="31"/>
        <v>4.7104076920147024</v>
      </c>
      <c r="AY101" s="4">
        <f>(O101-P101-AG101-(SpotGasPrices!K99-(SpotGasPrices!L99+SpotGasPrices!M99)/2))*($AL$279/AL101)</f>
        <v>-0.23631945387845302</v>
      </c>
      <c r="AZ101" s="1">
        <f t="shared" si="38"/>
        <v>-0.36820137822106314</v>
      </c>
    </row>
    <row r="102" spans="1:52">
      <c r="A102" s="33" t="s">
        <v>39</v>
      </c>
      <c r="B102" s="26" t="s">
        <v>33</v>
      </c>
      <c r="C102" s="29"/>
      <c r="D102" s="2">
        <v>2008</v>
      </c>
      <c r="E102" s="2">
        <v>1</v>
      </c>
      <c r="F102" s="4">
        <v>2.1832379999999998</v>
      </c>
      <c r="K102" s="85">
        <v>92.18</v>
      </c>
      <c r="L102" s="4">
        <v>3.0430000000000001</v>
      </c>
      <c r="M102" s="1">
        <v>3.0179999999999998</v>
      </c>
      <c r="N102" s="1">
        <v>3.0939999999999999</v>
      </c>
      <c r="O102" s="1">
        <v>3.2480000000000002</v>
      </c>
      <c r="P102" s="4">
        <f t="shared" si="24"/>
        <v>3.0202222222222219</v>
      </c>
      <c r="Q102" s="4">
        <f t="shared" si="25"/>
        <v>4.7342969869243889</v>
      </c>
      <c r="R102" s="4">
        <f t="shared" si="26"/>
        <v>4.4022872433832347</v>
      </c>
      <c r="S102" s="4">
        <v>0.2</v>
      </c>
      <c r="T102" s="4">
        <f t="shared" si="32"/>
        <v>0.17782646982646982</v>
      </c>
      <c r="U102" s="4">
        <v>0.184</v>
      </c>
      <c r="V102" s="4">
        <v>0.18</v>
      </c>
      <c r="W102" s="4">
        <v>1.4E-2</v>
      </c>
      <c r="X102" s="3">
        <v>7.2499999999999995E-2</v>
      </c>
      <c r="Y102" s="4">
        <f t="shared" si="33"/>
        <v>0.21956177156177159</v>
      </c>
      <c r="Z102" s="4">
        <v>0</v>
      </c>
      <c r="AB102" s="4">
        <v>0</v>
      </c>
      <c r="AC102" s="4">
        <f t="shared" si="27"/>
        <v>0.4135617715617716</v>
      </c>
      <c r="AD102" s="4">
        <f t="shared" si="34"/>
        <v>0.59756177156177159</v>
      </c>
      <c r="AE102" s="4">
        <v>0.1</v>
      </c>
      <c r="AF102" s="4">
        <f t="shared" si="35"/>
        <v>-0.10795752395752345</v>
      </c>
      <c r="AG102" s="4">
        <f t="shared" si="28"/>
        <v>0.33573530173530175</v>
      </c>
      <c r="AH102" s="13">
        <v>1234472901</v>
      </c>
      <c r="AI102" s="32">
        <f t="shared" ref="AI102:AI133" si="40">AH102/(1000000*AS102)</f>
        <v>39.821706483870969</v>
      </c>
      <c r="AJ102" s="32">
        <f>AVERAGE(AI102:AI113)</f>
        <v>41.085000080787296</v>
      </c>
      <c r="AK102" s="24">
        <f t="shared" ref="AK102:AK133" si="41">AF102*AH102</f>
        <v>-133270637.78462097</v>
      </c>
      <c r="AL102">
        <v>211.08</v>
      </c>
      <c r="AM102" s="95">
        <f t="shared" si="29"/>
        <v>0.68605750948253175</v>
      </c>
      <c r="AN102" s="1">
        <f t="shared" si="30"/>
        <v>-0.1573592919913549</v>
      </c>
      <c r="AO102" s="1"/>
      <c r="AP102" s="110"/>
      <c r="AQ102" s="1">
        <f>AVERAGE(AN102:AN113)</f>
        <v>-8.2386316606077856E-2</v>
      </c>
      <c r="AR102" s="15">
        <f>(AK102/AM102)/1000000</f>
        <v>-194.25578168387395</v>
      </c>
      <c r="AS102" s="7">
        <v>31</v>
      </c>
      <c r="AT102" s="1">
        <f>AR102/AS102</f>
        <v>-6.2663155381894819</v>
      </c>
      <c r="AU102" s="16">
        <f>AR102</f>
        <v>-194.25578168387395</v>
      </c>
      <c r="AV102" s="4">
        <f>AU102/1000</f>
        <v>-0.19425578168387395</v>
      </c>
      <c r="AW102" s="4">
        <f t="shared" si="31"/>
        <v>4.6034875876444943</v>
      </c>
      <c r="AY102" s="4">
        <f>(O102-P102-AG102-(SpotGasPrices!K100-(SpotGasPrices!L100+SpotGasPrices!M100)/2))*($AL$279/AL102)</f>
        <v>-0.15030140055727431</v>
      </c>
      <c r="AZ102" s="1">
        <f>AVERAGE($AY102:$AY113)</f>
        <v>-0.31210026936949264</v>
      </c>
    </row>
    <row r="103" spans="1:52">
      <c r="D103" s="2">
        <v>2008</v>
      </c>
      <c r="E103" s="2">
        <v>2</v>
      </c>
      <c r="F103" s="4">
        <v>2.1333500000000001</v>
      </c>
      <c r="K103" s="85">
        <v>94.99</v>
      </c>
      <c r="L103" s="4">
        <v>3.028</v>
      </c>
      <c r="M103" s="1">
        <v>3.016</v>
      </c>
      <c r="N103" s="1">
        <v>3.0510000000000002</v>
      </c>
      <c r="O103" s="1">
        <v>3.1840000000000002</v>
      </c>
      <c r="P103" s="4">
        <f t="shared" si="24"/>
        <v>3.0106666666666664</v>
      </c>
      <c r="Q103" s="4">
        <f t="shared" si="25"/>
        <v>4.6275713604134285</v>
      </c>
      <c r="R103" s="4">
        <f t="shared" si="26"/>
        <v>4.3756516464880733</v>
      </c>
      <c r="S103" s="4">
        <v>0.2</v>
      </c>
      <c r="T103" s="4">
        <f t="shared" si="32"/>
        <v>0.17830717430717433</v>
      </c>
      <c r="U103" s="4">
        <v>0.184</v>
      </c>
      <c r="V103" s="4">
        <v>0.18</v>
      </c>
      <c r="W103" s="4">
        <v>1.4E-2</v>
      </c>
      <c r="X103" s="3">
        <v>7.2499999999999995E-2</v>
      </c>
      <c r="Y103" s="4">
        <f t="shared" si="33"/>
        <v>0.21523543123543126</v>
      </c>
      <c r="Z103" s="4">
        <v>0</v>
      </c>
      <c r="AB103" s="4">
        <v>0</v>
      </c>
      <c r="AC103" s="4">
        <f t="shared" si="27"/>
        <v>0.40923543123543127</v>
      </c>
      <c r="AD103" s="4">
        <f t="shared" si="34"/>
        <v>0.59323543123543132</v>
      </c>
      <c r="AE103" s="4">
        <v>0.1</v>
      </c>
      <c r="AF103" s="4">
        <f t="shared" si="35"/>
        <v>-0.15759492359492322</v>
      </c>
      <c r="AG103" s="4">
        <f t="shared" si="28"/>
        <v>0.330928256928257</v>
      </c>
      <c r="AH103" s="13">
        <v>1282275797</v>
      </c>
      <c r="AI103" s="32">
        <f t="shared" si="40"/>
        <v>44.216406793103445</v>
      </c>
      <c r="AJ103" s="32">
        <f>AJ102</f>
        <v>41.085000080787296</v>
      </c>
      <c r="AK103" s="24">
        <f t="shared" si="41"/>
        <v>-202080156.25583428</v>
      </c>
      <c r="AL103">
        <v>211.69300000000001</v>
      </c>
      <c r="AM103" s="95">
        <f t="shared" si="29"/>
        <v>0.6880498974553988</v>
      </c>
      <c r="AN103" s="1">
        <f t="shared" si="30"/>
        <v>-0.2290457773160833</v>
      </c>
      <c r="AO103" s="1"/>
      <c r="AP103" s="110"/>
      <c r="AQ103" s="1">
        <f>AQ102</f>
        <v>-8.2386316606077856E-2</v>
      </c>
      <c r="AR103" s="15">
        <f t="shared" ref="AR103:AR166" si="42">(AK103/AM103)/1000000</f>
        <v>-293.6998566574652</v>
      </c>
      <c r="AS103" s="7">
        <v>29</v>
      </c>
      <c r="AT103" s="1">
        <f t="shared" ref="AT103:AT166" si="43">AR103/AS103</f>
        <v>-10.127581264050525</v>
      </c>
      <c r="AU103" s="16">
        <f>AU102+AR103</f>
        <v>-487.95563834133918</v>
      </c>
      <c r="AV103" s="4">
        <f t="shared" ref="AV103:AV166" si="44">AU103/1000</f>
        <v>-0.4879556383413392</v>
      </c>
      <c r="AW103" s="4">
        <f t="shared" si="31"/>
        <v>4.4997108076318071</v>
      </c>
      <c r="AY103" s="4">
        <f>(O103-P103-AG103-(SpotGasPrices!K101-(SpotGasPrices!L101+SpotGasPrices!M101)/2))*($AL$279/AL103)</f>
        <v>-0.52381870147038534</v>
      </c>
      <c r="AZ103" s="1">
        <f t="shared" ref="AZ103:AZ113" si="45">AZ102</f>
        <v>-0.31210026936949264</v>
      </c>
    </row>
    <row r="104" spans="1:52">
      <c r="D104" s="2">
        <v>2008</v>
      </c>
      <c r="E104" s="2">
        <v>3</v>
      </c>
      <c r="F104" s="4">
        <v>2.3125</v>
      </c>
      <c r="K104" s="85">
        <v>103.64</v>
      </c>
      <c r="L104" s="4">
        <v>3.2440000000000002</v>
      </c>
      <c r="M104" s="1">
        <v>3.2149999999999999</v>
      </c>
      <c r="N104" s="1">
        <v>3.3039999999999998</v>
      </c>
      <c r="O104" s="1">
        <v>3.5619999999999998</v>
      </c>
      <c r="P104" s="4">
        <f t="shared" si="24"/>
        <v>3.2086666666666668</v>
      </c>
      <c r="Q104" s="4">
        <f t="shared" si="25"/>
        <v>5.1324608575924469</v>
      </c>
      <c r="R104" s="4">
        <f t="shared" si="26"/>
        <v>4.6233453317597695</v>
      </c>
      <c r="S104" s="4">
        <v>0.2</v>
      </c>
      <c r="T104" s="4">
        <f t="shared" si="32"/>
        <v>0.17546801346801347</v>
      </c>
      <c r="U104" s="4">
        <v>0.184</v>
      </c>
      <c r="V104" s="4">
        <v>0.18</v>
      </c>
      <c r="W104" s="4">
        <v>1.4E-2</v>
      </c>
      <c r="X104" s="3">
        <v>7.2499999999999995E-2</v>
      </c>
      <c r="Y104" s="4">
        <f t="shared" si="33"/>
        <v>0.24078787878787877</v>
      </c>
      <c r="Z104" s="4">
        <v>0</v>
      </c>
      <c r="AB104" s="4">
        <v>0</v>
      </c>
      <c r="AC104" s="4">
        <f t="shared" si="27"/>
        <v>0.43478787878787878</v>
      </c>
      <c r="AD104" s="4">
        <f t="shared" si="34"/>
        <v>0.61878787878787878</v>
      </c>
      <c r="AE104" s="4">
        <v>0.1</v>
      </c>
      <c r="AF104" s="4">
        <f t="shared" si="35"/>
        <v>-5.9865319865326505E-3</v>
      </c>
      <c r="AG104" s="4">
        <f t="shared" si="28"/>
        <v>0.35931986531986571</v>
      </c>
      <c r="AH104" s="14">
        <v>1309507897</v>
      </c>
      <c r="AI104" s="32">
        <f t="shared" si="40"/>
        <v>42.242190225806453</v>
      </c>
      <c r="AJ104" s="32">
        <f t="shared" ref="AJ104:AJ113" si="46">AJ103</f>
        <v>41.085000080787296</v>
      </c>
      <c r="AK104" s="24">
        <f t="shared" si="41"/>
        <v>-7839410.9120076038</v>
      </c>
      <c r="AL104">
        <v>213.52799999999999</v>
      </c>
      <c r="AM104" s="95">
        <f t="shared" si="29"/>
        <v>0.69401406047368774</v>
      </c>
      <c r="AN104" s="1">
        <f t="shared" si="30"/>
        <v>-8.6259520195407034E-3</v>
      </c>
      <c r="AO104" s="1"/>
      <c r="AP104" s="110"/>
      <c r="AQ104" s="1">
        <f t="shared" ref="AQ104:AQ113" si="47">AQ103</f>
        <v>-8.2386316606077856E-2</v>
      </c>
      <c r="AR104" s="15">
        <f t="shared" si="42"/>
        <v>-11.29575228873165</v>
      </c>
      <c r="AS104" s="7">
        <v>31</v>
      </c>
      <c r="AT104" s="1">
        <f t="shared" si="43"/>
        <v>-0.36437910608811774</v>
      </c>
      <c r="AU104" s="16">
        <f t="shared" ref="AU104:AU167" si="48">AU103+AR104</f>
        <v>-499.25139063007083</v>
      </c>
      <c r="AV104" s="4">
        <f t="shared" si="44"/>
        <v>-0.49925139063007085</v>
      </c>
      <c r="AW104" s="4">
        <f t="shared" si="31"/>
        <v>4.9906501255104718</v>
      </c>
      <c r="AY104" s="4">
        <f>(O104-P104-AG104-(SpotGasPrices!K102-(SpotGasPrices!L102+SpotGasPrices!M102)/2))*($AL$279/AL104)</f>
        <v>-0.35726957762153239</v>
      </c>
      <c r="AZ104" s="1">
        <f t="shared" si="45"/>
        <v>-0.31210026936949264</v>
      </c>
    </row>
    <row r="105" spans="1:52">
      <c r="D105" s="2">
        <v>2008</v>
      </c>
      <c r="E105" s="2">
        <v>4</v>
      </c>
      <c r="F105" s="4">
        <v>2.4468640000000001</v>
      </c>
      <c r="K105" s="85">
        <v>109.07</v>
      </c>
      <c r="L105" s="4">
        <v>3.4580000000000002</v>
      </c>
      <c r="M105" s="1">
        <v>3.4209999999999998</v>
      </c>
      <c r="N105" s="1">
        <v>3.5369999999999999</v>
      </c>
      <c r="O105" s="1">
        <v>3.7989999999999999</v>
      </c>
      <c r="P105" s="4">
        <f t="shared" si="24"/>
        <v>3.4201111111111109</v>
      </c>
      <c r="Q105" s="4">
        <f t="shared" si="25"/>
        <v>5.4409543158786526</v>
      </c>
      <c r="R105" s="4">
        <f t="shared" si="26"/>
        <v>4.8983070046813726</v>
      </c>
      <c r="S105" s="4">
        <v>0.2</v>
      </c>
      <c r="T105" s="4">
        <f t="shared" si="32"/>
        <v>0.17368790468790471</v>
      </c>
      <c r="U105" s="4">
        <v>0.184</v>
      </c>
      <c r="V105" s="4">
        <v>0.18</v>
      </c>
      <c r="W105" s="4">
        <v>1.4E-2</v>
      </c>
      <c r="X105" s="3">
        <v>7.2499999999999995E-2</v>
      </c>
      <c r="Y105" s="4">
        <f t="shared" si="33"/>
        <v>0.25680885780885782</v>
      </c>
      <c r="Z105" s="4">
        <v>0</v>
      </c>
      <c r="AB105" s="4">
        <v>0</v>
      </c>
      <c r="AC105" s="4">
        <f t="shared" si="27"/>
        <v>0.45080885780885782</v>
      </c>
      <c r="AD105" s="4">
        <f t="shared" si="34"/>
        <v>0.63480885780885776</v>
      </c>
      <c r="AE105" s="4">
        <v>0.1</v>
      </c>
      <c r="AF105" s="4">
        <f t="shared" si="35"/>
        <v>1.7679357679361019E-3</v>
      </c>
      <c r="AG105" s="4">
        <f t="shared" si="28"/>
        <v>0.37712095312095295</v>
      </c>
      <c r="AH105" s="13">
        <v>1257478243</v>
      </c>
      <c r="AI105" s="32">
        <f t="shared" si="40"/>
        <v>41.91594143333333</v>
      </c>
      <c r="AJ105" s="32">
        <f t="shared" si="46"/>
        <v>41.085000080787296</v>
      </c>
      <c r="AK105" s="24">
        <f t="shared" si="41"/>
        <v>2223140.763201145</v>
      </c>
      <c r="AL105">
        <v>214.82300000000001</v>
      </c>
      <c r="AM105" s="95">
        <f t="shared" si="29"/>
        <v>0.69822310194981008</v>
      </c>
      <c r="AN105" s="1">
        <f t="shared" si="30"/>
        <v>2.532049946498598E-3</v>
      </c>
      <c r="AO105" s="1"/>
      <c r="AP105" s="110"/>
      <c r="AQ105" s="1">
        <f t="shared" si="47"/>
        <v>-8.2386316606077856E-2</v>
      </c>
      <c r="AR105" s="15">
        <f t="shared" si="42"/>
        <v>3.1839977179113013</v>
      </c>
      <c r="AS105" s="7">
        <v>30</v>
      </c>
      <c r="AT105" s="1">
        <f t="shared" si="43"/>
        <v>0.10613325726371005</v>
      </c>
      <c r="AU105" s="16">
        <f t="shared" si="48"/>
        <v>-496.06739291215951</v>
      </c>
      <c r="AV105" s="4">
        <f t="shared" si="44"/>
        <v>-0.49606739291215951</v>
      </c>
      <c r="AW105" s="4">
        <f t="shared" si="31"/>
        <v>5.2906198591398503</v>
      </c>
      <c r="AY105" s="4">
        <f>(O105-P105-AG105-(SpotGasPrices!K103-(SpotGasPrices!L103+SpotGasPrices!M103)/2))*($AL$279/AL105)</f>
        <v>-0.3984610676041479</v>
      </c>
      <c r="AZ105" s="1">
        <f t="shared" si="45"/>
        <v>-0.31210026936949264</v>
      </c>
    </row>
    <row r="106" spans="1:52">
      <c r="D106" s="2">
        <v>2008</v>
      </c>
      <c r="E106" s="2">
        <v>5</v>
      </c>
      <c r="F106" s="4">
        <v>2.4889999999999999</v>
      </c>
      <c r="K106" s="85">
        <v>122.8</v>
      </c>
      <c r="L106" s="4">
        <v>3.766</v>
      </c>
      <c r="M106" s="1">
        <v>3.7349999999999999</v>
      </c>
      <c r="N106" s="1">
        <v>3.83</v>
      </c>
      <c r="O106" s="1">
        <v>3.968</v>
      </c>
      <c r="P106" s="4">
        <f t="shared" si="24"/>
        <v>3.7435555555555555</v>
      </c>
      <c r="Q106" s="4">
        <f t="shared" si="25"/>
        <v>5.6355410465674503</v>
      </c>
      <c r="R106" s="4">
        <f t="shared" si="26"/>
        <v>5.3167744439110258</v>
      </c>
      <c r="S106" s="4">
        <v>0.2</v>
      </c>
      <c r="T106" s="4">
        <f t="shared" si="32"/>
        <v>0.17241854441854443</v>
      </c>
      <c r="U106" s="4">
        <v>0.184</v>
      </c>
      <c r="V106" s="4">
        <v>0.18</v>
      </c>
      <c r="W106" s="4">
        <v>1.4E-2</v>
      </c>
      <c r="X106" s="3">
        <v>7.2499999999999995E-2</v>
      </c>
      <c r="Y106" s="4">
        <f t="shared" si="33"/>
        <v>0.26823310023310021</v>
      </c>
      <c r="Z106" s="4">
        <v>0</v>
      </c>
      <c r="AB106" s="4">
        <v>0</v>
      </c>
      <c r="AC106" s="4">
        <f t="shared" si="27"/>
        <v>0.46223310023310021</v>
      </c>
      <c r="AD106" s="4">
        <f t="shared" si="34"/>
        <v>0.64623310023310021</v>
      </c>
      <c r="AE106" s="4">
        <v>0.1</v>
      </c>
      <c r="AF106" s="4">
        <f t="shared" si="35"/>
        <v>-0.16537011137011159</v>
      </c>
      <c r="AG106" s="4">
        <f t="shared" si="28"/>
        <v>0.38981455581455604</v>
      </c>
      <c r="AH106" s="13">
        <v>1283632210</v>
      </c>
      <c r="AI106" s="32">
        <f t="shared" si="40"/>
        <v>41.407490645161289</v>
      </c>
      <c r="AJ106" s="32">
        <f t="shared" si="46"/>
        <v>41.085000080787296</v>
      </c>
      <c r="AK106" s="24">
        <f t="shared" si="41"/>
        <v>-212274401.52596247</v>
      </c>
      <c r="AL106">
        <v>216.63200000000001</v>
      </c>
      <c r="AM106" s="95">
        <f t="shared" si="29"/>
        <v>0.70410275911606879</v>
      </c>
      <c r="AN106" s="1">
        <f t="shared" si="30"/>
        <v>-0.23486644417885449</v>
      </c>
      <c r="AO106" s="1"/>
      <c r="AP106" s="110"/>
      <c r="AQ106" s="1">
        <f t="shared" si="47"/>
        <v>-8.2386316606077856E-2</v>
      </c>
      <c r="AR106" s="15">
        <f t="shared" si="42"/>
        <v>-301.48213279614458</v>
      </c>
      <c r="AS106" s="7">
        <v>31</v>
      </c>
      <c r="AT106" s="1">
        <f t="shared" si="43"/>
        <v>-9.7252300901982132</v>
      </c>
      <c r="AU106" s="16">
        <f t="shared" si="48"/>
        <v>-797.54952570830415</v>
      </c>
      <c r="AV106" s="4">
        <f t="shared" si="44"/>
        <v>-0.79754952570830417</v>
      </c>
      <c r="AW106" s="4">
        <f t="shared" si="31"/>
        <v>5.4798301266664202</v>
      </c>
      <c r="AY106" s="4">
        <f>(O106-P106-AG106-(SpotGasPrices!K104-(SpotGasPrices!L104+SpotGasPrices!M104)/2))*($AL$279/AL106)</f>
        <v>-0.51431819689440927</v>
      </c>
      <c r="AZ106" s="1">
        <f t="shared" si="45"/>
        <v>-0.31210026936949264</v>
      </c>
    </row>
    <row r="107" spans="1:52">
      <c r="A107" s="2">
        <f>A95+1</f>
        <v>2008</v>
      </c>
      <c r="B107" s="2">
        <f>D107</f>
        <v>2008</v>
      </c>
      <c r="D107" s="2">
        <v>2008</v>
      </c>
      <c r="E107" s="2">
        <v>6</v>
      </c>
      <c r="F107" s="4">
        <v>2.5333809999999999</v>
      </c>
      <c r="K107" s="85">
        <v>132.32</v>
      </c>
      <c r="L107" s="4">
        <v>4.0540000000000003</v>
      </c>
      <c r="M107" s="1">
        <v>3.9889999999999999</v>
      </c>
      <c r="N107" s="1">
        <v>4.1900000000000004</v>
      </c>
      <c r="O107" s="1">
        <v>4.484</v>
      </c>
      <c r="P107" s="4">
        <f t="shared" si="24"/>
        <v>4.0062222222222221</v>
      </c>
      <c r="Q107" s="4">
        <f t="shared" si="25"/>
        <v>6.3048546214839014</v>
      </c>
      <c r="R107" s="4">
        <f t="shared" si="26"/>
        <v>5.6330617066166999</v>
      </c>
      <c r="S107" s="4">
        <v>0.2</v>
      </c>
      <c r="T107" s="4">
        <f t="shared" si="32"/>
        <v>0.16854286454286457</v>
      </c>
      <c r="U107" s="4">
        <v>0.184</v>
      </c>
      <c r="V107" s="4">
        <v>0.18</v>
      </c>
      <c r="W107" s="4">
        <v>1.4E-2</v>
      </c>
      <c r="X107" s="3">
        <v>7.2499999999999995E-2</v>
      </c>
      <c r="Y107" s="4">
        <f t="shared" si="33"/>
        <v>0.3031142191142191</v>
      </c>
      <c r="Z107" s="4">
        <v>0</v>
      </c>
      <c r="AB107" s="4">
        <v>0</v>
      </c>
      <c r="AC107" s="4">
        <f t="shared" si="27"/>
        <v>0.4971142191142191</v>
      </c>
      <c r="AD107" s="4">
        <f t="shared" si="34"/>
        <v>0.6811142191142191</v>
      </c>
      <c r="AE107" s="4">
        <v>0.1</v>
      </c>
      <c r="AF107" s="4">
        <f t="shared" si="35"/>
        <v>4.92064232064231E-2</v>
      </c>
      <c r="AG107" s="4">
        <f t="shared" si="28"/>
        <v>0.42857135457135476</v>
      </c>
      <c r="AH107" s="14">
        <v>1214526818</v>
      </c>
      <c r="AI107" s="32">
        <f t="shared" si="40"/>
        <v>40.484227266666664</v>
      </c>
      <c r="AJ107" s="32">
        <f t="shared" si="46"/>
        <v>41.085000080787296</v>
      </c>
      <c r="AK107" s="24">
        <f t="shared" si="41"/>
        <v>59762520.602058403</v>
      </c>
      <c r="AL107">
        <v>218.815</v>
      </c>
      <c r="AM107" s="95">
        <f t="shared" si="29"/>
        <v>0.71119800046153192</v>
      </c>
      <c r="AN107" s="1">
        <f t="shared" si="30"/>
        <v>6.9188078670764819E-2</v>
      </c>
      <c r="AO107" s="1"/>
      <c r="AP107" s="110"/>
      <c r="AQ107" s="1">
        <f t="shared" si="47"/>
        <v>-8.2386316606077856E-2</v>
      </c>
      <c r="AR107" s="15">
        <f t="shared" si="42"/>
        <v>84.030777031537653</v>
      </c>
      <c r="AS107" s="7">
        <v>30</v>
      </c>
      <c r="AT107" s="1">
        <f t="shared" si="43"/>
        <v>2.801025901051255</v>
      </c>
      <c r="AU107" s="16">
        <f t="shared" si="48"/>
        <v>-713.51874867676645</v>
      </c>
      <c r="AV107" s="4">
        <f t="shared" si="44"/>
        <v>-0.71351874867676646</v>
      </c>
      <c r="AW107" s="4">
        <f t="shared" si="31"/>
        <v>6.1306504581495789</v>
      </c>
      <c r="AY107" s="4">
        <f>(O107-P107-AG107-(SpotGasPrices!K105-(SpotGasPrices!L105+SpotGasPrices!M105)/2))*($AL$279/AL107)</f>
        <v>-0.4859299746699608</v>
      </c>
      <c r="AZ107" s="1">
        <f t="shared" si="45"/>
        <v>-0.31210026936949264</v>
      </c>
    </row>
    <row r="108" spans="1:52">
      <c r="D108" s="2">
        <v>2008</v>
      </c>
      <c r="E108" s="2">
        <v>7</v>
      </c>
      <c r="F108" s="4">
        <v>2.6785450000000002</v>
      </c>
      <c r="K108" s="85">
        <v>132.72</v>
      </c>
      <c r="L108" s="4">
        <v>4.0620000000000003</v>
      </c>
      <c r="M108" s="1">
        <v>4.0019999999999998</v>
      </c>
      <c r="N108" s="1">
        <v>4.1870000000000003</v>
      </c>
      <c r="O108" s="1">
        <v>4.4619999999999997</v>
      </c>
      <c r="P108" s="4">
        <f t="shared" si="24"/>
        <v>4.017555555555556</v>
      </c>
      <c r="Q108" s="4">
        <f t="shared" si="25"/>
        <v>6.2411485606735644</v>
      </c>
      <c r="R108" s="4">
        <f t="shared" si="26"/>
        <v>5.619489258848418</v>
      </c>
      <c r="S108" s="4">
        <v>0.2</v>
      </c>
      <c r="T108" s="4">
        <f t="shared" si="32"/>
        <v>0.16870810670810671</v>
      </c>
      <c r="U108" s="4">
        <v>0.184</v>
      </c>
      <c r="V108" s="4">
        <v>0.18</v>
      </c>
      <c r="W108" s="4">
        <v>1.4E-2</v>
      </c>
      <c r="X108" s="3">
        <v>7.2499999999999995E-2</v>
      </c>
      <c r="Y108" s="4">
        <f t="shared" si="33"/>
        <v>0.30162703962703963</v>
      </c>
      <c r="Z108" s="4">
        <v>0</v>
      </c>
      <c r="AB108" s="4">
        <v>0</v>
      </c>
      <c r="AC108" s="4">
        <f t="shared" si="27"/>
        <v>0.49562703962703963</v>
      </c>
      <c r="AD108" s="4">
        <f t="shared" si="34"/>
        <v>0.67962703962703963</v>
      </c>
      <c r="AE108" s="4">
        <v>0.1</v>
      </c>
      <c r="AF108" s="4">
        <f t="shared" si="35"/>
        <v>1.7525511525510851E-2</v>
      </c>
      <c r="AG108" s="4">
        <f t="shared" si="28"/>
        <v>0.4269189329189329</v>
      </c>
      <c r="AH108" s="13">
        <v>1257415374</v>
      </c>
      <c r="AI108" s="32">
        <f t="shared" si="40"/>
        <v>40.561786258064515</v>
      </c>
      <c r="AJ108" s="32">
        <f t="shared" si="46"/>
        <v>41.085000080787296</v>
      </c>
      <c r="AK108" s="24">
        <f t="shared" si="41"/>
        <v>22036847.629391536</v>
      </c>
      <c r="AL108">
        <v>219.964</v>
      </c>
      <c r="AM108" s="95">
        <f t="shared" si="29"/>
        <v>0.7149325090762535</v>
      </c>
      <c r="AN108" s="1">
        <f t="shared" si="30"/>
        <v>2.4513518832924703E-2</v>
      </c>
      <c r="AO108" s="1"/>
      <c r="AP108" s="110"/>
      <c r="AQ108" s="1">
        <f t="shared" si="47"/>
        <v>-8.2386316606077856E-2</v>
      </c>
      <c r="AR108" s="15">
        <f t="shared" si="42"/>
        <v>30.823675451358056</v>
      </c>
      <c r="AS108" s="7">
        <v>31</v>
      </c>
      <c r="AT108" s="1">
        <f t="shared" si="43"/>
        <v>0.99431211133413089</v>
      </c>
      <c r="AU108" s="16">
        <f t="shared" si="48"/>
        <v>-682.69507322540835</v>
      </c>
      <c r="AV108" s="4">
        <f t="shared" si="44"/>
        <v>-0.68269507322540834</v>
      </c>
      <c r="AW108" s="4">
        <f t="shared" si="31"/>
        <v>6.0687046062082883</v>
      </c>
      <c r="AY108" s="4">
        <f>(O108-P108-AG108-(SpotGasPrices!K106-(SpotGasPrices!L106+SpotGasPrices!M106)/2))*($AL$279/AL108)</f>
        <v>-0.15644734256178039</v>
      </c>
      <c r="AZ108" s="1">
        <f t="shared" si="45"/>
        <v>-0.31210026936949264</v>
      </c>
    </row>
    <row r="109" spans="1:52">
      <c r="D109" s="2">
        <v>2008</v>
      </c>
      <c r="E109" s="2">
        <v>8</v>
      </c>
      <c r="F109" s="4">
        <v>2.2704759999999999</v>
      </c>
      <c r="K109" s="85">
        <v>113.24</v>
      </c>
      <c r="L109" s="4">
        <v>3.7789999999999999</v>
      </c>
      <c r="M109" s="1">
        <v>3.74</v>
      </c>
      <c r="N109" s="1">
        <v>3.86</v>
      </c>
      <c r="O109" s="1">
        <v>4.0789999999999997</v>
      </c>
      <c r="P109" s="4">
        <f t="shared" si="24"/>
        <v>3.7456666666666663</v>
      </c>
      <c r="Q109" s="4">
        <f t="shared" si="25"/>
        <v>5.7282985174771541</v>
      </c>
      <c r="R109" s="4">
        <f t="shared" si="26"/>
        <v>5.2601855390120766</v>
      </c>
      <c r="S109" s="4">
        <v>0.2</v>
      </c>
      <c r="T109" s="4">
        <f t="shared" si="32"/>
        <v>0.1715848225848226</v>
      </c>
      <c r="U109" s="4">
        <v>0.184</v>
      </c>
      <c r="V109" s="4">
        <v>0.18</v>
      </c>
      <c r="W109" s="4">
        <v>1.4E-2</v>
      </c>
      <c r="X109" s="3">
        <v>7.2499999999999995E-2</v>
      </c>
      <c r="Y109" s="4">
        <f t="shared" si="33"/>
        <v>0.27573659673659673</v>
      </c>
      <c r="Z109" s="4">
        <v>0</v>
      </c>
      <c r="AB109" s="4">
        <v>0</v>
      </c>
      <c r="AC109" s="4">
        <f t="shared" si="27"/>
        <v>0.46973659673659673</v>
      </c>
      <c r="AD109" s="4">
        <f t="shared" si="34"/>
        <v>0.65373659673659668</v>
      </c>
      <c r="AE109" s="4">
        <v>0.1</v>
      </c>
      <c r="AF109" s="4">
        <f t="shared" si="35"/>
        <v>-6.4818440818440681E-2</v>
      </c>
      <c r="AG109" s="4">
        <f t="shared" si="28"/>
        <v>0.39815177415177416</v>
      </c>
      <c r="AH109" s="13">
        <v>1259535970</v>
      </c>
      <c r="AI109" s="32">
        <f t="shared" si="40"/>
        <v>40.630192580645158</v>
      </c>
      <c r="AJ109" s="32">
        <f t="shared" si="46"/>
        <v>41.085000080787296</v>
      </c>
      <c r="AK109" s="24">
        <f t="shared" si="41"/>
        <v>-81641157.73014228</v>
      </c>
      <c r="AL109">
        <v>219.08600000000001</v>
      </c>
      <c r="AM109" s="95">
        <f t="shared" si="29"/>
        <v>0.71207881145769347</v>
      </c>
      <c r="AN109" s="1">
        <f t="shared" si="30"/>
        <v>-9.1027060172947899E-2</v>
      </c>
      <c r="AO109" s="1"/>
      <c r="AP109" s="110"/>
      <c r="AQ109" s="1">
        <f t="shared" si="47"/>
        <v>-8.2386316606077856E-2</v>
      </c>
      <c r="AR109" s="15">
        <f t="shared" si="42"/>
        <v>-114.65185653118229</v>
      </c>
      <c r="AS109" s="7">
        <v>31</v>
      </c>
      <c r="AT109" s="1">
        <f t="shared" si="43"/>
        <v>-3.6984469848768482</v>
      </c>
      <c r="AU109" s="16">
        <f t="shared" si="48"/>
        <v>-797.34692975659061</v>
      </c>
      <c r="AV109" s="4">
        <f t="shared" si="44"/>
        <v>-0.79734692975659061</v>
      </c>
      <c r="AW109" s="4">
        <f t="shared" si="31"/>
        <v>5.5700246934993558</v>
      </c>
      <c r="AY109" s="4">
        <f>(O109-P109-AG109-(SpotGasPrices!K107-(SpotGasPrices!L107+SpotGasPrices!M107)/2))*($AL$279/AL109)</f>
        <v>-0.29900830352092428</v>
      </c>
      <c r="AZ109" s="1">
        <f t="shared" si="45"/>
        <v>-0.31210026936949264</v>
      </c>
    </row>
    <row r="110" spans="1:52">
      <c r="D110" s="2">
        <v>2008</v>
      </c>
      <c r="E110" s="2">
        <v>9</v>
      </c>
      <c r="F110" s="4">
        <v>2.1461429999999999</v>
      </c>
      <c r="K110" s="85">
        <v>97.23</v>
      </c>
      <c r="L110" s="4">
        <v>3.7029999999999998</v>
      </c>
      <c r="M110" s="1">
        <v>3.7090000000000001</v>
      </c>
      <c r="N110" s="1">
        <v>3.6869999999999998</v>
      </c>
      <c r="O110" s="1">
        <v>3.7930000000000001</v>
      </c>
      <c r="P110" s="4">
        <f t="shared" si="24"/>
        <v>3.6929999999999996</v>
      </c>
      <c r="Q110" s="4">
        <f t="shared" si="25"/>
        <v>5.3340346507726837</v>
      </c>
      <c r="R110" s="4">
        <f t="shared" si="26"/>
        <v>5.19340626556908</v>
      </c>
      <c r="S110" s="4">
        <v>0.2</v>
      </c>
      <c r="T110" s="4">
        <f t="shared" si="32"/>
        <v>0.17373297073297075</v>
      </c>
      <c r="U110" s="4">
        <v>0.184</v>
      </c>
      <c r="V110" s="4">
        <v>0.18</v>
      </c>
      <c r="W110" s="4">
        <v>1.4E-2</v>
      </c>
      <c r="X110" s="3">
        <v>7.2499999999999995E-2</v>
      </c>
      <c r="Y110" s="4">
        <f t="shared" si="33"/>
        <v>0.25640326340326342</v>
      </c>
      <c r="Z110" s="4">
        <v>0</v>
      </c>
      <c r="AB110" s="4">
        <v>0</v>
      </c>
      <c r="AC110" s="4">
        <f t="shared" si="27"/>
        <v>0.45040326340326342</v>
      </c>
      <c r="AD110" s="4">
        <f t="shared" si="34"/>
        <v>0.63440326340326347</v>
      </c>
      <c r="AE110" s="4">
        <v>0.1</v>
      </c>
      <c r="AF110" s="4">
        <f t="shared" si="35"/>
        <v>-0.27667029267029219</v>
      </c>
      <c r="AG110" s="4">
        <f t="shared" si="28"/>
        <v>0.37667029267029273</v>
      </c>
      <c r="AH110" s="14">
        <v>1218721221</v>
      </c>
      <c r="AI110" s="32">
        <f t="shared" si="40"/>
        <v>40.624040700000002</v>
      </c>
      <c r="AJ110" s="32">
        <f t="shared" si="46"/>
        <v>41.085000080787296</v>
      </c>
      <c r="AK110" s="24">
        <f t="shared" si="41"/>
        <v>-337183956.89756584</v>
      </c>
      <c r="AL110">
        <v>218.78299999999999</v>
      </c>
      <c r="AM110" s="95">
        <f t="shared" si="29"/>
        <v>0.71109399325903322</v>
      </c>
      <c r="AN110" s="1">
        <f t="shared" si="30"/>
        <v>-0.38907696492031585</v>
      </c>
      <c r="AO110" s="1"/>
      <c r="AP110" s="110"/>
      <c r="AQ110" s="1">
        <f t="shared" si="47"/>
        <v>-8.2386316606077856E-2</v>
      </c>
      <c r="AR110" s="15">
        <f t="shared" si="42"/>
        <v>-474.17635375066152</v>
      </c>
      <c r="AS110" s="7">
        <v>30</v>
      </c>
      <c r="AT110" s="1">
        <f t="shared" si="43"/>
        <v>-15.805878458355384</v>
      </c>
      <c r="AU110" s="16">
        <f t="shared" si="48"/>
        <v>-1271.523283507252</v>
      </c>
      <c r="AV110" s="4">
        <f t="shared" si="44"/>
        <v>-1.2715232835072521</v>
      </c>
      <c r="AW110" s="4">
        <f t="shared" si="31"/>
        <v>5.1866544018502356</v>
      </c>
      <c r="AY110" s="4">
        <f>(O110-P110-AG110-(SpotGasPrices!K108-(SpotGasPrices!L108+SpotGasPrices!M108)/2))*($AL$279/AL110)</f>
        <v>-0.23860560125448141</v>
      </c>
      <c r="AZ110" s="1">
        <f t="shared" si="45"/>
        <v>-0.31210026936949264</v>
      </c>
    </row>
    <row r="111" spans="1:52">
      <c r="D111" s="2">
        <v>2008</v>
      </c>
      <c r="E111" s="2">
        <v>10</v>
      </c>
      <c r="F111" s="4">
        <v>1.8895649999999999</v>
      </c>
      <c r="K111" s="85">
        <v>71.58</v>
      </c>
      <c r="L111" s="4">
        <v>3.0510000000000002</v>
      </c>
      <c r="M111" s="1">
        <v>3.01</v>
      </c>
      <c r="N111" s="1">
        <v>3.14</v>
      </c>
      <c r="O111" s="1">
        <v>3.3889999999999998</v>
      </c>
      <c r="P111" s="4">
        <f t="shared" si="24"/>
        <v>3.0134444444444446</v>
      </c>
      <c r="Q111" s="4">
        <f t="shared" si="25"/>
        <v>4.8145291379811885</v>
      </c>
      <c r="R111" s="4">
        <f t="shared" si="26"/>
        <v>4.2810020901343506</v>
      </c>
      <c r="S111" s="4">
        <v>0.2</v>
      </c>
      <c r="T111" s="4">
        <f t="shared" si="32"/>
        <v>0.17676741776741778</v>
      </c>
      <c r="U111" s="4">
        <v>0.184</v>
      </c>
      <c r="V111" s="4">
        <v>0.18</v>
      </c>
      <c r="W111" s="4">
        <v>1.4E-2</v>
      </c>
      <c r="X111" s="3">
        <v>7.2499999999999995E-2</v>
      </c>
      <c r="Y111" s="4">
        <f t="shared" si="33"/>
        <v>0.22909324009324009</v>
      </c>
      <c r="Z111" s="4">
        <v>0</v>
      </c>
      <c r="AB111" s="4">
        <v>0</v>
      </c>
      <c r="AC111" s="4">
        <f t="shared" si="27"/>
        <v>0.42309324009324012</v>
      </c>
      <c r="AD111" s="4">
        <f t="shared" si="34"/>
        <v>0.60709324009324006</v>
      </c>
      <c r="AE111" s="4">
        <v>0.1</v>
      </c>
      <c r="AF111" s="4">
        <f t="shared" si="35"/>
        <v>2.9229733229732879E-2</v>
      </c>
      <c r="AG111" s="4">
        <f t="shared" si="28"/>
        <v>0.34632582232582232</v>
      </c>
      <c r="AH111" s="13">
        <v>1251514350</v>
      </c>
      <c r="AI111" s="32">
        <f t="shared" si="40"/>
        <v>40.37143064516129</v>
      </c>
      <c r="AJ111" s="32">
        <f t="shared" si="46"/>
        <v>41.085000080787296</v>
      </c>
      <c r="AK111" s="24">
        <f t="shared" si="41"/>
        <v>36581430.583682545</v>
      </c>
      <c r="AL111">
        <v>216.57300000000001</v>
      </c>
      <c r="AM111" s="95">
        <f t="shared" si="29"/>
        <v>0.70391099583646177</v>
      </c>
      <c r="AN111" s="1">
        <f t="shared" si="30"/>
        <v>4.1524757252866903E-2</v>
      </c>
      <c r="AO111" s="1"/>
      <c r="AP111" s="110"/>
      <c r="AQ111" s="1">
        <f t="shared" si="47"/>
        <v>-8.2386316606077856E-2</v>
      </c>
      <c r="AR111" s="15">
        <f t="shared" si="42"/>
        <v>51.968829582229503</v>
      </c>
      <c r="AS111" s="7">
        <v>31</v>
      </c>
      <c r="AT111" s="1">
        <f t="shared" si="43"/>
        <v>1.6764138574912744</v>
      </c>
      <c r="AU111" s="16">
        <f t="shared" si="48"/>
        <v>-1219.5544539250225</v>
      </c>
      <c r="AV111" s="4">
        <f t="shared" si="44"/>
        <v>-1.2195544539250225</v>
      </c>
      <c r="AW111" s="4">
        <f t="shared" si="31"/>
        <v>4.6815029112585584</v>
      </c>
      <c r="AY111" s="4">
        <f>(O111-P111-AG111-(SpotGasPrices!K109-(SpotGasPrices!L109+SpotGasPrices!M109)/2))*($AL$279/AL111)</f>
        <v>-0.33406035258661443</v>
      </c>
      <c r="AZ111" s="1">
        <f t="shared" si="45"/>
        <v>-0.31210026936949264</v>
      </c>
    </row>
    <row r="112" spans="1:52">
      <c r="D112" s="2">
        <v>2008</v>
      </c>
      <c r="E112" s="2">
        <v>11</v>
      </c>
      <c r="F112" s="4">
        <v>1.6479999999999999</v>
      </c>
      <c r="K112" s="85">
        <v>52.45</v>
      </c>
      <c r="L112" s="4">
        <v>2.1469999999999998</v>
      </c>
      <c r="M112" s="1">
        <v>2.0990000000000002</v>
      </c>
      <c r="N112" s="1">
        <v>2.2480000000000002</v>
      </c>
      <c r="O112" s="1">
        <v>2.456</v>
      </c>
      <c r="P112" s="4">
        <f t="shared" si="24"/>
        <v>2.1126666666666662</v>
      </c>
      <c r="Q112" s="4">
        <f t="shared" si="25"/>
        <v>3.5572083135224193</v>
      </c>
      <c r="R112" s="4">
        <f t="shared" si="26"/>
        <v>3.0599329928209951</v>
      </c>
      <c r="S112" s="4">
        <v>0.2</v>
      </c>
      <c r="T112" s="4">
        <f t="shared" si="32"/>
        <v>0.18377518777518778</v>
      </c>
      <c r="U112" s="4">
        <v>0.184</v>
      </c>
      <c r="V112" s="4">
        <v>0.18</v>
      </c>
      <c r="W112" s="4">
        <v>1.4E-2</v>
      </c>
      <c r="X112" s="3">
        <v>7.2499999999999995E-2</v>
      </c>
      <c r="Y112" s="4">
        <f t="shared" si="33"/>
        <v>0.16602331002331003</v>
      </c>
      <c r="Z112" s="4">
        <v>0</v>
      </c>
      <c r="AB112" s="4">
        <v>0</v>
      </c>
      <c r="AC112" s="4">
        <f t="shared" si="27"/>
        <v>0.36002331002331001</v>
      </c>
      <c r="AD112" s="4">
        <f t="shared" si="34"/>
        <v>0.54402331002331006</v>
      </c>
      <c r="AE112" s="4">
        <v>0.1</v>
      </c>
      <c r="AF112" s="4">
        <f t="shared" si="35"/>
        <v>6.7085211085211371E-2</v>
      </c>
      <c r="AG112" s="4">
        <f t="shared" si="28"/>
        <v>0.27624812224812234</v>
      </c>
      <c r="AH112" s="13">
        <v>1197991322</v>
      </c>
      <c r="AI112" s="32">
        <f t="shared" si="40"/>
        <v>39.933044066666668</v>
      </c>
      <c r="AJ112" s="32">
        <f t="shared" si="46"/>
        <v>41.085000080787296</v>
      </c>
      <c r="AK112" s="24">
        <f t="shared" si="41"/>
        <v>80367500.714621425</v>
      </c>
      <c r="AL112">
        <v>212.42500000000001</v>
      </c>
      <c r="AM112" s="95">
        <f t="shared" si="29"/>
        <v>0.69042906221255829</v>
      </c>
      <c r="AN112" s="1">
        <f t="shared" si="30"/>
        <v>9.7164523854527785E-2</v>
      </c>
      <c r="AO112" s="1"/>
      <c r="AP112" s="110"/>
      <c r="AQ112" s="1">
        <f t="shared" si="47"/>
        <v>-8.2386316606077856E-2</v>
      </c>
      <c r="AR112" s="15">
        <f t="shared" si="42"/>
        <v>116.40225638398628</v>
      </c>
      <c r="AS112" s="7">
        <v>30</v>
      </c>
      <c r="AT112" s="1">
        <f t="shared" si="43"/>
        <v>3.8800752127995426</v>
      </c>
      <c r="AU112" s="16">
        <f t="shared" si="48"/>
        <v>-1103.1521975410362</v>
      </c>
      <c r="AV112" s="4">
        <f t="shared" si="44"/>
        <v>-1.1031521975410363</v>
      </c>
      <c r="AW112" s="4">
        <f t="shared" si="31"/>
        <v>3.4589220666117453</v>
      </c>
      <c r="AY112" s="4">
        <f>(O112-P112-AG112-(SpotGasPrices!K110-(SpotGasPrices!L110+SpotGasPrices!M110)/2))*($AL$279/AL112)</f>
        <v>5.9742986587859342E-2</v>
      </c>
      <c r="AZ112" s="1">
        <f t="shared" si="45"/>
        <v>-0.31210026936949264</v>
      </c>
    </row>
    <row r="113" spans="1:52">
      <c r="B113" s="26" t="s">
        <v>33</v>
      </c>
      <c r="C113" s="29"/>
      <c r="D113" s="2">
        <v>2008</v>
      </c>
      <c r="E113" s="2">
        <v>12</v>
      </c>
      <c r="F113" s="4">
        <v>1.4930680000000001</v>
      </c>
      <c r="K113" s="85">
        <v>39.950000000000003</v>
      </c>
      <c r="L113" s="4">
        <v>1.6870000000000001</v>
      </c>
      <c r="M113" s="1">
        <v>1.669</v>
      </c>
      <c r="N113" s="1">
        <v>1.726</v>
      </c>
      <c r="O113" s="1">
        <v>1.823</v>
      </c>
      <c r="P113" s="4">
        <f t="shared" si="24"/>
        <v>1.671888888888889</v>
      </c>
      <c r="Q113" s="4">
        <f t="shared" si="25"/>
        <v>2.6679806353102347</v>
      </c>
      <c r="R113" s="4">
        <f t="shared" si="26"/>
        <v>2.446827855154087</v>
      </c>
      <c r="S113" s="4">
        <v>0.2</v>
      </c>
      <c r="T113" s="4">
        <f t="shared" si="32"/>
        <v>0.18852965552965556</v>
      </c>
      <c r="U113" s="4">
        <v>0.184</v>
      </c>
      <c r="V113" s="4">
        <v>0.18</v>
      </c>
      <c r="W113" s="4">
        <v>1.4E-2</v>
      </c>
      <c r="X113" s="3">
        <v>7.2499999999999995E-2</v>
      </c>
      <c r="Y113" s="4">
        <f t="shared" si="33"/>
        <v>0.12323310023310023</v>
      </c>
      <c r="Z113" s="4">
        <v>0</v>
      </c>
      <c r="AB113" s="4">
        <v>0</v>
      </c>
      <c r="AC113" s="4">
        <f t="shared" si="27"/>
        <v>0.31723310023310025</v>
      </c>
      <c r="AD113" s="4">
        <f t="shared" si="34"/>
        <v>0.50123310023310019</v>
      </c>
      <c r="AE113" s="4">
        <v>0.1</v>
      </c>
      <c r="AF113" s="4">
        <f t="shared" si="35"/>
        <v>-7.7592333592333862E-2</v>
      </c>
      <c r="AG113" s="4">
        <f t="shared" si="28"/>
        <v>0.22870344470344484</v>
      </c>
      <c r="AH113" s="14">
        <v>1265157860</v>
      </c>
      <c r="AI113" s="32">
        <f t="shared" si="40"/>
        <v>40.811543870967739</v>
      </c>
      <c r="AJ113" s="32">
        <f t="shared" si="46"/>
        <v>41.085000080787296</v>
      </c>
      <c r="AK113" s="24">
        <f t="shared" si="41"/>
        <v>-98166550.720083222</v>
      </c>
      <c r="AL113">
        <v>210.22800000000001</v>
      </c>
      <c r="AM113" s="95">
        <f t="shared" si="29"/>
        <v>0.68328831771600185</v>
      </c>
      <c r="AN113" s="1">
        <f t="shared" si="30"/>
        <v>-0.11355723723141994</v>
      </c>
      <c r="AO113" s="1"/>
      <c r="AP113" s="110"/>
      <c r="AQ113" s="1">
        <f t="shared" si="47"/>
        <v>-8.2386316606077856E-2</v>
      </c>
      <c r="AR113" s="15">
        <f t="shared" si="42"/>
        <v>-143.6678312432156</v>
      </c>
      <c r="AS113" s="7">
        <v>31</v>
      </c>
      <c r="AT113" s="1">
        <f t="shared" si="43"/>
        <v>-4.6344461691359875</v>
      </c>
      <c r="AU113" s="16">
        <f t="shared" si="48"/>
        <v>-1246.8200287842519</v>
      </c>
      <c r="AV113" s="4">
        <f t="shared" si="44"/>
        <v>-1.2468200287842519</v>
      </c>
      <c r="AW113" s="4">
        <f t="shared" si="31"/>
        <v>2.5942638944384195</v>
      </c>
      <c r="AY113" s="4">
        <f>(O113-P113-AG113-(SpotGasPrices!K111-(SpotGasPrices!L111+SpotGasPrices!M111)/2))*($AL$279/AL113)</f>
        <v>-0.34672570028026051</v>
      </c>
      <c r="AZ113" s="1">
        <f t="shared" si="45"/>
        <v>-0.31210026936949264</v>
      </c>
    </row>
    <row r="114" spans="1:52">
      <c r="A114" s="33" t="s">
        <v>39</v>
      </c>
      <c r="B114" s="26" t="s">
        <v>33</v>
      </c>
      <c r="C114" s="29"/>
      <c r="D114" s="2">
        <v>2009</v>
      </c>
      <c r="E114" s="2">
        <v>1</v>
      </c>
      <c r="F114" s="4">
        <v>1.5137499999999999</v>
      </c>
      <c r="K114" s="85">
        <v>43.44</v>
      </c>
      <c r="L114" s="4">
        <v>1.788</v>
      </c>
      <c r="M114" s="1">
        <v>1.772</v>
      </c>
      <c r="N114" s="1">
        <v>1.8220000000000001</v>
      </c>
      <c r="O114" s="1">
        <v>2.0049999999999999</v>
      </c>
      <c r="P114" s="4">
        <f t="shared" si="24"/>
        <v>1.7638888888888888</v>
      </c>
      <c r="Q114" s="4">
        <f t="shared" si="25"/>
        <v>2.9216235205524215</v>
      </c>
      <c r="R114" s="4">
        <f t="shared" si="26"/>
        <v>2.5702839229021719</v>
      </c>
      <c r="S114" s="4">
        <v>0.2</v>
      </c>
      <c r="T114" s="4">
        <f t="shared" si="32"/>
        <v>0.18524377726456248</v>
      </c>
      <c r="U114" s="4">
        <v>0.184</v>
      </c>
      <c r="V114" s="4">
        <v>0.18</v>
      </c>
      <c r="W114" s="4">
        <v>1.4E-2</v>
      </c>
      <c r="X114" s="3">
        <v>8.2500000000000004E-2</v>
      </c>
      <c r="Y114" s="4">
        <f t="shared" si="33"/>
        <v>0.15280600461893765</v>
      </c>
      <c r="Z114" s="4">
        <v>0</v>
      </c>
      <c r="AB114" s="4">
        <v>0</v>
      </c>
      <c r="AC114" s="4">
        <f t="shared" si="27"/>
        <v>0.34680600461893762</v>
      </c>
      <c r="AD114" s="4">
        <f t="shared" si="34"/>
        <v>0.53080600461893768</v>
      </c>
      <c r="AE114" s="4">
        <v>0.1</v>
      </c>
      <c r="AF114" s="4">
        <f t="shared" si="35"/>
        <v>-2.0451116243264122E-2</v>
      </c>
      <c r="AG114" s="4">
        <f t="shared" si="28"/>
        <v>0.26156222735437518</v>
      </c>
      <c r="AH114" s="13">
        <v>1212487451</v>
      </c>
      <c r="AI114" s="32">
        <f t="shared" si="40"/>
        <v>39.112498419354836</v>
      </c>
      <c r="AJ114" s="32">
        <f>AVERAGE(AI114:AI125)</f>
        <v>40.574862902374555</v>
      </c>
      <c r="AK114" s="24">
        <f t="shared" si="41"/>
        <v>-24796721.803900011</v>
      </c>
      <c r="AL114">
        <v>211.143</v>
      </c>
      <c r="AM114" s="95">
        <f t="shared" si="29"/>
        <v>0.68626227366245118</v>
      </c>
      <c r="AN114" s="1">
        <f t="shared" si="30"/>
        <v>-2.9800729295696826E-2</v>
      </c>
      <c r="AO114" s="1"/>
      <c r="AP114" s="110"/>
      <c r="AQ114" s="1">
        <f>AVERAGE(AN114:AN125)</f>
        <v>6.7722757973514167E-2</v>
      </c>
      <c r="AR114" s="15">
        <f t="shared" si="42"/>
        <v>-36.133010301680471</v>
      </c>
      <c r="AS114" s="7">
        <v>31</v>
      </c>
      <c r="AT114" s="1">
        <f t="shared" si="43"/>
        <v>-1.1655809774735635</v>
      </c>
      <c r="AU114" s="16">
        <f t="shared" si="48"/>
        <v>-1282.9530390859325</v>
      </c>
      <c r="AV114" s="4">
        <f t="shared" si="44"/>
        <v>-1.2829530390859325</v>
      </c>
      <c r="AW114" s="4">
        <f t="shared" si="31"/>
        <v>2.8408985853189539</v>
      </c>
      <c r="AY114" s="4">
        <f>(O114-P114-AG114-(SpotGasPrices!K112-(SpotGasPrices!L112+SpotGasPrices!M112)/2))*($AL$279/AL114)</f>
        <v>-0.4664061704810849</v>
      </c>
      <c r="AZ114" s="1">
        <f>AVERAGE($AY114:$AY125)</f>
        <v>-0.20827150901309954</v>
      </c>
    </row>
    <row r="115" spans="1:52">
      <c r="D115" s="2">
        <v>2009</v>
      </c>
      <c r="E115" s="2">
        <v>2</v>
      </c>
      <c r="F115" s="4">
        <v>1.4880530000000001</v>
      </c>
      <c r="K115" s="85">
        <v>43.32</v>
      </c>
      <c r="L115" s="4">
        <v>1.923</v>
      </c>
      <c r="M115" s="1">
        <v>1.8919999999999999</v>
      </c>
      <c r="N115" s="1">
        <v>1.988</v>
      </c>
      <c r="O115" s="1">
        <v>2.2200000000000002</v>
      </c>
      <c r="P115" s="4">
        <f t="shared" si="24"/>
        <v>1.8900000000000001</v>
      </c>
      <c r="Q115" s="4">
        <f t="shared" si="25"/>
        <v>3.2189074097637529</v>
      </c>
      <c r="R115" s="4">
        <f t="shared" si="26"/>
        <v>2.740421173177249</v>
      </c>
      <c r="S115" s="4">
        <v>0.20200000000000001</v>
      </c>
      <c r="T115" s="4">
        <f t="shared" si="32"/>
        <v>0.18564536823197333</v>
      </c>
      <c r="U115" s="4">
        <v>0.184</v>
      </c>
      <c r="V115" s="4">
        <v>0.18</v>
      </c>
      <c r="W115" s="4">
        <v>1.4E-2</v>
      </c>
      <c r="X115" s="3">
        <v>8.2500000000000004E-2</v>
      </c>
      <c r="Y115" s="4">
        <f t="shared" si="33"/>
        <v>0.16919168591224021</v>
      </c>
      <c r="Z115" s="4">
        <v>0</v>
      </c>
      <c r="AB115" s="4">
        <v>0</v>
      </c>
      <c r="AC115" s="4">
        <f t="shared" si="27"/>
        <v>0.36319168591224021</v>
      </c>
      <c r="AD115" s="4">
        <f t="shared" si="34"/>
        <v>0.54719168591224021</v>
      </c>
      <c r="AE115" s="4">
        <v>0.1</v>
      </c>
      <c r="AF115" s="4">
        <f t="shared" si="35"/>
        <v>5.2453682319733241E-2</v>
      </c>
      <c r="AG115" s="4">
        <f t="shared" si="28"/>
        <v>0.27754631768026683</v>
      </c>
      <c r="AH115" s="13">
        <v>1121912239</v>
      </c>
      <c r="AI115" s="32">
        <f t="shared" si="40"/>
        <v>40.068294250000001</v>
      </c>
      <c r="AJ115" s="32">
        <f>AJ114</f>
        <v>40.574862902374555</v>
      </c>
      <c r="AK115" s="24">
        <f t="shared" si="41"/>
        <v>58848428.175126635</v>
      </c>
      <c r="AL115">
        <v>212.19300000000001</v>
      </c>
      <c r="AM115" s="95">
        <f t="shared" si="29"/>
        <v>0.6896750099944422</v>
      </c>
      <c r="AN115" s="1">
        <f t="shared" si="30"/>
        <v>7.605565166143391E-2</v>
      </c>
      <c r="AO115" s="1"/>
      <c r="AP115" s="110"/>
      <c r="AQ115" s="1">
        <f>AQ114</f>
        <v>6.7722757973514167E-2</v>
      </c>
      <c r="AR115" s="15">
        <f t="shared" si="42"/>
        <v>85.32776644408338</v>
      </c>
      <c r="AS115" s="7">
        <v>28</v>
      </c>
      <c r="AT115" s="1">
        <f t="shared" si="43"/>
        <v>3.0474202301458351</v>
      </c>
      <c r="AU115" s="16">
        <f t="shared" si="48"/>
        <v>-1197.6252726418491</v>
      </c>
      <c r="AV115" s="4">
        <f t="shared" si="44"/>
        <v>-1.197625272641849</v>
      </c>
      <c r="AW115" s="4">
        <f t="shared" si="31"/>
        <v>3.1299684720985139</v>
      </c>
      <c r="AY115" s="4">
        <f>(O115-P115-AG115-(SpotGasPrices!K113-(SpotGasPrices!L113+SpotGasPrices!M113)/2))*($AL$279/AL115)</f>
        <v>-0.4059477514551923</v>
      </c>
      <c r="AZ115" s="1">
        <f t="shared" ref="AZ115:AZ125" si="49">AZ114</f>
        <v>-0.20827150901309954</v>
      </c>
    </row>
    <row r="116" spans="1:52">
      <c r="D116" s="2">
        <v>2009</v>
      </c>
      <c r="E116" s="2">
        <v>3</v>
      </c>
      <c r="F116" s="4">
        <v>1.4584999999999999</v>
      </c>
      <c r="K116" s="85">
        <v>46.54</v>
      </c>
      <c r="L116" s="4">
        <v>1.9590000000000001</v>
      </c>
      <c r="M116" s="1">
        <v>1.9370000000000001</v>
      </c>
      <c r="N116" s="1">
        <v>2.0030000000000001</v>
      </c>
      <c r="O116" s="1">
        <v>2.19</v>
      </c>
      <c r="P116" s="4">
        <f t="shared" si="24"/>
        <v>1.9333333333333333</v>
      </c>
      <c r="Q116" s="4">
        <f t="shared" si="25"/>
        <v>3.1677055977885278</v>
      </c>
      <c r="R116" s="4">
        <f t="shared" si="26"/>
        <v>2.7964524303155955</v>
      </c>
      <c r="S116" s="4">
        <v>0.20200000000000001</v>
      </c>
      <c r="T116" s="4">
        <f t="shared" si="32"/>
        <v>0.18589940980241212</v>
      </c>
      <c r="U116" s="4">
        <v>0.184</v>
      </c>
      <c r="V116" s="4">
        <v>0.18</v>
      </c>
      <c r="W116" s="4">
        <v>1.4E-2</v>
      </c>
      <c r="X116" s="3">
        <v>8.2500000000000004E-2</v>
      </c>
      <c r="Y116" s="4">
        <f t="shared" si="33"/>
        <v>0.16690531177829102</v>
      </c>
      <c r="Z116" s="4">
        <v>0</v>
      </c>
      <c r="AB116" s="4">
        <v>0</v>
      </c>
      <c r="AC116" s="4">
        <f t="shared" si="27"/>
        <v>0.36090531177829099</v>
      </c>
      <c r="AD116" s="4">
        <f t="shared" si="34"/>
        <v>0.54490531177829105</v>
      </c>
      <c r="AE116" s="4">
        <v>0.1</v>
      </c>
      <c r="AF116" s="4">
        <f t="shared" si="35"/>
        <v>-1.8339235309212443E-2</v>
      </c>
      <c r="AG116" s="4">
        <f t="shared" si="28"/>
        <v>0.27500590197587904</v>
      </c>
      <c r="AH116" s="14">
        <v>1279318383</v>
      </c>
      <c r="AI116" s="32">
        <f t="shared" si="40"/>
        <v>41.268334935483871</v>
      </c>
      <c r="AJ116" s="32">
        <f t="shared" ref="AJ116:AJ125" si="50">AJ115</f>
        <v>40.574862902374555</v>
      </c>
      <c r="AK116" s="24">
        <f t="shared" si="41"/>
        <v>-23461720.861238167</v>
      </c>
      <c r="AL116">
        <v>212.709</v>
      </c>
      <c r="AM116" s="95">
        <f t="shared" si="29"/>
        <v>0.69135212613473485</v>
      </c>
      <c r="AN116" s="1">
        <f t="shared" si="30"/>
        <v>-2.65266202502983E-2</v>
      </c>
      <c r="AO116" s="1"/>
      <c r="AP116" s="110"/>
      <c r="AQ116" s="1">
        <f t="shared" ref="AQ116:AQ125" si="51">AQ115</f>
        <v>6.7722757973514167E-2</v>
      </c>
      <c r="AR116" s="15">
        <f t="shared" si="42"/>
        <v>-33.935992925066678</v>
      </c>
      <c r="AS116" s="7">
        <v>31</v>
      </c>
      <c r="AT116" s="1">
        <f t="shared" si="43"/>
        <v>-1.0947094491956992</v>
      </c>
      <c r="AU116" s="16">
        <f t="shared" si="48"/>
        <v>-1231.5612655669158</v>
      </c>
      <c r="AV116" s="4">
        <f t="shared" si="44"/>
        <v>-1.2315612655669159</v>
      </c>
      <c r="AW116" s="4">
        <f t="shared" si="31"/>
        <v>3.0801813745539683</v>
      </c>
      <c r="AY116" s="4">
        <f>(O116-P116-AG116-(SpotGasPrices!K114-(SpotGasPrices!L114+SpotGasPrices!M114)/2))*($AL$279/AL116)</f>
        <v>-0.28488466493175668</v>
      </c>
      <c r="AZ116" s="1">
        <f t="shared" si="49"/>
        <v>-0.20827150901309954</v>
      </c>
    </row>
    <row r="117" spans="1:52">
      <c r="D117" s="2">
        <v>2009</v>
      </c>
      <c r="E117" s="2">
        <v>4</v>
      </c>
      <c r="F117" s="4">
        <v>1.502143</v>
      </c>
      <c r="K117" s="85">
        <v>50.18</v>
      </c>
      <c r="L117" s="4">
        <v>2.0489999999999999</v>
      </c>
      <c r="M117" s="1">
        <v>2.0209999999999999</v>
      </c>
      <c r="N117" s="1">
        <v>2.109</v>
      </c>
      <c r="O117" s="1">
        <v>2.331</v>
      </c>
      <c r="P117" s="4">
        <f t="shared" si="24"/>
        <v>2.0176666666666665</v>
      </c>
      <c r="Q117" s="4">
        <f t="shared" si="25"/>
        <v>3.3632578362408552</v>
      </c>
      <c r="R117" s="4">
        <f t="shared" si="26"/>
        <v>2.9111682658037887</v>
      </c>
      <c r="S117" s="4">
        <v>0.20200000000000001</v>
      </c>
      <c r="T117" s="4">
        <f t="shared" si="32"/>
        <v>0.18470541442134977</v>
      </c>
      <c r="U117" s="4">
        <v>0.184</v>
      </c>
      <c r="V117" s="4">
        <v>0.18</v>
      </c>
      <c r="W117" s="4">
        <v>1.4E-2</v>
      </c>
      <c r="X117" s="3">
        <v>8.2500000000000004E-2</v>
      </c>
      <c r="Y117" s="4">
        <f t="shared" si="33"/>
        <v>0.17765127020785221</v>
      </c>
      <c r="Z117" s="4">
        <v>0</v>
      </c>
      <c r="AB117" s="4">
        <v>0</v>
      </c>
      <c r="AC117" s="4">
        <f t="shared" si="27"/>
        <v>0.37165127020785221</v>
      </c>
      <c r="AD117" s="4">
        <f t="shared" si="34"/>
        <v>0.55565127020785221</v>
      </c>
      <c r="AE117" s="4">
        <v>0.1</v>
      </c>
      <c r="AF117" s="4">
        <f t="shared" si="35"/>
        <v>2.6387477546830906E-2</v>
      </c>
      <c r="AG117" s="4">
        <f t="shared" si="28"/>
        <v>0.28694585578650256</v>
      </c>
      <c r="AH117" s="13">
        <v>1247536585</v>
      </c>
      <c r="AI117" s="32">
        <f t="shared" si="40"/>
        <v>41.584552833333333</v>
      </c>
      <c r="AJ117" s="32">
        <f t="shared" si="50"/>
        <v>40.574862902374555</v>
      </c>
      <c r="AK117" s="24">
        <f t="shared" si="41"/>
        <v>32919343.625537608</v>
      </c>
      <c r="AL117">
        <v>213.24</v>
      </c>
      <c r="AM117" s="95">
        <f t="shared" si="29"/>
        <v>0.69307799565119887</v>
      </c>
      <c r="AN117" s="1">
        <f t="shared" si="30"/>
        <v>3.8072883156588876E-2</v>
      </c>
      <c r="AO117" s="1"/>
      <c r="AP117" s="110"/>
      <c r="AQ117" s="1">
        <f t="shared" si="51"/>
        <v>6.7722757973514167E-2</v>
      </c>
      <c r="AR117" s="15">
        <f t="shared" si="42"/>
        <v>47.497314634274908</v>
      </c>
      <c r="AS117" s="7">
        <v>30</v>
      </c>
      <c r="AT117" s="1">
        <f t="shared" si="43"/>
        <v>1.5832438211424968</v>
      </c>
      <c r="AU117" s="16">
        <f t="shared" si="48"/>
        <v>-1184.0639509326409</v>
      </c>
      <c r="AV117" s="4">
        <f t="shared" si="44"/>
        <v>-1.1840639509326409</v>
      </c>
      <c r="AW117" s="4">
        <f t="shared" si="31"/>
        <v>3.2703304727068088</v>
      </c>
      <c r="AY117" s="4">
        <f>(O117-P117-AG117-(SpotGasPrices!K115-(SpotGasPrices!L115+SpotGasPrices!M115)/2))*($AL$279/AL117)</f>
        <v>-0.25800387845298184</v>
      </c>
      <c r="AZ117" s="1">
        <f t="shared" si="49"/>
        <v>-0.20827150901309954</v>
      </c>
    </row>
    <row r="118" spans="1:52">
      <c r="D118" s="2">
        <v>2009</v>
      </c>
      <c r="E118" s="2">
        <v>5</v>
      </c>
      <c r="F118" s="4">
        <v>1.5295000000000001</v>
      </c>
      <c r="K118" s="85">
        <v>57.3</v>
      </c>
      <c r="L118" s="4">
        <v>2.266</v>
      </c>
      <c r="M118" s="1">
        <v>2.2400000000000002</v>
      </c>
      <c r="N118" s="1">
        <v>2.319</v>
      </c>
      <c r="O118" s="1">
        <v>2.4849999999999999</v>
      </c>
      <c r="P118" s="4">
        <f t="shared" si="24"/>
        <v>2.2416666666666667</v>
      </c>
      <c r="Q118" s="4">
        <f t="shared" si="25"/>
        <v>3.5751273520499773</v>
      </c>
      <c r="R118" s="4">
        <f t="shared" si="26"/>
        <v>3.2250478125467605</v>
      </c>
      <c r="S118" s="4">
        <v>0.20200000000000001</v>
      </c>
      <c r="T118" s="4">
        <f t="shared" si="32"/>
        <v>0.18340133435976394</v>
      </c>
      <c r="U118" s="4">
        <v>0.184</v>
      </c>
      <c r="V118" s="4">
        <v>0.18</v>
      </c>
      <c r="W118" s="4">
        <v>1.4E-2</v>
      </c>
      <c r="X118" s="3">
        <v>8.2500000000000004E-2</v>
      </c>
      <c r="Y118" s="4">
        <f t="shared" si="33"/>
        <v>0.18938799076212473</v>
      </c>
      <c r="Z118" s="4">
        <v>0</v>
      </c>
      <c r="AB118" s="4">
        <v>0</v>
      </c>
      <c r="AC118" s="4">
        <f t="shared" si="27"/>
        <v>0.38338799076212471</v>
      </c>
      <c r="AD118" s="4">
        <f t="shared" si="34"/>
        <v>0.56738799076212476</v>
      </c>
      <c r="AE118" s="4">
        <v>0.1</v>
      </c>
      <c r="AF118" s="4">
        <f t="shared" si="35"/>
        <v>-5.6653323069027817E-2</v>
      </c>
      <c r="AG118" s="4">
        <f t="shared" si="28"/>
        <v>0.299986656402361</v>
      </c>
      <c r="AH118" s="13">
        <v>1291314554</v>
      </c>
      <c r="AI118" s="32">
        <f t="shared" si="40"/>
        <v>41.655308193548386</v>
      </c>
      <c r="AJ118" s="32">
        <f t="shared" si="50"/>
        <v>40.574862902374555</v>
      </c>
      <c r="AK118" s="24">
        <f t="shared" si="41"/>
        <v>-73157260.611499563</v>
      </c>
      <c r="AL118">
        <v>213.85599999999999</v>
      </c>
      <c r="AM118" s="95">
        <f t="shared" si="29"/>
        <v>0.69508013429930027</v>
      </c>
      <c r="AN118" s="1">
        <f t="shared" si="30"/>
        <v>-8.1506175005474982E-2</v>
      </c>
      <c r="AO118" s="1"/>
      <c r="AP118" s="110"/>
      <c r="AQ118" s="1">
        <f t="shared" si="51"/>
        <v>6.7722757973514167E-2</v>
      </c>
      <c r="AR118" s="15">
        <f t="shared" si="42"/>
        <v>-105.25011002544086</v>
      </c>
      <c r="AS118" s="7">
        <v>31</v>
      </c>
      <c r="AT118" s="1">
        <f t="shared" si="43"/>
        <v>-3.3951648395303504</v>
      </c>
      <c r="AU118" s="16">
        <f t="shared" si="48"/>
        <v>-1289.3140609580817</v>
      </c>
      <c r="AV118" s="4">
        <f t="shared" si="44"/>
        <v>-1.2893140609580818</v>
      </c>
      <c r="AW118" s="4">
        <f t="shared" si="31"/>
        <v>3.476345999177016</v>
      </c>
      <c r="AY118" s="4">
        <f>(O118-P118-AG118-(SpotGasPrices!K116-(SpotGasPrices!L116+SpotGasPrices!M116)/2))*($AL$279/AL118)</f>
        <v>-0.321419357485631</v>
      </c>
      <c r="AZ118" s="1">
        <f t="shared" si="49"/>
        <v>-0.20827150901309954</v>
      </c>
    </row>
    <row r="119" spans="1:52">
      <c r="A119" s="2">
        <f>A107+1</f>
        <v>2009</v>
      </c>
      <c r="B119" s="2">
        <f>D119</f>
        <v>2009</v>
      </c>
      <c r="D119" s="2">
        <v>2009</v>
      </c>
      <c r="E119" s="2">
        <v>6</v>
      </c>
      <c r="F119" s="4">
        <v>1.6739539999999999</v>
      </c>
      <c r="K119" s="85">
        <v>68.61</v>
      </c>
      <c r="L119" s="4">
        <v>2.6309999999999998</v>
      </c>
      <c r="M119" s="1">
        <v>2.597</v>
      </c>
      <c r="N119" s="1">
        <v>2.702</v>
      </c>
      <c r="O119" s="1">
        <v>2.923</v>
      </c>
      <c r="P119" s="4">
        <f t="shared" si="24"/>
        <v>2.5985555555555551</v>
      </c>
      <c r="Q119" s="4">
        <f t="shared" si="25"/>
        <v>4.1694553508922398</v>
      </c>
      <c r="R119" s="4">
        <f t="shared" si="26"/>
        <v>3.7066580108456608</v>
      </c>
      <c r="S119" s="4">
        <v>0.20200000000000001</v>
      </c>
      <c r="T119" s="4">
        <f t="shared" si="32"/>
        <v>0.17969232743135746</v>
      </c>
      <c r="U119" s="4">
        <v>0.184</v>
      </c>
      <c r="V119" s="4">
        <v>0.18</v>
      </c>
      <c r="W119" s="4">
        <v>1.4E-2</v>
      </c>
      <c r="X119" s="3">
        <v>8.2500000000000004E-2</v>
      </c>
      <c r="Y119" s="4">
        <f t="shared" si="33"/>
        <v>0.22276905311778294</v>
      </c>
      <c r="Z119" s="4">
        <v>0</v>
      </c>
      <c r="AB119" s="4">
        <v>0</v>
      </c>
      <c r="AC119" s="4">
        <f t="shared" si="27"/>
        <v>0.41676905311778295</v>
      </c>
      <c r="AD119" s="4">
        <f t="shared" si="34"/>
        <v>0.60076905311778295</v>
      </c>
      <c r="AE119" s="4">
        <v>0.1</v>
      </c>
      <c r="AF119" s="4">
        <f t="shared" si="35"/>
        <v>-1.2632281241980792E-2</v>
      </c>
      <c r="AG119" s="4">
        <f t="shared" si="28"/>
        <v>0.33707672568642577</v>
      </c>
      <c r="AH119" s="14">
        <v>1233792786</v>
      </c>
      <c r="AI119" s="32">
        <f t="shared" si="40"/>
        <v>41.126426199999997</v>
      </c>
      <c r="AJ119" s="32">
        <f t="shared" si="50"/>
        <v>40.574862902374555</v>
      </c>
      <c r="AK119" s="24">
        <f t="shared" si="41"/>
        <v>-15585617.467079021</v>
      </c>
      <c r="AL119">
        <v>215.69300000000001</v>
      </c>
      <c r="AM119" s="95">
        <f t="shared" si="29"/>
        <v>0.70105079776774548</v>
      </c>
      <c r="AN119" s="1">
        <f t="shared" si="30"/>
        <v>-1.8019066923829107E-2</v>
      </c>
      <c r="AO119" s="1"/>
      <c r="AP119" s="110"/>
      <c r="AQ119" s="1">
        <f t="shared" si="51"/>
        <v>6.7722757973514167E-2</v>
      </c>
      <c r="AR119" s="15">
        <f t="shared" si="42"/>
        <v>-22.231794781071567</v>
      </c>
      <c r="AS119" s="7">
        <v>30</v>
      </c>
      <c r="AT119" s="1">
        <f t="shared" si="43"/>
        <v>-0.74105982603571896</v>
      </c>
      <c r="AU119" s="16">
        <f t="shared" si="48"/>
        <v>-1311.5458557391532</v>
      </c>
      <c r="AV119" s="4">
        <f t="shared" si="44"/>
        <v>-1.3115458557391533</v>
      </c>
      <c r="AW119" s="4">
        <f t="shared" si="31"/>
        <v>4.0542526183047203</v>
      </c>
      <c r="AY119" s="4">
        <f>(O119-P119-AG119-(SpotGasPrices!K117-(SpotGasPrices!L117+SpotGasPrices!M117)/2))*($AL$279/AL119)</f>
        <v>-0.27651254976974299</v>
      </c>
      <c r="AZ119" s="1">
        <f t="shared" si="49"/>
        <v>-0.20827150901309954</v>
      </c>
    </row>
    <row r="120" spans="1:52">
      <c r="D120" s="2">
        <v>2009</v>
      </c>
      <c r="E120" s="2">
        <v>7</v>
      </c>
      <c r="F120" s="4">
        <v>1.5977269999999999</v>
      </c>
      <c r="K120" s="85">
        <v>64.44</v>
      </c>
      <c r="L120" s="4">
        <v>2.5270000000000001</v>
      </c>
      <c r="M120" s="1">
        <v>2.4780000000000002</v>
      </c>
      <c r="N120" s="1">
        <v>2.6280000000000001</v>
      </c>
      <c r="O120" s="1">
        <v>2.8730000000000002</v>
      </c>
      <c r="P120" s="4">
        <f t="shared" si="24"/>
        <v>2.4885555555555556</v>
      </c>
      <c r="Q120" s="4">
        <f t="shared" si="25"/>
        <v>4.1046421098578598</v>
      </c>
      <c r="R120" s="4">
        <f t="shared" si="26"/>
        <v>3.5553880703285956</v>
      </c>
      <c r="S120" s="4">
        <v>0.20200000000000001</v>
      </c>
      <c r="T120" s="4">
        <f t="shared" si="32"/>
        <v>0.18011573004875547</v>
      </c>
      <c r="U120" s="4">
        <v>0.184</v>
      </c>
      <c r="V120" s="4">
        <v>0.18</v>
      </c>
      <c r="W120" s="4">
        <v>1.4E-2</v>
      </c>
      <c r="X120" s="3">
        <v>8.2500000000000004E-2</v>
      </c>
      <c r="Y120" s="4">
        <f t="shared" si="33"/>
        <v>0.21895842956120096</v>
      </c>
      <c r="Z120" s="4">
        <v>0</v>
      </c>
      <c r="AB120" s="4">
        <v>0</v>
      </c>
      <c r="AC120" s="4">
        <f t="shared" si="27"/>
        <v>0.41295842956120099</v>
      </c>
      <c r="AD120" s="4">
        <f t="shared" si="34"/>
        <v>0.59695842956120093</v>
      </c>
      <c r="AE120" s="4">
        <v>0.1</v>
      </c>
      <c r="AF120" s="4">
        <f t="shared" si="35"/>
        <v>5.1601744931998983E-2</v>
      </c>
      <c r="AG120" s="4">
        <f t="shared" si="28"/>
        <v>0.33284269951244561</v>
      </c>
      <c r="AH120" s="13">
        <v>1284485838</v>
      </c>
      <c r="AI120" s="32">
        <f t="shared" si="40"/>
        <v>41.435027032258063</v>
      </c>
      <c r="AJ120" s="32">
        <f t="shared" si="50"/>
        <v>40.574862902374555</v>
      </c>
      <c r="AK120" s="24">
        <f t="shared" si="41"/>
        <v>66281710.581240967</v>
      </c>
      <c r="AL120">
        <v>215.351</v>
      </c>
      <c r="AM120" s="95">
        <f t="shared" si="29"/>
        <v>0.69993922079103976</v>
      </c>
      <c r="AN120" s="1">
        <f t="shared" si="30"/>
        <v>7.3723179669344746E-2</v>
      </c>
      <c r="AO120" s="1"/>
      <c r="AP120" s="110"/>
      <c r="AQ120" s="1">
        <f t="shared" si="51"/>
        <v>6.7722757973514167E-2</v>
      </c>
      <c r="AR120" s="15">
        <f t="shared" si="42"/>
        <v>94.696380217602851</v>
      </c>
      <c r="AS120" s="7">
        <v>31</v>
      </c>
      <c r="AT120" s="1">
        <f t="shared" si="43"/>
        <v>3.0547219425033179</v>
      </c>
      <c r="AU120" s="16">
        <f t="shared" si="48"/>
        <v>-1216.8494755215504</v>
      </c>
      <c r="AV120" s="4">
        <f t="shared" si="44"/>
        <v>-1.2168494755215504</v>
      </c>
      <c r="AW120" s="4">
        <f t="shared" si="31"/>
        <v>3.9912301777098786</v>
      </c>
      <c r="AY120" s="4">
        <f>(O120-P120-AG120-(SpotGasPrices!K118-(SpotGasPrices!L118+SpotGasPrices!M118)/2))*($AL$279/AL120)</f>
        <v>-0.18529417922055211</v>
      </c>
      <c r="AZ120" s="1">
        <f t="shared" si="49"/>
        <v>-0.20827150901309954</v>
      </c>
    </row>
    <row r="121" spans="1:52">
      <c r="D121" s="2">
        <v>2009</v>
      </c>
      <c r="E121" s="2">
        <v>8</v>
      </c>
      <c r="F121" s="4">
        <v>1.5376190000000001</v>
      </c>
      <c r="K121" s="85">
        <v>72.510000000000005</v>
      </c>
      <c r="L121" s="4">
        <v>2.6160000000000001</v>
      </c>
      <c r="M121" s="1">
        <v>2.5619999999999998</v>
      </c>
      <c r="N121" s="1">
        <v>2.73</v>
      </c>
      <c r="O121" s="1">
        <v>3.01</v>
      </c>
      <c r="P121" s="4">
        <f t="shared" si="24"/>
        <v>2.572222222222222</v>
      </c>
      <c r="Q121" s="4">
        <f t="shared" si="25"/>
        <v>4.290749881853646</v>
      </c>
      <c r="R121" s="4">
        <f t="shared" si="26"/>
        <v>3.6666984040203734</v>
      </c>
      <c r="S121" s="4">
        <v>0.20200000000000001</v>
      </c>
      <c r="T121" s="4">
        <f t="shared" si="32"/>
        <v>0.17895560687708498</v>
      </c>
      <c r="U121" s="4">
        <v>0.184</v>
      </c>
      <c r="V121" s="4">
        <v>0.18</v>
      </c>
      <c r="W121" s="4">
        <v>1.4E-2</v>
      </c>
      <c r="X121" s="3">
        <v>8.2500000000000004E-2</v>
      </c>
      <c r="Y121" s="4">
        <f t="shared" si="33"/>
        <v>0.22939953810623556</v>
      </c>
      <c r="Z121" s="4">
        <v>0</v>
      </c>
      <c r="AB121" s="4">
        <v>0</v>
      </c>
      <c r="AC121" s="4">
        <f t="shared" si="27"/>
        <v>0.42339953810623554</v>
      </c>
      <c r="AD121" s="4">
        <f t="shared" si="34"/>
        <v>0.60739953810623559</v>
      </c>
      <c r="AE121" s="4">
        <v>0.1</v>
      </c>
      <c r="AF121" s="4">
        <f t="shared" si="35"/>
        <v>9.3333846548627086E-2</v>
      </c>
      <c r="AG121" s="4">
        <f t="shared" si="28"/>
        <v>0.34444393122915073</v>
      </c>
      <c r="AH121" s="13">
        <v>1267878839</v>
      </c>
      <c r="AI121" s="32">
        <f t="shared" si="40"/>
        <v>40.899317387096772</v>
      </c>
      <c r="AJ121" s="32">
        <f t="shared" si="50"/>
        <v>40.574862902374555</v>
      </c>
      <c r="AK121" s="24">
        <f t="shared" si="41"/>
        <v>118336009.00147747</v>
      </c>
      <c r="AL121">
        <v>215.834</v>
      </c>
      <c r="AM121" s="95">
        <f t="shared" si="29"/>
        <v>0.70150907950375563</v>
      </c>
      <c r="AN121" s="1">
        <f t="shared" si="30"/>
        <v>0.13304723955198275</v>
      </c>
      <c r="AO121" s="1"/>
      <c r="AP121" s="110"/>
      <c r="AQ121" s="1">
        <f t="shared" si="51"/>
        <v>6.7722757973514167E-2</v>
      </c>
      <c r="AR121" s="15">
        <f t="shared" si="42"/>
        <v>168.68777961532277</v>
      </c>
      <c r="AS121" s="7">
        <v>31</v>
      </c>
      <c r="AT121" s="1">
        <f t="shared" si="43"/>
        <v>5.4415412779136378</v>
      </c>
      <c r="AU121" s="16">
        <f t="shared" si="48"/>
        <v>-1048.1616959062276</v>
      </c>
      <c r="AV121" s="4">
        <f t="shared" si="44"/>
        <v>-1.0481616959062277</v>
      </c>
      <c r="AW121" s="4">
        <f t="shared" si="31"/>
        <v>4.1721957615574929</v>
      </c>
      <c r="AY121" s="4">
        <f>(O121-P121-AG121-(SpotGasPrices!K119-(SpotGasPrices!L119+SpotGasPrices!M119)/2))*($AL$279/AL121)</f>
        <v>-0.15280188349542054</v>
      </c>
      <c r="AZ121" s="1">
        <f t="shared" si="49"/>
        <v>-0.20827150901309954</v>
      </c>
    </row>
    <row r="122" spans="1:52">
      <c r="D122" s="2">
        <v>2009</v>
      </c>
      <c r="E122" s="2">
        <v>9</v>
      </c>
      <c r="F122" s="4">
        <v>1.536667</v>
      </c>
      <c r="K122" s="85">
        <v>67.650000000000006</v>
      </c>
      <c r="L122" s="4">
        <v>2.5539999999999998</v>
      </c>
      <c r="M122" s="1">
        <v>2.48</v>
      </c>
      <c r="N122" s="1">
        <v>2.71</v>
      </c>
      <c r="O122" s="1">
        <v>3.1230000000000002</v>
      </c>
      <c r="P122" s="4">
        <f t="shared" si="24"/>
        <v>2.4907777777777773</v>
      </c>
      <c r="Q122" s="4">
        <f t="shared" si="25"/>
        <v>4.4490483958345877</v>
      </c>
      <c r="R122" s="4">
        <f t="shared" si="26"/>
        <v>3.5483800437408446</v>
      </c>
      <c r="S122" s="4">
        <v>0.20200000000000001</v>
      </c>
      <c r="T122" s="4">
        <f t="shared" si="32"/>
        <v>0.17799871696176547</v>
      </c>
      <c r="U122" s="4">
        <v>0.184</v>
      </c>
      <c r="V122" s="4">
        <v>0.18</v>
      </c>
      <c r="W122" s="4">
        <v>1.4E-2</v>
      </c>
      <c r="X122" s="3">
        <v>8.2500000000000004E-2</v>
      </c>
      <c r="Y122" s="4">
        <f t="shared" si="33"/>
        <v>0.2380115473441109</v>
      </c>
      <c r="Z122" s="4">
        <v>0</v>
      </c>
      <c r="AB122" s="4">
        <v>0</v>
      </c>
      <c r="AC122" s="4">
        <f t="shared" si="27"/>
        <v>0.4320115473441109</v>
      </c>
      <c r="AD122" s="4">
        <f t="shared" si="34"/>
        <v>0.6160115473441109</v>
      </c>
      <c r="AE122" s="4">
        <v>0.1</v>
      </c>
      <c r="AF122" s="4">
        <f t="shared" si="35"/>
        <v>0.27820939183987736</v>
      </c>
      <c r="AG122" s="4">
        <f t="shared" si="28"/>
        <v>0.35401283038234554</v>
      </c>
      <c r="AH122" s="14">
        <v>1219279786</v>
      </c>
      <c r="AI122" s="32">
        <f t="shared" si="40"/>
        <v>40.642659533333337</v>
      </c>
      <c r="AJ122" s="32">
        <f t="shared" si="50"/>
        <v>40.574862902374555</v>
      </c>
      <c r="AK122" s="24">
        <f t="shared" si="41"/>
        <v>339215087.7457158</v>
      </c>
      <c r="AL122">
        <v>215.96899999999999</v>
      </c>
      <c r="AM122" s="95">
        <f t="shared" si="29"/>
        <v>0.70194785988929731</v>
      </c>
      <c r="AN122" s="1">
        <f t="shared" si="30"/>
        <v>0.39633911254285065</v>
      </c>
      <c r="AO122" s="1"/>
      <c r="AP122" s="110"/>
      <c r="AQ122" s="1">
        <f t="shared" si="51"/>
        <v>6.7722757973514167E-2</v>
      </c>
      <c r="AR122" s="15">
        <f t="shared" si="42"/>
        <v>483.24826832467681</v>
      </c>
      <c r="AS122" s="7">
        <v>30</v>
      </c>
      <c r="AT122" s="1">
        <f t="shared" si="43"/>
        <v>16.10827561082256</v>
      </c>
      <c r="AU122" s="16">
        <f t="shared" si="48"/>
        <v>-564.91342758155076</v>
      </c>
      <c r="AV122" s="4">
        <f t="shared" si="44"/>
        <v>-0.56491342758155072</v>
      </c>
      <c r="AW122" s="4">
        <f t="shared" si="31"/>
        <v>4.3261204617329341</v>
      </c>
      <c r="AY122" s="4">
        <f>(O122-P122-AG122-(SpotGasPrices!K120-(SpotGasPrices!L120+SpotGasPrices!M120)/2))*($AL$279/AL122)</f>
        <v>-2.8688611416520182E-2</v>
      </c>
      <c r="AZ122" s="1">
        <f t="shared" si="49"/>
        <v>-0.20827150901309954</v>
      </c>
    </row>
    <row r="123" spans="1:52">
      <c r="D123" s="2">
        <v>2009</v>
      </c>
      <c r="E123" s="2">
        <v>10</v>
      </c>
      <c r="F123" s="4">
        <v>1.750909</v>
      </c>
      <c r="K123" s="85">
        <v>72.77</v>
      </c>
      <c r="L123" s="4">
        <v>2.5510000000000002</v>
      </c>
      <c r="M123" s="1">
        <v>2.5</v>
      </c>
      <c r="N123" s="1">
        <v>2.66</v>
      </c>
      <c r="O123" s="1">
        <v>3.0139999999999998</v>
      </c>
      <c r="P123" s="4">
        <f t="shared" si="24"/>
        <v>2.4995555555555558</v>
      </c>
      <c r="Q123" s="4">
        <f t="shared" si="25"/>
        <v>4.2896348547717844</v>
      </c>
      <c r="R123" s="4">
        <f t="shared" si="26"/>
        <v>3.5574587367450445</v>
      </c>
      <c r="S123" s="4">
        <v>0.20200000000000001</v>
      </c>
      <c r="T123" s="4">
        <f t="shared" si="32"/>
        <v>0.17892173466769309</v>
      </c>
      <c r="U123" s="4">
        <v>0.184</v>
      </c>
      <c r="V123" s="4">
        <v>0.18</v>
      </c>
      <c r="W123" s="4">
        <v>1.4E-2</v>
      </c>
      <c r="X123" s="3">
        <v>8.2500000000000004E-2</v>
      </c>
      <c r="Y123" s="4">
        <f t="shared" si="33"/>
        <v>0.22970438799076212</v>
      </c>
      <c r="Z123" s="4">
        <v>0</v>
      </c>
      <c r="AB123" s="4">
        <v>0</v>
      </c>
      <c r="AC123" s="4">
        <f t="shared" si="27"/>
        <v>0.42370438799076215</v>
      </c>
      <c r="AD123" s="4">
        <f t="shared" si="34"/>
        <v>0.6077043879907621</v>
      </c>
      <c r="AE123" s="4">
        <v>0.1</v>
      </c>
      <c r="AF123" s="4">
        <f t="shared" si="35"/>
        <v>0.16966179112137514</v>
      </c>
      <c r="AG123" s="4">
        <f t="shared" si="28"/>
        <v>0.3447826533230689</v>
      </c>
      <c r="AH123" s="13">
        <v>1245985450</v>
      </c>
      <c r="AI123" s="32">
        <f t="shared" si="40"/>
        <v>40.193079032258062</v>
      </c>
      <c r="AJ123" s="32">
        <f t="shared" si="50"/>
        <v>40.574862902374555</v>
      </c>
      <c r="AK123" s="24">
        <f t="shared" si="41"/>
        <v>211396123.15817261</v>
      </c>
      <c r="AL123">
        <v>216.17699999999999</v>
      </c>
      <c r="AM123" s="95">
        <f t="shared" si="29"/>
        <v>0.70262390670553931</v>
      </c>
      <c r="AN123" s="1">
        <f t="shared" si="30"/>
        <v>0.24146885624328496</v>
      </c>
      <c r="AO123" s="1"/>
      <c r="AP123" s="110"/>
      <c r="AQ123" s="1">
        <f t="shared" si="51"/>
        <v>6.7722757973514167E-2</v>
      </c>
      <c r="AR123" s="15">
        <f t="shared" si="42"/>
        <v>300.86668150727473</v>
      </c>
      <c r="AS123" s="7">
        <v>31</v>
      </c>
      <c r="AT123" s="1">
        <f t="shared" si="43"/>
        <v>9.7053768228153139</v>
      </c>
      <c r="AU123" s="16">
        <f t="shared" si="48"/>
        <v>-264.04674607427603</v>
      </c>
      <c r="AV123" s="4">
        <f t="shared" si="44"/>
        <v>-0.26404674607427603</v>
      </c>
      <c r="AW123" s="4">
        <f t="shared" si="31"/>
        <v>4.1711115428560852</v>
      </c>
      <c r="AY123" s="4">
        <f>(O123-P123-AG123-(SpotGasPrices!K121-(SpotGasPrices!L121+SpotGasPrices!M121)/2))*($AL$279/AL123)</f>
        <v>5.8122370537398819E-2</v>
      </c>
      <c r="AZ123" s="1">
        <f t="shared" si="49"/>
        <v>-0.20827150901309954</v>
      </c>
    </row>
    <row r="124" spans="1:52">
      <c r="D124" s="2">
        <v>2009</v>
      </c>
      <c r="E124" s="2">
        <v>11</v>
      </c>
      <c r="F124" s="4">
        <v>1.9850000000000001</v>
      </c>
      <c r="K124" s="85">
        <v>76.66</v>
      </c>
      <c r="L124" s="4">
        <v>2.6509999999999998</v>
      </c>
      <c r="M124" s="1">
        <v>2.6139999999999999</v>
      </c>
      <c r="N124" s="1">
        <v>2.73</v>
      </c>
      <c r="O124" s="1">
        <v>2.9580000000000002</v>
      </c>
      <c r="P124" s="4">
        <f t="shared" si="24"/>
        <v>2.6168888888888886</v>
      </c>
      <c r="Q124" s="4">
        <f t="shared" si="25"/>
        <v>4.206956122590487</v>
      </c>
      <c r="R124" s="4">
        <f t="shared" si="26"/>
        <v>3.7218176921061947</v>
      </c>
      <c r="S124" s="4">
        <v>0.20200000000000001</v>
      </c>
      <c r="T124" s="4">
        <f t="shared" si="32"/>
        <v>0.17939594559917887</v>
      </c>
      <c r="U124" s="4">
        <v>0.184</v>
      </c>
      <c r="V124" s="4">
        <v>0.18</v>
      </c>
      <c r="W124" s="4">
        <v>1.4E-2</v>
      </c>
      <c r="X124" s="3">
        <v>8.2500000000000004E-2</v>
      </c>
      <c r="Y124" s="4">
        <f t="shared" si="33"/>
        <v>0.22543648960739035</v>
      </c>
      <c r="Z124" s="4">
        <v>0</v>
      </c>
      <c r="AB124" s="4">
        <v>0</v>
      </c>
      <c r="AC124" s="4">
        <f t="shared" si="27"/>
        <v>0.41943648960739033</v>
      </c>
      <c r="AD124" s="4">
        <f t="shared" si="34"/>
        <v>0.60343648960739038</v>
      </c>
      <c r="AE124" s="4">
        <v>0.1</v>
      </c>
      <c r="AF124" s="4">
        <f t="shared" si="35"/>
        <v>1.0705671029000996E-3</v>
      </c>
      <c r="AG124" s="4">
        <f t="shared" si="28"/>
        <v>0.34004054400821149</v>
      </c>
      <c r="AH124" s="13">
        <v>1170268541</v>
      </c>
      <c r="AI124" s="32">
        <f t="shared" si="40"/>
        <v>39.008951366666665</v>
      </c>
      <c r="AJ124" s="32">
        <f t="shared" si="50"/>
        <v>40.574862902374555</v>
      </c>
      <c r="AK124" s="24">
        <f t="shared" si="41"/>
        <v>1252851.0015534963</v>
      </c>
      <c r="AL124">
        <v>216.33</v>
      </c>
      <c r="AM124" s="95">
        <f t="shared" si="29"/>
        <v>0.70312119114248672</v>
      </c>
      <c r="AN124" s="1">
        <f t="shared" si="30"/>
        <v>1.5225925720721884E-3</v>
      </c>
      <c r="AO124" s="1"/>
      <c r="AP124" s="110"/>
      <c r="AQ124" s="1">
        <f t="shared" si="51"/>
        <v>6.7722757973514167E-2</v>
      </c>
      <c r="AR124" s="15">
        <f t="shared" si="42"/>
        <v>1.7818421878563571</v>
      </c>
      <c r="AS124" s="7">
        <v>30</v>
      </c>
      <c r="AT124" s="1">
        <f t="shared" si="43"/>
        <v>5.9394739595211903E-2</v>
      </c>
      <c r="AU124" s="16">
        <f t="shared" si="48"/>
        <v>-262.26490388641969</v>
      </c>
      <c r="AV124" s="4">
        <f t="shared" si="44"/>
        <v>-0.26226490388641971</v>
      </c>
      <c r="AW124" s="4">
        <f t="shared" si="31"/>
        <v>4.0907172375537373</v>
      </c>
      <c r="AY124" s="4">
        <f>(O124-P124-AG124-(SpotGasPrices!K122-(SpotGasPrices!L122+SpotGasPrices!M122)/2))*($AL$279/AL124)</f>
        <v>-3.2275931015257206E-2</v>
      </c>
      <c r="AZ124" s="1">
        <f t="shared" si="49"/>
        <v>-0.20827150901309954</v>
      </c>
    </row>
    <row r="125" spans="1:52">
      <c r="B125" s="26" t="s">
        <v>33</v>
      </c>
      <c r="C125" s="29"/>
      <c r="D125" s="2">
        <v>2009</v>
      </c>
      <c r="E125" s="2">
        <v>12</v>
      </c>
      <c r="F125" s="4">
        <v>1.9722729999999999</v>
      </c>
      <c r="K125" s="85">
        <v>74.459999999999994</v>
      </c>
      <c r="L125" s="4">
        <v>2.6070000000000002</v>
      </c>
      <c r="M125" s="1">
        <v>2.5680000000000001</v>
      </c>
      <c r="N125" s="1">
        <v>2.69</v>
      </c>
      <c r="O125" s="1">
        <v>2.915</v>
      </c>
      <c r="P125" s="4">
        <f t="shared" si="24"/>
        <v>2.5727777777777781</v>
      </c>
      <c r="Q125" s="4">
        <f t="shared" si="25"/>
        <v>4.1531146937471339</v>
      </c>
      <c r="R125" s="4">
        <f t="shared" si="26"/>
        <v>3.6655372873533412</v>
      </c>
      <c r="S125" s="4">
        <v>0.20200000000000001</v>
      </c>
      <c r="T125" s="4">
        <f t="shared" si="32"/>
        <v>0.17976007185014112</v>
      </c>
      <c r="U125" s="4">
        <v>0.184</v>
      </c>
      <c r="V125" s="4">
        <v>0.18</v>
      </c>
      <c r="W125" s="4">
        <v>1.4E-2</v>
      </c>
      <c r="X125" s="3">
        <v>8.2500000000000004E-2</v>
      </c>
      <c r="Y125" s="4">
        <f t="shared" si="33"/>
        <v>0.22215935334872983</v>
      </c>
      <c r="Z125" s="4">
        <v>0</v>
      </c>
      <c r="AB125" s="4">
        <v>0</v>
      </c>
      <c r="AC125" s="4">
        <f t="shared" si="27"/>
        <v>0.41615935334872983</v>
      </c>
      <c r="AD125" s="4">
        <f t="shared" si="34"/>
        <v>0.60015935334872983</v>
      </c>
      <c r="AE125" s="4">
        <v>0.1</v>
      </c>
      <c r="AF125" s="4">
        <f t="shared" si="35"/>
        <v>5.8229407236334296E-3</v>
      </c>
      <c r="AG125" s="4">
        <f t="shared" si="28"/>
        <v>0.33639928149858855</v>
      </c>
      <c r="AH125" s="14">
        <v>1237021075</v>
      </c>
      <c r="AI125" s="32">
        <f t="shared" si="40"/>
        <v>39.903905645161288</v>
      </c>
      <c r="AJ125" s="32">
        <f t="shared" si="50"/>
        <v>40.574862902374555</v>
      </c>
      <c r="AK125" s="24">
        <f t="shared" si="41"/>
        <v>7203100.3936103033</v>
      </c>
      <c r="AL125">
        <v>215.94900000000001</v>
      </c>
      <c r="AM125" s="95">
        <f t="shared" si="29"/>
        <v>0.70188285538773565</v>
      </c>
      <c r="AN125" s="1">
        <f t="shared" si="30"/>
        <v>8.2961717599110019E-3</v>
      </c>
      <c r="AO125" s="1"/>
      <c r="AP125" s="110"/>
      <c r="AQ125" s="1">
        <f t="shared" si="51"/>
        <v>6.7722757973514167E-2</v>
      </c>
      <c r="AR125" s="15">
        <f t="shared" si="42"/>
        <v>10.26253930882975</v>
      </c>
      <c r="AS125" s="7">
        <v>31</v>
      </c>
      <c r="AT125" s="1">
        <f t="shared" si="43"/>
        <v>0.33104965512354029</v>
      </c>
      <c r="AU125" s="16">
        <f t="shared" si="48"/>
        <v>-252.00236457758993</v>
      </c>
      <c r="AV125" s="4">
        <f t="shared" si="44"/>
        <v>-0.25200236457758995</v>
      </c>
      <c r="AW125" s="4">
        <f t="shared" si="31"/>
        <v>4.0383634561864143</v>
      </c>
      <c r="AY125" s="4">
        <f>(O125-P125-AG125-(SpotGasPrices!K123-(SpotGasPrices!L123+SpotGasPrices!M123)/2))*($AL$279/AL125)</f>
        <v>-0.14514550097045359</v>
      </c>
      <c r="AZ125" s="1">
        <f t="shared" si="49"/>
        <v>-0.20827150901309954</v>
      </c>
    </row>
    <row r="126" spans="1:52">
      <c r="A126" s="33" t="s">
        <v>39</v>
      </c>
      <c r="B126" s="26" t="s">
        <v>33</v>
      </c>
      <c r="C126" s="29"/>
      <c r="D126" s="2">
        <v>2010</v>
      </c>
      <c r="E126" s="2">
        <v>1</v>
      </c>
      <c r="F126" s="4">
        <v>1.8363160000000001</v>
      </c>
      <c r="G126" s="4">
        <f>AVERAGE(H126:H137)</f>
        <v>0.62839046147449407</v>
      </c>
      <c r="H126" s="4">
        <f t="shared" ref="H126:H157" si="52">(O126-0.024*K126-AD126-AE126)/AM126</f>
        <v>0.67442771121884337</v>
      </c>
      <c r="I126" s="4">
        <f>AVERAGE(J126:J137)</f>
        <v>0.67036191110425802</v>
      </c>
      <c r="J126" s="4">
        <f t="shared" ref="J126:J157" si="53">(P126-K126*0.024-T126-U126)/AM126</f>
        <v>0.69325387193874699</v>
      </c>
      <c r="K126">
        <v>76.17</v>
      </c>
      <c r="L126" s="4">
        <v>2.7149999999999999</v>
      </c>
      <c r="M126" s="1">
        <v>2.6779999999999999</v>
      </c>
      <c r="N126" s="1">
        <v>2.7919999999999998</v>
      </c>
      <c r="O126" s="1">
        <v>3.0169999999999999</v>
      </c>
      <c r="P126" s="4">
        <f t="shared" si="24"/>
        <v>2.6814444444444443</v>
      </c>
      <c r="Q126" s="4">
        <f t="shared" si="25"/>
        <v>4.2837983220036264</v>
      </c>
      <c r="R126" s="4">
        <f t="shared" si="26"/>
        <v>3.8073474350868604</v>
      </c>
      <c r="S126" s="4">
        <v>0.20399999999999999</v>
      </c>
      <c r="T126" s="4">
        <f t="shared" si="32"/>
        <v>0.18111855273287145</v>
      </c>
      <c r="U126" s="4">
        <v>0.184</v>
      </c>
      <c r="V126" s="4">
        <v>0.18</v>
      </c>
      <c r="W126" s="4">
        <v>0.02</v>
      </c>
      <c r="X126" s="3">
        <v>8.2500000000000004E-2</v>
      </c>
      <c r="Y126" s="4">
        <f t="shared" si="33"/>
        <v>0.22993302540415705</v>
      </c>
      <c r="Z126" s="4">
        <v>0</v>
      </c>
      <c r="AB126" s="4">
        <v>0</v>
      </c>
      <c r="AC126" s="4">
        <f t="shared" si="27"/>
        <v>0.42993302540415701</v>
      </c>
      <c r="AD126" s="4">
        <f t="shared" si="34"/>
        <v>0.61393302540415706</v>
      </c>
      <c r="AE126" s="4">
        <v>0.1</v>
      </c>
      <c r="AF126" s="4">
        <f t="shared" si="35"/>
        <v>-1.3258917115730018E-2</v>
      </c>
      <c r="AG126" s="4">
        <f t="shared" si="28"/>
        <v>0.34881447267128562</v>
      </c>
      <c r="AH126" s="10">
        <v>1172751145</v>
      </c>
      <c r="AI126" s="32">
        <f t="shared" si="40"/>
        <v>37.830682096774197</v>
      </c>
      <c r="AJ126" s="32">
        <f>AVERAGE(AI126:AI137)</f>
        <v>40.739301280805172</v>
      </c>
      <c r="AK126" s="24">
        <f t="shared" si="41"/>
        <v>-15549410.228932476</v>
      </c>
      <c r="AL126">
        <v>216.68700000000001</v>
      </c>
      <c r="AM126" s="95">
        <f t="shared" si="29"/>
        <v>0.7042815214953636</v>
      </c>
      <c r="AN126" s="1">
        <f t="shared" si="30"/>
        <v>-1.8826160719903687E-2</v>
      </c>
      <c r="AO126" s="1"/>
      <c r="AP126" s="110"/>
      <c r="AQ126" s="1">
        <f>AVERAGE(AN126:AN137)</f>
        <v>-4.1971449629764256E-2</v>
      </c>
      <c r="AR126" s="15">
        <f t="shared" si="42"/>
        <v>-22.078401540221073</v>
      </c>
      <c r="AS126" s="7">
        <v>31</v>
      </c>
      <c r="AT126" s="1">
        <f t="shared" si="43"/>
        <v>-0.712206501297454</v>
      </c>
      <c r="AU126" s="16">
        <f t="shared" si="48"/>
        <v>-274.08076611781098</v>
      </c>
      <c r="AV126" s="4">
        <f t="shared" si="44"/>
        <v>-0.27408076611781096</v>
      </c>
      <c r="AW126" s="4">
        <f t="shared" si="31"/>
        <v>4.1654362744419364</v>
      </c>
      <c r="AY126" s="4">
        <f>(O126-P126-AG126-(SpotGasPrices!K124-(SpotGasPrices!L124+SpotGasPrices!M124)/2))*($AL$279/AL126)</f>
        <v>-5.9494461631260182E-2</v>
      </c>
      <c r="AZ126" s="1">
        <f>AVERAGE($AY126:$AY137)</f>
        <v>-0.22922379150917974</v>
      </c>
    </row>
    <row r="127" spans="1:52">
      <c r="D127" s="2">
        <v>2010</v>
      </c>
      <c r="E127" s="2">
        <v>2</v>
      </c>
      <c r="F127" s="4">
        <v>1.6884209999999999</v>
      </c>
      <c r="G127" s="4">
        <f>G126</f>
        <v>0.62839046147449407</v>
      </c>
      <c r="H127" s="4">
        <f t="shared" si="52"/>
        <v>0.66228918192532382</v>
      </c>
      <c r="I127" s="4">
        <f>I126</f>
        <v>0.67036191110425802</v>
      </c>
      <c r="J127" s="4">
        <f t="shared" si="53"/>
        <v>0.67403302170707735</v>
      </c>
      <c r="K127">
        <v>73.75</v>
      </c>
      <c r="L127" s="4">
        <v>2.6440000000000001</v>
      </c>
      <c r="M127" s="1">
        <v>2.6030000000000002</v>
      </c>
      <c r="N127" s="1">
        <v>2.7290000000000001</v>
      </c>
      <c r="O127" s="1">
        <v>2.9449999999999998</v>
      </c>
      <c r="P127" s="4">
        <f t="shared" si="24"/>
        <v>2.6105555555555555</v>
      </c>
      <c r="Q127" s="4">
        <f t="shared" si="25"/>
        <v>4.1805246584633267</v>
      </c>
      <c r="R127" s="4">
        <f t="shared" si="26"/>
        <v>3.7057697359213684</v>
      </c>
      <c r="S127" s="4">
        <v>0.20399999999999999</v>
      </c>
      <c r="T127" s="4">
        <f t="shared" si="32"/>
        <v>0.18172825250192454</v>
      </c>
      <c r="U127" s="4">
        <v>0.184</v>
      </c>
      <c r="V127" s="4">
        <v>0.18</v>
      </c>
      <c r="W127" s="4">
        <v>0.02</v>
      </c>
      <c r="X127" s="3">
        <v>8.2500000000000004E-2</v>
      </c>
      <c r="Y127" s="4">
        <f t="shared" si="33"/>
        <v>0.22444572748267899</v>
      </c>
      <c r="Z127" s="4">
        <v>0</v>
      </c>
      <c r="AB127" s="4">
        <v>0</v>
      </c>
      <c r="AC127" s="4">
        <f t="shared" si="27"/>
        <v>0.42444572748267895</v>
      </c>
      <c r="AD127" s="4">
        <f t="shared" si="34"/>
        <v>0.608445727482679</v>
      </c>
      <c r="AE127" s="4">
        <v>0.1</v>
      </c>
      <c r="AF127" s="4">
        <f t="shared" si="35"/>
        <v>-8.273030536310344E-3</v>
      </c>
      <c r="AG127" s="4">
        <f t="shared" si="28"/>
        <v>0.34271747498075467</v>
      </c>
      <c r="AH127" s="10">
        <v>1130899111</v>
      </c>
      <c r="AI127" s="32">
        <f t="shared" si="40"/>
        <v>40.389253964285714</v>
      </c>
      <c r="AJ127" s="32">
        <f>AJ126</f>
        <v>40.739301280805172</v>
      </c>
      <c r="AK127" s="24">
        <f t="shared" si="41"/>
        <v>-9355962.8787892219</v>
      </c>
      <c r="AL127">
        <v>216.74100000000001</v>
      </c>
      <c r="AM127" s="95">
        <f t="shared" si="29"/>
        <v>0.70445703364958034</v>
      </c>
      <c r="AN127" s="1">
        <f t="shared" si="30"/>
        <v>-1.174383978175398E-2</v>
      </c>
      <c r="AO127" s="1"/>
      <c r="AP127" s="110"/>
      <c r="AQ127" s="1">
        <f>AQ126</f>
        <v>-4.1971449629764256E-2</v>
      </c>
      <c r="AR127" s="15">
        <f t="shared" si="42"/>
        <v>-13.281097968912011</v>
      </c>
      <c r="AS127" s="7">
        <v>28</v>
      </c>
      <c r="AT127" s="1">
        <f t="shared" si="43"/>
        <v>-0.47432492746114324</v>
      </c>
      <c r="AU127" s="16">
        <f t="shared" si="48"/>
        <v>-287.36186408672302</v>
      </c>
      <c r="AV127" s="4">
        <f t="shared" si="44"/>
        <v>-0.28736186408672304</v>
      </c>
      <c r="AW127" s="4">
        <f t="shared" si="31"/>
        <v>4.0650160790990162</v>
      </c>
      <c r="AY127" s="4">
        <f>(O127-P127-AG127-(SpotGasPrices!K125-(SpotGasPrices!L125+SpotGasPrices!M125)/2))*($AL$279/AL127)</f>
        <v>-0.16055921296010844</v>
      </c>
      <c r="AZ127" s="1">
        <f t="shared" ref="AZ127:AZ137" si="54">AZ126</f>
        <v>-0.22922379150917974</v>
      </c>
    </row>
    <row r="128" spans="1:52">
      <c r="D128" s="2">
        <v>2010</v>
      </c>
      <c r="E128" s="2">
        <v>3</v>
      </c>
      <c r="F128" s="4">
        <v>1.518696</v>
      </c>
      <c r="G128" s="4">
        <f t="shared" ref="G128:I137" si="55">G127</f>
        <v>0.62839046147449407</v>
      </c>
      <c r="H128" s="4">
        <f t="shared" si="52"/>
        <v>0.63348928292686169</v>
      </c>
      <c r="I128" s="4">
        <f t="shared" si="55"/>
        <v>0.67036191110425802</v>
      </c>
      <c r="J128" s="4">
        <f t="shared" si="53"/>
        <v>0.68372613923330128</v>
      </c>
      <c r="K128">
        <v>78.83</v>
      </c>
      <c r="L128" s="4">
        <v>2.7719999999999998</v>
      </c>
      <c r="M128" s="1">
        <v>2.742</v>
      </c>
      <c r="N128" s="1">
        <v>2.8340000000000001</v>
      </c>
      <c r="O128" s="1">
        <v>3.0569999999999999</v>
      </c>
      <c r="P128" s="4">
        <f t="shared" si="24"/>
        <v>2.7403333333333331</v>
      </c>
      <c r="Q128" s="4">
        <f t="shared" si="25"/>
        <v>4.3217659570557503</v>
      </c>
      <c r="R128" s="4">
        <f t="shared" si="26"/>
        <v>3.8740854795502471</v>
      </c>
      <c r="S128" s="4">
        <v>0.20399999999999999</v>
      </c>
      <c r="T128" s="4">
        <f t="shared" si="32"/>
        <v>0.18077983063895303</v>
      </c>
      <c r="U128" s="4">
        <v>0.184</v>
      </c>
      <c r="V128" s="4">
        <v>0.18</v>
      </c>
      <c r="W128" s="4">
        <v>0.02</v>
      </c>
      <c r="X128" s="3">
        <v>8.2500000000000004E-2</v>
      </c>
      <c r="Y128" s="4">
        <f t="shared" si="33"/>
        <v>0.23298152424942264</v>
      </c>
      <c r="Z128" s="4">
        <v>0</v>
      </c>
      <c r="AB128" s="4">
        <v>0</v>
      </c>
      <c r="AC128" s="4">
        <f t="shared" si="27"/>
        <v>0.4329815242494226</v>
      </c>
      <c r="AD128" s="4">
        <f t="shared" si="34"/>
        <v>0.61698152424942265</v>
      </c>
      <c r="AE128" s="4">
        <v>0.1</v>
      </c>
      <c r="AF128" s="4">
        <f t="shared" si="35"/>
        <v>-3.5535026943803061E-2</v>
      </c>
      <c r="AG128" s="4">
        <f t="shared" si="28"/>
        <v>0.35220169361046993</v>
      </c>
      <c r="AH128" s="11">
        <v>1272640468</v>
      </c>
      <c r="AI128" s="32">
        <f t="shared" si="40"/>
        <v>41.052918322580645</v>
      </c>
      <c r="AJ128" s="32">
        <f t="shared" ref="AJ128:AJ137" si="56">AJ127</f>
        <v>40.739301280805172</v>
      </c>
      <c r="AK128" s="24">
        <f t="shared" si="41"/>
        <v>-45223313.320154138</v>
      </c>
      <c r="AL128">
        <v>217.631</v>
      </c>
      <c r="AM128" s="95">
        <f t="shared" si="29"/>
        <v>0.70734973396907741</v>
      </c>
      <c r="AN128" s="1">
        <f t="shared" si="30"/>
        <v>-5.0236856306439939E-2</v>
      </c>
      <c r="AO128" s="1"/>
      <c r="AP128" s="110"/>
      <c r="AQ128" s="1">
        <f t="shared" ref="AQ128:AQ137" si="57">AQ127</f>
        <v>-4.1971449629764256E-2</v>
      </c>
      <c r="AR128" s="15">
        <f t="shared" si="42"/>
        <v>-63.933456320676477</v>
      </c>
      <c r="AS128" s="7">
        <v>31</v>
      </c>
      <c r="AT128" s="1">
        <f t="shared" si="43"/>
        <v>-2.0623695587314992</v>
      </c>
      <c r="AU128" s="16">
        <f t="shared" si="48"/>
        <v>-351.29532040739952</v>
      </c>
      <c r="AV128" s="4">
        <f t="shared" si="44"/>
        <v>-0.35129532040739953</v>
      </c>
      <c r="AW128" s="4">
        <f t="shared" si="31"/>
        <v>4.2023548575340826</v>
      </c>
      <c r="AY128" s="4">
        <f>(O128-P128-AG128-(SpotGasPrices!K126-(SpotGasPrices!L126+SpotGasPrices!M126)/2))*($AL$279/AL128)</f>
        <v>-0.21092714939313176</v>
      </c>
      <c r="AZ128" s="1">
        <f t="shared" si="54"/>
        <v>-0.22922379150917974</v>
      </c>
    </row>
    <row r="129" spans="1:52">
      <c r="D129" s="2">
        <v>2010</v>
      </c>
      <c r="E129" s="2">
        <v>4</v>
      </c>
      <c r="F129" s="4">
        <v>1.44</v>
      </c>
      <c r="G129" s="4">
        <f t="shared" si="55"/>
        <v>0.62839046147449407</v>
      </c>
      <c r="H129" s="4">
        <f t="shared" si="52"/>
        <v>0.47383223943813135</v>
      </c>
      <c r="I129" s="4">
        <f t="shared" si="55"/>
        <v>0.67036191110425802</v>
      </c>
      <c r="J129" s="4">
        <f t="shared" si="53"/>
        <v>0.59390482580093928</v>
      </c>
      <c r="K129">
        <v>84.82</v>
      </c>
      <c r="L129" s="4">
        <v>2.8479999999999999</v>
      </c>
      <c r="M129" s="1">
        <v>2.8180000000000001</v>
      </c>
      <c r="N129" s="1">
        <v>2.9129999999999998</v>
      </c>
      <c r="O129" s="1">
        <v>3.0910000000000002</v>
      </c>
      <c r="P129" s="4">
        <f t="shared" si="24"/>
        <v>2.8209999999999997</v>
      </c>
      <c r="Q129" s="4">
        <f t="shared" si="25"/>
        <v>4.3622559664967966</v>
      </c>
      <c r="R129" s="4">
        <f t="shared" si="26"/>
        <v>3.9812112848552119</v>
      </c>
      <c r="S129" s="4">
        <v>0.20399999999999999</v>
      </c>
      <c r="T129" s="4">
        <f t="shared" si="32"/>
        <v>0.18049191685912239</v>
      </c>
      <c r="U129" s="4">
        <v>0.184</v>
      </c>
      <c r="V129" s="4">
        <v>0.18</v>
      </c>
      <c r="W129" s="4">
        <v>0.02</v>
      </c>
      <c r="X129" s="3">
        <v>8.2500000000000004E-2</v>
      </c>
      <c r="Y129" s="4">
        <f t="shared" si="33"/>
        <v>0.23557274826789842</v>
      </c>
      <c r="Z129" s="4">
        <v>0</v>
      </c>
      <c r="AB129" s="4">
        <v>0</v>
      </c>
      <c r="AC129" s="4">
        <f t="shared" si="27"/>
        <v>0.43557274826789838</v>
      </c>
      <c r="AD129" s="4">
        <f t="shared" si="34"/>
        <v>0.61957274826789843</v>
      </c>
      <c r="AE129" s="4">
        <v>0.1</v>
      </c>
      <c r="AF129" s="4">
        <f t="shared" si="35"/>
        <v>-8.5080831408775648E-2</v>
      </c>
      <c r="AG129" s="4">
        <f t="shared" si="28"/>
        <v>0.35508083140877611</v>
      </c>
      <c r="AH129" s="10">
        <v>1254775791</v>
      </c>
      <c r="AI129" s="32">
        <f t="shared" si="40"/>
        <v>41.825859700000002</v>
      </c>
      <c r="AJ129" s="32">
        <f t="shared" si="56"/>
        <v>40.739301280805172</v>
      </c>
      <c r="AK129" s="24">
        <f t="shared" si="41"/>
        <v>-106757367.52988411</v>
      </c>
      <c r="AL129">
        <v>218.00899999999999</v>
      </c>
      <c r="AM129" s="95">
        <f t="shared" si="29"/>
        <v>0.70857831904859414</v>
      </c>
      <c r="AN129" s="1">
        <f t="shared" si="30"/>
        <v>-0.12007258636280801</v>
      </c>
      <c r="AO129" s="1"/>
      <c r="AP129" s="110"/>
      <c r="AQ129" s="1">
        <f t="shared" si="57"/>
        <v>-4.1971449629764256E-2</v>
      </c>
      <c r="AR129" s="15">
        <f t="shared" si="42"/>
        <v>-150.66417453080825</v>
      </c>
      <c r="AS129" s="7">
        <v>30</v>
      </c>
      <c r="AT129" s="1">
        <f t="shared" si="43"/>
        <v>-5.0221391510269422</v>
      </c>
      <c r="AU129" s="16">
        <f t="shared" si="48"/>
        <v>-501.95949493820774</v>
      </c>
      <c r="AV129" s="4">
        <f t="shared" si="44"/>
        <v>-0.5019594949382078</v>
      </c>
      <c r="AW129" s="4">
        <f t="shared" si="31"/>
        <v>4.2417261213986581</v>
      </c>
      <c r="AY129" s="4">
        <f>(O129-P129-AG129-(SpotGasPrices!K127-(SpotGasPrices!L127+SpotGasPrices!M127)/2))*($AL$279/AL129)</f>
        <v>-0.25026620336679745</v>
      </c>
      <c r="AZ129" s="1">
        <f t="shared" si="54"/>
        <v>-0.22922379150917974</v>
      </c>
    </row>
    <row r="130" spans="1:52">
      <c r="D130" s="2">
        <v>2010</v>
      </c>
      <c r="E130" s="2">
        <v>5</v>
      </c>
      <c r="F130" s="4">
        <v>1.5049999999999999</v>
      </c>
      <c r="G130" s="4">
        <f t="shared" si="55"/>
        <v>0.62839046147449407</v>
      </c>
      <c r="H130" s="4">
        <f t="shared" si="52"/>
        <v>0.77236234879260446</v>
      </c>
      <c r="I130" s="4">
        <f t="shared" si="55"/>
        <v>0.67036191110425802</v>
      </c>
      <c r="J130" s="4">
        <f t="shared" si="53"/>
        <v>0.87498693699900787</v>
      </c>
      <c r="K130">
        <v>75.95</v>
      </c>
      <c r="L130" s="4">
        <v>2.8359999999999999</v>
      </c>
      <c r="M130" s="1">
        <v>2.7949999999999999</v>
      </c>
      <c r="N130" s="1">
        <v>2.9220000000000002</v>
      </c>
      <c r="O130" s="1">
        <v>3.09</v>
      </c>
      <c r="P130" s="4">
        <f t="shared" si="24"/>
        <v>2.8077777777777775</v>
      </c>
      <c r="Q130" s="4">
        <f t="shared" si="25"/>
        <v>4.3574667931688804</v>
      </c>
      <c r="R130" s="4">
        <f t="shared" si="26"/>
        <v>3.9594816923185041</v>
      </c>
      <c r="S130" s="4">
        <v>0.20399999999999999</v>
      </c>
      <c r="T130" s="4">
        <f t="shared" si="32"/>
        <v>0.18050038491147033</v>
      </c>
      <c r="U130" s="4">
        <v>0.184</v>
      </c>
      <c r="V130" s="4">
        <v>0.18</v>
      </c>
      <c r="W130" s="4">
        <v>0.02</v>
      </c>
      <c r="X130" s="3">
        <v>8.2500000000000004E-2</v>
      </c>
      <c r="Y130" s="4">
        <f t="shared" si="33"/>
        <v>0.23549653579676677</v>
      </c>
      <c r="Z130" s="4">
        <v>0</v>
      </c>
      <c r="AB130" s="4">
        <v>0</v>
      </c>
      <c r="AC130" s="4">
        <f t="shared" si="27"/>
        <v>0.43549653579676673</v>
      </c>
      <c r="AD130" s="4">
        <f t="shared" si="34"/>
        <v>0.61949653579676678</v>
      </c>
      <c r="AE130" s="4">
        <v>0.1</v>
      </c>
      <c r="AF130" s="4">
        <f t="shared" si="35"/>
        <v>-7.2773928663074194E-2</v>
      </c>
      <c r="AG130" s="4">
        <f t="shared" si="28"/>
        <v>0.35499615088529657</v>
      </c>
      <c r="AH130" s="10">
        <v>1289885802</v>
      </c>
      <c r="AI130" s="32">
        <f t="shared" si="40"/>
        <v>41.609219419354837</v>
      </c>
      <c r="AJ130" s="32">
        <f t="shared" si="56"/>
        <v>40.739301280805172</v>
      </c>
      <c r="AK130" s="24">
        <f t="shared" si="41"/>
        <v>-93870057.338260248</v>
      </c>
      <c r="AL130">
        <v>218.178</v>
      </c>
      <c r="AM130" s="95">
        <f t="shared" si="29"/>
        <v>0.70912760708679079</v>
      </c>
      <c r="AN130" s="1">
        <f t="shared" si="30"/>
        <v>-0.10262458820640348</v>
      </c>
      <c r="AO130" s="1"/>
      <c r="AP130" s="110"/>
      <c r="AQ130" s="1">
        <f t="shared" si="57"/>
        <v>-4.1971449629764256E-2</v>
      </c>
      <c r="AR130" s="15">
        <f t="shared" si="42"/>
        <v>-132.37399926353649</v>
      </c>
      <c r="AS130" s="7">
        <v>31</v>
      </c>
      <c r="AT130" s="1">
        <f t="shared" si="43"/>
        <v>-4.2701290085011774</v>
      </c>
      <c r="AU130" s="16">
        <f t="shared" si="48"/>
        <v>-634.3334942017442</v>
      </c>
      <c r="AV130" s="4">
        <f t="shared" si="44"/>
        <v>-0.63433349420174423</v>
      </c>
      <c r="AW130" s="4">
        <f t="shared" si="31"/>
        <v>4.2370692737122901</v>
      </c>
      <c r="AY130" s="4">
        <f>(O130-P130-AG130-(SpotGasPrices!K128-(SpotGasPrices!L128+SpotGasPrices!M128)/2))*($AL$279/AL130)</f>
        <v>-0.25101905796523999</v>
      </c>
      <c r="AZ130" s="1">
        <f t="shared" si="54"/>
        <v>-0.22922379150917974</v>
      </c>
    </row>
    <row r="131" spans="1:52">
      <c r="A131" s="2">
        <f>A119+1</f>
        <v>2010</v>
      </c>
      <c r="B131" s="2">
        <f>D131</f>
        <v>2010</v>
      </c>
      <c r="D131" s="2">
        <v>2010</v>
      </c>
      <c r="E131" s="2">
        <v>6</v>
      </c>
      <c r="F131" s="4">
        <v>1.523182</v>
      </c>
      <c r="G131" s="4">
        <f t="shared" si="55"/>
        <v>0.62839046147449407</v>
      </c>
      <c r="H131" s="4">
        <f t="shared" si="52"/>
        <v>0.80951936501956567</v>
      </c>
      <c r="I131" s="4">
        <f t="shared" si="55"/>
        <v>0.67036191110425802</v>
      </c>
      <c r="J131" s="4">
        <f t="shared" si="53"/>
        <v>0.75347707771814065</v>
      </c>
      <c r="K131">
        <v>74.760000000000005</v>
      </c>
      <c r="L131" s="4">
        <v>2.7320000000000002</v>
      </c>
      <c r="M131" s="1">
        <v>2.6840000000000002</v>
      </c>
      <c r="N131" s="1">
        <v>2.8319999999999999</v>
      </c>
      <c r="O131" s="1">
        <v>3.0870000000000002</v>
      </c>
      <c r="P131" s="4">
        <f t="shared" si="24"/>
        <v>2.6925555555555558</v>
      </c>
      <c r="Q131" s="4">
        <f t="shared" si="25"/>
        <v>4.3574903172527701</v>
      </c>
      <c r="R131" s="4">
        <f t="shared" si="26"/>
        <v>3.8007077298343011</v>
      </c>
      <c r="S131" s="4">
        <v>0.20399999999999999</v>
      </c>
      <c r="T131" s="4">
        <f t="shared" si="32"/>
        <v>0.18052578906851421</v>
      </c>
      <c r="U131" s="4">
        <v>0.184</v>
      </c>
      <c r="V131" s="4">
        <v>0.18</v>
      </c>
      <c r="W131" s="4">
        <v>0.02</v>
      </c>
      <c r="X131" s="3">
        <v>8.2500000000000004E-2</v>
      </c>
      <c r="Y131" s="4">
        <f t="shared" si="33"/>
        <v>0.23526789838337187</v>
      </c>
      <c r="Z131" s="4">
        <v>0</v>
      </c>
      <c r="AB131" s="4">
        <v>0</v>
      </c>
      <c r="AC131" s="4">
        <f t="shared" si="27"/>
        <v>0.43526789838337188</v>
      </c>
      <c r="AD131" s="4">
        <f t="shared" si="34"/>
        <v>0.61926789838337193</v>
      </c>
      <c r="AE131" s="4">
        <v>0.1</v>
      </c>
      <c r="AF131" s="4">
        <f t="shared" si="35"/>
        <v>3.9702335129586874E-2</v>
      </c>
      <c r="AG131" s="4">
        <f t="shared" si="28"/>
        <v>0.3547421093148575</v>
      </c>
      <c r="AH131" s="11">
        <v>1255432005</v>
      </c>
      <c r="AI131" s="32">
        <f t="shared" si="40"/>
        <v>41.847733499999997</v>
      </c>
      <c r="AJ131" s="32">
        <f t="shared" si="56"/>
        <v>40.739301280805172</v>
      </c>
      <c r="AK131" s="24">
        <f t="shared" si="41"/>
        <v>49843582.194919184</v>
      </c>
      <c r="AL131">
        <v>217.965</v>
      </c>
      <c r="AM131" s="95">
        <f t="shared" si="29"/>
        <v>0.70843530914515829</v>
      </c>
      <c r="AN131" s="1">
        <f t="shared" si="30"/>
        <v>5.604228730142511E-2</v>
      </c>
      <c r="AO131" s="1"/>
      <c r="AP131" s="110"/>
      <c r="AQ131" s="1">
        <f t="shared" si="57"/>
        <v>-4.1971449629764256E-2</v>
      </c>
      <c r="AR131" s="15">
        <f t="shared" si="42"/>
        <v>70.357281111614171</v>
      </c>
      <c r="AS131" s="7">
        <v>30</v>
      </c>
      <c r="AT131" s="1">
        <f t="shared" si="43"/>
        <v>2.3452427037204724</v>
      </c>
      <c r="AU131" s="16">
        <f t="shared" si="48"/>
        <v>-563.97621309013005</v>
      </c>
      <c r="AV131" s="4">
        <f t="shared" si="44"/>
        <v>-0.56397621309013002</v>
      </c>
      <c r="AW131" s="4">
        <f t="shared" si="31"/>
        <v>4.2370921478218984</v>
      </c>
      <c r="AY131" s="4">
        <f>(O131-P131-AG131-(SpotGasPrices!K129-(SpotGasPrices!L129+SpotGasPrices!M129)/2))*($AL$279/AL131)</f>
        <v>-0.30598669375065529</v>
      </c>
      <c r="AZ131" s="1">
        <f t="shared" si="54"/>
        <v>-0.22922379150917974</v>
      </c>
    </row>
    <row r="132" spans="1:52">
      <c r="D132" s="2">
        <v>2010</v>
      </c>
      <c r="E132" s="2">
        <v>7</v>
      </c>
      <c r="F132" s="4">
        <v>1.5052380000000001</v>
      </c>
      <c r="G132" s="4">
        <f t="shared" si="55"/>
        <v>0.62839046147449407</v>
      </c>
      <c r="H132" s="4">
        <f t="shared" si="52"/>
        <v>0.78289266760835996</v>
      </c>
      <c r="I132" s="4">
        <f t="shared" si="55"/>
        <v>0.67036191110425802</v>
      </c>
      <c r="J132" s="4">
        <f t="shared" si="53"/>
        <v>0.72069379447318072</v>
      </c>
      <c r="K132">
        <v>75.58</v>
      </c>
      <c r="L132" s="4">
        <v>2.7290000000000001</v>
      </c>
      <c r="M132" s="1">
        <v>2.6789999999999998</v>
      </c>
      <c r="N132" s="1">
        <v>2.8319999999999999</v>
      </c>
      <c r="O132" s="1">
        <v>3.1240000000000001</v>
      </c>
      <c r="P132" s="4">
        <f t="shared" si="24"/>
        <v>2.685111111111111</v>
      </c>
      <c r="Q132" s="4">
        <f t="shared" si="25"/>
        <v>4.408787648329672</v>
      </c>
      <c r="R132" s="4">
        <f t="shared" si="26"/>
        <v>3.7893997122469356</v>
      </c>
      <c r="S132" s="4">
        <v>0.20399999999999999</v>
      </c>
      <c r="T132" s="4">
        <f t="shared" si="32"/>
        <v>0.17651842884046273</v>
      </c>
      <c r="U132" s="4">
        <v>0.184</v>
      </c>
      <c r="V132" s="4">
        <v>0.35299999999999998</v>
      </c>
      <c r="W132" s="4">
        <v>0.02</v>
      </c>
      <c r="X132" s="3">
        <v>3.2500000000000001E-2</v>
      </c>
      <c r="Y132" s="4">
        <f t="shared" si="33"/>
        <v>9.8334140435835368E-2</v>
      </c>
      <c r="Z132" s="4">
        <v>0</v>
      </c>
      <c r="AB132" s="4">
        <v>0</v>
      </c>
      <c r="AC132" s="4">
        <f t="shared" si="27"/>
        <v>0.47133414043583538</v>
      </c>
      <c r="AD132" s="4">
        <f t="shared" si="34"/>
        <v>0.65533414043583527</v>
      </c>
      <c r="AE132" s="4">
        <v>0.1</v>
      </c>
      <c r="AF132" s="4">
        <f t="shared" si="35"/>
        <v>4.4073177293516341E-2</v>
      </c>
      <c r="AG132" s="4">
        <f t="shared" si="28"/>
        <v>0.39481571159537276</v>
      </c>
      <c r="AH132" s="10">
        <v>1273677743</v>
      </c>
      <c r="AI132" s="32">
        <f t="shared" si="40"/>
        <v>41.086378806451613</v>
      </c>
      <c r="AJ132" s="32">
        <f t="shared" si="56"/>
        <v>40.739301280805172</v>
      </c>
      <c r="AK132" s="24">
        <f t="shared" si="41"/>
        <v>56135024.982044742</v>
      </c>
      <c r="AL132">
        <v>218.011</v>
      </c>
      <c r="AM132" s="95">
        <f t="shared" si="29"/>
        <v>0.7085848194987503</v>
      </c>
      <c r="AN132" s="1">
        <f t="shared" si="30"/>
        <v>6.21988731351788E-2</v>
      </c>
      <c r="AO132" s="1"/>
      <c r="AP132" s="110"/>
      <c r="AQ132" s="1">
        <f t="shared" si="57"/>
        <v>-4.1971449629764256E-2</v>
      </c>
      <c r="AR132" s="15">
        <f t="shared" si="42"/>
        <v>79.221320351957871</v>
      </c>
      <c r="AS132" s="7">
        <v>31</v>
      </c>
      <c r="AT132" s="1">
        <f t="shared" si="43"/>
        <v>2.555526462966383</v>
      </c>
      <c r="AU132" s="16">
        <f t="shared" si="48"/>
        <v>-484.7548927381722</v>
      </c>
      <c r="AV132" s="4">
        <f t="shared" si="44"/>
        <v>-0.48475489273817218</v>
      </c>
      <c r="AW132" s="4">
        <f t="shared" si="31"/>
        <v>4.2869721252597355</v>
      </c>
      <c r="AY132" s="4">
        <f>(O132-P132-AG132-(SpotGasPrices!K130-(SpotGasPrices!L130+SpotGasPrices!M130)/2))*($AL$279/AL132)</f>
        <v>-0.34574048230779486</v>
      </c>
      <c r="AZ132" s="1">
        <f t="shared" si="54"/>
        <v>-0.22922379150917974</v>
      </c>
    </row>
    <row r="133" spans="1:52">
      <c r="D133" s="2">
        <v>2010</v>
      </c>
      <c r="E133" s="2">
        <v>8</v>
      </c>
      <c r="F133" s="4">
        <v>1.688636</v>
      </c>
      <c r="G133" s="4">
        <f t="shared" si="55"/>
        <v>0.62839046147449407</v>
      </c>
      <c r="H133" s="4">
        <f t="shared" si="52"/>
        <v>0.75427005647336642</v>
      </c>
      <c r="I133" s="4">
        <f t="shared" si="55"/>
        <v>0.67036191110425802</v>
      </c>
      <c r="J133" s="4">
        <f t="shared" si="53"/>
        <v>0.66945695143300832</v>
      </c>
      <c r="K133">
        <v>77.040000000000006</v>
      </c>
      <c r="L133" s="4">
        <v>2.73</v>
      </c>
      <c r="M133" s="1">
        <v>2.6829999999999998</v>
      </c>
      <c r="N133" s="1">
        <v>2.8279999999999998</v>
      </c>
      <c r="O133" s="1">
        <v>3.14</v>
      </c>
      <c r="P133" s="4">
        <f t="shared" si="24"/>
        <v>2.6844444444444444</v>
      </c>
      <c r="Q133" s="4">
        <f t="shared" si="25"/>
        <v>4.4252580710176259</v>
      </c>
      <c r="R133" s="4">
        <f t="shared" si="26"/>
        <v>3.7832354917121669</v>
      </c>
      <c r="S133" s="4">
        <v>0.20399999999999999</v>
      </c>
      <c r="T133" s="4">
        <f t="shared" si="32"/>
        <v>0.17646246973365615</v>
      </c>
      <c r="U133" s="4">
        <v>0.184</v>
      </c>
      <c r="V133" s="4">
        <v>0.35299999999999998</v>
      </c>
      <c r="W133" s="4">
        <v>0.02</v>
      </c>
      <c r="X133" s="3">
        <v>3.2500000000000001E-2</v>
      </c>
      <c r="Y133" s="4">
        <f t="shared" si="33"/>
        <v>9.8837772397094445E-2</v>
      </c>
      <c r="Z133" s="4">
        <v>0</v>
      </c>
      <c r="AB133" s="4">
        <v>0</v>
      </c>
      <c r="AC133" s="4">
        <f t="shared" si="27"/>
        <v>0.47183777239709446</v>
      </c>
      <c r="AD133" s="4">
        <f t="shared" si="34"/>
        <v>0.6558377723970944</v>
      </c>
      <c r="AE133" s="4">
        <v>0.1</v>
      </c>
      <c r="AF133" s="4">
        <f t="shared" si="35"/>
        <v>6.018025289211737E-2</v>
      </c>
      <c r="AG133" s="4">
        <f t="shared" si="28"/>
        <v>0.39537530266343834</v>
      </c>
      <c r="AH133" s="10">
        <v>1291164966</v>
      </c>
      <c r="AI133" s="32">
        <f t="shared" si="40"/>
        <v>41.650482774193549</v>
      </c>
      <c r="AJ133" s="32">
        <f t="shared" si="56"/>
        <v>40.739301280805172</v>
      </c>
      <c r="AK133" s="24">
        <f t="shared" si="41"/>
        <v>77702634.179322124</v>
      </c>
      <c r="AL133">
        <v>218.31200000000001</v>
      </c>
      <c r="AM133" s="95">
        <f t="shared" si="29"/>
        <v>0.70956313724725439</v>
      </c>
      <c r="AN133" s="1">
        <f t="shared" si="30"/>
        <v>8.4813105040358036E-2</v>
      </c>
      <c r="AO133" s="1"/>
      <c r="AP133" s="110"/>
      <c r="AQ133" s="1">
        <f t="shared" si="57"/>
        <v>-4.1971449629764256E-2</v>
      </c>
      <c r="AR133" s="15">
        <f t="shared" si="42"/>
        <v>109.5077098857883</v>
      </c>
      <c r="AS133" s="7">
        <v>31</v>
      </c>
      <c r="AT133" s="1">
        <f t="shared" si="43"/>
        <v>3.5325067705093001</v>
      </c>
      <c r="AU133" s="16">
        <f t="shared" si="48"/>
        <v>-375.2471828523839</v>
      </c>
      <c r="AV133" s="4">
        <f t="shared" si="44"/>
        <v>-0.3752471828523839</v>
      </c>
      <c r="AW133" s="4">
        <f t="shared" si="31"/>
        <v>4.3029874674777382</v>
      </c>
      <c r="AY133" s="4">
        <f>(O133-P133-AG133-(SpotGasPrices!K131-(SpotGasPrices!L131+SpotGasPrices!M131)/2))*($AL$279/AL133)</f>
        <v>-0.24887991716036817</v>
      </c>
      <c r="AZ133" s="1">
        <f t="shared" si="54"/>
        <v>-0.22922379150917974</v>
      </c>
    </row>
    <row r="134" spans="1:52">
      <c r="D134" s="2">
        <v>2010</v>
      </c>
      <c r="E134" s="2">
        <v>9</v>
      </c>
      <c r="F134" s="4">
        <v>1.9795240000000001</v>
      </c>
      <c r="G134" s="4">
        <f t="shared" si="55"/>
        <v>0.62839046147449407</v>
      </c>
      <c r="H134" s="4">
        <f t="shared" si="52"/>
        <v>0.55899628347238228</v>
      </c>
      <c r="I134" s="4">
        <f t="shared" si="55"/>
        <v>0.67036191110425802</v>
      </c>
      <c r="J134" s="4">
        <f t="shared" si="53"/>
        <v>0.62154316523381159</v>
      </c>
      <c r="K134">
        <v>77.84</v>
      </c>
      <c r="L134" s="4">
        <v>2.7050000000000001</v>
      </c>
      <c r="M134" s="1">
        <v>2.6779999999999999</v>
      </c>
      <c r="N134" s="1">
        <v>2.7610000000000001</v>
      </c>
      <c r="O134" s="1">
        <v>3.0169999999999999</v>
      </c>
      <c r="P134" s="4">
        <f t="shared" ref="P134:P197" si="58">(L134-0.1*O134)/0.9</f>
        <v>2.6703333333333337</v>
      </c>
      <c r="Q134" s="4">
        <f t="shared" ref="Q134:Q197" si="59">O134*$AL$291/$AL134</f>
        <v>4.2494399214425993</v>
      </c>
      <c r="R134" s="4">
        <f t="shared" ref="R134:R197" si="60">P134*$AL$291/$AL134</f>
        <v>3.7611604475391305</v>
      </c>
      <c r="S134" s="4">
        <v>0.20399999999999999</v>
      </c>
      <c r="T134" s="4">
        <f t="shared" si="32"/>
        <v>0.17689265536723162</v>
      </c>
      <c r="U134" s="4">
        <v>0.184</v>
      </c>
      <c r="V134" s="4">
        <v>0.35299999999999998</v>
      </c>
      <c r="W134" s="4">
        <v>0.02</v>
      </c>
      <c r="X134" s="3">
        <v>3.2500000000000001E-2</v>
      </c>
      <c r="Y134" s="4">
        <f t="shared" si="33"/>
        <v>9.4966101694915261E-2</v>
      </c>
      <c r="Z134" s="4">
        <v>0</v>
      </c>
      <c r="AB134" s="4">
        <v>0</v>
      </c>
      <c r="AC134" s="4">
        <f t="shared" ref="AC134:AC197" si="61">V134+W134+(X134/(1+X134))*O134</f>
        <v>0.46796610169491526</v>
      </c>
      <c r="AD134" s="4">
        <f t="shared" si="34"/>
        <v>0.6519661016949152</v>
      </c>
      <c r="AE134" s="4">
        <v>0.1</v>
      </c>
      <c r="AF134" s="4">
        <f t="shared" si="35"/>
        <v>-4.440677966101747E-2</v>
      </c>
      <c r="AG134" s="4">
        <f t="shared" ref="AG134:AG186" si="62">(O134-P134-AF134)</f>
        <v>0.3910734463276837</v>
      </c>
      <c r="AH134" s="11">
        <v>1237725377</v>
      </c>
      <c r="AI134" s="32">
        <f t="shared" ref="AI134:AI165" si="63">AH134/(1000000*AS134)</f>
        <v>41.257512566666669</v>
      </c>
      <c r="AJ134" s="32">
        <f t="shared" si="56"/>
        <v>40.739301280805172</v>
      </c>
      <c r="AK134" s="24">
        <f t="shared" ref="AK134:AK165" si="64">AF134*AH134</f>
        <v>-54963398.09728878</v>
      </c>
      <c r="AL134">
        <v>218.43899999999999</v>
      </c>
      <c r="AM134" s="95">
        <f t="shared" ref="AM134:AM197" si="65">AL134/AL$291</f>
        <v>0.70997591583217134</v>
      </c>
      <c r="AN134" s="1">
        <f t="shared" ref="AN134:AN197" si="66">AF134/AM134</f>
        <v>-6.2546881761429543E-2</v>
      </c>
      <c r="AO134" s="1"/>
      <c r="AP134" s="110"/>
      <c r="AQ134" s="1">
        <f t="shared" si="57"/>
        <v>-4.1971449629764256E-2</v>
      </c>
      <c r="AR134" s="15">
        <f t="shared" si="42"/>
        <v>-77.41586280833981</v>
      </c>
      <c r="AS134" s="7">
        <v>30</v>
      </c>
      <c r="AT134" s="1">
        <f t="shared" si="43"/>
        <v>-2.5805287602779936</v>
      </c>
      <c r="AU134" s="16">
        <f t="shared" si="48"/>
        <v>-452.6630456607237</v>
      </c>
      <c r="AV134" s="4">
        <f t="shared" si="44"/>
        <v>-0.45266304566072368</v>
      </c>
      <c r="AW134" s="4">
        <f t="shared" ref="AW134:AW197" si="67">O134*(AM$282/AM134)</f>
        <v>4.1320272021021882</v>
      </c>
      <c r="AY134" s="4">
        <f>(O134-P134-AG134-(SpotGasPrices!K132-(SpotGasPrices!L132+SpotGasPrices!M132)/2))*($AL$279/AL134)</f>
        <v>-0.20997197029989664</v>
      </c>
      <c r="AZ134" s="1">
        <f t="shared" si="54"/>
        <v>-0.22922379150917974</v>
      </c>
    </row>
    <row r="135" spans="1:52">
      <c r="D135" s="2">
        <v>2010</v>
      </c>
      <c r="E135" s="2">
        <v>10</v>
      </c>
      <c r="F135" s="4">
        <v>2.1009519999999999</v>
      </c>
      <c r="G135" s="4">
        <f t="shared" si="55"/>
        <v>0.62839046147449407</v>
      </c>
      <c r="H135" s="4">
        <f t="shared" si="52"/>
        <v>0.5055907958005722</v>
      </c>
      <c r="I135" s="4">
        <f t="shared" si="55"/>
        <v>0.67036191110425802</v>
      </c>
      <c r="J135" s="4">
        <f t="shared" si="53"/>
        <v>0.59549088607526302</v>
      </c>
      <c r="K135">
        <v>82.67</v>
      </c>
      <c r="L135" s="4">
        <v>2.8010000000000002</v>
      </c>
      <c r="M135" s="1">
        <v>2.766</v>
      </c>
      <c r="N135" s="1">
        <v>2.8719999999999999</v>
      </c>
      <c r="O135" s="1">
        <v>3.0979999999999999</v>
      </c>
      <c r="P135" s="4">
        <f t="shared" si="58"/>
        <v>2.7680000000000002</v>
      </c>
      <c r="Q135" s="4">
        <f t="shared" si="59"/>
        <v>4.3581015952558388</v>
      </c>
      <c r="R135" s="4">
        <f t="shared" si="60"/>
        <v>3.8938751503125126</v>
      </c>
      <c r="S135" s="4">
        <v>0.20399999999999999</v>
      </c>
      <c r="T135" s="4">
        <f t="shared" ref="T135:T198" si="68">(S135-0.1*(V135+Y135))/0.9</f>
        <v>0.17660936238902339</v>
      </c>
      <c r="U135" s="4">
        <v>0.184</v>
      </c>
      <c r="V135" s="4">
        <v>0.35299999999999998</v>
      </c>
      <c r="W135" s="4">
        <v>0.02</v>
      </c>
      <c r="X135" s="3">
        <v>3.2500000000000001E-2</v>
      </c>
      <c r="Y135" s="4">
        <f t="shared" ref="Y135:Y198" si="69">(X135/(1+X135))*O135</f>
        <v>9.7515738498789348E-2</v>
      </c>
      <c r="Z135" s="4">
        <v>0</v>
      </c>
      <c r="AB135" s="4">
        <v>0</v>
      </c>
      <c r="AC135" s="4">
        <f t="shared" si="61"/>
        <v>0.47051573849878936</v>
      </c>
      <c r="AD135" s="4">
        <f t="shared" ref="AD135:AD198" si="70">U135+V135+W135+Y135+Z135+AB135</f>
        <v>0.6545157384987893</v>
      </c>
      <c r="AE135" s="4">
        <v>0.1</v>
      </c>
      <c r="AF135" s="4">
        <f t="shared" ref="AF135:AF198" si="71">(O135-Z135-AB135-AC135-AE135)-(P135-T135)</f>
        <v>-6.3906376109766683E-2</v>
      </c>
      <c r="AG135" s="4">
        <f t="shared" si="62"/>
        <v>0.39390637610976631</v>
      </c>
      <c r="AH135" s="10">
        <v>1256958886</v>
      </c>
      <c r="AI135" s="32">
        <f t="shared" si="63"/>
        <v>40.547060838709676</v>
      </c>
      <c r="AJ135" s="32">
        <f t="shared" si="56"/>
        <v>40.739301280805172</v>
      </c>
      <c r="AK135" s="24">
        <f t="shared" si="64"/>
        <v>-80327687.323229343</v>
      </c>
      <c r="AL135">
        <v>218.71100000000001</v>
      </c>
      <c r="AM135" s="95">
        <f t="shared" si="65"/>
        <v>0.71085997705341097</v>
      </c>
      <c r="AN135" s="1">
        <f t="shared" si="66"/>
        <v>-8.9900090274691369E-2</v>
      </c>
      <c r="AO135" s="1"/>
      <c r="AP135" s="110"/>
      <c r="AQ135" s="1">
        <f t="shared" si="57"/>
        <v>-4.1971449629764256E-2</v>
      </c>
      <c r="AR135" s="15">
        <f t="shared" si="42"/>
        <v>-113.0007173229755</v>
      </c>
      <c r="AS135" s="7">
        <v>31</v>
      </c>
      <c r="AT135" s="1">
        <f t="shared" si="43"/>
        <v>-3.6451844297734035</v>
      </c>
      <c r="AU135" s="16">
        <f t="shared" si="48"/>
        <v>-565.66376298369914</v>
      </c>
      <c r="AV135" s="4">
        <f t="shared" si="44"/>
        <v>-0.56566376298369914</v>
      </c>
      <c r="AW135" s="4">
        <f t="shared" si="67"/>
        <v>4.2376865361138671</v>
      </c>
      <c r="AY135" s="4">
        <f>(O135-P135-AG135-(SpotGasPrices!K133-(SpotGasPrices!L133+SpotGasPrices!M133)/2))*($AL$279/AL135)</f>
        <v>-0.27988333900546247</v>
      </c>
      <c r="AZ135" s="1">
        <f t="shared" si="54"/>
        <v>-0.22922379150917974</v>
      </c>
    </row>
    <row r="136" spans="1:52">
      <c r="D136" s="2">
        <v>2010</v>
      </c>
      <c r="E136" s="2">
        <v>11</v>
      </c>
      <c r="F136" s="4">
        <v>2.3466670000000001</v>
      </c>
      <c r="G136" s="4">
        <f t="shared" si="55"/>
        <v>0.62839046147449407</v>
      </c>
      <c r="H136" s="4">
        <f t="shared" si="52"/>
        <v>0.49764837365273318</v>
      </c>
      <c r="I136" s="4">
        <f t="shared" si="55"/>
        <v>0.67036191110425802</v>
      </c>
      <c r="J136" s="4">
        <f t="shared" si="53"/>
        <v>0.58884985920854238</v>
      </c>
      <c r="K136">
        <v>85.28</v>
      </c>
      <c r="L136" s="4">
        <v>2.859</v>
      </c>
      <c r="M136" s="1">
        <v>2.8149999999999999</v>
      </c>
      <c r="N136" s="1">
        <v>2.952</v>
      </c>
      <c r="O136" s="1">
        <v>3.157</v>
      </c>
      <c r="P136" s="4">
        <f t="shared" si="58"/>
        <v>2.8258888888888887</v>
      </c>
      <c r="Q136" s="4">
        <f t="shared" si="59"/>
        <v>4.4392323094290296</v>
      </c>
      <c r="R136" s="4">
        <f t="shared" si="60"/>
        <v>3.97363866278494</v>
      </c>
      <c r="S136" s="4">
        <v>0.20399999999999999</v>
      </c>
      <c r="T136" s="4">
        <f t="shared" si="68"/>
        <v>0.17640301318267418</v>
      </c>
      <c r="U136" s="4">
        <v>0.184</v>
      </c>
      <c r="V136" s="4">
        <v>0.35299999999999998</v>
      </c>
      <c r="W136" s="4">
        <v>0.02</v>
      </c>
      <c r="X136" s="3">
        <v>3.2500000000000001E-2</v>
      </c>
      <c r="Y136" s="4">
        <f t="shared" si="69"/>
        <v>9.9372881355932211E-2</v>
      </c>
      <c r="Z136" s="4">
        <v>0</v>
      </c>
      <c r="AB136" s="4">
        <v>0</v>
      </c>
      <c r="AC136" s="4">
        <f t="shared" si="61"/>
        <v>0.47237288135593219</v>
      </c>
      <c r="AD136" s="4">
        <f t="shared" si="70"/>
        <v>0.65637288135593219</v>
      </c>
      <c r="AE136" s="4">
        <v>0.1</v>
      </c>
      <c r="AF136" s="4">
        <f t="shared" si="71"/>
        <v>-6.4858757062146832E-2</v>
      </c>
      <c r="AG136" s="4">
        <f t="shared" si="62"/>
        <v>0.39596986817325819</v>
      </c>
      <c r="AH136" s="10">
        <v>1200852654</v>
      </c>
      <c r="AI136" s="32">
        <f t="shared" si="63"/>
        <v>40.028421799999997</v>
      </c>
      <c r="AJ136" s="32">
        <f t="shared" si="56"/>
        <v>40.739301280805172</v>
      </c>
      <c r="AK136" s="24">
        <f t="shared" si="64"/>
        <v>-77885810.553220272</v>
      </c>
      <c r="AL136">
        <v>218.803</v>
      </c>
      <c r="AM136" s="95">
        <f t="shared" si="65"/>
        <v>0.71115899776059488</v>
      </c>
      <c r="AN136" s="1">
        <f t="shared" si="66"/>
        <v>-9.1201485555809467E-2</v>
      </c>
      <c r="AO136" s="1"/>
      <c r="AP136" s="110"/>
      <c r="AQ136" s="1">
        <f t="shared" si="57"/>
        <v>-4.1971449629764256E-2</v>
      </c>
      <c r="AR136" s="15">
        <f t="shared" si="42"/>
        <v>-109.51954597843647</v>
      </c>
      <c r="AS136" s="7">
        <v>30</v>
      </c>
      <c r="AT136" s="1">
        <f t="shared" si="43"/>
        <v>-3.6506515326145488</v>
      </c>
      <c r="AU136" s="16">
        <f t="shared" si="48"/>
        <v>-675.18330896213558</v>
      </c>
      <c r="AV136" s="4">
        <f t="shared" si="44"/>
        <v>-0.67518330896213563</v>
      </c>
      <c r="AW136" s="4">
        <f t="shared" si="67"/>
        <v>4.3165755953986009</v>
      </c>
      <c r="AY136" s="4">
        <f>(O136-P136-AG136-(SpotGasPrices!K134-(SpotGasPrices!L134+SpotGasPrices!M134)/2))*($AL$279/AL136)</f>
        <v>-0.17755000575679739</v>
      </c>
      <c r="AZ136" s="1">
        <f t="shared" si="54"/>
        <v>-0.22922379150917974</v>
      </c>
    </row>
    <row r="137" spans="1:52">
      <c r="B137" s="26" t="s">
        <v>33</v>
      </c>
      <c r="C137" s="29"/>
      <c r="D137" s="2">
        <v>2010</v>
      </c>
      <c r="E137" s="2">
        <v>12</v>
      </c>
      <c r="F137" s="4">
        <v>2.1025</v>
      </c>
      <c r="G137" s="4">
        <f t="shared" si="55"/>
        <v>0.62839046147449407</v>
      </c>
      <c r="H137" s="4">
        <f t="shared" si="52"/>
        <v>0.41536723136518439</v>
      </c>
      <c r="I137" s="4">
        <f t="shared" si="55"/>
        <v>0.67036191110425802</v>
      </c>
      <c r="J137" s="4">
        <f t="shared" si="53"/>
        <v>0.5749264034300775</v>
      </c>
      <c r="K137">
        <v>91.45</v>
      </c>
      <c r="L137" s="4">
        <v>2.9929999999999999</v>
      </c>
      <c r="M137" s="1">
        <v>2.9510000000000001</v>
      </c>
      <c r="N137" s="1">
        <v>3.0819999999999999</v>
      </c>
      <c r="O137" s="1">
        <v>3.25</v>
      </c>
      <c r="P137" s="4">
        <f t="shared" si="58"/>
        <v>2.9644444444444442</v>
      </c>
      <c r="Q137" s="4">
        <f t="shared" si="59"/>
        <v>4.5621649428093018</v>
      </c>
      <c r="R137" s="4">
        <f t="shared" si="60"/>
        <v>4.1613183136462277</v>
      </c>
      <c r="S137" s="4">
        <v>0.20399999999999999</v>
      </c>
      <c r="T137" s="4">
        <f t="shared" si="68"/>
        <v>0.17607775087436103</v>
      </c>
      <c r="U137" s="4">
        <v>0.184</v>
      </c>
      <c r="V137" s="4">
        <v>0.35299999999999998</v>
      </c>
      <c r="W137" s="4">
        <v>0.02</v>
      </c>
      <c r="X137" s="3">
        <v>3.2500000000000001E-2</v>
      </c>
      <c r="Y137" s="4">
        <f t="shared" si="69"/>
        <v>0.10230024213075062</v>
      </c>
      <c r="Z137" s="4">
        <v>0</v>
      </c>
      <c r="AB137" s="4">
        <v>0</v>
      </c>
      <c r="AC137" s="4">
        <f t="shared" si="61"/>
        <v>0.47530024213075062</v>
      </c>
      <c r="AD137" s="4">
        <f t="shared" si="70"/>
        <v>0.65930024213075056</v>
      </c>
      <c r="AE137" s="4">
        <v>0.1</v>
      </c>
      <c r="AF137" s="4">
        <f t="shared" si="71"/>
        <v>-0.11366693570083397</v>
      </c>
      <c r="AG137" s="4">
        <f t="shared" si="62"/>
        <v>0.39922249125638976</v>
      </c>
      <c r="AH137" s="11">
        <v>1232128839</v>
      </c>
      <c r="AI137" s="32">
        <f t="shared" si="63"/>
        <v>39.746091580645164</v>
      </c>
      <c r="AJ137" s="32">
        <f t="shared" si="56"/>
        <v>40.739301280805172</v>
      </c>
      <c r="AK137" s="24">
        <f t="shared" si="64"/>
        <v>-140052309.51775622</v>
      </c>
      <c r="AL137">
        <v>219.179</v>
      </c>
      <c r="AM137" s="95">
        <f t="shared" si="65"/>
        <v>0.71238108238995557</v>
      </c>
      <c r="AN137" s="1">
        <f t="shared" si="66"/>
        <v>-0.15955917206489348</v>
      </c>
      <c r="AO137" s="1"/>
      <c r="AP137" s="110"/>
      <c r="AQ137" s="1">
        <f t="shared" si="57"/>
        <v>-4.1971449629764256E-2</v>
      </c>
      <c r="AR137" s="15">
        <f t="shared" si="42"/>
        <v>-196.59745742811845</v>
      </c>
      <c r="AS137" s="7">
        <v>31</v>
      </c>
      <c r="AT137" s="1">
        <f t="shared" si="43"/>
        <v>-6.341853465423176</v>
      </c>
      <c r="AU137" s="16">
        <f t="shared" si="48"/>
        <v>-871.78076639025403</v>
      </c>
      <c r="AV137" s="4">
        <f t="shared" si="44"/>
        <v>-0.87178076639025404</v>
      </c>
      <c r="AW137" s="4">
        <f t="shared" si="67"/>
        <v>4.4361115800327582</v>
      </c>
      <c r="AY137" s="4">
        <f>(O137-P137-AG137-(SpotGasPrices!K135-(SpotGasPrices!L135+SpotGasPrices!M135)/2))*($AL$279/AL137)</f>
        <v>-0.25040700451264464</v>
      </c>
      <c r="AZ137" s="1">
        <f t="shared" si="54"/>
        <v>-0.22922379150917974</v>
      </c>
    </row>
    <row r="138" spans="1:52">
      <c r="A138" s="33" t="s">
        <v>39</v>
      </c>
      <c r="B138" s="26" t="s">
        <v>33</v>
      </c>
      <c r="C138" s="29"/>
      <c r="D138" s="2">
        <v>2011</v>
      </c>
      <c r="E138" s="2">
        <v>1</v>
      </c>
      <c r="F138" s="4">
        <v>2.27</v>
      </c>
      <c r="G138" s="4">
        <f>AVERAGE(H138:H149)</f>
        <v>0.50519499582927985</v>
      </c>
      <c r="H138" s="4">
        <f t="shared" si="52"/>
        <v>0.36788673147565332</v>
      </c>
      <c r="I138" s="4">
        <f>AVERAGE(J138:J149)</f>
        <v>0.61887728998432634</v>
      </c>
      <c r="J138" s="4">
        <f t="shared" si="53"/>
        <v>0.53739411088570244</v>
      </c>
      <c r="K138">
        <v>96.52</v>
      </c>
      <c r="L138" s="4">
        <v>3.0950000000000002</v>
      </c>
      <c r="M138" s="1">
        <v>3.0579999999999998</v>
      </c>
      <c r="N138" s="1">
        <v>3.173</v>
      </c>
      <c r="O138" s="1">
        <v>3.3420000000000001</v>
      </c>
      <c r="P138" s="4">
        <f t="shared" si="58"/>
        <v>3.0675555555555558</v>
      </c>
      <c r="Q138" s="4">
        <f t="shared" si="59"/>
        <v>4.6690694523278671</v>
      </c>
      <c r="R138" s="4">
        <f t="shared" si="60"/>
        <v>4.2856463009464649</v>
      </c>
      <c r="S138" s="4">
        <v>0.21</v>
      </c>
      <c r="T138" s="4">
        <f t="shared" si="68"/>
        <v>0.18242265267688995</v>
      </c>
      <c r="U138" s="4">
        <v>0.184</v>
      </c>
      <c r="V138" s="4">
        <v>0.35299999999999998</v>
      </c>
      <c r="W138" s="4">
        <v>0.02</v>
      </c>
      <c r="X138" s="3">
        <v>3.2500000000000001E-2</v>
      </c>
      <c r="Y138" s="4">
        <f t="shared" si="69"/>
        <v>0.10519612590799032</v>
      </c>
      <c r="Z138" s="4">
        <v>0</v>
      </c>
      <c r="AB138" s="4">
        <v>0</v>
      </c>
      <c r="AC138" s="4">
        <f t="shared" si="61"/>
        <v>0.47819612590799032</v>
      </c>
      <c r="AD138" s="4">
        <f t="shared" si="70"/>
        <v>0.66219612590799026</v>
      </c>
      <c r="AE138" s="4">
        <v>0.1</v>
      </c>
      <c r="AF138" s="4">
        <f t="shared" si="71"/>
        <v>-0.12132902878665597</v>
      </c>
      <c r="AG138" s="4">
        <f t="shared" si="62"/>
        <v>0.39577347323110024</v>
      </c>
      <c r="AH138" s="10">
        <v>1204096468</v>
      </c>
      <c r="AI138" s="32">
        <f t="shared" si="63"/>
        <v>38.841821548387095</v>
      </c>
      <c r="AJ138" s="32">
        <f>AVERAGE(AI138:AI149)</f>
        <v>40.00415614886073</v>
      </c>
      <c r="AK138" s="24">
        <f t="shared" si="64"/>
        <v>-146091855.02788278</v>
      </c>
      <c r="AL138">
        <v>220.22300000000001</v>
      </c>
      <c r="AM138" s="95">
        <f t="shared" si="65"/>
        <v>0.71577431737147801</v>
      </c>
      <c r="AN138" s="1">
        <f t="shared" si="66"/>
        <v>-0.16950737941004904</v>
      </c>
      <c r="AO138" s="1"/>
      <c r="AP138" s="110"/>
      <c r="AQ138" s="1">
        <f>AVERAGE(AN138:AN149)</f>
        <v>-0.11368229415504644</v>
      </c>
      <c r="AR138" s="15">
        <f t="shared" si="42"/>
        <v>-204.10323684757597</v>
      </c>
      <c r="AS138" s="7">
        <v>31</v>
      </c>
      <c r="AT138" s="1">
        <f t="shared" si="43"/>
        <v>-6.5839753821798697</v>
      </c>
      <c r="AU138" s="16">
        <f t="shared" si="48"/>
        <v>-1075.88400323783</v>
      </c>
      <c r="AV138" s="4">
        <f t="shared" si="44"/>
        <v>-1.0758840032378301</v>
      </c>
      <c r="AW138" s="4">
        <f t="shared" si="67"/>
        <v>4.5400623004863254</v>
      </c>
      <c r="AY138" s="4">
        <f>(O138-P138-AG138-(SpotGasPrices!K136-(SpotGasPrices!L136+SpotGasPrices!M136)/2))*($AL$279/AL138)</f>
        <v>-0.2020762705383585</v>
      </c>
      <c r="AZ138" s="1">
        <f>AVERAGE($AY138:$AY149)</f>
        <v>-0.2753101765358843</v>
      </c>
    </row>
    <row r="139" spans="1:52">
      <c r="D139" s="2">
        <v>2011</v>
      </c>
      <c r="E139" s="2">
        <v>2</v>
      </c>
      <c r="F139" s="4">
        <v>2.281053</v>
      </c>
      <c r="G139" s="4">
        <f>G138</f>
        <v>0.50519499582927985</v>
      </c>
      <c r="H139" s="4">
        <f t="shared" si="52"/>
        <v>0.37898604084434129</v>
      </c>
      <c r="I139" s="4">
        <f>I138</f>
        <v>0.61887728998432634</v>
      </c>
      <c r="J139" s="4">
        <f t="shared" si="53"/>
        <v>0.44558405742738705</v>
      </c>
      <c r="K139">
        <v>103.72</v>
      </c>
      <c r="L139" s="4">
        <v>3.2109999999999999</v>
      </c>
      <c r="M139" s="1">
        <v>3.1680000000000001</v>
      </c>
      <c r="N139" s="1">
        <v>3.3010000000000002</v>
      </c>
      <c r="O139" s="1">
        <v>3.53</v>
      </c>
      <c r="P139" s="4">
        <f t="shared" si="58"/>
        <v>3.175555555555555</v>
      </c>
      <c r="Q139" s="4">
        <f t="shared" si="59"/>
        <v>4.9075212937566928</v>
      </c>
      <c r="R139" s="4">
        <f t="shared" si="60"/>
        <v>4.4147610505371819</v>
      </c>
      <c r="S139" s="4">
        <v>0.21</v>
      </c>
      <c r="T139" s="4">
        <f t="shared" si="68"/>
        <v>0.18176513317191281</v>
      </c>
      <c r="U139" s="4">
        <v>0.184</v>
      </c>
      <c r="V139" s="4">
        <v>0.35299999999999998</v>
      </c>
      <c r="W139" s="4">
        <v>0.02</v>
      </c>
      <c r="X139" s="3">
        <v>3.2500000000000001E-2</v>
      </c>
      <c r="Y139" s="4">
        <f t="shared" si="69"/>
        <v>0.1111138014527845</v>
      </c>
      <c r="Z139" s="4">
        <v>0</v>
      </c>
      <c r="AB139" s="4">
        <v>0</v>
      </c>
      <c r="AC139" s="4">
        <f t="shared" si="61"/>
        <v>0.48411380145278449</v>
      </c>
      <c r="AD139" s="4">
        <f t="shared" si="70"/>
        <v>0.66811380145278443</v>
      </c>
      <c r="AE139" s="4">
        <v>0.1</v>
      </c>
      <c r="AF139" s="4">
        <f t="shared" si="71"/>
        <v>-4.7904223836426674E-2</v>
      </c>
      <c r="AG139" s="4">
        <f t="shared" si="62"/>
        <v>0.40234866828087146</v>
      </c>
      <c r="AH139" s="10">
        <v>1131200286</v>
      </c>
      <c r="AI139" s="32">
        <f t="shared" si="63"/>
        <v>40.400010214285714</v>
      </c>
      <c r="AJ139" s="32">
        <f>AJ138</f>
        <v>40.00415614886073</v>
      </c>
      <c r="AK139" s="24">
        <f t="shared" si="64"/>
        <v>-54189271.704373874</v>
      </c>
      <c r="AL139">
        <v>221.309</v>
      </c>
      <c r="AM139" s="95">
        <f t="shared" si="65"/>
        <v>0.71930406180628015</v>
      </c>
      <c r="AN139" s="1">
        <f t="shared" si="66"/>
        <v>-6.6598016583045566E-2</v>
      </c>
      <c r="AO139" s="1"/>
      <c r="AP139" s="110"/>
      <c r="AQ139" s="1">
        <f>AQ138</f>
        <v>-0.11368229415504644</v>
      </c>
      <c r="AR139" s="15">
        <f t="shared" si="42"/>
        <v>-75.335695405773876</v>
      </c>
      <c r="AS139" s="7">
        <v>28</v>
      </c>
      <c r="AT139" s="1">
        <f t="shared" si="43"/>
        <v>-2.69056055020621</v>
      </c>
      <c r="AU139" s="16">
        <f t="shared" si="48"/>
        <v>-1151.2196986436038</v>
      </c>
      <c r="AV139" s="4">
        <f t="shared" si="44"/>
        <v>-1.1512196986436039</v>
      </c>
      <c r="AW139" s="4">
        <f t="shared" si="67"/>
        <v>4.7719256785761077</v>
      </c>
      <c r="AY139" s="4">
        <f>(O139-P139-AG139-(SpotGasPrices!K137-(SpotGasPrices!L137+SpotGasPrices!M137)/2))*($AL$279/AL139)</f>
        <v>-0.36546961738538059</v>
      </c>
      <c r="AZ139" s="1">
        <f t="shared" ref="AZ139:AZ149" si="72">AZ138</f>
        <v>-0.2753101765358843</v>
      </c>
    </row>
    <row r="140" spans="1:52">
      <c r="D140" s="2">
        <v>2011</v>
      </c>
      <c r="E140" s="2">
        <v>3</v>
      </c>
      <c r="F140" s="4">
        <v>2.422174</v>
      </c>
      <c r="G140" s="4">
        <f t="shared" ref="G140:I149" si="73">G139</f>
        <v>0.50519499582927985</v>
      </c>
      <c r="H140" s="4">
        <f t="shared" si="52"/>
        <v>0.58255057687279954</v>
      </c>
      <c r="I140" s="4">
        <f t="shared" si="73"/>
        <v>0.61887728998432634</v>
      </c>
      <c r="J140" s="4">
        <f t="shared" si="53"/>
        <v>0.55275494051966179</v>
      </c>
      <c r="K140">
        <v>114.64</v>
      </c>
      <c r="L140" s="4">
        <v>3.5609999999999999</v>
      </c>
      <c r="M140" s="1">
        <v>3.5089999999999999</v>
      </c>
      <c r="N140" s="1">
        <v>3.6709999999999998</v>
      </c>
      <c r="O140" s="1">
        <v>3.956</v>
      </c>
      <c r="P140" s="4">
        <f t="shared" si="58"/>
        <v>3.5171111111111109</v>
      </c>
      <c r="Q140" s="4">
        <f t="shared" si="59"/>
        <v>5.4466497335176998</v>
      </c>
      <c r="R140" s="4">
        <f t="shared" si="60"/>
        <v>4.8423843013360646</v>
      </c>
      <c r="S140" s="4">
        <v>0.21</v>
      </c>
      <c r="T140" s="4">
        <f t="shared" si="68"/>
        <v>0.18027522195318804</v>
      </c>
      <c r="U140" s="4">
        <v>0.184</v>
      </c>
      <c r="V140" s="4">
        <v>0.35299999999999998</v>
      </c>
      <c r="W140" s="4">
        <v>0.02</v>
      </c>
      <c r="X140" s="3">
        <v>3.2500000000000001E-2</v>
      </c>
      <c r="Y140" s="4">
        <f t="shared" si="69"/>
        <v>0.12452300242130751</v>
      </c>
      <c r="Z140" s="4">
        <v>0</v>
      </c>
      <c r="AB140" s="4">
        <v>0</v>
      </c>
      <c r="AC140" s="4">
        <f t="shared" si="61"/>
        <v>0.49752300242130754</v>
      </c>
      <c r="AD140" s="4">
        <f t="shared" si="70"/>
        <v>0.68152300242130748</v>
      </c>
      <c r="AE140" s="4">
        <v>0.1</v>
      </c>
      <c r="AF140" s="4">
        <f t="shared" si="71"/>
        <v>2.1641108420769939E-2</v>
      </c>
      <c r="AG140" s="4">
        <f t="shared" si="62"/>
        <v>0.41724778046811917</v>
      </c>
      <c r="AH140" s="11">
        <v>1237807877</v>
      </c>
      <c r="AI140" s="32">
        <f t="shared" si="63"/>
        <v>39.929286354838709</v>
      </c>
      <c r="AJ140" s="32">
        <f t="shared" ref="AJ140:AJ149" si="74">AJ139</f>
        <v>40.00415614886073</v>
      </c>
      <c r="AK140" s="24">
        <f t="shared" si="64"/>
        <v>26787534.47024006</v>
      </c>
      <c r="AL140">
        <v>223.46700000000001</v>
      </c>
      <c r="AM140" s="95">
        <f t="shared" si="65"/>
        <v>0.72631804752479112</v>
      </c>
      <c r="AN140" s="1">
        <f t="shared" si="66"/>
        <v>2.9795636353138082E-2</v>
      </c>
      <c r="AO140" s="1"/>
      <c r="AP140" s="110"/>
      <c r="AQ140" s="1">
        <f t="shared" ref="AQ140:AQ149" si="75">AQ139</f>
        <v>-0.11368229415504644</v>
      </c>
      <c r="AR140" s="15">
        <f t="shared" si="42"/>
        <v>36.88127337814187</v>
      </c>
      <c r="AS140" s="7">
        <v>31</v>
      </c>
      <c r="AT140" s="1">
        <f t="shared" si="43"/>
        <v>1.1897184960690925</v>
      </c>
      <c r="AU140" s="16">
        <f t="shared" si="48"/>
        <v>-1114.3384252654619</v>
      </c>
      <c r="AV140" s="4">
        <f t="shared" si="44"/>
        <v>-1.1143384252654618</v>
      </c>
      <c r="AW140" s="4">
        <f t="shared" si="67"/>
        <v>5.2961579114589625</v>
      </c>
      <c r="AY140" s="4">
        <f>(O140-P140-AG140-(SpotGasPrices!K138-(SpotGasPrices!L138+SpotGasPrices!M138)/2))*($AL$279/AL140)</f>
        <v>-0.37721607215969022</v>
      </c>
      <c r="AZ140" s="1">
        <f t="shared" si="72"/>
        <v>-0.2753101765358843</v>
      </c>
    </row>
    <row r="141" spans="1:52">
      <c r="D141" s="2">
        <v>2011</v>
      </c>
      <c r="E141" s="2">
        <v>4</v>
      </c>
      <c r="F141" s="4">
        <v>2.5325000000000002</v>
      </c>
      <c r="G141" s="4">
        <f t="shared" si="73"/>
        <v>0.50519499582927985</v>
      </c>
      <c r="H141" s="4">
        <f t="shared" si="52"/>
        <v>0.56609911331996043</v>
      </c>
      <c r="I141" s="4">
        <f t="shared" si="73"/>
        <v>0.61887728998432634</v>
      </c>
      <c r="J141" s="4">
        <f t="shared" si="53"/>
        <v>0.59945442017734851</v>
      </c>
      <c r="K141">
        <v>123.26</v>
      </c>
      <c r="L141" s="4">
        <v>3.8</v>
      </c>
      <c r="M141" s="1">
        <v>3.746</v>
      </c>
      <c r="N141" s="1">
        <v>3.9140000000000001</v>
      </c>
      <c r="O141" s="1">
        <v>4.16</v>
      </c>
      <c r="P141" s="4">
        <f t="shared" si="58"/>
        <v>3.76</v>
      </c>
      <c r="Q141" s="4">
        <f t="shared" si="59"/>
        <v>5.6908724533805239</v>
      </c>
      <c r="R141" s="4">
        <f t="shared" si="60"/>
        <v>5.1436731790170116</v>
      </c>
      <c r="S141" s="4">
        <v>0.21</v>
      </c>
      <c r="T141" s="4">
        <f t="shared" si="68"/>
        <v>0.17956174334140435</v>
      </c>
      <c r="U141" s="4">
        <v>0.184</v>
      </c>
      <c r="V141" s="4">
        <v>0.35299999999999998</v>
      </c>
      <c r="W141" s="4">
        <v>0.02</v>
      </c>
      <c r="X141" s="3">
        <v>3.2500000000000001E-2</v>
      </c>
      <c r="Y141" s="4">
        <f t="shared" si="69"/>
        <v>0.13094430992736078</v>
      </c>
      <c r="Z141" s="4">
        <v>0</v>
      </c>
      <c r="AB141" s="4">
        <v>0</v>
      </c>
      <c r="AC141" s="4">
        <f t="shared" si="61"/>
        <v>0.50394430992736083</v>
      </c>
      <c r="AD141" s="4">
        <f t="shared" si="70"/>
        <v>0.68794430992736078</v>
      </c>
      <c r="AE141" s="4">
        <v>0.1</v>
      </c>
      <c r="AF141" s="4">
        <f t="shared" si="71"/>
        <v>-2.4382566585956056E-2</v>
      </c>
      <c r="AG141" s="4">
        <f t="shared" si="62"/>
        <v>0.42438256658595641</v>
      </c>
      <c r="AH141" s="10">
        <v>1204833929</v>
      </c>
      <c r="AI141" s="32">
        <f t="shared" si="63"/>
        <v>40.161130966666668</v>
      </c>
      <c r="AJ141" s="32">
        <f t="shared" si="74"/>
        <v>40.00415614886073</v>
      </c>
      <c r="AK141" s="24">
        <f t="shared" si="64"/>
        <v>-29376943.498861551</v>
      </c>
      <c r="AL141">
        <v>224.90600000000001</v>
      </c>
      <c r="AM141" s="95">
        <f t="shared" si="65"/>
        <v>0.73099512141215783</v>
      </c>
      <c r="AN141" s="1">
        <f t="shared" si="66"/>
        <v>-3.3355306857387912E-2</v>
      </c>
      <c r="AO141" s="1"/>
      <c r="AP141" s="110"/>
      <c r="AQ141" s="1">
        <f t="shared" si="75"/>
        <v>-0.11368229415504644</v>
      </c>
      <c r="AR141" s="15">
        <f t="shared" si="42"/>
        <v>-40.187605413987313</v>
      </c>
      <c r="AS141" s="7">
        <v>30</v>
      </c>
      <c r="AT141" s="1">
        <f t="shared" si="43"/>
        <v>-1.3395868471329104</v>
      </c>
      <c r="AU141" s="16">
        <f t="shared" si="48"/>
        <v>-1154.5260306794491</v>
      </c>
      <c r="AV141" s="4">
        <f t="shared" si="44"/>
        <v>-1.1545260306794491</v>
      </c>
      <c r="AW141" s="4">
        <f t="shared" si="67"/>
        <v>5.5336327176687155</v>
      </c>
      <c r="AY141" s="4">
        <f>(O141-P141-AG141-(SpotGasPrices!K139-(SpotGasPrices!L139+SpotGasPrices!M139)/2))*($AL$279/AL141)</f>
        <v>-0.31851924552219146</v>
      </c>
      <c r="AZ141" s="1">
        <f t="shared" si="72"/>
        <v>-0.2753101765358843</v>
      </c>
    </row>
    <row r="142" spans="1:52">
      <c r="D142" s="2">
        <v>2011</v>
      </c>
      <c r="E142" s="2">
        <v>5</v>
      </c>
      <c r="F142" s="4">
        <v>2.544286</v>
      </c>
      <c r="G142" s="4">
        <f t="shared" si="73"/>
        <v>0.50519499582927985</v>
      </c>
      <c r="H142" s="4">
        <f t="shared" si="52"/>
        <v>0.86139094065681387</v>
      </c>
      <c r="I142" s="4">
        <f t="shared" si="73"/>
        <v>0.61887728998432634</v>
      </c>
      <c r="J142" s="4">
        <f t="shared" si="53"/>
        <v>1.0241850067982434</v>
      </c>
      <c r="K142">
        <v>114.99</v>
      </c>
      <c r="L142" s="4">
        <v>3.9060000000000001</v>
      </c>
      <c r="M142" s="1">
        <v>3.8490000000000002</v>
      </c>
      <c r="N142" s="1">
        <v>4.0250000000000004</v>
      </c>
      <c r="O142" s="1">
        <v>4.181</v>
      </c>
      <c r="P142" s="4">
        <f t="shared" si="58"/>
        <v>3.8754444444444447</v>
      </c>
      <c r="Q142" s="4">
        <f t="shared" si="59"/>
        <v>5.6928203209360779</v>
      </c>
      <c r="R142" s="4">
        <f t="shared" si="60"/>
        <v>5.2767780162621776</v>
      </c>
      <c r="S142" s="4">
        <v>0.21</v>
      </c>
      <c r="T142" s="4">
        <f t="shared" si="68"/>
        <v>0.17948829701372074</v>
      </c>
      <c r="U142" s="4">
        <v>0.184</v>
      </c>
      <c r="V142" s="4">
        <v>0.35299999999999998</v>
      </c>
      <c r="W142" s="4">
        <v>0.02</v>
      </c>
      <c r="X142" s="3">
        <v>3.2500000000000001E-2</v>
      </c>
      <c r="Y142" s="4">
        <f t="shared" si="69"/>
        <v>0.13160532687651333</v>
      </c>
      <c r="Z142" s="4">
        <v>0</v>
      </c>
      <c r="AB142" s="4">
        <v>0</v>
      </c>
      <c r="AC142" s="4">
        <f t="shared" si="61"/>
        <v>0.50460532687651338</v>
      </c>
      <c r="AD142" s="4">
        <f t="shared" si="70"/>
        <v>0.68860532687651332</v>
      </c>
      <c r="AE142" s="4">
        <v>0.1</v>
      </c>
      <c r="AF142" s="4">
        <f t="shared" si="71"/>
        <v>-0.11956147430723707</v>
      </c>
      <c r="AG142" s="4">
        <f t="shared" si="62"/>
        <v>0.42511702986279243</v>
      </c>
      <c r="AH142" s="10">
        <v>1237497276</v>
      </c>
      <c r="AI142" s="32">
        <f t="shared" si="63"/>
        <v>39.919266967741933</v>
      </c>
      <c r="AJ142" s="32">
        <f t="shared" si="74"/>
        <v>40.00415614886073</v>
      </c>
      <c r="AK142" s="24">
        <f t="shared" si="64"/>
        <v>-147956998.76974985</v>
      </c>
      <c r="AL142">
        <v>225.964</v>
      </c>
      <c r="AM142" s="95">
        <f t="shared" si="65"/>
        <v>0.73443385954477347</v>
      </c>
      <c r="AN142" s="1">
        <f t="shared" si="66"/>
        <v>-0.16279406614142933</v>
      </c>
      <c r="AO142" s="1"/>
      <c r="AP142" s="110"/>
      <c r="AQ142" s="1">
        <f t="shared" si="75"/>
        <v>-0.11368229415504644</v>
      </c>
      <c r="AR142" s="15">
        <f t="shared" si="42"/>
        <v>-201.45721339898262</v>
      </c>
      <c r="AS142" s="7">
        <v>31</v>
      </c>
      <c r="AT142" s="1">
        <f t="shared" si="43"/>
        <v>-6.498619787063955</v>
      </c>
      <c r="AU142" s="16">
        <f t="shared" si="48"/>
        <v>-1355.9832440784317</v>
      </c>
      <c r="AV142" s="4">
        <f t="shared" si="44"/>
        <v>-1.3559832440784316</v>
      </c>
      <c r="AW142" s="4">
        <f t="shared" si="67"/>
        <v>5.535526765325451</v>
      </c>
      <c r="AY142" s="4">
        <f>(O142-P142-AG142-(SpotGasPrices!K140-(SpotGasPrices!L140+SpotGasPrices!M140)/2))*($AL$279/AL142)</f>
        <v>-0.19856758634671176</v>
      </c>
      <c r="AZ142" s="1">
        <f t="shared" si="72"/>
        <v>-0.2753101765358843</v>
      </c>
    </row>
    <row r="143" spans="1:52">
      <c r="A143" s="2">
        <f>A131+1</f>
        <v>2011</v>
      </c>
      <c r="B143" s="2">
        <f>D143</f>
        <v>2011</v>
      </c>
      <c r="D143" s="2">
        <v>2011</v>
      </c>
      <c r="E143" s="2">
        <v>6</v>
      </c>
      <c r="F143" s="4">
        <v>2.598182</v>
      </c>
      <c r="G143" s="4">
        <f t="shared" si="73"/>
        <v>0.50519499582927985</v>
      </c>
      <c r="H143" s="4">
        <f t="shared" si="52"/>
        <v>0.5530629236683674</v>
      </c>
      <c r="I143" s="4">
        <f t="shared" si="73"/>
        <v>0.61887728998432634</v>
      </c>
      <c r="J143" s="4">
        <f t="shared" si="53"/>
        <v>0.7595303995099818</v>
      </c>
      <c r="K143">
        <v>113.83</v>
      </c>
      <c r="L143" s="4">
        <v>3.68</v>
      </c>
      <c r="M143" s="1">
        <v>3.6280000000000001</v>
      </c>
      <c r="N143" s="1">
        <v>3.7890000000000001</v>
      </c>
      <c r="O143" s="1">
        <v>3.9180000000000001</v>
      </c>
      <c r="P143" s="4">
        <f t="shared" si="58"/>
        <v>3.6535555555555557</v>
      </c>
      <c r="Q143" s="4">
        <f t="shared" si="59"/>
        <v>5.340440798858773</v>
      </c>
      <c r="R143" s="4">
        <f t="shared" si="60"/>
        <v>4.9799890632429866</v>
      </c>
      <c r="S143" s="4">
        <v>0.21</v>
      </c>
      <c r="T143" s="4">
        <f t="shared" si="68"/>
        <v>0.18040812483185364</v>
      </c>
      <c r="U143" s="4">
        <v>0.184</v>
      </c>
      <c r="V143" s="4">
        <v>0.35299999999999998</v>
      </c>
      <c r="W143" s="4">
        <v>0.02</v>
      </c>
      <c r="X143" s="3">
        <v>3.2500000000000001E-2</v>
      </c>
      <c r="Y143" s="4">
        <f t="shared" si="69"/>
        <v>0.12332687651331721</v>
      </c>
      <c r="Z143" s="4">
        <v>0</v>
      </c>
      <c r="AB143" s="4">
        <v>0</v>
      </c>
      <c r="AC143" s="4">
        <f t="shared" si="61"/>
        <v>0.49632687651331719</v>
      </c>
      <c r="AD143" s="4">
        <f t="shared" si="70"/>
        <v>0.68032687651331714</v>
      </c>
      <c r="AE143" s="4">
        <v>0.1</v>
      </c>
      <c r="AF143" s="4">
        <f t="shared" si="71"/>
        <v>-0.15147430723701927</v>
      </c>
      <c r="AG143" s="4">
        <f t="shared" si="62"/>
        <v>0.41591875168146375</v>
      </c>
      <c r="AH143" s="11">
        <v>1220789762</v>
      </c>
      <c r="AI143" s="32">
        <f t="shared" si="63"/>
        <v>40.692992066666669</v>
      </c>
      <c r="AJ143" s="32">
        <f t="shared" si="74"/>
        <v>40.00415614886073</v>
      </c>
      <c r="AK143" s="24">
        <f t="shared" si="64"/>
        <v>-184918283.48099563</v>
      </c>
      <c r="AL143">
        <v>225.72200000000001</v>
      </c>
      <c r="AM143" s="95">
        <f t="shared" si="65"/>
        <v>0.7336473050758765</v>
      </c>
      <c r="AN143" s="1">
        <f t="shared" si="66"/>
        <v>-0.20646747584161471</v>
      </c>
      <c r="AO143" s="1"/>
      <c r="AP143" s="110"/>
      <c r="AQ143" s="1">
        <f t="shared" si="75"/>
        <v>-0.11368229415504644</v>
      </c>
      <c r="AR143" s="15">
        <f t="shared" si="42"/>
        <v>-252.05338069342557</v>
      </c>
      <c r="AS143" s="7">
        <v>30</v>
      </c>
      <c r="AT143" s="1">
        <f t="shared" si="43"/>
        <v>-8.4017793564475181</v>
      </c>
      <c r="AU143" s="16">
        <f t="shared" si="48"/>
        <v>-1608.0366247718573</v>
      </c>
      <c r="AV143" s="4">
        <f t="shared" si="44"/>
        <v>-1.6080366247718574</v>
      </c>
      <c r="AW143" s="4">
        <f t="shared" si="67"/>
        <v>5.1928835470180141</v>
      </c>
      <c r="AY143" s="4">
        <f>(O143-P143-AG143-(SpotGasPrices!K141-(SpotGasPrices!L141+SpotGasPrices!M141)/2))*($AL$279/AL143)</f>
        <v>-0.2646784506974002</v>
      </c>
      <c r="AZ143" s="1">
        <f t="shared" si="72"/>
        <v>-0.2753101765358843</v>
      </c>
    </row>
    <row r="144" spans="1:52">
      <c r="D144" s="2">
        <v>2011</v>
      </c>
      <c r="E144" s="2">
        <v>7</v>
      </c>
      <c r="F144" s="4">
        <v>2.6775000000000002</v>
      </c>
      <c r="G144" s="4">
        <f t="shared" si="73"/>
        <v>0.50519499582927985</v>
      </c>
      <c r="H144" s="4">
        <f t="shared" si="52"/>
        <v>0.28621969447382406</v>
      </c>
      <c r="I144" s="4">
        <f t="shared" si="73"/>
        <v>0.61887728998432634</v>
      </c>
      <c r="J144" s="4">
        <f t="shared" si="53"/>
        <v>0.6290260775277825</v>
      </c>
      <c r="K144">
        <v>116.97</v>
      </c>
      <c r="L144" s="4">
        <v>3.65</v>
      </c>
      <c r="M144" s="1">
        <v>3.6139999999999999</v>
      </c>
      <c r="N144" s="1">
        <v>3.726</v>
      </c>
      <c r="O144" s="1">
        <v>3.798</v>
      </c>
      <c r="P144" s="4">
        <f t="shared" si="58"/>
        <v>3.6335555555555556</v>
      </c>
      <c r="Q144" s="4">
        <f t="shared" si="59"/>
        <v>5.1722915785093972</v>
      </c>
      <c r="R144" s="4">
        <f t="shared" si="60"/>
        <v>4.9483435492485608</v>
      </c>
      <c r="S144" s="4">
        <v>0.21</v>
      </c>
      <c r="T144" s="4">
        <f t="shared" si="68"/>
        <v>0.18038337368845841</v>
      </c>
      <c r="U144" s="4">
        <v>0.184</v>
      </c>
      <c r="V144" s="4">
        <v>0.35699999999999998</v>
      </c>
      <c r="W144" s="4">
        <v>0.02</v>
      </c>
      <c r="X144" s="3">
        <v>3.2500000000000001E-2</v>
      </c>
      <c r="Y144" s="4">
        <f t="shared" si="69"/>
        <v>0.11954963680387411</v>
      </c>
      <c r="Z144" s="4">
        <v>0</v>
      </c>
      <c r="AB144" s="4">
        <v>0</v>
      </c>
      <c r="AC144" s="4">
        <f t="shared" si="61"/>
        <v>0.49654963680387409</v>
      </c>
      <c r="AD144" s="4">
        <f t="shared" si="70"/>
        <v>0.68054963680387404</v>
      </c>
      <c r="AE144" s="4">
        <v>0.1</v>
      </c>
      <c r="AF144" s="4">
        <f t="shared" si="71"/>
        <v>-0.25172181867097132</v>
      </c>
      <c r="AG144" s="4">
        <f t="shared" si="62"/>
        <v>0.41616626311541571</v>
      </c>
      <c r="AH144" s="10">
        <v>1245916412</v>
      </c>
      <c r="AI144" s="32">
        <f t="shared" si="63"/>
        <v>40.190852</v>
      </c>
      <c r="AJ144" s="32">
        <f t="shared" si="74"/>
        <v>40.00415614886073</v>
      </c>
      <c r="AK144" s="24">
        <f t="shared" si="64"/>
        <v>-313624345.14065117</v>
      </c>
      <c r="AL144">
        <v>225.922</v>
      </c>
      <c r="AM144" s="95">
        <f t="shared" si="65"/>
        <v>0.73429735009149388</v>
      </c>
      <c r="AN144" s="1">
        <f t="shared" si="66"/>
        <v>-0.3428063830539585</v>
      </c>
      <c r="AO144" s="1"/>
      <c r="AP144" s="110"/>
      <c r="AQ144" s="1">
        <f t="shared" si="75"/>
        <v>-0.11368229415504644</v>
      </c>
      <c r="AR144" s="15">
        <f t="shared" si="42"/>
        <v>-427.10809878528551</v>
      </c>
      <c r="AS144" s="7">
        <v>31</v>
      </c>
      <c r="AT144" s="1">
        <f t="shared" si="43"/>
        <v>-13.777680605976952</v>
      </c>
      <c r="AU144" s="16">
        <f t="shared" si="48"/>
        <v>-2035.1447235571427</v>
      </c>
      <c r="AV144" s="4">
        <f t="shared" si="44"/>
        <v>-2.0351447235571425</v>
      </c>
      <c r="AW144" s="4">
        <f t="shared" si="67"/>
        <v>5.0293803171005926</v>
      </c>
      <c r="AY144" s="4">
        <f>(O144-P144-AG144-(SpotGasPrices!K142-(SpotGasPrices!L142+SpotGasPrices!M142)/2))*($AL$279/AL144)</f>
        <v>-0.26608972400108633</v>
      </c>
      <c r="AZ144" s="1">
        <f t="shared" si="72"/>
        <v>-0.2753101765358843</v>
      </c>
    </row>
    <row r="145" spans="1:52">
      <c r="D145" s="2">
        <v>2011</v>
      </c>
      <c r="E145" s="2">
        <v>8</v>
      </c>
      <c r="F145" s="4">
        <v>2.8256519999999998</v>
      </c>
      <c r="G145" s="4">
        <f t="shared" si="73"/>
        <v>0.50519499582927985</v>
      </c>
      <c r="H145" s="4">
        <f t="shared" si="52"/>
        <v>0.47782256311407451</v>
      </c>
      <c r="I145" s="4">
        <f t="shared" si="73"/>
        <v>0.61887728998432634</v>
      </c>
      <c r="J145" s="4">
        <f t="shared" si="53"/>
        <v>0.83377876293369291</v>
      </c>
      <c r="K145">
        <v>110.22</v>
      </c>
      <c r="L145" s="4">
        <v>3.6389999999999998</v>
      </c>
      <c r="M145" s="1">
        <v>3.6120000000000001</v>
      </c>
      <c r="N145" s="1">
        <v>3.698</v>
      </c>
      <c r="O145" s="1">
        <v>3.7770000000000001</v>
      </c>
      <c r="P145" s="4">
        <f t="shared" si="58"/>
        <v>3.6236666666666664</v>
      </c>
      <c r="Q145" s="4">
        <f t="shared" si="59"/>
        <v>5.1295476262994111</v>
      </c>
      <c r="R145" s="4">
        <f t="shared" si="60"/>
        <v>4.9213054669050296</v>
      </c>
      <c r="S145" s="4">
        <v>0.21</v>
      </c>
      <c r="T145" s="4">
        <f t="shared" si="68"/>
        <v>0.18045682001614202</v>
      </c>
      <c r="U145" s="4">
        <v>0.184</v>
      </c>
      <c r="V145" s="4">
        <v>0.35699999999999998</v>
      </c>
      <c r="W145" s="4">
        <v>0.02</v>
      </c>
      <c r="X145" s="3">
        <v>3.2500000000000001E-2</v>
      </c>
      <c r="Y145" s="4">
        <f t="shared" si="69"/>
        <v>0.11888861985472156</v>
      </c>
      <c r="Z145" s="4">
        <v>0</v>
      </c>
      <c r="AB145" s="4">
        <v>0</v>
      </c>
      <c r="AC145" s="4">
        <f t="shared" si="61"/>
        <v>0.49588861985472155</v>
      </c>
      <c r="AD145" s="4">
        <f t="shared" si="70"/>
        <v>0.67988861985472149</v>
      </c>
      <c r="AE145" s="4">
        <v>0.1</v>
      </c>
      <c r="AF145" s="4">
        <f t="shared" si="71"/>
        <v>-0.26209846650524593</v>
      </c>
      <c r="AG145" s="4">
        <f t="shared" si="62"/>
        <v>0.4154317998385797</v>
      </c>
      <c r="AH145" s="10">
        <v>1269658460</v>
      </c>
      <c r="AI145" s="32">
        <f t="shared" si="63"/>
        <v>40.956724516129029</v>
      </c>
      <c r="AJ145" s="32">
        <f t="shared" si="74"/>
        <v>40.00415614886073</v>
      </c>
      <c r="AK145" s="24">
        <f t="shared" si="64"/>
        <v>-332775535.35141212</v>
      </c>
      <c r="AL145">
        <v>226.54499999999999</v>
      </c>
      <c r="AM145" s="95">
        <f t="shared" si="65"/>
        <v>0.73632224031514182</v>
      </c>
      <c r="AN145" s="1">
        <f t="shared" si="66"/>
        <v>-0.35595619981961873</v>
      </c>
      <c r="AO145" s="1"/>
      <c r="AP145" s="110"/>
      <c r="AQ145" s="1">
        <f t="shared" si="75"/>
        <v>-0.11368229415504644</v>
      </c>
      <c r="AR145" s="15">
        <f t="shared" si="42"/>
        <v>-451.94280049042936</v>
      </c>
      <c r="AS145" s="7">
        <v>31</v>
      </c>
      <c r="AT145" s="1">
        <f t="shared" si="43"/>
        <v>-14.578800015820303</v>
      </c>
      <c r="AU145" s="16">
        <f t="shared" si="48"/>
        <v>-2487.0875240475721</v>
      </c>
      <c r="AV145" s="4">
        <f t="shared" si="44"/>
        <v>-2.4870875240475723</v>
      </c>
      <c r="AW145" s="4">
        <f t="shared" si="67"/>
        <v>4.9878173872740517</v>
      </c>
      <c r="AY145" s="4">
        <f>(O145-P145-AG145-(SpotGasPrices!K143-(SpotGasPrices!L143+SpotGasPrices!M143)/2))*($AL$279/AL145)</f>
        <v>-0.37240610121680606</v>
      </c>
      <c r="AZ145" s="1">
        <f t="shared" si="72"/>
        <v>-0.2753101765358843</v>
      </c>
    </row>
    <row r="146" spans="1:52">
      <c r="D146" s="2">
        <v>2011</v>
      </c>
      <c r="E146" s="2">
        <v>9</v>
      </c>
      <c r="F146" s="4">
        <v>2.7697620000000001</v>
      </c>
      <c r="G146" s="4">
        <f t="shared" si="73"/>
        <v>0.50519499582927985</v>
      </c>
      <c r="H146" s="4">
        <f t="shared" si="52"/>
        <v>0.58653259673680469</v>
      </c>
      <c r="I146" s="4">
        <f t="shared" si="73"/>
        <v>0.61887728998432634</v>
      </c>
      <c r="J146" s="4">
        <f t="shared" si="53"/>
        <v>0.68378674273860918</v>
      </c>
      <c r="K146">
        <v>112.83</v>
      </c>
      <c r="L146" s="4">
        <v>3.6110000000000002</v>
      </c>
      <c r="M146" s="1">
        <v>3.573</v>
      </c>
      <c r="N146" s="1">
        <v>3.6930000000000001</v>
      </c>
      <c r="O146" s="1">
        <v>3.9249999999999998</v>
      </c>
      <c r="P146" s="4">
        <f t="shared" si="58"/>
        <v>3.576111111111111</v>
      </c>
      <c r="Q146" s="4">
        <f t="shared" si="59"/>
        <v>5.3224646192631635</v>
      </c>
      <c r="R146" s="4">
        <f t="shared" si="60"/>
        <v>4.8493566531064376</v>
      </c>
      <c r="S146" s="4">
        <v>0.21</v>
      </c>
      <c r="T146" s="4">
        <f t="shared" si="68"/>
        <v>0.17993919827818131</v>
      </c>
      <c r="U146" s="4">
        <v>0.184</v>
      </c>
      <c r="V146" s="4">
        <v>0.35699999999999998</v>
      </c>
      <c r="W146" s="4">
        <v>0.02</v>
      </c>
      <c r="X146" s="3">
        <v>3.2500000000000001E-2</v>
      </c>
      <c r="Y146" s="4">
        <f t="shared" si="69"/>
        <v>0.12354721549636805</v>
      </c>
      <c r="Z146" s="4">
        <v>0</v>
      </c>
      <c r="AB146" s="4">
        <v>0</v>
      </c>
      <c r="AC146" s="4">
        <f t="shared" si="61"/>
        <v>0.50054721549636805</v>
      </c>
      <c r="AD146" s="4">
        <f t="shared" si="70"/>
        <v>0.68454721549636799</v>
      </c>
      <c r="AE146" s="4">
        <v>0.1</v>
      </c>
      <c r="AF146" s="4">
        <f t="shared" si="71"/>
        <v>-7.1719128329297721E-2</v>
      </c>
      <c r="AG146" s="4">
        <f t="shared" si="62"/>
        <v>0.42060801721818653</v>
      </c>
      <c r="AH146" s="11">
        <v>1211495250</v>
      </c>
      <c r="AI146" s="32">
        <f t="shared" si="63"/>
        <v>40.383175000000001</v>
      </c>
      <c r="AJ146" s="32">
        <f t="shared" si="74"/>
        <v>40.00415614886073</v>
      </c>
      <c r="AK146" s="24">
        <f t="shared" si="64"/>
        <v>-86887383.305084631</v>
      </c>
      <c r="AL146">
        <v>226.88900000000001</v>
      </c>
      <c r="AM146" s="95">
        <f t="shared" si="65"/>
        <v>0.73744031774200369</v>
      </c>
      <c r="AN146" s="1">
        <f t="shared" si="66"/>
        <v>-9.7254146001804223E-2</v>
      </c>
      <c r="AO146" s="1"/>
      <c r="AP146" s="110"/>
      <c r="AQ146" s="1">
        <f t="shared" si="75"/>
        <v>-0.11368229415504644</v>
      </c>
      <c r="AR146" s="15">
        <f t="shared" si="42"/>
        <v>-117.8229359239923</v>
      </c>
      <c r="AS146" s="7">
        <v>30</v>
      </c>
      <c r="AT146" s="1">
        <f t="shared" si="43"/>
        <v>-3.9274311974664102</v>
      </c>
      <c r="AU146" s="16">
        <f t="shared" si="48"/>
        <v>-2604.9104599715643</v>
      </c>
      <c r="AV146" s="4">
        <f t="shared" si="44"/>
        <v>-2.6049104599715642</v>
      </c>
      <c r="AW146" s="4">
        <f t="shared" si="67"/>
        <v>5.1754040522017375</v>
      </c>
      <c r="AY146" s="4">
        <f>(O146-P146-AG146-(SpotGasPrices!K144-(SpotGasPrices!L144+SpotGasPrices!M144)/2))*($AL$279/AL146)</f>
        <v>-0.33981993341092176</v>
      </c>
      <c r="AZ146" s="1">
        <f t="shared" si="72"/>
        <v>-0.2753101765358843</v>
      </c>
    </row>
    <row r="147" spans="1:52">
      <c r="D147" s="2">
        <v>2011</v>
      </c>
      <c r="E147" s="2">
        <v>10</v>
      </c>
      <c r="F147" s="4">
        <v>2.5957140000000001</v>
      </c>
      <c r="G147" s="4">
        <f t="shared" si="73"/>
        <v>0.50519499582927985</v>
      </c>
      <c r="H147" s="4">
        <f t="shared" si="52"/>
        <v>0.58811132256328558</v>
      </c>
      <c r="I147" s="4">
        <f t="shared" si="73"/>
        <v>0.61887728998432634</v>
      </c>
      <c r="J147" s="4">
        <f t="shared" si="53"/>
        <v>0.55791111554429729</v>
      </c>
      <c r="K147">
        <v>109.55</v>
      </c>
      <c r="L147" s="4">
        <v>3.448</v>
      </c>
      <c r="M147" s="1">
        <v>3.4</v>
      </c>
      <c r="N147" s="1">
        <v>3.5489999999999999</v>
      </c>
      <c r="O147" s="1">
        <v>3.8439999999999999</v>
      </c>
      <c r="P147" s="4">
        <f t="shared" si="58"/>
        <v>3.4039999999999999</v>
      </c>
      <c r="Q147" s="4">
        <f t="shared" si="59"/>
        <v>5.2233994373313433</v>
      </c>
      <c r="R147" s="4">
        <f t="shared" si="60"/>
        <v>4.6255077223402417</v>
      </c>
      <c r="S147" s="4">
        <v>0.21</v>
      </c>
      <c r="T147" s="4">
        <f t="shared" si="68"/>
        <v>0.18022249125638956</v>
      </c>
      <c r="U147" s="4">
        <v>0.184</v>
      </c>
      <c r="V147" s="4">
        <v>0.35699999999999998</v>
      </c>
      <c r="W147" s="4">
        <v>0.02</v>
      </c>
      <c r="X147" s="3">
        <v>3.2500000000000001E-2</v>
      </c>
      <c r="Y147" s="4">
        <f t="shared" si="69"/>
        <v>0.12099757869249395</v>
      </c>
      <c r="Z147" s="4">
        <v>0</v>
      </c>
      <c r="AB147" s="4">
        <v>0</v>
      </c>
      <c r="AC147" s="4">
        <f t="shared" si="61"/>
        <v>0.49799757869249395</v>
      </c>
      <c r="AD147" s="4">
        <f t="shared" si="70"/>
        <v>0.68199757869249389</v>
      </c>
      <c r="AE147" s="4">
        <v>0.1</v>
      </c>
      <c r="AF147" s="4">
        <f t="shared" si="71"/>
        <v>2.2224912563895138E-2</v>
      </c>
      <c r="AG147" s="4">
        <f t="shared" si="62"/>
        <v>0.41777508743610481</v>
      </c>
      <c r="AH147" s="10">
        <v>1233852207</v>
      </c>
      <c r="AI147" s="32">
        <f t="shared" si="63"/>
        <v>39.801684096774196</v>
      </c>
      <c r="AJ147" s="32">
        <f t="shared" si="74"/>
        <v>40.00415614886073</v>
      </c>
      <c r="AK147" s="24">
        <f t="shared" si="64"/>
        <v>27422257.417344045</v>
      </c>
      <c r="AL147">
        <v>226.42099999999999</v>
      </c>
      <c r="AM147" s="95">
        <f t="shared" si="65"/>
        <v>0.7359192124054591</v>
      </c>
      <c r="AN147" s="1">
        <f t="shared" si="66"/>
        <v>3.0200207018987554E-2</v>
      </c>
      <c r="AO147" s="1"/>
      <c r="AP147" s="110"/>
      <c r="AQ147" s="1">
        <f t="shared" si="75"/>
        <v>-0.11368229415504644</v>
      </c>
      <c r="AR147" s="15">
        <f t="shared" si="42"/>
        <v>37.262592082234683</v>
      </c>
      <c r="AS147" s="7">
        <v>31</v>
      </c>
      <c r="AT147" s="1">
        <f t="shared" si="43"/>
        <v>1.2020190994269253</v>
      </c>
      <c r="AU147" s="16">
        <f t="shared" si="48"/>
        <v>-2567.6478678893295</v>
      </c>
      <c r="AV147" s="4">
        <f t="shared" si="44"/>
        <v>-2.5676478678893293</v>
      </c>
      <c r="AW147" s="4">
        <f t="shared" si="67"/>
        <v>5.0790760574328351</v>
      </c>
      <c r="AY147" s="4">
        <f>(O147-P147-AG147-(SpotGasPrices!K145-(SpotGasPrices!L145+SpotGasPrices!M145)/2))*($AL$279/AL147)</f>
        <v>-0.25833439193806401</v>
      </c>
      <c r="AZ147" s="1">
        <f t="shared" si="72"/>
        <v>-0.2753101765358843</v>
      </c>
    </row>
    <row r="148" spans="1:52">
      <c r="D148" s="2">
        <v>2011</v>
      </c>
      <c r="E148" s="2">
        <v>11</v>
      </c>
      <c r="F148" s="4">
        <v>2.8028569999999999</v>
      </c>
      <c r="G148" s="4">
        <f t="shared" si="73"/>
        <v>0.50519499582927985</v>
      </c>
      <c r="H148" s="4">
        <f t="shared" si="52"/>
        <v>0.49083120495191246</v>
      </c>
      <c r="I148" s="4">
        <f t="shared" si="73"/>
        <v>0.61887728998432634</v>
      </c>
      <c r="J148" s="4">
        <f t="shared" si="53"/>
        <v>0.42829059693612148</v>
      </c>
      <c r="K148">
        <v>110.77</v>
      </c>
      <c r="L148" s="4">
        <v>3.3839999999999999</v>
      </c>
      <c r="M148" s="1">
        <v>3.33</v>
      </c>
      <c r="N148" s="1">
        <v>3.4969999999999999</v>
      </c>
      <c r="O148" s="1">
        <v>3.8</v>
      </c>
      <c r="P148" s="4">
        <f t="shared" si="58"/>
        <v>3.3377777777777777</v>
      </c>
      <c r="Q148" s="4">
        <f t="shared" si="59"/>
        <v>5.1679697652831189</v>
      </c>
      <c r="R148" s="4">
        <f t="shared" si="60"/>
        <v>4.5393512207340612</v>
      </c>
      <c r="S148" s="4">
        <v>0.21</v>
      </c>
      <c r="T148" s="4">
        <f t="shared" si="68"/>
        <v>0.1803763788001076</v>
      </c>
      <c r="U148" s="4">
        <v>0.184</v>
      </c>
      <c r="V148" s="4">
        <v>0.35699999999999998</v>
      </c>
      <c r="W148" s="4">
        <v>0.02</v>
      </c>
      <c r="X148" s="3">
        <v>3.2500000000000001E-2</v>
      </c>
      <c r="Y148" s="4">
        <f t="shared" si="69"/>
        <v>0.11961259079903148</v>
      </c>
      <c r="Z148" s="4">
        <v>0</v>
      </c>
      <c r="AB148" s="4">
        <v>0</v>
      </c>
      <c r="AC148" s="4">
        <f t="shared" si="61"/>
        <v>0.49661259079903147</v>
      </c>
      <c r="AD148" s="4">
        <f t="shared" si="70"/>
        <v>0.68061259079903147</v>
      </c>
      <c r="AE148" s="4">
        <v>0.1</v>
      </c>
      <c r="AF148" s="4">
        <f t="shared" si="71"/>
        <v>4.598601022329829E-2</v>
      </c>
      <c r="AG148" s="4">
        <f t="shared" si="62"/>
        <v>0.4162362119989238</v>
      </c>
      <c r="AH148" s="10">
        <v>1169249871</v>
      </c>
      <c r="AI148" s="32">
        <f t="shared" si="63"/>
        <v>38.974995700000001</v>
      </c>
      <c r="AJ148" s="32">
        <f t="shared" si="74"/>
        <v>40.00415614886073</v>
      </c>
      <c r="AK148" s="24">
        <f t="shared" si="64"/>
        <v>53769136.521396205</v>
      </c>
      <c r="AL148">
        <v>226.23</v>
      </c>
      <c r="AM148" s="95">
        <f t="shared" si="65"/>
        <v>0.73529841941554452</v>
      </c>
      <c r="AN148" s="1">
        <f t="shared" si="66"/>
        <v>6.2540608015791047E-2</v>
      </c>
      <c r="AO148" s="1"/>
      <c r="AP148" s="110"/>
      <c r="AQ148" s="1">
        <f t="shared" si="75"/>
        <v>-0.11368229415504644</v>
      </c>
      <c r="AR148" s="15">
        <f t="shared" si="42"/>
        <v>73.125597854725243</v>
      </c>
      <c r="AS148" s="7">
        <v>30</v>
      </c>
      <c r="AT148" s="1">
        <f t="shared" si="43"/>
        <v>2.4375199284908415</v>
      </c>
      <c r="AU148" s="16">
        <f t="shared" si="48"/>
        <v>-2494.5222700346044</v>
      </c>
      <c r="AV148" s="4">
        <f t="shared" si="44"/>
        <v>-2.4945222700346044</v>
      </c>
      <c r="AW148" s="4">
        <f t="shared" si="67"/>
        <v>5.0251779162798922</v>
      </c>
      <c r="AY148" s="4">
        <f>(O148-P148-AG148-(SpotGasPrices!K146-(SpotGasPrices!L146+SpotGasPrices!M146)/2))*($AL$279/AL148)</f>
        <v>-0.14096916024105749</v>
      </c>
      <c r="AZ148" s="1">
        <f t="shared" si="72"/>
        <v>-0.2753101765358843</v>
      </c>
    </row>
    <row r="149" spans="1:52">
      <c r="B149" s="26" t="s">
        <v>33</v>
      </c>
      <c r="C149" s="29"/>
      <c r="D149" s="2">
        <v>2011</v>
      </c>
      <c r="E149" s="2">
        <v>12</v>
      </c>
      <c r="F149" s="4">
        <v>2.4390480000000001</v>
      </c>
      <c r="G149" s="4">
        <f t="shared" si="73"/>
        <v>0.50519499582927985</v>
      </c>
      <c r="H149" s="4">
        <f t="shared" si="52"/>
        <v>0.3228462412735208</v>
      </c>
      <c r="I149" s="4">
        <f t="shared" si="73"/>
        <v>0.61887728998432634</v>
      </c>
      <c r="J149" s="4">
        <f t="shared" si="53"/>
        <v>0.37483124881308688</v>
      </c>
      <c r="K149">
        <v>107.87</v>
      </c>
      <c r="L149" s="4">
        <v>3.266</v>
      </c>
      <c r="M149" s="1">
        <v>3.22</v>
      </c>
      <c r="N149" s="1">
        <v>3.3610000000000002</v>
      </c>
      <c r="O149" s="1">
        <v>3.6</v>
      </c>
      <c r="P149" s="4">
        <f t="shared" si="58"/>
        <v>3.2288888888888891</v>
      </c>
      <c r="Q149" s="4">
        <f t="shared" si="59"/>
        <v>4.908077209401255</v>
      </c>
      <c r="R149" s="4">
        <f t="shared" si="60"/>
        <v>4.4021211020123605</v>
      </c>
      <c r="S149" s="4">
        <v>0.21</v>
      </c>
      <c r="T149" s="4">
        <f t="shared" si="68"/>
        <v>0.18107586763518965</v>
      </c>
      <c r="U149" s="4">
        <v>0.184</v>
      </c>
      <c r="V149" s="4">
        <v>0.35699999999999998</v>
      </c>
      <c r="W149" s="4">
        <v>0.02</v>
      </c>
      <c r="X149" s="3">
        <v>3.2500000000000001E-2</v>
      </c>
      <c r="Y149" s="4">
        <f t="shared" si="69"/>
        <v>0.11331719128329298</v>
      </c>
      <c r="Z149" s="4">
        <v>0</v>
      </c>
      <c r="AB149" s="4">
        <v>0</v>
      </c>
      <c r="AC149" s="4">
        <f t="shared" si="61"/>
        <v>0.49031719128329299</v>
      </c>
      <c r="AD149" s="4">
        <f t="shared" si="70"/>
        <v>0.67431719128329293</v>
      </c>
      <c r="AE149" s="4">
        <v>0.1</v>
      </c>
      <c r="AF149" s="4">
        <f t="shared" si="71"/>
        <v>-3.8130212536992225E-2</v>
      </c>
      <c r="AG149" s="4">
        <f t="shared" si="62"/>
        <v>0.40924132364810317</v>
      </c>
      <c r="AH149" s="11">
        <v>1233735965</v>
      </c>
      <c r="AI149" s="32">
        <f t="shared" si="63"/>
        <v>39.797934354838709</v>
      </c>
      <c r="AJ149" s="32">
        <f t="shared" si="74"/>
        <v>40.00415614886073</v>
      </c>
      <c r="AK149" s="24">
        <f t="shared" si="64"/>
        <v>-47042614.559981205</v>
      </c>
      <c r="AL149">
        <v>225.672</v>
      </c>
      <c r="AM149" s="95">
        <f t="shared" si="65"/>
        <v>0.73348479382197218</v>
      </c>
      <c r="AN149" s="1">
        <f t="shared" si="66"/>
        <v>-5.1985007539565982E-2</v>
      </c>
      <c r="AO149" s="1"/>
      <c r="AP149" s="110"/>
      <c r="AQ149" s="1">
        <f t="shared" si="75"/>
        <v>-0.11368229415504644</v>
      </c>
      <c r="AR149" s="15">
        <f t="shared" si="42"/>
        <v>-64.135773442358712</v>
      </c>
      <c r="AS149" s="7">
        <v>31</v>
      </c>
      <c r="AT149" s="1">
        <f t="shared" si="43"/>
        <v>-2.0688959174954422</v>
      </c>
      <c r="AU149" s="16">
        <f t="shared" si="48"/>
        <v>-2558.658043476963</v>
      </c>
      <c r="AV149" s="4">
        <f t="shared" si="44"/>
        <v>-2.5586580434769632</v>
      </c>
      <c r="AW149" s="4">
        <f t="shared" si="67"/>
        <v>4.7724662341805804</v>
      </c>
      <c r="AY149" s="4">
        <f>(O149-P149-AG149-(SpotGasPrices!K147-(SpotGasPrices!L147+SpotGasPrices!M147)/2))*($AL$279/AL149)</f>
        <v>-0.19957556497294357</v>
      </c>
      <c r="AZ149" s="1">
        <f t="shared" si="72"/>
        <v>-0.2753101765358843</v>
      </c>
    </row>
    <row r="150" spans="1:52">
      <c r="A150" s="33" t="s">
        <v>39</v>
      </c>
      <c r="B150" s="26" t="s">
        <v>33</v>
      </c>
      <c r="C150" s="29"/>
      <c r="D150" s="2">
        <v>2012</v>
      </c>
      <c r="E150" s="2">
        <v>1</v>
      </c>
      <c r="F150" s="4">
        <v>2.133</v>
      </c>
      <c r="G150" s="4">
        <f>AVERAGE(H150:H161)</f>
        <v>0.75502307961377646</v>
      </c>
      <c r="H150" s="4">
        <f t="shared" si="52"/>
        <v>0.34614135975027743</v>
      </c>
      <c r="I150" s="4">
        <f>AVERAGE(J150:J161)</f>
        <v>0.69746959616528337</v>
      </c>
      <c r="J150" s="4">
        <f t="shared" si="53"/>
        <v>0.4191887445702806</v>
      </c>
      <c r="K150">
        <v>110.69</v>
      </c>
      <c r="L150" s="4">
        <v>3.38</v>
      </c>
      <c r="M150" s="1">
        <v>3.33</v>
      </c>
      <c r="N150" s="1">
        <v>3.4860000000000002</v>
      </c>
      <c r="O150" s="1">
        <v>3.6989999999999998</v>
      </c>
      <c r="P150" s="4">
        <f t="shared" si="58"/>
        <v>3.3445555555555555</v>
      </c>
      <c r="Q150" s="4">
        <f t="shared" si="59"/>
        <v>5.020956164383561</v>
      </c>
      <c r="R150" s="4">
        <f t="shared" si="60"/>
        <v>4.5398396414679523</v>
      </c>
      <c r="S150" s="4">
        <v>0.22299999999999998</v>
      </c>
      <c r="T150" s="4">
        <f t="shared" si="68"/>
        <v>0.19517406510626845</v>
      </c>
      <c r="U150" s="4">
        <v>0.184</v>
      </c>
      <c r="V150" s="4">
        <v>0.35699999999999998</v>
      </c>
      <c r="W150" s="4">
        <v>0.02</v>
      </c>
      <c r="X150" s="3">
        <v>3.2500000000000001E-2</v>
      </c>
      <c r="Y150" s="4">
        <f t="shared" si="69"/>
        <v>0.11643341404358354</v>
      </c>
      <c r="Z150" s="4">
        <v>0</v>
      </c>
      <c r="AB150" s="4">
        <v>0.01</v>
      </c>
      <c r="AC150" s="4">
        <f t="shared" si="61"/>
        <v>0.49343341404358354</v>
      </c>
      <c r="AD150" s="4">
        <f t="shared" si="70"/>
        <v>0.68743341404358349</v>
      </c>
      <c r="AE150" s="4">
        <v>0.1</v>
      </c>
      <c r="AF150" s="4">
        <f t="shared" si="71"/>
        <v>-5.3814904492870408E-2</v>
      </c>
      <c r="AG150" s="4">
        <f t="shared" si="62"/>
        <v>0.40825934893731475</v>
      </c>
      <c r="AH150" s="10">
        <v>1165769473</v>
      </c>
      <c r="AI150" s="32">
        <f t="shared" si="63"/>
        <v>37.605466870967739</v>
      </c>
      <c r="AJ150" s="32">
        <f>AVERAGE(AI150:AI161)</f>
        <v>39.632905938008285</v>
      </c>
      <c r="AK150" s="24">
        <f t="shared" si="64"/>
        <v>-62735772.850198865</v>
      </c>
      <c r="AL150">
        <v>226.66499999999999</v>
      </c>
      <c r="AM150" s="95">
        <f t="shared" si="65"/>
        <v>0.73671226732451223</v>
      </c>
      <c r="AN150" s="1">
        <f t="shared" si="66"/>
        <v>-7.3047384820002781E-2</v>
      </c>
      <c r="AO150" s="1"/>
      <c r="AP150" s="110"/>
      <c r="AQ150" s="1">
        <f>AVERAGE(AN150:AN161)</f>
        <v>5.755348344849328E-2</v>
      </c>
      <c r="AR150" s="15">
        <f t="shared" si="42"/>
        <v>-85.156411305642848</v>
      </c>
      <c r="AS150" s="7">
        <v>31</v>
      </c>
      <c r="AT150" s="1">
        <f t="shared" si="43"/>
        <v>-2.7469810098594469</v>
      </c>
      <c r="AU150" s="16">
        <f t="shared" si="48"/>
        <v>-2643.8144547826059</v>
      </c>
      <c r="AV150" s="4">
        <f t="shared" si="44"/>
        <v>-2.6438144547826061</v>
      </c>
      <c r="AW150" s="4">
        <f t="shared" si="67"/>
        <v>4.8822263251935674</v>
      </c>
      <c r="AY150" s="4">
        <f>(O150-P150-AG150-(SpotGasPrices!K148-(SpotGasPrices!L148+SpotGasPrices!M148)/2))*($AL$279/AL150)</f>
        <v>-0.22918374392927554</v>
      </c>
      <c r="AZ150" s="1">
        <f>AVERAGE($AY150:$AY161)</f>
        <v>-0.14414814928453806</v>
      </c>
    </row>
    <row r="151" spans="1:52">
      <c r="D151" s="2">
        <v>2012</v>
      </c>
      <c r="E151" s="2">
        <v>2</v>
      </c>
      <c r="F151" s="4">
        <v>2.0924999999999998</v>
      </c>
      <c r="G151" s="4">
        <f>G150</f>
        <v>0.75502307961377646</v>
      </c>
      <c r="H151" s="4">
        <f t="shared" si="52"/>
        <v>0.43218995874738175</v>
      </c>
      <c r="I151" s="4">
        <f>I150</f>
        <v>0.69746959616528337</v>
      </c>
      <c r="J151" s="4">
        <f t="shared" si="53"/>
        <v>0.39506830721124137</v>
      </c>
      <c r="K151">
        <v>119.33</v>
      </c>
      <c r="L151" s="4">
        <v>3.5790000000000002</v>
      </c>
      <c r="M151" s="1">
        <v>3.5169999999999999</v>
      </c>
      <c r="N151" s="1">
        <v>3.7109999999999999</v>
      </c>
      <c r="O151" s="1">
        <v>3.98</v>
      </c>
      <c r="P151" s="4">
        <f t="shared" si="58"/>
        <v>3.5344444444444445</v>
      </c>
      <c r="Q151" s="4">
        <f t="shared" si="59"/>
        <v>5.378698251362759</v>
      </c>
      <c r="R151" s="4">
        <f t="shared" si="60"/>
        <v>4.7765603399176264</v>
      </c>
      <c r="S151" s="4">
        <v>0.22299999999999998</v>
      </c>
      <c r="T151" s="4">
        <f t="shared" si="68"/>
        <v>0.19419128329297819</v>
      </c>
      <c r="U151" s="4">
        <v>0.184</v>
      </c>
      <c r="V151" s="4">
        <v>0.35699999999999998</v>
      </c>
      <c r="W151" s="4">
        <v>0.02</v>
      </c>
      <c r="X151" s="3">
        <v>3.2500000000000001E-2</v>
      </c>
      <c r="Y151" s="4">
        <f t="shared" si="69"/>
        <v>0.12527845036319613</v>
      </c>
      <c r="Z151" s="4">
        <v>0</v>
      </c>
      <c r="AB151" s="4">
        <v>0.01</v>
      </c>
      <c r="AC151" s="4">
        <f t="shared" si="61"/>
        <v>0.50227845036319607</v>
      </c>
      <c r="AD151" s="4">
        <f t="shared" si="70"/>
        <v>0.69627845036319602</v>
      </c>
      <c r="AE151" s="4">
        <v>0.1</v>
      </c>
      <c r="AF151" s="4">
        <f t="shared" si="71"/>
        <v>2.7468388485337947E-2</v>
      </c>
      <c r="AG151" s="4">
        <f t="shared" si="62"/>
        <v>0.41808716707021754</v>
      </c>
      <c r="AH151" s="10">
        <v>1154582904</v>
      </c>
      <c r="AI151" s="32">
        <f t="shared" si="63"/>
        <v>39.813203586206896</v>
      </c>
      <c r="AJ151" s="32">
        <f>AJ150</f>
        <v>39.632905938008285</v>
      </c>
      <c r="AK151" s="24">
        <f t="shared" si="64"/>
        <v>31714531.745601647</v>
      </c>
      <c r="AL151">
        <v>227.66300000000001</v>
      </c>
      <c r="AM151" s="95">
        <f t="shared" si="65"/>
        <v>0.73995599195244277</v>
      </c>
      <c r="AN151" s="1">
        <f t="shared" si="66"/>
        <v>3.7121651536140748E-2</v>
      </c>
      <c r="AO151" s="1"/>
      <c r="AP151" s="110"/>
      <c r="AQ151" s="1">
        <f>AQ150</f>
        <v>5.755348344849328E-2</v>
      </c>
      <c r="AR151" s="15">
        <f t="shared" si="42"/>
        <v>42.860024231873446</v>
      </c>
      <c r="AS151" s="7">
        <v>29</v>
      </c>
      <c r="AT151" s="1">
        <f t="shared" si="43"/>
        <v>1.4779318700646016</v>
      </c>
      <c r="AU151" s="16">
        <f t="shared" si="48"/>
        <v>-2600.9544305507325</v>
      </c>
      <c r="AV151" s="4">
        <f t="shared" si="44"/>
        <v>-2.6009544305507326</v>
      </c>
      <c r="AW151" s="4">
        <f t="shared" si="67"/>
        <v>5.2300839398584742</v>
      </c>
      <c r="AY151" s="4">
        <f>(O151-P151-AG151-(SpotGasPrices!K149-(SpotGasPrices!L149+SpotGasPrices!M149)/2))*($AL$279/AL151)</f>
        <v>-0.3312196387234968</v>
      </c>
      <c r="AZ151" s="1">
        <f t="shared" ref="AZ151:AZ161" si="76">AZ150</f>
        <v>-0.14414814928453806</v>
      </c>
    </row>
    <row r="152" spans="1:52">
      <c r="D152" s="2">
        <v>2012</v>
      </c>
      <c r="E152" s="2">
        <v>3</v>
      </c>
      <c r="F152" s="4">
        <v>2.1609090000000002</v>
      </c>
      <c r="G152" s="4">
        <f t="shared" ref="G152:I161" si="77">G151</f>
        <v>0.75502307961377646</v>
      </c>
      <c r="H152" s="4">
        <f t="shared" si="52"/>
        <v>0.73465377450250202</v>
      </c>
      <c r="I152" s="4">
        <f t="shared" si="77"/>
        <v>0.69746959616528337</v>
      </c>
      <c r="J152" s="4">
        <f t="shared" si="53"/>
        <v>0.54607472185377048</v>
      </c>
      <c r="K152">
        <v>125.45</v>
      </c>
      <c r="L152" s="4">
        <v>3.8519999999999999</v>
      </c>
      <c r="M152" s="1">
        <v>3.774</v>
      </c>
      <c r="N152" s="1">
        <v>4.0170000000000003</v>
      </c>
      <c r="O152" s="1">
        <v>4.367</v>
      </c>
      <c r="P152" s="4">
        <f t="shared" si="58"/>
        <v>3.7947777777777776</v>
      </c>
      <c r="Q152" s="4">
        <f t="shared" si="59"/>
        <v>5.8572193319732158</v>
      </c>
      <c r="R152" s="4">
        <f t="shared" si="60"/>
        <v>5.089728820824905</v>
      </c>
      <c r="S152" s="4">
        <v>0.22299999999999998</v>
      </c>
      <c r="T152" s="4">
        <f t="shared" si="68"/>
        <v>0.19283777239709438</v>
      </c>
      <c r="U152" s="4">
        <v>0.184</v>
      </c>
      <c r="V152" s="4">
        <v>0.35699999999999998</v>
      </c>
      <c r="W152" s="4">
        <v>0.02</v>
      </c>
      <c r="X152" s="3">
        <v>3.2500000000000001E-2</v>
      </c>
      <c r="Y152" s="4">
        <f t="shared" si="69"/>
        <v>0.13746004842615014</v>
      </c>
      <c r="Z152" s="4">
        <v>0</v>
      </c>
      <c r="AB152" s="4">
        <v>0.01</v>
      </c>
      <c r="AC152" s="4">
        <f t="shared" si="61"/>
        <v>0.51446004842615012</v>
      </c>
      <c r="AD152" s="4">
        <f t="shared" si="70"/>
        <v>0.70846004842615007</v>
      </c>
      <c r="AE152" s="4">
        <v>0.1</v>
      </c>
      <c r="AF152" s="4">
        <f t="shared" si="71"/>
        <v>0.14059994619316685</v>
      </c>
      <c r="AG152" s="4">
        <f t="shared" si="62"/>
        <v>0.43162227602905556</v>
      </c>
      <c r="AH152" s="11">
        <v>1237090205</v>
      </c>
      <c r="AI152" s="32">
        <f t="shared" si="63"/>
        <v>39.906135645161292</v>
      </c>
      <c r="AJ152" s="32">
        <f t="shared" ref="AJ152:AJ161" si="78">AJ151</f>
        <v>39.632905938008285</v>
      </c>
      <c r="AK152" s="24">
        <f t="shared" si="64"/>
        <v>173934816.25909373</v>
      </c>
      <c r="AL152">
        <v>229.392</v>
      </c>
      <c r="AM152" s="95">
        <f t="shared" si="65"/>
        <v>0.74557563111245451</v>
      </c>
      <c r="AN152" s="1">
        <f t="shared" si="66"/>
        <v>0.18857905264873159</v>
      </c>
      <c r="AO152" s="1"/>
      <c r="AP152" s="110"/>
      <c r="AQ152" s="1">
        <f t="shared" ref="AQ152:AQ161" si="79">AQ151</f>
        <v>5.755348344849328E-2</v>
      </c>
      <c r="AR152" s="15">
        <f t="shared" si="42"/>
        <v>233.28929889992514</v>
      </c>
      <c r="AS152" s="7">
        <v>31</v>
      </c>
      <c r="AT152" s="1">
        <f t="shared" si="43"/>
        <v>7.5254612548362951</v>
      </c>
      <c r="AU152" s="16">
        <f t="shared" si="48"/>
        <v>-2367.6651316508073</v>
      </c>
      <c r="AV152" s="4">
        <f t="shared" si="44"/>
        <v>-2.3676651316508073</v>
      </c>
      <c r="AW152" s="4">
        <f t="shared" si="67"/>
        <v>5.6953834048266723</v>
      </c>
      <c r="AY152" s="4">
        <f>(O152-P152-AG152-(SpotGasPrices!K150-(SpotGasPrices!L150+SpotGasPrices!M150)/2))*($AL$279/AL152)</f>
        <v>-9.6655981181043446E-2</v>
      </c>
      <c r="AZ152" s="1">
        <f t="shared" si="76"/>
        <v>-0.14414814928453806</v>
      </c>
    </row>
    <row r="153" spans="1:52">
      <c r="D153" s="2">
        <v>2012</v>
      </c>
      <c r="E153" s="2">
        <v>4</v>
      </c>
      <c r="F153" s="4">
        <v>2.1505000000000001</v>
      </c>
      <c r="G153" s="4">
        <f t="shared" si="77"/>
        <v>0.75502307961377646</v>
      </c>
      <c r="H153" s="4">
        <f t="shared" si="52"/>
        <v>0.75736682390406196</v>
      </c>
      <c r="I153" s="4">
        <f t="shared" si="77"/>
        <v>0.69746959616528337</v>
      </c>
      <c r="J153" s="4">
        <f t="shared" si="53"/>
        <v>0.8162333796070691</v>
      </c>
      <c r="K153">
        <v>119.75</v>
      </c>
      <c r="L153" s="4">
        <v>3.9</v>
      </c>
      <c r="M153" s="1">
        <v>3.8370000000000002</v>
      </c>
      <c r="N153" s="1">
        <v>4.032</v>
      </c>
      <c r="O153" s="1">
        <v>4.2450000000000001</v>
      </c>
      <c r="P153" s="4">
        <f t="shared" si="58"/>
        <v>3.8616666666666664</v>
      </c>
      <c r="Q153" s="4">
        <f t="shared" si="59"/>
        <v>5.6764386857031095</v>
      </c>
      <c r="R153" s="4">
        <f t="shared" si="60"/>
        <v>5.1638431231936019</v>
      </c>
      <c r="S153" s="4">
        <v>0.22299999999999998</v>
      </c>
      <c r="T153" s="4">
        <f t="shared" si="68"/>
        <v>0.19326446058649446</v>
      </c>
      <c r="U153" s="4">
        <v>0.184</v>
      </c>
      <c r="V153" s="4">
        <v>0.35699999999999998</v>
      </c>
      <c r="W153" s="4">
        <v>0.02</v>
      </c>
      <c r="X153" s="3">
        <v>3.2500000000000001E-2</v>
      </c>
      <c r="Y153" s="4">
        <f t="shared" si="69"/>
        <v>0.13361985472154966</v>
      </c>
      <c r="Z153" s="4">
        <v>0</v>
      </c>
      <c r="AB153" s="4">
        <v>0.01</v>
      </c>
      <c r="AC153" s="4">
        <f t="shared" si="61"/>
        <v>0.51061985472154969</v>
      </c>
      <c r="AD153" s="4">
        <f t="shared" si="70"/>
        <v>0.70461985472154964</v>
      </c>
      <c r="AE153" s="4">
        <v>0.1</v>
      </c>
      <c r="AF153" s="4">
        <f t="shared" si="71"/>
        <v>-4.4022060801721441E-2</v>
      </c>
      <c r="AG153" s="4">
        <f t="shared" si="62"/>
        <v>0.42735539413505519</v>
      </c>
      <c r="AH153" s="10">
        <v>1183756696</v>
      </c>
      <c r="AI153" s="32">
        <f t="shared" si="63"/>
        <v>39.458556533333336</v>
      </c>
      <c r="AJ153" s="32">
        <f t="shared" si="78"/>
        <v>39.632905938008285</v>
      </c>
      <c r="AK153" s="24">
        <f t="shared" si="64"/>
        <v>-52111409.245756887</v>
      </c>
      <c r="AL153">
        <v>230.08500000000001</v>
      </c>
      <c r="AM153" s="95">
        <f t="shared" si="65"/>
        <v>0.74782803709156864</v>
      </c>
      <c r="AN153" s="1">
        <f t="shared" si="66"/>
        <v>-5.8866555703007306E-2</v>
      </c>
      <c r="AO153" s="1"/>
      <c r="AP153" s="110"/>
      <c r="AQ153" s="1">
        <f t="shared" si="79"/>
        <v>5.755348344849328E-2</v>
      </c>
      <c r="AR153" s="15">
        <f t="shared" si="42"/>
        <v>-69.683679483891893</v>
      </c>
      <c r="AS153" s="7">
        <v>30</v>
      </c>
      <c r="AT153" s="1">
        <f t="shared" si="43"/>
        <v>-2.3227893161297297</v>
      </c>
      <c r="AU153" s="16">
        <f t="shared" si="48"/>
        <v>-2437.3488111346992</v>
      </c>
      <c r="AV153" s="4">
        <f t="shared" si="44"/>
        <v>-2.437348811134699</v>
      </c>
      <c r="AW153" s="4">
        <f t="shared" si="67"/>
        <v>5.519597757350545</v>
      </c>
      <c r="AY153" s="4">
        <f>(O153-P153-AG153-(SpotGasPrices!K151-(SpotGasPrices!L151+SpotGasPrices!M151)/2))*($AL$279/AL153)</f>
        <v>-0.1820077814009716</v>
      </c>
      <c r="AZ153" s="1">
        <f t="shared" si="76"/>
        <v>-0.14414814928453806</v>
      </c>
    </row>
    <row r="154" spans="1:52">
      <c r="D154" s="2">
        <v>2012</v>
      </c>
      <c r="E154" s="2">
        <v>5</v>
      </c>
      <c r="F154" s="4">
        <v>2.105</v>
      </c>
      <c r="G154" s="4">
        <f t="shared" si="77"/>
        <v>0.75502307961377646</v>
      </c>
      <c r="H154" s="4">
        <f t="shared" si="52"/>
        <v>1.1409974267998175</v>
      </c>
      <c r="I154" s="4">
        <f t="shared" si="77"/>
        <v>0.69746959616528337</v>
      </c>
      <c r="J154" s="4">
        <f t="shared" si="53"/>
        <v>0.86070430697154976</v>
      </c>
      <c r="K154">
        <v>110.34</v>
      </c>
      <c r="L154" s="4">
        <v>3.7320000000000002</v>
      </c>
      <c r="M154" s="1">
        <v>3.6429999999999998</v>
      </c>
      <c r="N154" s="1">
        <v>3.919</v>
      </c>
      <c r="O154" s="1">
        <v>4.3070000000000004</v>
      </c>
      <c r="P154" s="4">
        <f t="shared" si="58"/>
        <v>3.6681111111111115</v>
      </c>
      <c r="Q154" s="4">
        <f t="shared" si="59"/>
        <v>5.7661118595391949</v>
      </c>
      <c r="R154" s="4">
        <f t="shared" si="60"/>
        <v>4.9107822103285983</v>
      </c>
      <c r="S154" s="4">
        <v>0.22299999999999998</v>
      </c>
      <c r="T154" s="4">
        <f t="shared" si="68"/>
        <v>0.19304761904761902</v>
      </c>
      <c r="U154" s="4">
        <v>0.184</v>
      </c>
      <c r="V154" s="4">
        <v>0.35699999999999998</v>
      </c>
      <c r="W154" s="4">
        <v>0.02</v>
      </c>
      <c r="X154" s="3">
        <v>3.2500000000000001E-2</v>
      </c>
      <c r="Y154" s="4">
        <f t="shared" si="69"/>
        <v>0.13557142857142859</v>
      </c>
      <c r="Z154" s="4">
        <v>0</v>
      </c>
      <c r="AB154" s="4">
        <v>0.01</v>
      </c>
      <c r="AC154" s="4">
        <f t="shared" si="61"/>
        <v>0.51257142857142857</v>
      </c>
      <c r="AD154" s="4">
        <f t="shared" si="70"/>
        <v>0.70657142857142852</v>
      </c>
      <c r="AE154" s="4">
        <v>0.1</v>
      </c>
      <c r="AF154" s="4">
        <f t="shared" si="71"/>
        <v>0.20936507936507942</v>
      </c>
      <c r="AG154" s="4">
        <f t="shared" si="62"/>
        <v>0.42952380952380942</v>
      </c>
      <c r="AH154" s="10">
        <v>1277903245</v>
      </c>
      <c r="AI154" s="32">
        <f t="shared" si="63"/>
        <v>41.222685322580645</v>
      </c>
      <c r="AJ154" s="32">
        <f t="shared" si="78"/>
        <v>39.632905938008285</v>
      </c>
      <c r="AK154" s="24">
        <f t="shared" si="64"/>
        <v>267548314.31031755</v>
      </c>
      <c r="AL154">
        <v>229.815</v>
      </c>
      <c r="AM154" s="95">
        <f t="shared" si="65"/>
        <v>0.74695047632048517</v>
      </c>
      <c r="AN154" s="1">
        <f t="shared" si="66"/>
        <v>0.28029311982826777</v>
      </c>
      <c r="AO154" s="1"/>
      <c r="AP154" s="110"/>
      <c r="AQ154" s="1">
        <f t="shared" si="79"/>
        <v>5.755348344849328E-2</v>
      </c>
      <c r="AR154" s="15">
        <f t="shared" si="42"/>
        <v>358.18748737971725</v>
      </c>
      <c r="AS154" s="7">
        <v>31</v>
      </c>
      <c r="AT154" s="1">
        <f t="shared" si="43"/>
        <v>11.554435076765072</v>
      </c>
      <c r="AU154" s="16">
        <f t="shared" si="48"/>
        <v>-2079.1613237549818</v>
      </c>
      <c r="AV154" s="4">
        <f t="shared" si="44"/>
        <v>-2.079161323754982</v>
      </c>
      <c r="AW154" s="4">
        <f t="shared" si="67"/>
        <v>5.6067932467419457</v>
      </c>
      <c r="AY154" s="4">
        <f>(O154-P154-AG154-(SpotGasPrices!K152-(SpotGasPrices!L152+SpotGasPrices!M152)/2))*($AL$279/AL154)</f>
        <v>-0.25433744519832885</v>
      </c>
      <c r="AZ154" s="1">
        <f t="shared" si="76"/>
        <v>-0.14414814928453806</v>
      </c>
    </row>
    <row r="155" spans="1:52">
      <c r="A155" s="2">
        <f>A143+1</f>
        <v>2012</v>
      </c>
      <c r="B155" s="2">
        <f>D155</f>
        <v>2012</v>
      </c>
      <c r="D155" s="2">
        <v>2012</v>
      </c>
      <c r="E155" s="2">
        <v>6</v>
      </c>
      <c r="F155" s="4">
        <v>2.0180950000000002</v>
      </c>
      <c r="G155" s="4">
        <f t="shared" si="77"/>
        <v>0.75502307961377646</v>
      </c>
      <c r="H155" s="4">
        <f t="shared" si="52"/>
        <v>1.3428565375743708</v>
      </c>
      <c r="I155" s="4">
        <f t="shared" si="77"/>
        <v>0.69746959616528337</v>
      </c>
      <c r="J155" s="4">
        <f t="shared" si="53"/>
        <v>1.094943543883901</v>
      </c>
      <c r="K155">
        <v>95.16</v>
      </c>
      <c r="L155" s="4">
        <v>3.5390000000000001</v>
      </c>
      <c r="M155" s="1">
        <v>3.4649999999999999</v>
      </c>
      <c r="N155" s="1">
        <v>3.6949999999999998</v>
      </c>
      <c r="O155" s="1">
        <v>4.085</v>
      </c>
      <c r="P155" s="4">
        <f t="shared" si="58"/>
        <v>3.4783333333333335</v>
      </c>
      <c r="Q155" s="4">
        <f t="shared" si="59"/>
        <v>5.4769347606306482</v>
      </c>
      <c r="R155" s="4">
        <f t="shared" si="60"/>
        <v>4.6635507325320944</v>
      </c>
      <c r="S155" s="4">
        <v>0.22299999999999998</v>
      </c>
      <c r="T155" s="4">
        <f t="shared" si="68"/>
        <v>0.1938240516545601</v>
      </c>
      <c r="U155" s="4">
        <v>0.184</v>
      </c>
      <c r="V155" s="4">
        <v>0.35699999999999998</v>
      </c>
      <c r="W155" s="4">
        <v>0.02</v>
      </c>
      <c r="X155" s="3">
        <v>3.2500000000000001E-2</v>
      </c>
      <c r="Y155" s="4">
        <f t="shared" si="69"/>
        <v>0.12858353510895884</v>
      </c>
      <c r="Z155" s="4">
        <v>0</v>
      </c>
      <c r="AB155" s="4">
        <v>0.01</v>
      </c>
      <c r="AC155" s="4">
        <f t="shared" si="61"/>
        <v>0.50558353510895881</v>
      </c>
      <c r="AD155" s="4">
        <f t="shared" si="70"/>
        <v>0.69958353510895877</v>
      </c>
      <c r="AE155" s="4">
        <v>0.1</v>
      </c>
      <c r="AF155" s="4">
        <f t="shared" si="71"/>
        <v>0.18490718321226796</v>
      </c>
      <c r="AG155" s="4">
        <f t="shared" si="62"/>
        <v>0.42175948345439851</v>
      </c>
      <c r="AH155" s="11">
        <v>1230283199</v>
      </c>
      <c r="AI155" s="32">
        <f t="shared" si="63"/>
        <v>41.009439966666669</v>
      </c>
      <c r="AJ155" s="32">
        <f t="shared" si="78"/>
        <v>39.632905938008285</v>
      </c>
      <c r="AK155" s="24">
        <f t="shared" si="64"/>
        <v>227488200.88046813</v>
      </c>
      <c r="AL155">
        <v>229.47800000000001</v>
      </c>
      <c r="AM155" s="95">
        <f t="shared" si="65"/>
        <v>0.74585515046917006</v>
      </c>
      <c r="AN155" s="1">
        <f t="shared" si="66"/>
        <v>0.24791299369047007</v>
      </c>
      <c r="AO155" s="1"/>
      <c r="AP155" s="110"/>
      <c r="AQ155" s="1">
        <f t="shared" si="79"/>
        <v>5.755348344849328E-2</v>
      </c>
      <c r="AR155" s="15">
        <f t="shared" si="42"/>
        <v>305.0031909511784</v>
      </c>
      <c r="AS155" s="7">
        <v>30</v>
      </c>
      <c r="AT155" s="1">
        <f t="shared" si="43"/>
        <v>10.166773031705947</v>
      </c>
      <c r="AU155" s="16">
        <f t="shared" si="48"/>
        <v>-1774.1581328038035</v>
      </c>
      <c r="AV155" s="4">
        <f t="shared" si="44"/>
        <v>-1.7741581328038034</v>
      </c>
      <c r="AW155" s="4">
        <f t="shared" si="67"/>
        <v>5.3256061583245451</v>
      </c>
      <c r="AY155" s="4">
        <f>(O155-P155-AG155-(SpotGasPrices!K153-(SpotGasPrices!L153+SpotGasPrices!M153)/2))*($AL$279/AL155)</f>
        <v>0.15312036658614106</v>
      </c>
      <c r="AZ155" s="1">
        <f t="shared" si="76"/>
        <v>-0.14414814928453806</v>
      </c>
    </row>
    <row r="156" spans="1:52">
      <c r="D156" s="2">
        <v>2012</v>
      </c>
      <c r="E156" s="2">
        <v>7</v>
      </c>
      <c r="F156" s="4">
        <v>2.402857</v>
      </c>
      <c r="G156" s="4">
        <f t="shared" si="77"/>
        <v>0.75502307961377646</v>
      </c>
      <c r="H156" s="4">
        <f t="shared" si="52"/>
        <v>0.69607610796251485</v>
      </c>
      <c r="I156" s="4">
        <f t="shared" si="77"/>
        <v>0.69746959616528337</v>
      </c>
      <c r="J156" s="4">
        <f t="shared" si="53"/>
        <v>0.75247056385908884</v>
      </c>
      <c r="K156">
        <v>102.62</v>
      </c>
      <c r="L156" s="4">
        <v>3.4390000000000001</v>
      </c>
      <c r="M156" s="1">
        <v>3.379</v>
      </c>
      <c r="N156" s="1">
        <v>3.5649999999999999</v>
      </c>
      <c r="O156" s="1">
        <v>3.774</v>
      </c>
      <c r="P156" s="4">
        <f t="shared" si="58"/>
        <v>3.4017777777777773</v>
      </c>
      <c r="Q156" s="4">
        <f t="shared" si="59"/>
        <v>5.0682238372093016</v>
      </c>
      <c r="R156" s="4">
        <f t="shared" si="60"/>
        <v>4.5683548548548538</v>
      </c>
      <c r="S156" s="4">
        <v>0.22299999999999998</v>
      </c>
      <c r="T156" s="4">
        <f t="shared" si="68"/>
        <v>0.19457842345977938</v>
      </c>
      <c r="U156" s="4">
        <v>0.184</v>
      </c>
      <c r="V156" s="4">
        <v>0.36</v>
      </c>
      <c r="W156" s="4">
        <v>0.02</v>
      </c>
      <c r="X156" s="3">
        <v>3.2500000000000001E-2</v>
      </c>
      <c r="Y156" s="4">
        <f t="shared" si="69"/>
        <v>0.11879418886198548</v>
      </c>
      <c r="Z156" s="4">
        <v>0</v>
      </c>
      <c r="AB156" s="4">
        <v>0.01</v>
      </c>
      <c r="AC156" s="4">
        <f t="shared" si="61"/>
        <v>0.49879418886198545</v>
      </c>
      <c r="AD156" s="4">
        <f t="shared" si="70"/>
        <v>0.69279418886198552</v>
      </c>
      <c r="AE156" s="4">
        <v>0.1</v>
      </c>
      <c r="AF156" s="4">
        <f t="shared" si="71"/>
        <v>-4.1993543179983384E-2</v>
      </c>
      <c r="AG156" s="4">
        <f t="shared" si="62"/>
        <v>0.41421576540220606</v>
      </c>
      <c r="AH156" s="10">
        <v>1230261987</v>
      </c>
      <c r="AI156" s="32">
        <f t="shared" si="63"/>
        <v>39.685870548387093</v>
      </c>
      <c r="AJ156" s="32">
        <f t="shared" si="78"/>
        <v>39.632905938008285</v>
      </c>
      <c r="AK156" s="24">
        <f t="shared" si="64"/>
        <v>-51663059.873776659</v>
      </c>
      <c r="AL156">
        <v>229.10400000000001</v>
      </c>
      <c r="AM156" s="95">
        <f t="shared" si="65"/>
        <v>0.74463956628996564</v>
      </c>
      <c r="AN156" s="1">
        <f t="shared" si="66"/>
        <v>-5.6394455896573902E-2</v>
      </c>
      <c r="AO156" s="1"/>
      <c r="AP156" s="110"/>
      <c r="AQ156" s="1">
        <f t="shared" si="79"/>
        <v>5.755348344849328E-2</v>
      </c>
      <c r="AR156" s="15">
        <f t="shared" si="42"/>
        <v>-69.37995536710288</v>
      </c>
      <c r="AS156" s="7">
        <v>31</v>
      </c>
      <c r="AT156" s="1">
        <f t="shared" si="43"/>
        <v>-2.2380630763581575</v>
      </c>
      <c r="AU156" s="16">
        <f t="shared" si="48"/>
        <v>-1843.5380881709063</v>
      </c>
      <c r="AV156" s="4">
        <f t="shared" si="44"/>
        <v>-1.8435380881709063</v>
      </c>
      <c r="AW156" s="4">
        <f t="shared" si="67"/>
        <v>4.9281879844961241</v>
      </c>
      <c r="AY156" s="4">
        <f>(O156-P156-AG156-(SpotGasPrices!K154-(SpotGasPrices!L154+SpotGasPrices!M154)/2))*($AL$279/AL156)</f>
        <v>-0.21461893197042947</v>
      </c>
      <c r="AZ156" s="1">
        <f t="shared" si="76"/>
        <v>-0.14414814928453806</v>
      </c>
    </row>
    <row r="157" spans="1:52">
      <c r="D157" s="2">
        <v>2012</v>
      </c>
      <c r="E157" s="2">
        <v>8</v>
      </c>
      <c r="F157" s="4">
        <v>2.531304</v>
      </c>
      <c r="G157" s="4">
        <f t="shared" si="77"/>
        <v>0.75502307961377646</v>
      </c>
      <c r="H157" s="4">
        <f t="shared" si="52"/>
        <v>0.72179593207096215</v>
      </c>
      <c r="I157" s="4">
        <f t="shared" si="77"/>
        <v>0.69746959616528337</v>
      </c>
      <c r="J157" s="4">
        <f t="shared" si="53"/>
        <v>0.7824736632367747</v>
      </c>
      <c r="K157">
        <v>113.36</v>
      </c>
      <c r="L157" s="4">
        <v>3.722</v>
      </c>
      <c r="M157" s="1">
        <v>3.6680000000000001</v>
      </c>
      <c r="N157" s="1">
        <v>3.8340000000000001</v>
      </c>
      <c r="O157" s="1">
        <v>4.0629999999999997</v>
      </c>
      <c r="P157" s="4">
        <f t="shared" si="58"/>
        <v>3.6841111111111111</v>
      </c>
      <c r="Q157" s="4">
        <f t="shared" si="59"/>
        <v>5.4261337752138861</v>
      </c>
      <c r="R157" s="4">
        <f t="shared" si="60"/>
        <v>4.9201279181985624</v>
      </c>
      <c r="S157" s="4">
        <v>0.22299999999999998</v>
      </c>
      <c r="T157" s="4">
        <f t="shared" si="68"/>
        <v>0.19356766209308579</v>
      </c>
      <c r="U157" s="4">
        <v>0.184</v>
      </c>
      <c r="V157" s="4">
        <v>0.36</v>
      </c>
      <c r="W157" s="4">
        <v>0.02</v>
      </c>
      <c r="X157" s="3">
        <v>3.2500000000000001E-2</v>
      </c>
      <c r="Y157" s="4">
        <f t="shared" si="69"/>
        <v>0.1278910411622276</v>
      </c>
      <c r="Z157" s="4">
        <v>0</v>
      </c>
      <c r="AB157" s="4">
        <v>0.01</v>
      </c>
      <c r="AC157" s="4">
        <f t="shared" si="61"/>
        <v>0.50789104116222761</v>
      </c>
      <c r="AD157" s="4">
        <f t="shared" si="70"/>
        <v>0.70189104116222767</v>
      </c>
      <c r="AE157" s="4">
        <v>0.1</v>
      </c>
      <c r="AF157" s="4">
        <f t="shared" si="71"/>
        <v>-4.5434490180253029E-2</v>
      </c>
      <c r="AG157" s="4">
        <f t="shared" si="62"/>
        <v>0.42432337906914164</v>
      </c>
      <c r="AH157" s="10">
        <v>1255713656</v>
      </c>
      <c r="AI157" s="32">
        <f t="shared" si="63"/>
        <v>40.506892129032259</v>
      </c>
      <c r="AJ157" s="32">
        <f t="shared" si="78"/>
        <v>39.632905938008285</v>
      </c>
      <c r="AK157" s="24">
        <f t="shared" si="64"/>
        <v>-57052709.772741631</v>
      </c>
      <c r="AL157">
        <v>230.37899999999999</v>
      </c>
      <c r="AM157" s="95">
        <f t="shared" si="65"/>
        <v>0.74878360326452609</v>
      </c>
      <c r="AN157" s="1">
        <f t="shared" si="66"/>
        <v>-6.0677731165812113E-2</v>
      </c>
      <c r="AO157" s="1"/>
      <c r="AP157" s="110"/>
      <c r="AQ157" s="1">
        <f t="shared" si="79"/>
        <v>5.755348344849328E-2</v>
      </c>
      <c r="AR157" s="15">
        <f t="shared" si="42"/>
        <v>-76.193855640007072</v>
      </c>
      <c r="AS157" s="7">
        <v>31</v>
      </c>
      <c r="AT157" s="1">
        <f t="shared" si="43"/>
        <v>-2.4578663109679701</v>
      </c>
      <c r="AU157" s="16">
        <f t="shared" si="48"/>
        <v>-1919.7319438109134</v>
      </c>
      <c r="AV157" s="4">
        <f t="shared" si="44"/>
        <v>-1.9197319438109135</v>
      </c>
      <c r="AW157" s="4">
        <f t="shared" si="67"/>
        <v>5.2762088124351614</v>
      </c>
      <c r="AY157" s="4">
        <f>(O157-P157-AG157-(SpotGasPrices!K155-(SpotGasPrices!L155+SpotGasPrices!M155)/2))*($AL$279/AL157)</f>
        <v>-0.23211156957707751</v>
      </c>
      <c r="AZ157" s="1">
        <f t="shared" si="76"/>
        <v>-0.14414814928453806</v>
      </c>
    </row>
    <row r="158" spans="1:52">
      <c r="D158" s="2">
        <v>2012</v>
      </c>
      <c r="E158" s="2">
        <v>9</v>
      </c>
      <c r="F158" s="4">
        <v>2.3984209999999999</v>
      </c>
      <c r="G158" s="4">
        <f t="shared" si="77"/>
        <v>0.75502307961377646</v>
      </c>
      <c r="H158" s="4">
        <f t="shared" ref="H158:H189" si="80">(O158-0.024*K158-AD158-AE158)/AM158</f>
        <v>0.86589123917482536</v>
      </c>
      <c r="I158" s="4">
        <f t="shared" si="77"/>
        <v>0.69746959616528337</v>
      </c>
      <c r="J158" s="4">
        <f t="shared" ref="J158:J189" si="81">(P158-K158*0.024-T158-U158)/AM158</f>
        <v>0.967974905981559</v>
      </c>
      <c r="K158">
        <v>112.86</v>
      </c>
      <c r="L158" s="4">
        <v>3.8490000000000002</v>
      </c>
      <c r="M158" s="1">
        <v>3.8010000000000002</v>
      </c>
      <c r="N158" s="1">
        <v>3.9489999999999998</v>
      </c>
      <c r="O158" s="1">
        <v>4.165</v>
      </c>
      <c r="P158" s="4">
        <f t="shared" si="58"/>
        <v>3.8138888888888891</v>
      </c>
      <c r="Q158" s="4">
        <f t="shared" si="59"/>
        <v>5.5376445613140479</v>
      </c>
      <c r="R158" s="4">
        <f t="shared" si="60"/>
        <v>5.0708189827158785</v>
      </c>
      <c r="S158" s="4">
        <v>0.22299999999999998</v>
      </c>
      <c r="T158" s="4">
        <f t="shared" si="68"/>
        <v>0.19321092278719396</v>
      </c>
      <c r="U158" s="4">
        <v>0.184</v>
      </c>
      <c r="V158" s="4">
        <v>0.36</v>
      </c>
      <c r="W158" s="4">
        <v>0.02</v>
      </c>
      <c r="X158" s="3">
        <v>3.2500000000000001E-2</v>
      </c>
      <c r="Y158" s="4">
        <f t="shared" si="69"/>
        <v>0.13110169491525425</v>
      </c>
      <c r="Z158" s="4">
        <v>0</v>
      </c>
      <c r="AB158" s="4">
        <v>0.01</v>
      </c>
      <c r="AC158" s="4">
        <f t="shared" si="61"/>
        <v>0.51110169491525426</v>
      </c>
      <c r="AD158" s="4">
        <f t="shared" si="70"/>
        <v>0.70510169491525432</v>
      </c>
      <c r="AE158" s="4">
        <v>0.1</v>
      </c>
      <c r="AF158" s="4">
        <f t="shared" si="71"/>
        <v>-7.677966101694933E-2</v>
      </c>
      <c r="AG158" s="4">
        <f t="shared" si="62"/>
        <v>0.42789077212806026</v>
      </c>
      <c r="AH158" s="11">
        <v>1194012527</v>
      </c>
      <c r="AI158" s="32">
        <f t="shared" si="63"/>
        <v>39.800417566666667</v>
      </c>
      <c r="AJ158" s="32">
        <f t="shared" si="78"/>
        <v>39.632905938008285</v>
      </c>
      <c r="AK158" s="24">
        <f t="shared" si="64"/>
        <v>-91675877.073051065</v>
      </c>
      <c r="AL158">
        <v>231.40700000000001</v>
      </c>
      <c r="AM158" s="95">
        <f t="shared" si="65"/>
        <v>0.75212483464479918</v>
      </c>
      <c r="AN158" s="1">
        <f t="shared" si="66"/>
        <v>-0.10208366680673366</v>
      </c>
      <c r="AO158" s="1"/>
      <c r="AP158" s="110"/>
      <c r="AQ158" s="1">
        <f t="shared" si="79"/>
        <v>5.755348344849328E-2</v>
      </c>
      <c r="AR158" s="15">
        <f t="shared" si="42"/>
        <v>-121.88917696933409</v>
      </c>
      <c r="AS158" s="7">
        <v>30</v>
      </c>
      <c r="AT158" s="1">
        <f t="shared" si="43"/>
        <v>-4.0629725656444693</v>
      </c>
      <c r="AU158" s="16">
        <f t="shared" si="48"/>
        <v>-2041.6211207802476</v>
      </c>
      <c r="AV158" s="4">
        <f t="shared" si="44"/>
        <v>-2.0416211207802477</v>
      </c>
      <c r="AW158" s="4">
        <f t="shared" si="67"/>
        <v>5.3846385372957606</v>
      </c>
      <c r="AY158" s="4">
        <f>(O158-P158-AG158-(SpotGasPrices!K156-(SpotGasPrices!L156+SpotGasPrices!M156)/2))*($AL$279/AL158)</f>
        <v>-0.11175712203599303</v>
      </c>
      <c r="AZ158" s="1">
        <f t="shared" si="76"/>
        <v>-0.14414814928453806</v>
      </c>
    </row>
    <row r="159" spans="1:52">
      <c r="D159" s="2">
        <v>2012</v>
      </c>
      <c r="E159" s="2">
        <v>10</v>
      </c>
      <c r="F159" s="4">
        <v>2.296522</v>
      </c>
      <c r="G159" s="4">
        <f t="shared" si="77"/>
        <v>0.75502307961377646</v>
      </c>
      <c r="H159" s="4">
        <f t="shared" si="80"/>
        <v>1.2211279950508884</v>
      </c>
      <c r="I159" s="4">
        <f t="shared" si="77"/>
        <v>0.69746959616528337</v>
      </c>
      <c r="J159" s="4">
        <f t="shared" si="81"/>
        <v>0.81748673761731228</v>
      </c>
      <c r="K159">
        <v>111.71</v>
      </c>
      <c r="L159" s="4">
        <v>3.746</v>
      </c>
      <c r="M159" s="1">
        <v>3.653</v>
      </c>
      <c r="N159" s="1">
        <v>3.9390000000000001</v>
      </c>
      <c r="O159" s="1">
        <v>4.4119999999999999</v>
      </c>
      <c r="P159" s="4">
        <f t="shared" si="58"/>
        <v>3.6720000000000002</v>
      </c>
      <c r="Q159" s="4">
        <f t="shared" si="59"/>
        <v>5.8683298330861975</v>
      </c>
      <c r="R159" s="4">
        <f t="shared" si="60"/>
        <v>4.8840678030581408</v>
      </c>
      <c r="S159" s="4">
        <v>0.22299999999999998</v>
      </c>
      <c r="T159" s="4">
        <f t="shared" si="68"/>
        <v>0.19234705407586761</v>
      </c>
      <c r="U159" s="4">
        <v>0.184</v>
      </c>
      <c r="V159" s="4">
        <v>0.36</v>
      </c>
      <c r="W159" s="4">
        <v>0.02</v>
      </c>
      <c r="X159" s="3">
        <v>3.2500000000000001E-2</v>
      </c>
      <c r="Y159" s="4">
        <f t="shared" si="69"/>
        <v>0.13887651331719128</v>
      </c>
      <c r="Z159" s="4">
        <v>0</v>
      </c>
      <c r="AB159" s="4">
        <v>0.01</v>
      </c>
      <c r="AC159" s="4">
        <f t="shared" si="61"/>
        <v>0.51887651331719131</v>
      </c>
      <c r="AD159" s="4">
        <f t="shared" si="70"/>
        <v>0.71287651331719137</v>
      </c>
      <c r="AE159" s="4">
        <v>0.1</v>
      </c>
      <c r="AF159" s="4">
        <f t="shared" si="71"/>
        <v>0.30347054075867641</v>
      </c>
      <c r="AG159" s="4">
        <f t="shared" si="62"/>
        <v>0.43652945924132336</v>
      </c>
      <c r="AH159" s="10">
        <v>1220857664</v>
      </c>
      <c r="AI159" s="32">
        <f t="shared" si="63"/>
        <v>39.382505290322584</v>
      </c>
      <c r="AJ159" s="32">
        <f t="shared" si="78"/>
        <v>39.632905938008285</v>
      </c>
      <c r="AK159" s="24">
        <f t="shared" si="64"/>
        <v>370494335.48345447</v>
      </c>
      <c r="AL159">
        <v>231.31700000000001</v>
      </c>
      <c r="AM159" s="95">
        <f t="shared" si="65"/>
        <v>0.75183231438777143</v>
      </c>
      <c r="AN159" s="1">
        <f t="shared" si="66"/>
        <v>0.40364125743357693</v>
      </c>
      <c r="AO159" s="1"/>
      <c r="AP159" s="110"/>
      <c r="AQ159" s="1">
        <f t="shared" si="79"/>
        <v>5.755348344849328E-2</v>
      </c>
      <c r="AR159" s="15">
        <f t="shared" si="42"/>
        <v>492.78852264437938</v>
      </c>
      <c r="AS159" s="7">
        <v>31</v>
      </c>
      <c r="AT159" s="1">
        <f t="shared" si="43"/>
        <v>15.896403956270303</v>
      </c>
      <c r="AU159" s="16">
        <f>AU158+AR159</f>
        <v>-1548.8325981358682</v>
      </c>
      <c r="AV159" s="4">
        <f t="shared" si="44"/>
        <v>-1.5488325981358682</v>
      </c>
      <c r="AW159" s="4">
        <f t="shared" si="67"/>
        <v>5.7061869209785696</v>
      </c>
      <c r="AY159" s="4">
        <f>(O159-P159-AG159-(SpotGasPrices!K157-(SpotGasPrices!L157+SpotGasPrices!M157)/2))*($AL$279/AL159)</f>
        <v>5.7936774178182986E-2</v>
      </c>
      <c r="AZ159" s="1">
        <f t="shared" si="76"/>
        <v>-0.14414814928453806</v>
      </c>
    </row>
    <row r="160" spans="1:52">
      <c r="D160" s="2">
        <v>2012</v>
      </c>
      <c r="E160" s="2">
        <v>11</v>
      </c>
      <c r="F160" s="4">
        <v>2.3095240000000001</v>
      </c>
      <c r="G160" s="4">
        <f t="shared" si="77"/>
        <v>0.75502307961377646</v>
      </c>
      <c r="H160" s="4">
        <f t="shared" si="80"/>
        <v>0.57933557150502146</v>
      </c>
      <c r="I160" s="4">
        <f t="shared" si="77"/>
        <v>0.69746959616528337</v>
      </c>
      <c r="J160" s="4">
        <f t="shared" si="81"/>
        <v>0.55121223278335063</v>
      </c>
      <c r="K160">
        <v>109.06</v>
      </c>
      <c r="L160" s="4">
        <v>3.452</v>
      </c>
      <c r="M160" s="1">
        <v>3.38</v>
      </c>
      <c r="N160" s="1">
        <v>3.6030000000000002</v>
      </c>
      <c r="O160" s="1">
        <v>3.8460000000000001</v>
      </c>
      <c r="P160" s="4">
        <f t="shared" si="58"/>
        <v>3.4082222222222223</v>
      </c>
      <c r="Q160" s="4">
        <f t="shared" si="59"/>
        <v>5.1398554693099241</v>
      </c>
      <c r="R160" s="4">
        <f t="shared" si="60"/>
        <v>4.5548022957650831</v>
      </c>
      <c r="S160" s="4">
        <v>0.22299999999999998</v>
      </c>
      <c r="T160" s="4">
        <f t="shared" si="68"/>
        <v>0.19432660747914982</v>
      </c>
      <c r="U160" s="4">
        <v>0.184</v>
      </c>
      <c r="V160" s="4">
        <v>0.36</v>
      </c>
      <c r="W160" s="4">
        <v>0.02</v>
      </c>
      <c r="X160" s="3">
        <v>3.2500000000000001E-2</v>
      </c>
      <c r="Y160" s="4">
        <f t="shared" si="69"/>
        <v>0.12106053268765134</v>
      </c>
      <c r="Z160" s="4">
        <v>0</v>
      </c>
      <c r="AB160" s="4">
        <v>0.01</v>
      </c>
      <c r="AC160" s="4">
        <f t="shared" si="61"/>
        <v>0.50106053268765138</v>
      </c>
      <c r="AD160" s="4">
        <f t="shared" si="70"/>
        <v>0.69506053268765144</v>
      </c>
      <c r="AE160" s="4">
        <v>0.1</v>
      </c>
      <c r="AF160" s="4">
        <f t="shared" si="71"/>
        <v>2.1043852569276655E-2</v>
      </c>
      <c r="AG160" s="4">
        <f t="shared" si="62"/>
        <v>0.41673392520850117</v>
      </c>
      <c r="AH160" s="10">
        <v>1162560411</v>
      </c>
      <c r="AI160" s="32">
        <f t="shared" si="63"/>
        <v>38.752013699999999</v>
      </c>
      <c r="AJ160" s="32">
        <f t="shared" si="78"/>
        <v>39.632905938008285</v>
      </c>
      <c r="AK160" s="24">
        <f t="shared" si="64"/>
        <v>24464749.891961675</v>
      </c>
      <c r="AL160">
        <v>230.221</v>
      </c>
      <c r="AM160" s="95">
        <f t="shared" si="65"/>
        <v>0.7482700677021884</v>
      </c>
      <c r="AN160" s="1">
        <f t="shared" si="66"/>
        <v>2.8123338721671429E-2</v>
      </c>
      <c r="AO160" s="1"/>
      <c r="AP160" s="110"/>
      <c r="AQ160" s="1">
        <f t="shared" si="79"/>
        <v>5.755348344849328E-2</v>
      </c>
      <c r="AR160" s="15">
        <f t="shared" si="42"/>
        <v>32.695080222958552</v>
      </c>
      <c r="AS160" s="7">
        <v>30</v>
      </c>
      <c r="AT160" s="1">
        <f t="shared" si="43"/>
        <v>1.0898360074319517</v>
      </c>
      <c r="AU160" s="16">
        <f t="shared" si="48"/>
        <v>-1516.1375179129097</v>
      </c>
      <c r="AV160" s="4">
        <f t="shared" si="44"/>
        <v>-1.5161375179129097</v>
      </c>
      <c r="AW160" s="4">
        <f t="shared" si="67"/>
        <v>4.9978404228979976</v>
      </c>
      <c r="AY160" s="4">
        <f>(O160-P160-AG160-(SpotGasPrices!K158-(SpotGasPrices!L158+SpotGasPrices!M158)/2))*($AL$279/AL160)</f>
        <v>-0.13133097939859789</v>
      </c>
      <c r="AZ160" s="1">
        <f t="shared" si="76"/>
        <v>-0.14414814928453806</v>
      </c>
    </row>
    <row r="161" spans="1:52">
      <c r="B161" s="26" t="s">
        <v>33</v>
      </c>
      <c r="C161" s="29"/>
      <c r="D161" s="2">
        <v>2012</v>
      </c>
      <c r="E161" s="2">
        <v>12</v>
      </c>
      <c r="F161" s="4">
        <v>2.2599999999999998</v>
      </c>
      <c r="G161" s="4">
        <f t="shared" si="77"/>
        <v>0.75502307961377646</v>
      </c>
      <c r="H161" s="4">
        <f t="shared" si="80"/>
        <v>0.22184422832269324</v>
      </c>
      <c r="I161" s="4">
        <f t="shared" si="77"/>
        <v>0.69746959616528337</v>
      </c>
      <c r="J161" s="4">
        <f t="shared" si="81"/>
        <v>0.36580404640750269</v>
      </c>
      <c r="K161">
        <v>109.49</v>
      </c>
      <c r="L161" s="4">
        <v>3.31</v>
      </c>
      <c r="M161" s="1">
        <v>3.2559999999999998</v>
      </c>
      <c r="N161" s="1">
        <v>3.4239999999999999</v>
      </c>
      <c r="O161" s="1">
        <v>3.58</v>
      </c>
      <c r="P161" s="4">
        <f t="shared" si="58"/>
        <v>3.28</v>
      </c>
      <c r="Q161" s="4">
        <f t="shared" si="59"/>
        <v>4.7972882522288662</v>
      </c>
      <c r="R161" s="4">
        <f t="shared" si="60"/>
        <v>4.3952808567906931</v>
      </c>
      <c r="S161" s="4">
        <v>0.22299999999999998</v>
      </c>
      <c r="T161" s="4">
        <f t="shared" si="68"/>
        <v>0.19525692762980895</v>
      </c>
      <c r="U161" s="4">
        <v>0.184</v>
      </c>
      <c r="V161" s="4">
        <v>0.36</v>
      </c>
      <c r="W161" s="4">
        <v>0.02</v>
      </c>
      <c r="X161" s="3">
        <v>3.2500000000000001E-2</v>
      </c>
      <c r="Y161" s="4">
        <f t="shared" si="69"/>
        <v>0.11268765133171914</v>
      </c>
      <c r="Z161" s="4">
        <v>0</v>
      </c>
      <c r="AB161" s="4">
        <v>0.01</v>
      </c>
      <c r="AC161" s="4">
        <f t="shared" si="61"/>
        <v>0.49268765133171916</v>
      </c>
      <c r="AD161" s="4">
        <f t="shared" si="70"/>
        <v>0.68668765133171916</v>
      </c>
      <c r="AE161" s="4">
        <v>0.1</v>
      </c>
      <c r="AF161" s="4">
        <f t="shared" si="71"/>
        <v>-0.10743072370190987</v>
      </c>
      <c r="AG161" s="4">
        <f t="shared" si="62"/>
        <v>0.40743072370191014</v>
      </c>
      <c r="AH161" s="11">
        <v>1192002207</v>
      </c>
      <c r="AI161" s="32">
        <f t="shared" si="63"/>
        <v>38.451684096774194</v>
      </c>
      <c r="AJ161" s="32">
        <f t="shared" si="78"/>
        <v>39.632905938008285</v>
      </c>
      <c r="AK161" s="24">
        <f t="shared" si="64"/>
        <v>-128057659.75228378</v>
      </c>
      <c r="AL161">
        <v>229.601</v>
      </c>
      <c r="AM161" s="95">
        <f t="shared" si="65"/>
        <v>0.7462549281537747</v>
      </c>
      <c r="AN161" s="1">
        <f t="shared" si="66"/>
        <v>-0.14395981808480934</v>
      </c>
      <c r="AO161" s="1"/>
      <c r="AP161" s="110"/>
      <c r="AQ161" s="1">
        <f t="shared" si="79"/>
        <v>5.755348344849328E-2</v>
      </c>
      <c r="AR161" s="15">
        <f t="shared" si="42"/>
        <v>-171.60042087641125</v>
      </c>
      <c r="AS161" s="7">
        <v>31</v>
      </c>
      <c r="AT161" s="1">
        <f t="shared" si="43"/>
        <v>-5.5354974476261694</v>
      </c>
      <c r="AU161" s="16">
        <f t="shared" si="48"/>
        <v>-1687.7379387893211</v>
      </c>
      <c r="AV161" s="4">
        <f t="shared" si="44"/>
        <v>-1.6877379387893212</v>
      </c>
      <c r="AW161" s="4">
        <f t="shared" si="67"/>
        <v>4.6647383939965419</v>
      </c>
      <c r="AY161" s="4">
        <f>(O161-P161-AG161-(SpotGasPrices!K159-(SpotGasPrices!L159+SpotGasPrices!M159)/2))*($AL$279/AL161)</f>
        <v>-0.15761173876356649</v>
      </c>
      <c r="AZ161" s="1">
        <f t="shared" si="76"/>
        <v>-0.14414814928453806</v>
      </c>
    </row>
    <row r="162" spans="1:52">
      <c r="A162" s="33" t="s">
        <v>39</v>
      </c>
      <c r="B162" s="26" t="s">
        <v>33</v>
      </c>
      <c r="C162" s="29"/>
      <c r="D162" s="2">
        <v>2013</v>
      </c>
      <c r="E162" s="2">
        <v>1</v>
      </c>
      <c r="F162" s="4">
        <v>2.1871429999999998</v>
      </c>
      <c r="G162" s="4">
        <f>AVERAGE(H162:H173)</f>
        <v>0.61399244371881212</v>
      </c>
      <c r="H162" s="4">
        <f t="shared" si="80"/>
        <v>0.17721083334363757</v>
      </c>
      <c r="I162" s="4">
        <f>AVERAGE(J162:J173)</f>
        <v>0.61471788451614506</v>
      </c>
      <c r="J162" s="4">
        <f t="shared" si="81"/>
        <v>0.24004259109568385</v>
      </c>
      <c r="K162">
        <v>112.96</v>
      </c>
      <c r="L162" s="4">
        <v>3.319</v>
      </c>
      <c r="M162" s="1">
        <v>3.2549999999999999</v>
      </c>
      <c r="N162" s="1">
        <v>3.452</v>
      </c>
      <c r="O162" s="1">
        <v>3.6320000000000001</v>
      </c>
      <c r="P162" s="4">
        <f t="shared" si="58"/>
        <v>3.2842222222222222</v>
      </c>
      <c r="Q162" s="4">
        <f t="shared" si="59"/>
        <v>4.8526188639916628</v>
      </c>
      <c r="R162" s="4">
        <f t="shared" si="60"/>
        <v>4.3879621996410165</v>
      </c>
      <c r="S162" s="4">
        <v>0.23599999999999999</v>
      </c>
      <c r="T162" s="4">
        <f t="shared" si="68"/>
        <v>0.20951950497713207</v>
      </c>
      <c r="U162" s="4">
        <v>0.184</v>
      </c>
      <c r="V162" s="4">
        <v>0.36</v>
      </c>
      <c r="W162" s="4">
        <v>0.02</v>
      </c>
      <c r="X162" s="3">
        <v>3.2500000000000001E-2</v>
      </c>
      <c r="Y162" s="4">
        <f t="shared" si="69"/>
        <v>0.11432445520581115</v>
      </c>
      <c r="Z162" s="4">
        <v>0</v>
      </c>
      <c r="AB162" s="4">
        <v>0.01</v>
      </c>
      <c r="AC162" s="4">
        <f t="shared" si="61"/>
        <v>0.49432445520581114</v>
      </c>
      <c r="AD162" s="4">
        <f t="shared" si="70"/>
        <v>0.6883244552058112</v>
      </c>
      <c r="AE162" s="4">
        <v>0.1</v>
      </c>
      <c r="AF162" s="4">
        <f t="shared" si="71"/>
        <v>-4.7027172450901045E-2</v>
      </c>
      <c r="AG162" s="4">
        <f t="shared" si="62"/>
        <v>0.39480495022867901</v>
      </c>
      <c r="AH162" s="10">
        <v>1169694474</v>
      </c>
      <c r="AI162" s="32">
        <f t="shared" si="63"/>
        <v>37.732079806451615</v>
      </c>
      <c r="AJ162" s="32">
        <f>AVERAGE(AI162:AI173)</f>
        <v>39.81265273223886</v>
      </c>
      <c r="AK162" s="24">
        <f t="shared" si="64"/>
        <v>-55007423.743663989</v>
      </c>
      <c r="AL162">
        <v>230.28</v>
      </c>
      <c r="AM162" s="95">
        <f t="shared" si="65"/>
        <v>0.74846183098179553</v>
      </c>
      <c r="AN162" s="1">
        <f t="shared" si="66"/>
        <v>-6.2831757752046094E-2</v>
      </c>
      <c r="AO162" s="1"/>
      <c r="AP162" s="110"/>
      <c r="AQ162" s="1">
        <f>AVERAGE(AN162:AN173)</f>
        <v>-7.2544079733269146E-4</v>
      </c>
      <c r="AR162" s="15">
        <f t="shared" si="42"/>
        <v>-73.493959834274975</v>
      </c>
      <c r="AS162" s="7">
        <v>31</v>
      </c>
      <c r="AT162" s="1">
        <f t="shared" si="43"/>
        <v>-2.3707728978798377</v>
      </c>
      <c r="AU162" s="16">
        <f t="shared" si="48"/>
        <v>-1761.2318986235962</v>
      </c>
      <c r="AV162" s="4">
        <f t="shared" si="44"/>
        <v>-1.7612318986235962</v>
      </c>
      <c r="AW162" s="4">
        <f t="shared" si="67"/>
        <v>4.7185402119159283</v>
      </c>
      <c r="AY162" s="4">
        <f>(O162-P162-AG162-(SpotGasPrices!K160-(SpotGasPrices!L160+SpotGasPrices!M160)/2))*($AL$279/AL162)</f>
        <v>-0.24139020199946981</v>
      </c>
      <c r="AZ162" s="1">
        <f>AVERAGE($AY162:$AY173)</f>
        <v>-0.21501749398085201</v>
      </c>
    </row>
    <row r="163" spans="1:52">
      <c r="D163" s="2">
        <v>2013</v>
      </c>
      <c r="E163" s="2">
        <v>2</v>
      </c>
      <c r="F163" s="4">
        <v>2.3315790000000001</v>
      </c>
      <c r="G163" s="4">
        <f>G162</f>
        <v>0.61399244371881212</v>
      </c>
      <c r="H163" s="4">
        <f t="shared" si="80"/>
        <v>0.64993660520810881</v>
      </c>
      <c r="I163" s="4">
        <f>I162</f>
        <v>0.61471788451614506</v>
      </c>
      <c r="J163" s="4">
        <f t="shared" si="81"/>
        <v>0.59304520430078</v>
      </c>
      <c r="K163">
        <v>116.05</v>
      </c>
      <c r="L163" s="4">
        <v>3.67</v>
      </c>
      <c r="M163" s="1">
        <v>3.605</v>
      </c>
      <c r="N163" s="1">
        <v>3.8069999999999999</v>
      </c>
      <c r="O163" s="1">
        <v>4.0780000000000003</v>
      </c>
      <c r="P163" s="4">
        <f t="shared" si="58"/>
        <v>3.6246666666666667</v>
      </c>
      <c r="Q163" s="4">
        <f t="shared" si="59"/>
        <v>5.4042466941757192</v>
      </c>
      <c r="R163" s="4">
        <f t="shared" si="60"/>
        <v>4.8034803459593567</v>
      </c>
      <c r="S163" s="4">
        <v>0.23599999999999999</v>
      </c>
      <c r="T163" s="4">
        <f t="shared" si="68"/>
        <v>0.2079596448748991</v>
      </c>
      <c r="U163" s="4">
        <v>0.184</v>
      </c>
      <c r="V163" s="4">
        <v>0.36</v>
      </c>
      <c r="W163" s="4">
        <v>0.02</v>
      </c>
      <c r="X163" s="3">
        <v>3.2500000000000001E-2</v>
      </c>
      <c r="Y163" s="4">
        <f t="shared" si="69"/>
        <v>0.12836319612590802</v>
      </c>
      <c r="Z163" s="4">
        <v>0</v>
      </c>
      <c r="AB163" s="4">
        <v>0.01</v>
      </c>
      <c r="AC163" s="4">
        <f t="shared" si="61"/>
        <v>0.50836319612590808</v>
      </c>
      <c r="AD163" s="4">
        <f t="shared" si="70"/>
        <v>0.70236319612590803</v>
      </c>
      <c r="AE163" s="4">
        <v>0.1</v>
      </c>
      <c r="AF163" s="4">
        <f t="shared" si="71"/>
        <v>4.2929782082324675E-2</v>
      </c>
      <c r="AG163" s="4">
        <f t="shared" si="62"/>
        <v>0.41040355125100891</v>
      </c>
      <c r="AH163" s="10">
        <v>1097679113</v>
      </c>
      <c r="AI163" s="32">
        <f t="shared" si="63"/>
        <v>39.202825464285716</v>
      </c>
      <c r="AJ163" s="32">
        <f>AJ162</f>
        <v>39.81265273223886</v>
      </c>
      <c r="AK163" s="24">
        <f t="shared" si="64"/>
        <v>47123125.117409445</v>
      </c>
      <c r="AL163">
        <v>232.166</v>
      </c>
      <c r="AM163" s="95">
        <f t="shared" si="65"/>
        <v>0.75459175547906698</v>
      </c>
      <c r="AN163" s="1">
        <f t="shared" si="66"/>
        <v>5.6891400907328867E-2</v>
      </c>
      <c r="AO163" s="1"/>
      <c r="AP163" s="110"/>
      <c r="AQ163" s="1">
        <f>AQ162</f>
        <v>-7.2544079733269146E-4</v>
      </c>
      <c r="AR163" s="15">
        <f t="shared" si="42"/>
        <v>62.448502485284152</v>
      </c>
      <c r="AS163" s="7">
        <v>28</v>
      </c>
      <c r="AT163" s="1">
        <f t="shared" si="43"/>
        <v>2.2303036601887198</v>
      </c>
      <c r="AU163" s="16">
        <f t="shared" si="48"/>
        <v>-1698.7833961383121</v>
      </c>
      <c r="AV163" s="4">
        <f t="shared" si="44"/>
        <v>-1.6987833961383121</v>
      </c>
      <c r="AW163" s="4">
        <f t="shared" si="67"/>
        <v>5.2549264750221827</v>
      </c>
      <c r="AY163" s="4">
        <f>(O163-P163-AG163-(SpotGasPrices!K161-(SpotGasPrices!L161+SpotGasPrices!M161)/2))*($AL$279/AL163)</f>
        <v>-0.38710036690162331</v>
      </c>
      <c r="AZ163" s="1">
        <f t="shared" ref="AZ163:AZ173" si="82">AZ162</f>
        <v>-0.21501749398085201</v>
      </c>
    </row>
    <row r="164" spans="1:52">
      <c r="D164" s="2">
        <v>2013</v>
      </c>
      <c r="E164" s="2">
        <v>3</v>
      </c>
      <c r="F164" s="4">
        <v>2.4187500000000002</v>
      </c>
      <c r="G164" s="4">
        <f t="shared" ref="G164:I173" si="83">G163</f>
        <v>0.61399244371881212</v>
      </c>
      <c r="H164" s="4">
        <f t="shared" si="80"/>
        <v>0.97318759172881564</v>
      </c>
      <c r="I164" s="4">
        <f t="shared" si="83"/>
        <v>0.61471788451614506</v>
      </c>
      <c r="J164" s="4">
        <f t="shared" si="81"/>
        <v>0.88277992145447748</v>
      </c>
      <c r="K164">
        <v>108.47</v>
      </c>
      <c r="L164" s="4">
        <v>3.7109999999999999</v>
      </c>
      <c r="M164" s="1">
        <v>3.6480000000000001</v>
      </c>
      <c r="N164" s="1">
        <v>3.8450000000000002</v>
      </c>
      <c r="O164" s="1">
        <v>4.1440000000000001</v>
      </c>
      <c r="P164" s="4">
        <f t="shared" si="58"/>
        <v>3.6628888888888884</v>
      </c>
      <c r="Q164" s="4">
        <f t="shared" si="59"/>
        <v>5.477390522096635</v>
      </c>
      <c r="R164" s="4">
        <f t="shared" si="60"/>
        <v>4.8414751166730383</v>
      </c>
      <c r="S164" s="4">
        <v>0.23599999999999999</v>
      </c>
      <c r="T164" s="4">
        <f t="shared" si="68"/>
        <v>0.20772881355932202</v>
      </c>
      <c r="U164" s="4">
        <v>0.184</v>
      </c>
      <c r="V164" s="4">
        <v>0.36</v>
      </c>
      <c r="W164" s="4">
        <v>0.02</v>
      </c>
      <c r="X164" s="3">
        <v>3.2500000000000001E-2</v>
      </c>
      <c r="Y164" s="4">
        <f t="shared" si="69"/>
        <v>0.1304406779661017</v>
      </c>
      <c r="Z164" s="4">
        <v>0</v>
      </c>
      <c r="AB164" s="4">
        <v>0.01</v>
      </c>
      <c r="AC164" s="4">
        <f t="shared" si="61"/>
        <v>0.51044067796610171</v>
      </c>
      <c r="AD164" s="4">
        <f t="shared" si="70"/>
        <v>0.70444067796610177</v>
      </c>
      <c r="AE164" s="4">
        <v>0.1</v>
      </c>
      <c r="AF164" s="4">
        <f t="shared" si="71"/>
        <v>6.8399246704331951E-2</v>
      </c>
      <c r="AG164" s="4">
        <f t="shared" si="62"/>
        <v>0.41271186440677976</v>
      </c>
      <c r="AH164" s="11">
        <v>1237136829</v>
      </c>
      <c r="AI164" s="32">
        <f t="shared" si="63"/>
        <v>39.907639645161289</v>
      </c>
      <c r="AJ164" s="32">
        <f t="shared" ref="AJ164:AJ173" si="84">AJ163</f>
        <v>39.81265273223886</v>
      </c>
      <c r="AK164" s="24">
        <f t="shared" si="64"/>
        <v>84619227.173785925</v>
      </c>
      <c r="AL164">
        <v>232.773</v>
      </c>
      <c r="AM164" s="95">
        <f t="shared" si="65"/>
        <v>0.75656464210146557</v>
      </c>
      <c r="AN164" s="1">
        <f t="shared" si="66"/>
        <v>9.0407670274338145E-2</v>
      </c>
      <c r="AO164" s="1"/>
      <c r="AP164" s="110"/>
      <c r="AQ164" s="1">
        <f t="shared" ref="AQ164:AQ173" si="85">AQ163</f>
        <v>-7.2544079733269146E-4</v>
      </c>
      <c r="AR164" s="15">
        <f t="shared" si="42"/>
        <v>111.84665852047226</v>
      </c>
      <c r="AS164" s="7">
        <v>31</v>
      </c>
      <c r="AT164" s="1">
        <f t="shared" si="43"/>
        <v>3.6079567264668473</v>
      </c>
      <c r="AU164" s="16">
        <f t="shared" si="48"/>
        <v>-1586.9367376178398</v>
      </c>
      <c r="AV164" s="4">
        <f t="shared" si="44"/>
        <v>-1.5869367376178398</v>
      </c>
      <c r="AW164" s="4">
        <f t="shared" si="67"/>
        <v>5.3260493270267606</v>
      </c>
      <c r="AY164" s="4">
        <f>(O164-P164-AG164-(SpotGasPrices!K162-(SpotGasPrices!L162+SpotGasPrices!M162)/2))*($AL$279/AL164)</f>
        <v>-6.7983235560604857E-2</v>
      </c>
      <c r="AZ164" s="1">
        <f t="shared" si="82"/>
        <v>-0.21501749398085201</v>
      </c>
    </row>
    <row r="165" spans="1:52">
      <c r="D165" s="2">
        <v>2013</v>
      </c>
      <c r="E165" s="2">
        <v>4</v>
      </c>
      <c r="F165" s="4">
        <v>2.4781819999999999</v>
      </c>
      <c r="G165" s="4">
        <f t="shared" si="83"/>
        <v>0.61399244371881212</v>
      </c>
      <c r="H165" s="4">
        <f t="shared" si="80"/>
        <v>0.96539861446576547</v>
      </c>
      <c r="I165" s="4">
        <f t="shared" si="83"/>
        <v>0.61471788451614506</v>
      </c>
      <c r="J165" s="4">
        <f t="shared" si="81"/>
        <v>0.89684951195499396</v>
      </c>
      <c r="K165">
        <v>102.25</v>
      </c>
      <c r="L165" s="4">
        <v>3.57</v>
      </c>
      <c r="M165" s="1">
        <v>3.5009999999999999</v>
      </c>
      <c r="N165" s="1">
        <v>3.714</v>
      </c>
      <c r="O165" s="1">
        <v>3.9830000000000001</v>
      </c>
      <c r="P165" s="4">
        <f t="shared" si="58"/>
        <v>3.524111111111111</v>
      </c>
      <c r="Q165" s="4">
        <f t="shared" si="59"/>
        <v>5.2700654665399451</v>
      </c>
      <c r="R165" s="4">
        <f t="shared" si="60"/>
        <v>4.6628913549877939</v>
      </c>
      <c r="S165" s="4">
        <v>0.23599999999999999</v>
      </c>
      <c r="T165" s="4">
        <f t="shared" si="68"/>
        <v>0.20829190207156306</v>
      </c>
      <c r="U165" s="4">
        <v>0.184</v>
      </c>
      <c r="V165" s="4">
        <v>0.36</v>
      </c>
      <c r="W165" s="4">
        <v>0.02</v>
      </c>
      <c r="X165" s="3">
        <v>3.2500000000000001E-2</v>
      </c>
      <c r="Y165" s="4">
        <f t="shared" si="69"/>
        <v>0.12537288135593222</v>
      </c>
      <c r="Z165" s="4">
        <v>0</v>
      </c>
      <c r="AB165" s="4">
        <v>0.01</v>
      </c>
      <c r="AC165" s="4">
        <f t="shared" si="61"/>
        <v>0.50537288135593217</v>
      </c>
      <c r="AD165" s="4">
        <f t="shared" si="70"/>
        <v>0.69937288135593234</v>
      </c>
      <c r="AE165" s="4">
        <v>0.1</v>
      </c>
      <c r="AF165" s="4">
        <f t="shared" si="71"/>
        <v>5.1807909604520308E-2</v>
      </c>
      <c r="AG165" s="4">
        <f t="shared" si="62"/>
        <v>0.40708097928436882</v>
      </c>
      <c r="AH165" s="10">
        <v>1207530235</v>
      </c>
      <c r="AI165" s="32">
        <f t="shared" si="63"/>
        <v>40.251007833333333</v>
      </c>
      <c r="AJ165" s="32">
        <f t="shared" si="84"/>
        <v>39.81265273223886</v>
      </c>
      <c r="AK165" s="24">
        <f t="shared" si="64"/>
        <v>62559617.259605162</v>
      </c>
      <c r="AL165">
        <v>232.53100000000001</v>
      </c>
      <c r="AM165" s="95">
        <f t="shared" si="65"/>
        <v>0.7557780876325686</v>
      </c>
      <c r="AN165" s="1">
        <f t="shared" si="66"/>
        <v>6.8549102510772189E-2</v>
      </c>
      <c r="AO165" s="1"/>
      <c r="AP165" s="110"/>
      <c r="AQ165" s="1">
        <f t="shared" si="85"/>
        <v>-7.2544079733269146E-4</v>
      </c>
      <c r="AR165" s="15">
        <f t="shared" si="42"/>
        <v>82.775113863871823</v>
      </c>
      <c r="AS165" s="7">
        <v>30</v>
      </c>
      <c r="AT165" s="1">
        <f t="shared" si="43"/>
        <v>2.7591704621290609</v>
      </c>
      <c r="AU165" s="16">
        <f t="shared" si="48"/>
        <v>-1504.1616237539679</v>
      </c>
      <c r="AV165" s="4">
        <f t="shared" si="44"/>
        <v>-1.5041616237539679</v>
      </c>
      <c r="AW165" s="4">
        <f t="shared" si="67"/>
        <v>5.1244526966296959</v>
      </c>
      <c r="AY165" s="4">
        <f>(O165-P165-AG165-(SpotGasPrices!K163-(SpotGasPrices!L163+SpotGasPrices!M163)/2))*($AL$279/AL165)</f>
        <v>-0.20337996758684962</v>
      </c>
      <c r="AZ165" s="1">
        <f t="shared" si="82"/>
        <v>-0.21501749398085201</v>
      </c>
    </row>
    <row r="166" spans="1:52">
      <c r="D166" s="2">
        <v>2013</v>
      </c>
      <c r="E166" s="2">
        <v>5</v>
      </c>
      <c r="F166" s="4">
        <v>2.5420449999999999</v>
      </c>
      <c r="G166" s="4">
        <f t="shared" si="83"/>
        <v>0.61399244371881212</v>
      </c>
      <c r="H166" s="4">
        <f t="shared" si="80"/>
        <v>0.98199890392691047</v>
      </c>
      <c r="I166" s="4">
        <f t="shared" si="83"/>
        <v>0.61471788451614506</v>
      </c>
      <c r="J166" s="4">
        <f t="shared" si="81"/>
        <v>0.9483413695291667</v>
      </c>
      <c r="K166">
        <v>102.56</v>
      </c>
      <c r="L166" s="4">
        <v>3.6150000000000002</v>
      </c>
      <c r="M166" s="1">
        <v>3.5649999999999999</v>
      </c>
      <c r="N166" s="1">
        <v>3.72</v>
      </c>
      <c r="O166" s="1">
        <v>4.0049999999999999</v>
      </c>
      <c r="P166" s="4">
        <f t="shared" si="58"/>
        <v>3.5716666666666668</v>
      </c>
      <c r="Q166" s="4">
        <f t="shared" si="59"/>
        <v>5.2897566163686704</v>
      </c>
      <c r="R166" s="4">
        <f t="shared" si="60"/>
        <v>4.7174150765202087</v>
      </c>
      <c r="S166" s="4">
        <v>0.23599999999999999</v>
      </c>
      <c r="T166" s="4">
        <f t="shared" si="68"/>
        <v>0.20821495829970404</v>
      </c>
      <c r="U166" s="4">
        <v>0.184</v>
      </c>
      <c r="V166" s="4">
        <v>0.36</v>
      </c>
      <c r="W166" s="4">
        <v>0.02</v>
      </c>
      <c r="X166" s="3">
        <v>3.2500000000000001E-2</v>
      </c>
      <c r="Y166" s="4">
        <f t="shared" si="69"/>
        <v>0.12606537530266346</v>
      </c>
      <c r="Z166" s="4">
        <v>0</v>
      </c>
      <c r="AB166" s="4">
        <v>0.01</v>
      </c>
      <c r="AC166" s="4">
        <f t="shared" si="61"/>
        <v>0.50606537530266349</v>
      </c>
      <c r="AD166" s="4">
        <f t="shared" si="70"/>
        <v>0.70006537530266355</v>
      </c>
      <c r="AE166" s="4">
        <v>0.1</v>
      </c>
      <c r="AF166" s="4">
        <f t="shared" si="71"/>
        <v>2.5482916330373584E-2</v>
      </c>
      <c r="AG166" s="4">
        <f t="shared" si="62"/>
        <v>0.40785041700295954</v>
      </c>
      <c r="AH166" s="10">
        <v>1259306999</v>
      </c>
      <c r="AI166" s="32">
        <f t="shared" ref="AI166:AI197" si="86">AH166/(1000000*AS166)</f>
        <v>40.622806419354838</v>
      </c>
      <c r="AJ166" s="32">
        <f t="shared" si="84"/>
        <v>39.81265273223886</v>
      </c>
      <c r="AK166" s="24">
        <f t="shared" ref="AK166:AK197" si="87">AF166*AH166</f>
        <v>32090814.889770851</v>
      </c>
      <c r="AL166">
        <v>232.94499999999999</v>
      </c>
      <c r="AM166" s="95">
        <f t="shared" si="65"/>
        <v>0.75712368081489645</v>
      </c>
      <c r="AN166" s="1">
        <f t="shared" si="66"/>
        <v>3.3657534397743549E-2</v>
      </c>
      <c r="AO166" s="1"/>
      <c r="AP166" s="110"/>
      <c r="AQ166" s="1">
        <f t="shared" si="85"/>
        <v>-7.2544079733269146E-4</v>
      </c>
      <c r="AR166" s="15">
        <f t="shared" si="42"/>
        <v>42.385168636161701</v>
      </c>
      <c r="AS166" s="7">
        <v>31</v>
      </c>
      <c r="AT166" s="1">
        <f t="shared" si="43"/>
        <v>1.3672635043923129</v>
      </c>
      <c r="AU166" s="16">
        <f t="shared" si="48"/>
        <v>-1461.7764551178061</v>
      </c>
      <c r="AV166" s="4">
        <f t="shared" si="44"/>
        <v>-1.4617764551178061</v>
      </c>
      <c r="AW166" s="4">
        <f t="shared" si="67"/>
        <v>5.1435997767713415</v>
      </c>
      <c r="AY166" s="4">
        <f>(O166-P166-AG166-(SpotGasPrices!K164-(SpotGasPrices!L164+SpotGasPrices!M164)/2))*($AL$279/AL166)</f>
        <v>-0.31793373173303879</v>
      </c>
      <c r="AZ166" s="1">
        <f t="shared" si="82"/>
        <v>-0.21501749398085201</v>
      </c>
    </row>
    <row r="167" spans="1:52">
      <c r="A167" s="2">
        <f>A155+1</f>
        <v>2013</v>
      </c>
      <c r="B167" s="2">
        <f>D167</f>
        <v>2013</v>
      </c>
      <c r="D167" s="2">
        <v>2013</v>
      </c>
      <c r="E167" s="2">
        <v>6</v>
      </c>
      <c r="F167" s="4">
        <v>2.57</v>
      </c>
      <c r="G167" s="4">
        <f t="shared" si="83"/>
        <v>0.61399244371881212</v>
      </c>
      <c r="H167" s="4">
        <f t="shared" si="80"/>
        <v>0.96571144114832397</v>
      </c>
      <c r="I167" s="4">
        <f t="shared" si="83"/>
        <v>0.61471788451614506</v>
      </c>
      <c r="J167" s="4">
        <f t="shared" si="81"/>
        <v>0.9510746943407582</v>
      </c>
      <c r="K167">
        <v>102.92</v>
      </c>
      <c r="L167" s="4">
        <v>3.6259999999999999</v>
      </c>
      <c r="M167" s="1">
        <v>3.5760000000000001</v>
      </c>
      <c r="N167" s="1">
        <v>3.7309999999999999</v>
      </c>
      <c r="O167" s="1">
        <v>4.0030000000000001</v>
      </c>
      <c r="P167" s="4">
        <f t="shared" si="58"/>
        <v>3.5841111111111106</v>
      </c>
      <c r="Q167" s="4">
        <f t="shared" si="59"/>
        <v>5.2744578808071818</v>
      </c>
      <c r="R167" s="4">
        <f t="shared" si="60"/>
        <v>4.7225188847585757</v>
      </c>
      <c r="S167" s="4">
        <v>0.23599999999999999</v>
      </c>
      <c r="T167" s="4">
        <f t="shared" si="68"/>
        <v>0.20822195318805486</v>
      </c>
      <c r="U167" s="4">
        <v>0.184</v>
      </c>
      <c r="V167" s="4">
        <v>0.36</v>
      </c>
      <c r="W167" s="4">
        <v>0.02</v>
      </c>
      <c r="X167" s="3">
        <v>3.2500000000000001E-2</v>
      </c>
      <c r="Y167" s="4">
        <f t="shared" si="69"/>
        <v>0.12600242130750608</v>
      </c>
      <c r="Z167" s="4">
        <v>0</v>
      </c>
      <c r="AB167" s="4">
        <v>0.01</v>
      </c>
      <c r="AC167" s="4">
        <f t="shared" si="61"/>
        <v>0.50600242130750606</v>
      </c>
      <c r="AD167" s="4">
        <f t="shared" si="70"/>
        <v>0.70000242130750612</v>
      </c>
      <c r="AE167" s="4">
        <v>0.1</v>
      </c>
      <c r="AF167" s="4">
        <f t="shared" si="71"/>
        <v>1.1108420769438521E-2</v>
      </c>
      <c r="AG167" s="4">
        <f t="shared" si="62"/>
        <v>0.40778046811945101</v>
      </c>
      <c r="AH167" s="11">
        <v>1216894566</v>
      </c>
      <c r="AI167" s="32">
        <f t="shared" si="86"/>
        <v>40.563152199999998</v>
      </c>
      <c r="AJ167" s="32">
        <f t="shared" si="84"/>
        <v>39.81265273223886</v>
      </c>
      <c r="AK167" s="24">
        <f t="shared" si="87"/>
        <v>13517776.871171275</v>
      </c>
      <c r="AL167">
        <v>233.50399999999999</v>
      </c>
      <c r="AM167" s="95">
        <f t="shared" si="65"/>
        <v>0.75894055663354687</v>
      </c>
      <c r="AN167" s="1">
        <f t="shared" si="66"/>
        <v>1.4636746807566119E-2</v>
      </c>
      <c r="AO167" s="1"/>
      <c r="AP167" s="110"/>
      <c r="AQ167" s="1">
        <f t="shared" si="85"/>
        <v>-7.2544079733269146E-4</v>
      </c>
      <c r="AR167" s="15">
        <f t="shared" ref="AR167:AR230" si="88">(AK167/AM167)/1000000</f>
        <v>17.81137765404506</v>
      </c>
      <c r="AS167" s="7">
        <v>30</v>
      </c>
      <c r="AT167" s="1">
        <f t="shared" ref="AT167:AT230" si="89">AR167/AS167</f>
        <v>0.59371258846816866</v>
      </c>
      <c r="AU167" s="16">
        <f t="shared" si="48"/>
        <v>-1443.965077463761</v>
      </c>
      <c r="AV167" s="4">
        <f t="shared" ref="AV167:AV231" si="90">AU167/1000</f>
        <v>-1.4439650774637609</v>
      </c>
      <c r="AW167" s="4">
        <f t="shared" si="67"/>
        <v>5.1287237477730576</v>
      </c>
      <c r="AY167" s="4">
        <f>(O167-P167-AG167-(SpotGasPrices!K165-(SpotGasPrices!L165+SpotGasPrices!M165)/2))*($AL$279/AL167)</f>
        <v>-0.37763482128639314</v>
      </c>
      <c r="AZ167" s="1">
        <f t="shared" si="82"/>
        <v>-0.21501749398085201</v>
      </c>
    </row>
    <row r="168" spans="1:52">
      <c r="D168" s="2">
        <v>2013</v>
      </c>
      <c r="E168" s="2">
        <v>7</v>
      </c>
      <c r="F168" s="4">
        <v>2.4527269999999999</v>
      </c>
      <c r="G168" s="4">
        <f t="shared" si="83"/>
        <v>0.61399244371881212</v>
      </c>
      <c r="H168" s="4">
        <f t="shared" si="80"/>
        <v>0.7672416073789281</v>
      </c>
      <c r="I168" s="4">
        <f t="shared" si="83"/>
        <v>0.61471788451614506</v>
      </c>
      <c r="J168" s="4">
        <f t="shared" si="81"/>
        <v>0.74552368775469491</v>
      </c>
      <c r="K168">
        <v>107.93</v>
      </c>
      <c r="L168" s="4">
        <v>3.5910000000000002</v>
      </c>
      <c r="M168" s="1">
        <v>3.5150000000000001</v>
      </c>
      <c r="N168" s="1">
        <v>3.7509999999999999</v>
      </c>
      <c r="O168" s="1">
        <v>4.008</v>
      </c>
      <c r="P168" s="4">
        <f t="shared" si="58"/>
        <v>3.5446666666666666</v>
      </c>
      <c r="Q168" s="4">
        <f t="shared" si="59"/>
        <v>5.2789661124334319</v>
      </c>
      <c r="R168" s="4">
        <f t="shared" si="60"/>
        <v>4.6687063905203852</v>
      </c>
      <c r="S168" s="4">
        <v>0.23599999999999999</v>
      </c>
      <c r="T168" s="4">
        <f t="shared" si="68"/>
        <v>0.20431557707828893</v>
      </c>
      <c r="U168" s="4">
        <v>0.184</v>
      </c>
      <c r="V168" s="4">
        <v>0.39500000000000002</v>
      </c>
      <c r="W168" s="4">
        <v>0.02</v>
      </c>
      <c r="X168" s="3">
        <v>3.2500000000000001E-2</v>
      </c>
      <c r="Y168" s="4">
        <f t="shared" si="69"/>
        <v>0.12615980629539952</v>
      </c>
      <c r="Z168" s="4">
        <v>0</v>
      </c>
      <c r="AB168" s="4">
        <v>0.01</v>
      </c>
      <c r="AC168" s="4">
        <f t="shared" si="61"/>
        <v>0.5411598062953995</v>
      </c>
      <c r="AD168" s="4">
        <f t="shared" si="70"/>
        <v>0.73515980629539945</v>
      </c>
      <c r="AE168" s="4">
        <v>0.1</v>
      </c>
      <c r="AF168" s="4">
        <f t="shared" si="71"/>
        <v>1.648910411622273E-2</v>
      </c>
      <c r="AG168" s="4">
        <f t="shared" si="62"/>
        <v>0.44684422921711064</v>
      </c>
      <c r="AH168" s="10">
        <v>1241703883</v>
      </c>
      <c r="AI168" s="32">
        <f t="shared" si="86"/>
        <v>40.054963967741934</v>
      </c>
      <c r="AJ168" s="32">
        <f t="shared" si="84"/>
        <v>39.81265273223886</v>
      </c>
      <c r="AK168" s="24">
        <f t="shared" si="87"/>
        <v>20474584.608305048</v>
      </c>
      <c r="AL168">
        <v>233.596</v>
      </c>
      <c r="AM168" s="95">
        <f t="shared" si="65"/>
        <v>0.75923957734073089</v>
      </c>
      <c r="AN168" s="1">
        <f t="shared" si="66"/>
        <v>2.1717919624233136E-2</v>
      </c>
      <c r="AO168" s="1"/>
      <c r="AP168" s="110"/>
      <c r="AQ168" s="1">
        <f t="shared" si="85"/>
        <v>-7.2544079733269146E-4</v>
      </c>
      <c r="AR168" s="15">
        <f t="shared" si="88"/>
        <v>26.967225128092185</v>
      </c>
      <c r="AS168" s="7">
        <v>31</v>
      </c>
      <c r="AT168" s="1">
        <f t="shared" si="89"/>
        <v>0.86991048800297366</v>
      </c>
      <c r="AU168" s="16">
        <f t="shared" ref="AU168:AU186" si="91">AU167+AR168</f>
        <v>-1416.9978523356688</v>
      </c>
      <c r="AV168" s="4">
        <f t="shared" si="90"/>
        <v>-1.4169978523356688</v>
      </c>
      <c r="AW168" s="4">
        <f t="shared" si="67"/>
        <v>5.13310741622288</v>
      </c>
      <c r="AY168" s="4">
        <f>(O168-P168-AG168-(SpotGasPrices!K166-(SpotGasPrices!L166+SpotGasPrices!M166)/2))*($AL$279/AL168)</f>
        <v>-0.18117155732168469</v>
      </c>
      <c r="AZ168" s="1">
        <f t="shared" si="82"/>
        <v>-0.21501749398085201</v>
      </c>
    </row>
    <row r="169" spans="1:52">
      <c r="D169" s="2">
        <v>2013</v>
      </c>
      <c r="E169" s="2">
        <v>8</v>
      </c>
      <c r="F169" s="4">
        <v>2.2859090000000002</v>
      </c>
      <c r="G169" s="4">
        <f t="shared" si="83"/>
        <v>0.61399244371881212</v>
      </c>
      <c r="H169" s="4">
        <f t="shared" si="80"/>
        <v>0.48599768144967959</v>
      </c>
      <c r="I169" s="4">
        <f t="shared" si="83"/>
        <v>0.61471788451614506</v>
      </c>
      <c r="J169" s="4">
        <f t="shared" si="81"/>
        <v>0.63340583063157674</v>
      </c>
      <c r="K169">
        <v>111.28</v>
      </c>
      <c r="L169" s="4">
        <v>3.5739999999999998</v>
      </c>
      <c r="M169" s="1">
        <v>3.5150000000000001</v>
      </c>
      <c r="N169" s="1">
        <v>3.6970000000000001</v>
      </c>
      <c r="O169" s="1">
        <v>3.871</v>
      </c>
      <c r="P169" s="4">
        <f t="shared" si="58"/>
        <v>3.5409999999999995</v>
      </c>
      <c r="Q169" s="4">
        <f t="shared" si="59"/>
        <v>5.0923966059082337</v>
      </c>
      <c r="R169" s="4">
        <f t="shared" si="60"/>
        <v>4.6582734129478309</v>
      </c>
      <c r="S169" s="4">
        <v>0.23599999999999999</v>
      </c>
      <c r="T169" s="4">
        <f t="shared" si="68"/>
        <v>0.20479472693032014</v>
      </c>
      <c r="U169" s="4">
        <v>0.184</v>
      </c>
      <c r="V169" s="4">
        <v>0.39500000000000002</v>
      </c>
      <c r="W169" s="4">
        <v>0.02</v>
      </c>
      <c r="X169" s="3">
        <v>3.2500000000000001E-2</v>
      </c>
      <c r="Y169" s="4">
        <f t="shared" si="69"/>
        <v>0.12184745762711865</v>
      </c>
      <c r="Z169" s="4">
        <v>0</v>
      </c>
      <c r="AB169" s="4">
        <v>0.01</v>
      </c>
      <c r="AC169" s="4">
        <f t="shared" si="61"/>
        <v>0.53684745762711872</v>
      </c>
      <c r="AD169" s="4">
        <f t="shared" si="70"/>
        <v>0.73084745762711867</v>
      </c>
      <c r="AE169" s="4">
        <v>0.1</v>
      </c>
      <c r="AF169" s="4">
        <f t="shared" si="71"/>
        <v>-0.112052730696798</v>
      </c>
      <c r="AG169" s="4">
        <f t="shared" si="62"/>
        <v>0.44205273069679851</v>
      </c>
      <c r="AH169" s="10">
        <v>1275028439</v>
      </c>
      <c r="AI169" s="32">
        <f t="shared" si="86"/>
        <v>41.12994964516129</v>
      </c>
      <c r="AJ169" s="32">
        <f t="shared" si="84"/>
        <v>39.81265273223886</v>
      </c>
      <c r="AK169" s="24">
        <f t="shared" si="87"/>
        <v>-142870418.30602574</v>
      </c>
      <c r="AL169">
        <v>233.87700000000001</v>
      </c>
      <c r="AM169" s="95">
        <f t="shared" si="65"/>
        <v>0.76015289058767321</v>
      </c>
      <c r="AN169" s="1">
        <f t="shared" si="66"/>
        <v>-0.14740814918189704</v>
      </c>
      <c r="AO169" s="1"/>
      <c r="AP169" s="110"/>
      <c r="AQ169" s="1">
        <f t="shared" si="85"/>
        <v>-7.2544079733269146E-4</v>
      </c>
      <c r="AR169" s="15">
        <f t="shared" si="88"/>
        <v>-187.94958234727332</v>
      </c>
      <c r="AS169" s="7">
        <v>31</v>
      </c>
      <c r="AT169" s="1">
        <f t="shared" si="89"/>
        <v>-6.0628897531378492</v>
      </c>
      <c r="AU169" s="16">
        <f t="shared" si="91"/>
        <v>-1604.947434682942</v>
      </c>
      <c r="AV169" s="4">
        <f t="shared" si="90"/>
        <v>-1.604947434682942</v>
      </c>
      <c r="AW169" s="4">
        <f t="shared" si="67"/>
        <v>4.9516928556463444</v>
      </c>
      <c r="AY169" s="4">
        <f>(O169-P169-AG169-(SpotGasPrices!K167-(SpotGasPrices!L167+SpotGasPrices!M167)/2))*($AL$279/AL169)</f>
        <v>-5.1036204416912069E-2</v>
      </c>
      <c r="AZ169" s="1">
        <f t="shared" si="82"/>
        <v>-0.21501749398085201</v>
      </c>
    </row>
    <row r="170" spans="1:52">
      <c r="D170" s="2">
        <v>2013</v>
      </c>
      <c r="E170" s="2">
        <v>9</v>
      </c>
      <c r="F170" s="4">
        <v>2.3439999999999999</v>
      </c>
      <c r="G170" s="4">
        <f t="shared" si="83"/>
        <v>0.61399244371881212</v>
      </c>
      <c r="H170" s="4">
        <f t="shared" si="80"/>
        <v>0.56569878048824662</v>
      </c>
      <c r="I170" s="4">
        <f t="shared" si="83"/>
        <v>0.61471788451614506</v>
      </c>
      <c r="J170" s="4">
        <f t="shared" si="81"/>
        <v>0.55121901118397931</v>
      </c>
      <c r="K170">
        <v>111.6</v>
      </c>
      <c r="L170" s="4">
        <v>3.532</v>
      </c>
      <c r="M170" s="1">
        <v>3.4740000000000002</v>
      </c>
      <c r="N170" s="1">
        <v>3.6560000000000001</v>
      </c>
      <c r="O170" s="1">
        <v>3.9420000000000002</v>
      </c>
      <c r="P170" s="4">
        <f t="shared" si="58"/>
        <v>3.4864444444444445</v>
      </c>
      <c r="Q170" s="4">
        <f t="shared" si="59"/>
        <v>5.1797747673489951</v>
      </c>
      <c r="R170" s="4">
        <f t="shared" si="60"/>
        <v>4.5811762965746885</v>
      </c>
      <c r="S170" s="4">
        <v>0.23599999999999999</v>
      </c>
      <c r="T170" s="4">
        <f t="shared" si="68"/>
        <v>0.20454640839386598</v>
      </c>
      <c r="U170" s="4">
        <v>0.184</v>
      </c>
      <c r="V170" s="4">
        <v>0.39500000000000002</v>
      </c>
      <c r="W170" s="4">
        <v>0.02</v>
      </c>
      <c r="X170" s="3">
        <v>3.2500000000000001E-2</v>
      </c>
      <c r="Y170" s="4">
        <f t="shared" si="69"/>
        <v>0.12408232445520583</v>
      </c>
      <c r="Z170" s="4">
        <v>0</v>
      </c>
      <c r="AB170" s="4">
        <v>0.01</v>
      </c>
      <c r="AC170" s="4">
        <f t="shared" si="61"/>
        <v>0.53908232445520587</v>
      </c>
      <c r="AD170" s="4">
        <f t="shared" si="70"/>
        <v>0.73308232445520582</v>
      </c>
      <c r="AE170" s="4">
        <v>0.1</v>
      </c>
      <c r="AF170" s="4">
        <f t="shared" si="71"/>
        <v>1.1019639494215916E-2</v>
      </c>
      <c r="AG170" s="4">
        <f t="shared" si="62"/>
        <v>0.4445359160613398</v>
      </c>
      <c r="AH170" s="11">
        <v>1196126013</v>
      </c>
      <c r="AI170" s="32">
        <f t="shared" si="86"/>
        <v>39.870867099999998</v>
      </c>
      <c r="AJ170" s="32">
        <f t="shared" si="84"/>
        <v>39.81265273223886</v>
      </c>
      <c r="AK170" s="24">
        <f t="shared" si="87"/>
        <v>13180877.452913821</v>
      </c>
      <c r="AL170">
        <v>234.149</v>
      </c>
      <c r="AM170" s="95">
        <f t="shared" si="65"/>
        <v>0.76103695180891284</v>
      </c>
      <c r="AN170" s="1">
        <f t="shared" si="66"/>
        <v>1.4479769304267389E-2</v>
      </c>
      <c r="AO170" s="1"/>
      <c r="AP170" s="110"/>
      <c r="AQ170" s="1">
        <f t="shared" si="85"/>
        <v>-7.2544079733269146E-4</v>
      </c>
      <c r="AR170" s="15">
        <f t="shared" si="88"/>
        <v>17.319628727073137</v>
      </c>
      <c r="AS170" s="7">
        <v>30</v>
      </c>
      <c r="AT170" s="1">
        <f t="shared" si="89"/>
        <v>0.57732095756910462</v>
      </c>
      <c r="AU170" s="16">
        <f t="shared" si="91"/>
        <v>-1587.6278059558688</v>
      </c>
      <c r="AV170" s="4">
        <f t="shared" si="90"/>
        <v>-1.5876278059558688</v>
      </c>
      <c r="AW170" s="4">
        <f t="shared" si="67"/>
        <v>5.0366567442098837</v>
      </c>
      <c r="AY170" s="4">
        <f>(O170-P170-AG170-(SpotGasPrices!K168-(SpotGasPrices!L168+SpotGasPrices!M168)/2))*($AL$279/AL170)</f>
        <v>-0.24879667730825142</v>
      </c>
      <c r="AZ170" s="1">
        <f t="shared" si="82"/>
        <v>-0.21501749398085201</v>
      </c>
    </row>
    <row r="171" spans="1:52">
      <c r="D171" s="2">
        <v>2013</v>
      </c>
      <c r="E171" s="2">
        <v>10</v>
      </c>
      <c r="F171" s="4">
        <v>2.0846089999999999</v>
      </c>
      <c r="G171" s="4">
        <f t="shared" si="83"/>
        <v>0.61399244371881212</v>
      </c>
      <c r="H171" s="4">
        <f t="shared" si="80"/>
        <v>0.44141166572491053</v>
      </c>
      <c r="I171" s="4">
        <f t="shared" si="83"/>
        <v>0.61471788451614506</v>
      </c>
      <c r="J171" s="4">
        <f t="shared" si="81"/>
        <v>0.37995476404677364</v>
      </c>
      <c r="K171">
        <v>109.08</v>
      </c>
      <c r="L171" s="4">
        <v>3.3439999999999999</v>
      </c>
      <c r="M171" s="1">
        <v>3.2850000000000001</v>
      </c>
      <c r="N171" s="1">
        <v>3.468</v>
      </c>
      <c r="O171" s="1">
        <v>3.7810000000000001</v>
      </c>
      <c r="P171" s="4">
        <f t="shared" si="58"/>
        <v>3.2954444444444442</v>
      </c>
      <c r="Q171" s="4">
        <f t="shared" si="59"/>
        <v>4.9810489196989032</v>
      </c>
      <c r="R171" s="4">
        <f t="shared" si="60"/>
        <v>4.3413832292853085</v>
      </c>
      <c r="S171" s="4">
        <v>0.23599999999999999</v>
      </c>
      <c r="T171" s="4">
        <f t="shared" si="68"/>
        <v>0.20510949690610705</v>
      </c>
      <c r="U171" s="4">
        <v>0.184</v>
      </c>
      <c r="V171" s="4">
        <v>0.39500000000000002</v>
      </c>
      <c r="W171" s="4">
        <v>0.02</v>
      </c>
      <c r="X171" s="3">
        <v>3.2500000000000001E-2</v>
      </c>
      <c r="Y171" s="4">
        <f t="shared" si="69"/>
        <v>0.11901452784503633</v>
      </c>
      <c r="Z171" s="4">
        <v>0</v>
      </c>
      <c r="AB171" s="4">
        <v>0.01</v>
      </c>
      <c r="AC171" s="4">
        <f t="shared" si="61"/>
        <v>0.53401452784503634</v>
      </c>
      <c r="AD171" s="4">
        <f t="shared" si="70"/>
        <v>0.72801452784503629</v>
      </c>
      <c r="AE171" s="4">
        <v>0.1</v>
      </c>
      <c r="AF171" s="4">
        <f t="shared" si="71"/>
        <v>4.6650524616626665E-2</v>
      </c>
      <c r="AG171" s="4">
        <f t="shared" si="62"/>
        <v>0.4389050309389293</v>
      </c>
      <c r="AH171" s="10">
        <v>1242839671</v>
      </c>
      <c r="AI171" s="32">
        <f t="shared" si="86"/>
        <v>40.091602290322584</v>
      </c>
      <c r="AJ171" s="32">
        <f t="shared" si="84"/>
        <v>39.81265273223886</v>
      </c>
      <c r="AK171" s="24">
        <f t="shared" si="87"/>
        <v>57979122.666505687</v>
      </c>
      <c r="AL171">
        <v>233.54599999999999</v>
      </c>
      <c r="AM171" s="95">
        <f t="shared" si="65"/>
        <v>0.75907706608682646</v>
      </c>
      <c r="AN171" s="1">
        <f t="shared" si="66"/>
        <v>6.1456901678136826E-2</v>
      </c>
      <c r="AO171" s="1"/>
      <c r="AP171" s="110"/>
      <c r="AQ171" s="1">
        <f t="shared" si="85"/>
        <v>-7.2544079733269146E-4</v>
      </c>
      <c r="AR171" s="15">
        <f t="shared" si="88"/>
        <v>76.381075462334934</v>
      </c>
      <c r="AS171" s="7">
        <v>31</v>
      </c>
      <c r="AT171" s="1">
        <f t="shared" si="89"/>
        <v>2.4639056600753206</v>
      </c>
      <c r="AU171" s="16">
        <f t="shared" si="91"/>
        <v>-1511.246730493534</v>
      </c>
      <c r="AV171" s="4">
        <f t="shared" si="90"/>
        <v>-1.511246730493534</v>
      </c>
      <c r="AW171" s="4">
        <f t="shared" si="67"/>
        <v>4.8434217241999447</v>
      </c>
      <c r="AY171" s="4">
        <f>(O171-P171-AG171-(SpotGasPrices!K169-(SpotGasPrices!L169+SpotGasPrices!M169)/2))*($AL$279/AL171)</f>
        <v>-0.16186389772443024</v>
      </c>
      <c r="AZ171" s="1">
        <f t="shared" si="82"/>
        <v>-0.21501749398085201</v>
      </c>
    </row>
    <row r="172" spans="1:52">
      <c r="D172" s="2">
        <v>2013</v>
      </c>
      <c r="E172" s="2">
        <v>11</v>
      </c>
      <c r="F172" s="4">
        <v>2.1141299999999998</v>
      </c>
      <c r="G172" s="4">
        <f t="shared" si="83"/>
        <v>0.61399244371881212</v>
      </c>
      <c r="H172" s="4">
        <f t="shared" si="80"/>
        <v>0.24409920940412508</v>
      </c>
      <c r="I172" s="4">
        <f t="shared" si="83"/>
        <v>0.61471788451614506</v>
      </c>
      <c r="J172" s="4">
        <f t="shared" si="81"/>
        <v>0.30002437988720937</v>
      </c>
      <c r="K172">
        <v>107.79</v>
      </c>
      <c r="L172" s="4">
        <v>3.2429999999999999</v>
      </c>
      <c r="M172" s="1">
        <v>3.1859999999999999</v>
      </c>
      <c r="N172" s="1">
        <v>3.3620000000000001</v>
      </c>
      <c r="O172" s="1">
        <v>3.5939999999999999</v>
      </c>
      <c r="P172" s="4">
        <f t="shared" si="58"/>
        <v>3.2039999999999997</v>
      </c>
      <c r="Q172" s="4">
        <f t="shared" si="59"/>
        <v>4.7443871728972962</v>
      </c>
      <c r="R172" s="4">
        <f t="shared" si="60"/>
        <v>4.2295538402790589</v>
      </c>
      <c r="S172" s="4">
        <v>0.23599999999999999</v>
      </c>
      <c r="T172" s="4">
        <f t="shared" si="68"/>
        <v>0.20576351896690878</v>
      </c>
      <c r="U172" s="4">
        <v>0.184</v>
      </c>
      <c r="V172" s="4">
        <v>0.39500000000000002</v>
      </c>
      <c r="W172" s="4">
        <v>0.02</v>
      </c>
      <c r="X172" s="3">
        <v>3.2500000000000001E-2</v>
      </c>
      <c r="Y172" s="4">
        <f t="shared" si="69"/>
        <v>0.11312832929782082</v>
      </c>
      <c r="Z172" s="4">
        <v>0</v>
      </c>
      <c r="AB172" s="4">
        <v>0.01</v>
      </c>
      <c r="AC172" s="4">
        <f t="shared" si="61"/>
        <v>0.52812832929782083</v>
      </c>
      <c r="AD172" s="4">
        <f t="shared" si="70"/>
        <v>0.72212832929782078</v>
      </c>
      <c r="AE172" s="4">
        <v>0.1</v>
      </c>
      <c r="AF172" s="4">
        <f t="shared" si="71"/>
        <v>-4.2364810330911773E-2</v>
      </c>
      <c r="AG172" s="4">
        <f t="shared" si="62"/>
        <v>0.4323648103309119</v>
      </c>
      <c r="AH172" s="10">
        <v>1172066456</v>
      </c>
      <c r="AI172" s="32">
        <f t="shared" si="86"/>
        <v>39.068881866666665</v>
      </c>
      <c r="AJ172" s="32">
        <f t="shared" si="84"/>
        <v>39.81265273223886</v>
      </c>
      <c r="AK172" s="24">
        <f t="shared" si="87"/>
        <v>-49654373.103663951</v>
      </c>
      <c r="AL172">
        <v>233.06899999999999</v>
      </c>
      <c r="AM172" s="95">
        <f t="shared" si="65"/>
        <v>0.75752670872457917</v>
      </c>
      <c r="AN172" s="1">
        <f t="shared" si="66"/>
        <v>-5.5925170483084222E-2</v>
      </c>
      <c r="AO172" s="1"/>
      <c r="AP172" s="110"/>
      <c r="AQ172" s="1">
        <f t="shared" si="85"/>
        <v>-7.2544079733269146E-4</v>
      </c>
      <c r="AR172" s="15">
        <f t="shared" si="88"/>
        <v>-65.548016369304335</v>
      </c>
      <c r="AS172" s="7">
        <v>30</v>
      </c>
      <c r="AT172" s="1">
        <f t="shared" si="89"/>
        <v>-2.1849338789768114</v>
      </c>
      <c r="AU172" s="16">
        <f t="shared" si="91"/>
        <v>-1576.7947468628383</v>
      </c>
      <c r="AV172" s="4">
        <f t="shared" si="90"/>
        <v>-1.5767947468628383</v>
      </c>
      <c r="AW172" s="4">
        <f t="shared" si="67"/>
        <v>4.6132989801303479</v>
      </c>
      <c r="AY172" s="4">
        <f>(O172-P172-AG172-(SpotGasPrices!K170-(SpotGasPrices!L170+SpotGasPrices!M170)/2))*($AL$279/AL172)</f>
        <v>-0.16796866960571993</v>
      </c>
      <c r="AZ172" s="1">
        <f t="shared" si="82"/>
        <v>-0.21501749398085201</v>
      </c>
    </row>
    <row r="173" spans="1:52">
      <c r="B173" s="26" t="s">
        <v>33</v>
      </c>
      <c r="C173" s="29"/>
      <c r="D173" s="2">
        <v>2013</v>
      </c>
      <c r="E173" s="2">
        <v>12</v>
      </c>
      <c r="F173" s="4">
        <v>2.2753100000000002</v>
      </c>
      <c r="G173" s="4">
        <f t="shared" si="83"/>
        <v>0.61399244371881212</v>
      </c>
      <c r="H173" s="4">
        <f t="shared" si="80"/>
        <v>0.15001639035829412</v>
      </c>
      <c r="I173" s="4">
        <f t="shared" si="83"/>
        <v>0.61471788451614506</v>
      </c>
      <c r="J173" s="4">
        <f t="shared" si="81"/>
        <v>0.25435364801364541</v>
      </c>
      <c r="K173">
        <v>110.76</v>
      </c>
      <c r="L173" s="4">
        <v>3.2759999999999998</v>
      </c>
      <c r="M173" s="1">
        <v>3.2090000000000001</v>
      </c>
      <c r="N173" s="1">
        <v>3.4180000000000001</v>
      </c>
      <c r="O173" s="1">
        <v>3.5939999999999999</v>
      </c>
      <c r="P173" s="4">
        <f t="shared" si="58"/>
        <v>3.2406666666666664</v>
      </c>
      <c r="Q173" s="4">
        <f t="shared" si="59"/>
        <v>4.7447943308059672</v>
      </c>
      <c r="R173" s="4">
        <f t="shared" si="60"/>
        <v>4.278324103514711</v>
      </c>
      <c r="S173" s="4">
        <v>0.23599999999999999</v>
      </c>
      <c r="T173" s="4">
        <f t="shared" si="68"/>
        <v>0.20576351896690878</v>
      </c>
      <c r="U173" s="4">
        <v>0.184</v>
      </c>
      <c r="V173" s="4">
        <v>0.39500000000000002</v>
      </c>
      <c r="W173" s="4">
        <v>0.02</v>
      </c>
      <c r="X173" s="3">
        <v>3.2500000000000001E-2</v>
      </c>
      <c r="Y173" s="4">
        <f t="shared" si="69"/>
        <v>0.11312832929782082</v>
      </c>
      <c r="Z173" s="4">
        <v>0</v>
      </c>
      <c r="AB173" s="4">
        <v>0.01</v>
      </c>
      <c r="AC173" s="4">
        <f t="shared" si="61"/>
        <v>0.52812832929782083</v>
      </c>
      <c r="AD173" s="4">
        <f t="shared" si="70"/>
        <v>0.72212832929782078</v>
      </c>
      <c r="AE173" s="4">
        <v>0.1</v>
      </c>
      <c r="AF173" s="4">
        <f t="shared" si="71"/>
        <v>-7.9031476997578398E-2</v>
      </c>
      <c r="AG173" s="4">
        <f t="shared" si="62"/>
        <v>0.4323648103309119</v>
      </c>
      <c r="AH173" s="11">
        <v>1216937753</v>
      </c>
      <c r="AI173" s="32">
        <f t="shared" si="86"/>
        <v>39.2560565483871</v>
      </c>
      <c r="AJ173" s="32">
        <f t="shared" si="84"/>
        <v>39.81265273223886</v>
      </c>
      <c r="AK173" s="24">
        <f t="shared" si="87"/>
        <v>-96176388.033704236</v>
      </c>
      <c r="AL173">
        <v>233.04900000000001</v>
      </c>
      <c r="AM173" s="95">
        <f t="shared" si="65"/>
        <v>0.75746170422301751</v>
      </c>
      <c r="AN173" s="1">
        <f t="shared" si="66"/>
        <v>-0.10433725765535119</v>
      </c>
      <c r="AO173" s="1"/>
      <c r="AP173" s="110"/>
      <c r="AQ173" s="1">
        <f t="shared" si="85"/>
        <v>-7.2544079733269146E-4</v>
      </c>
      <c r="AR173" s="15">
        <f t="shared" si="88"/>
        <v>-126.97194788528512</v>
      </c>
      <c r="AS173" s="7">
        <v>31</v>
      </c>
      <c r="AT173" s="1">
        <f t="shared" si="89"/>
        <v>-4.0958692866221007</v>
      </c>
      <c r="AU173" s="16">
        <f t="shared" si="91"/>
        <v>-1703.7666947481234</v>
      </c>
      <c r="AV173" s="4">
        <f t="shared" si="90"/>
        <v>-1.7037666947481234</v>
      </c>
      <c r="AW173" s="4">
        <f t="shared" si="67"/>
        <v>4.6136948881994773</v>
      </c>
      <c r="AY173" s="4">
        <f>(O173-P173-AG173-(SpotGasPrices!K171-(SpotGasPrices!L171+SpotGasPrices!M171)/2))*($AL$279/AL173)</f>
        <v>-0.17395059632524626</v>
      </c>
      <c r="AZ173" s="1">
        <f t="shared" si="82"/>
        <v>-0.21501749398085201</v>
      </c>
    </row>
    <row r="174" spans="1:52">
      <c r="A174" s="33" t="s">
        <v>39</v>
      </c>
      <c r="B174" s="26" t="s">
        <v>33</v>
      </c>
      <c r="C174" s="29"/>
      <c r="D174" s="2">
        <v>2014</v>
      </c>
      <c r="E174" s="2">
        <v>1</v>
      </c>
      <c r="F174" s="4">
        <v>2.0199289999999999</v>
      </c>
      <c r="G174" s="4">
        <f>AVERAGE(H174:H185)</f>
        <v>0.74063995554014428</v>
      </c>
      <c r="H174" s="4">
        <f t="shared" si="80"/>
        <v>0.27126363691616351</v>
      </c>
      <c r="I174" s="4">
        <f>AVERAGE(J174:J185)</f>
        <v>0.70855530711686321</v>
      </c>
      <c r="J174" s="4">
        <f t="shared" si="81"/>
        <v>0.37865654352042655</v>
      </c>
      <c r="K174">
        <v>108.12</v>
      </c>
      <c r="L174" s="4">
        <v>3.3130000000000002</v>
      </c>
      <c r="M174" s="1">
        <v>3.2519999999999998</v>
      </c>
      <c r="N174" s="1">
        <v>3.4380000000000002</v>
      </c>
      <c r="O174" s="1">
        <v>3.6179999999999999</v>
      </c>
      <c r="P174" s="4">
        <f t="shared" si="58"/>
        <v>3.2791111111111109</v>
      </c>
      <c r="Q174" s="4">
        <f t="shared" si="59"/>
        <v>4.7587752783050323</v>
      </c>
      <c r="R174" s="4">
        <f t="shared" si="60"/>
        <v>4.3130328607990327</v>
      </c>
      <c r="S174" s="4">
        <v>0.24199999999999999</v>
      </c>
      <c r="T174" s="4">
        <f t="shared" si="68"/>
        <v>0.21234624697336563</v>
      </c>
      <c r="U174" s="4">
        <v>0.18400000000000008</v>
      </c>
      <c r="V174" s="4">
        <v>0.39499999999999974</v>
      </c>
      <c r="W174" s="4">
        <v>1.4000000000000009E-2</v>
      </c>
      <c r="X174" s="3">
        <v>3.249999999999998E-2</v>
      </c>
      <c r="Y174" s="4">
        <f t="shared" si="69"/>
        <v>0.11388377723970937</v>
      </c>
      <c r="Z174" s="4">
        <v>0</v>
      </c>
      <c r="AB174" s="4">
        <v>0.01</v>
      </c>
      <c r="AC174" s="4">
        <f t="shared" si="61"/>
        <v>0.52288377723970914</v>
      </c>
      <c r="AD174" s="4">
        <f t="shared" si="70"/>
        <v>0.7168837772397092</v>
      </c>
      <c r="AE174" s="4">
        <v>0.1</v>
      </c>
      <c r="AF174" s="4">
        <f t="shared" si="71"/>
        <v>-8.1648641377454645E-2</v>
      </c>
      <c r="AG174" s="4">
        <f t="shared" si="62"/>
        <v>0.42053753026634366</v>
      </c>
      <c r="AH174" s="10">
        <v>1174580507</v>
      </c>
      <c r="AI174" s="32">
        <f t="shared" si="86"/>
        <v>37.889693774193546</v>
      </c>
      <c r="AJ174" s="32">
        <f>AVERAGE(AI174:AI185)</f>
        <v>40.276441141167432</v>
      </c>
      <c r="AK174" s="24">
        <f t="shared" si="87"/>
        <v>-95902902.584991857</v>
      </c>
      <c r="AL174">
        <v>233.916</v>
      </c>
      <c r="AM174" s="95">
        <f t="shared" si="65"/>
        <v>0.76027964936571857</v>
      </c>
      <c r="AN174" s="1">
        <f t="shared" si="66"/>
        <v>-0.10739290660426327</v>
      </c>
      <c r="AO174" s="1"/>
      <c r="AP174" s="110"/>
      <c r="AQ174" s="1">
        <f>AVERAGE(AN174:AN185)</f>
        <v>3.2084648423281306E-2</v>
      </c>
      <c r="AR174" s="15">
        <f t="shared" si="88"/>
        <v>-126.1416146874392</v>
      </c>
      <c r="AS174" s="7">
        <v>31</v>
      </c>
      <c r="AT174" s="1">
        <f t="shared" si="89"/>
        <v>-4.0690843447561029</v>
      </c>
      <c r="AU174" s="16">
        <f t="shared" si="91"/>
        <v>-1829.9083094355626</v>
      </c>
      <c r="AV174" s="4">
        <f t="shared" si="90"/>
        <v>-1.8299083094355626</v>
      </c>
      <c r="AW174" s="4">
        <f t="shared" si="67"/>
        <v>4.6272895398348126</v>
      </c>
      <c r="AY174" s="4">
        <f>(O174-P174-AG174-(SpotGasPrices!K172-(SpotGasPrices!L172+SpotGasPrices!M172)/2))*($AL$279/AL174)</f>
        <v>-0.12695365393636157</v>
      </c>
      <c r="AZ174" s="1">
        <f>AVERAGE($AY174:$AY185)</f>
        <v>-0.11687366738781198</v>
      </c>
    </row>
    <row r="175" spans="1:52">
      <c r="D175" s="2">
        <v>2014</v>
      </c>
      <c r="E175" s="2">
        <v>2</v>
      </c>
      <c r="F175" s="4">
        <v>1.9776320000000001</v>
      </c>
      <c r="G175" s="4">
        <f>G174</f>
        <v>0.74063995554014428</v>
      </c>
      <c r="H175" s="4">
        <f t="shared" si="80"/>
        <v>0.32061582399291816</v>
      </c>
      <c r="I175" s="4">
        <f>I174</f>
        <v>0.70855530711686321</v>
      </c>
      <c r="J175" s="4">
        <f t="shared" si="81"/>
        <v>0.4070201290314126</v>
      </c>
      <c r="K175">
        <v>108.9</v>
      </c>
      <c r="L175" s="4">
        <v>3.3559999999999999</v>
      </c>
      <c r="M175" s="1">
        <v>3.3050000000000002</v>
      </c>
      <c r="N175" s="1">
        <v>3.464</v>
      </c>
      <c r="O175" s="1">
        <v>3.677</v>
      </c>
      <c r="P175" s="4">
        <f t="shared" si="58"/>
        <v>3.3203333333333331</v>
      </c>
      <c r="Q175" s="4">
        <f t="shared" si="59"/>
        <v>4.8185597088350418</v>
      </c>
      <c r="R175" s="4">
        <f t="shared" si="60"/>
        <v>4.3511624748169568</v>
      </c>
      <c r="S175" s="4">
        <v>0.24199999999999999</v>
      </c>
      <c r="T175" s="4">
        <f t="shared" si="68"/>
        <v>0.21213989776701642</v>
      </c>
      <c r="U175" s="4">
        <v>0.18400000000000008</v>
      </c>
      <c r="V175" s="4">
        <v>0.39499999999999974</v>
      </c>
      <c r="W175" s="4">
        <v>1.4000000000000009E-2</v>
      </c>
      <c r="X175" s="3">
        <v>3.249999999999998E-2</v>
      </c>
      <c r="Y175" s="4">
        <f t="shared" si="69"/>
        <v>0.11574092009685223</v>
      </c>
      <c r="Z175" s="4">
        <v>0</v>
      </c>
      <c r="AB175" s="4">
        <v>0.01</v>
      </c>
      <c r="AC175" s="4">
        <f t="shared" si="61"/>
        <v>0.52474092009685203</v>
      </c>
      <c r="AD175" s="4">
        <f t="shared" si="70"/>
        <v>0.71874092009685209</v>
      </c>
      <c r="AE175" s="4">
        <v>0.1</v>
      </c>
      <c r="AF175" s="4">
        <f t="shared" si="71"/>
        <v>-6.5934355663168631E-2</v>
      </c>
      <c r="AG175" s="4">
        <f t="shared" si="62"/>
        <v>0.42260102232983554</v>
      </c>
      <c r="AH175" s="10">
        <v>1107924666</v>
      </c>
      <c r="AI175" s="32">
        <f t="shared" si="86"/>
        <v>39.568738071428569</v>
      </c>
      <c r="AJ175" s="32">
        <f>AJ174</f>
        <v>40.276441141167432</v>
      </c>
      <c r="AK175" s="24">
        <f t="shared" si="87"/>
        <v>-73050298.976041317</v>
      </c>
      <c r="AL175">
        <v>234.78100000000001</v>
      </c>
      <c r="AM175" s="95">
        <f t="shared" si="65"/>
        <v>0.76309109405826359</v>
      </c>
      <c r="AN175" s="1">
        <f t="shared" si="66"/>
        <v>-8.6404305038494403E-2</v>
      </c>
      <c r="AO175" s="1"/>
      <c r="AP175" s="110"/>
      <c r="AQ175" s="1">
        <f>AQ174</f>
        <v>3.2084648423281306E-2</v>
      </c>
      <c r="AR175" s="15">
        <f t="shared" si="88"/>
        <v>-95.729460800736035</v>
      </c>
      <c r="AS175" s="7">
        <v>28</v>
      </c>
      <c r="AT175" s="1">
        <f t="shared" si="89"/>
        <v>-3.4189093143120011</v>
      </c>
      <c r="AU175" s="16">
        <f t="shared" si="91"/>
        <v>-1925.6377702362986</v>
      </c>
      <c r="AV175" s="4">
        <f t="shared" si="90"/>
        <v>-1.9256377702362986</v>
      </c>
      <c r="AW175" s="4">
        <f t="shared" si="67"/>
        <v>4.6854221167811705</v>
      </c>
      <c r="AY175" s="4">
        <f>(O175-P175-AG175-(SpotGasPrices!K173-(SpotGasPrices!L173+SpotGasPrices!M173)/2))*($AL$279/AL175)</f>
        <v>-0.24108729922733202</v>
      </c>
      <c r="AZ175" s="1">
        <f t="shared" ref="AZ175:AZ185" si="92">AZ174</f>
        <v>-0.11687366738781198</v>
      </c>
    </row>
    <row r="176" spans="1:52">
      <c r="D176" s="2">
        <v>2014</v>
      </c>
      <c r="E176" s="2">
        <v>3</v>
      </c>
      <c r="F176" s="4">
        <v>2.694191</v>
      </c>
      <c r="G176" s="4">
        <f t="shared" ref="G176:I185" si="93">G175</f>
        <v>0.74063995554014428</v>
      </c>
      <c r="H176" s="4">
        <f t="shared" si="80"/>
        <v>0.68829983599935962</v>
      </c>
      <c r="I176" s="4">
        <f t="shared" si="93"/>
        <v>0.70855530711686321</v>
      </c>
      <c r="J176" s="4">
        <f t="shared" si="81"/>
        <v>0.66871372672073459</v>
      </c>
      <c r="K176">
        <v>107.48</v>
      </c>
      <c r="L176" s="4">
        <v>3.5329999999999999</v>
      </c>
      <c r="M176" s="1">
        <v>3.4740000000000002</v>
      </c>
      <c r="N176" s="1">
        <v>3.6579999999999999</v>
      </c>
      <c r="O176" s="1">
        <v>3.9350000000000001</v>
      </c>
      <c r="P176" s="4">
        <f t="shared" si="58"/>
        <v>3.4883333333333333</v>
      </c>
      <c r="Q176" s="4">
        <f t="shared" si="59"/>
        <v>5.1236616615811723</v>
      </c>
      <c r="R176" s="4">
        <f t="shared" si="60"/>
        <v>4.5420685547180826</v>
      </c>
      <c r="S176" s="4">
        <v>0.24199999999999999</v>
      </c>
      <c r="T176" s="4">
        <f t="shared" si="68"/>
        <v>0.21123755716976059</v>
      </c>
      <c r="U176" s="4">
        <v>0.18400000000000008</v>
      </c>
      <c r="V176" s="4">
        <v>0.39499999999999974</v>
      </c>
      <c r="W176" s="4">
        <v>1.4000000000000009E-2</v>
      </c>
      <c r="X176" s="3">
        <v>3.249999999999998E-2</v>
      </c>
      <c r="Y176" s="4">
        <f t="shared" si="69"/>
        <v>0.12386198547215489</v>
      </c>
      <c r="Z176" s="4">
        <v>0</v>
      </c>
      <c r="AB176" s="4">
        <v>0.01</v>
      </c>
      <c r="AC176" s="4">
        <f t="shared" si="61"/>
        <v>0.53286198547215469</v>
      </c>
      <c r="AD176" s="4">
        <f t="shared" si="70"/>
        <v>0.72686198547215475</v>
      </c>
      <c r="AE176" s="4">
        <v>0.1</v>
      </c>
      <c r="AF176" s="4">
        <f t="shared" si="71"/>
        <v>1.5042238364272986E-2</v>
      </c>
      <c r="AG176" s="4">
        <f t="shared" si="62"/>
        <v>0.43162442830239378</v>
      </c>
      <c r="AH176" s="11">
        <v>1246115090</v>
      </c>
      <c r="AI176" s="32">
        <f t="shared" si="86"/>
        <v>40.197260967741933</v>
      </c>
      <c r="AJ176" s="32">
        <f t="shared" ref="AJ176:AJ185" si="94">AJ175</f>
        <v>40.276441141167432</v>
      </c>
      <c r="AK176" s="24">
        <f t="shared" si="87"/>
        <v>18744360.213097487</v>
      </c>
      <c r="AL176">
        <v>236.29300000000001</v>
      </c>
      <c r="AM176" s="95">
        <f t="shared" si="65"/>
        <v>0.76800543437633062</v>
      </c>
      <c r="AN176" s="1">
        <f t="shared" si="66"/>
        <v>1.9586109278625408E-2</v>
      </c>
      <c r="AO176" s="1"/>
      <c r="AP176" s="110"/>
      <c r="AQ176" s="1">
        <f t="shared" ref="AQ176:AQ185" si="95">AQ175</f>
        <v>3.2084648423281306E-2</v>
      </c>
      <c r="AR176" s="15">
        <f t="shared" si="88"/>
        <v>24.406546326484136</v>
      </c>
      <c r="AS176" s="7">
        <v>31</v>
      </c>
      <c r="AT176" s="1">
        <f t="shared" si="89"/>
        <v>0.78730794601561727</v>
      </c>
      <c r="AU176" s="16">
        <f t="shared" si="91"/>
        <v>-1901.2312239098144</v>
      </c>
      <c r="AV176" s="4">
        <f t="shared" si="90"/>
        <v>-1.9012312239098144</v>
      </c>
      <c r="AW176" s="4">
        <f t="shared" si="67"/>
        <v>4.9820940527226787</v>
      </c>
      <c r="AY176" s="4">
        <f>(O176-P176-AG176-(SpotGasPrices!K174-(SpotGasPrices!L174+SpotGasPrices!M174)/2))*($AL$279/AL176)</f>
        <v>-0.18345087861505094</v>
      </c>
      <c r="AZ176" s="1">
        <f t="shared" si="92"/>
        <v>-0.11687366738781198</v>
      </c>
    </row>
    <row r="177" spans="1:52">
      <c r="D177" s="2">
        <v>2014</v>
      </c>
      <c r="E177" s="2">
        <v>4</v>
      </c>
      <c r="F177" s="4">
        <v>2.624714</v>
      </c>
      <c r="G177" s="4">
        <f t="shared" si="93"/>
        <v>0.74063995554014428</v>
      </c>
      <c r="H177" s="4">
        <f t="shared" si="80"/>
        <v>0.96138649701785472</v>
      </c>
      <c r="I177" s="4">
        <f t="shared" si="93"/>
        <v>0.70855530711686321</v>
      </c>
      <c r="J177" s="4">
        <f t="shared" si="81"/>
        <v>0.8108072915396457</v>
      </c>
      <c r="K177">
        <v>107.76</v>
      </c>
      <c r="L177" s="4">
        <v>3.661</v>
      </c>
      <c r="M177" s="1">
        <v>3.59</v>
      </c>
      <c r="N177" s="1">
        <v>3.8090000000000002</v>
      </c>
      <c r="O177" s="1">
        <v>4.1609999999999996</v>
      </c>
      <c r="P177" s="4">
        <f t="shared" si="58"/>
        <v>3.6054444444444442</v>
      </c>
      <c r="Q177" s="4">
        <f t="shared" si="59"/>
        <v>5.4001275182223116</v>
      </c>
      <c r="R177" s="4">
        <f t="shared" si="60"/>
        <v>4.6791299591122808</v>
      </c>
      <c r="S177" s="4">
        <v>0.24199999999999999</v>
      </c>
      <c r="T177" s="4">
        <f t="shared" si="68"/>
        <v>0.21044713478611787</v>
      </c>
      <c r="U177" s="4">
        <v>0.18400000000000008</v>
      </c>
      <c r="V177" s="4">
        <v>0.39499999999999974</v>
      </c>
      <c r="W177" s="4">
        <v>1.4000000000000009E-2</v>
      </c>
      <c r="X177" s="3">
        <v>3.249999999999998E-2</v>
      </c>
      <c r="Y177" s="4">
        <f t="shared" si="69"/>
        <v>0.13097578692493939</v>
      </c>
      <c r="Z177" s="4">
        <v>0</v>
      </c>
      <c r="AB177" s="4">
        <v>0.01</v>
      </c>
      <c r="AC177" s="4">
        <f t="shared" si="61"/>
        <v>0.53997578692493908</v>
      </c>
      <c r="AD177" s="4">
        <f t="shared" si="70"/>
        <v>0.73397578692493926</v>
      </c>
      <c r="AE177" s="4">
        <v>0.1</v>
      </c>
      <c r="AF177" s="4">
        <f t="shared" si="71"/>
        <v>0.11602690341673405</v>
      </c>
      <c r="AG177" s="4">
        <f t="shared" si="62"/>
        <v>0.43952865213882131</v>
      </c>
      <c r="AH177" s="10">
        <v>1210319338</v>
      </c>
      <c r="AI177" s="32">
        <f t="shared" si="86"/>
        <v>40.343977933333335</v>
      </c>
      <c r="AJ177" s="32">
        <f t="shared" si="94"/>
        <v>40.276441141167432</v>
      </c>
      <c r="AK177" s="24">
        <f t="shared" si="87"/>
        <v>140429604.93353149</v>
      </c>
      <c r="AL177">
        <v>237.072</v>
      </c>
      <c r="AM177" s="95">
        <f t="shared" si="65"/>
        <v>0.77053735971216009</v>
      </c>
      <c r="AN177" s="1">
        <f t="shared" si="66"/>
        <v>0.15057920547820908</v>
      </c>
      <c r="AO177" s="1"/>
      <c r="AP177" s="110"/>
      <c r="AQ177" s="1">
        <f t="shared" si="95"/>
        <v>3.2084648423281306E-2</v>
      </c>
      <c r="AR177" s="15">
        <f t="shared" si="88"/>
        <v>182.24892429095198</v>
      </c>
      <c r="AS177" s="7">
        <v>30</v>
      </c>
      <c r="AT177" s="1">
        <f t="shared" si="89"/>
        <v>6.0749641430317327</v>
      </c>
      <c r="AU177" s="16">
        <f t="shared" si="91"/>
        <v>-1718.9822996188625</v>
      </c>
      <c r="AV177" s="4">
        <f t="shared" si="90"/>
        <v>-1.7189822996188624</v>
      </c>
      <c r="AW177" s="4">
        <f t="shared" si="67"/>
        <v>5.250921112573395</v>
      </c>
      <c r="AY177" s="4">
        <f>(O177-P177-AG177-(SpotGasPrices!K175-(SpotGasPrices!L175+SpotGasPrices!M175)/2))*($AL$279/AL177)</f>
        <v>-0.2570334601259206</v>
      </c>
      <c r="AZ177" s="1">
        <f t="shared" si="92"/>
        <v>-0.11687366738781198</v>
      </c>
    </row>
    <row r="178" spans="1:52">
      <c r="D178" s="2">
        <v>2014</v>
      </c>
      <c r="E178" s="2">
        <v>5</v>
      </c>
      <c r="F178" s="4">
        <v>2.253714</v>
      </c>
      <c r="G178" s="4">
        <f t="shared" si="93"/>
        <v>0.74063995554014428</v>
      </c>
      <c r="H178" s="4">
        <f t="shared" si="80"/>
        <v>0.91531727157543785</v>
      </c>
      <c r="I178" s="4">
        <f t="shared" si="93"/>
        <v>0.70855530711686321</v>
      </c>
      <c r="J178" s="4">
        <f t="shared" si="81"/>
        <v>0.76858841973387626</v>
      </c>
      <c r="K178">
        <v>109.54</v>
      </c>
      <c r="L178" s="4">
        <v>3.673</v>
      </c>
      <c r="M178" s="1">
        <v>3.601</v>
      </c>
      <c r="N178" s="1">
        <v>3.8239999999999998</v>
      </c>
      <c r="O178" s="1">
        <v>4.1710000000000003</v>
      </c>
      <c r="P178" s="4">
        <f t="shared" si="58"/>
        <v>3.6176666666666666</v>
      </c>
      <c r="Q178" s="4">
        <f t="shared" si="59"/>
        <v>5.3942654098360663</v>
      </c>
      <c r="R178" s="4">
        <f t="shared" si="60"/>
        <v>4.678651202185792</v>
      </c>
      <c r="S178" s="4">
        <v>0.24199999999999999</v>
      </c>
      <c r="T178" s="4">
        <f t="shared" si="68"/>
        <v>0.21041216034436375</v>
      </c>
      <c r="U178" s="4">
        <v>0.18400000000000008</v>
      </c>
      <c r="V178" s="4">
        <v>0.39499999999999974</v>
      </c>
      <c r="W178" s="4">
        <v>1.4000000000000009E-2</v>
      </c>
      <c r="X178" s="3">
        <v>3.249999999999998E-2</v>
      </c>
      <c r="Y178" s="4">
        <f t="shared" si="69"/>
        <v>0.13129055690072633</v>
      </c>
      <c r="Z178" s="4">
        <v>0</v>
      </c>
      <c r="AB178" s="4">
        <v>0.01</v>
      </c>
      <c r="AC178" s="4">
        <f t="shared" si="61"/>
        <v>0.54029055690072614</v>
      </c>
      <c r="AD178" s="4">
        <f t="shared" si="70"/>
        <v>0.7342905569007262</v>
      </c>
      <c r="AE178" s="4">
        <v>0.1</v>
      </c>
      <c r="AF178" s="4">
        <f t="shared" si="71"/>
        <v>0.11345493677697149</v>
      </c>
      <c r="AG178" s="4">
        <f t="shared" si="62"/>
        <v>0.43987839655636218</v>
      </c>
      <c r="AH178" s="10">
        <v>1272686261</v>
      </c>
      <c r="AI178" s="32">
        <f t="shared" si="86"/>
        <v>41.054395516129034</v>
      </c>
      <c r="AJ178" s="32">
        <f t="shared" si="94"/>
        <v>40.276441141167432</v>
      </c>
      <c r="AK178" s="24">
        <f t="shared" si="87"/>
        <v>144392539.27867523</v>
      </c>
      <c r="AL178">
        <v>237.9</v>
      </c>
      <c r="AM178" s="95">
        <f t="shared" si="65"/>
        <v>0.7732285460768159</v>
      </c>
      <c r="AN178" s="1">
        <f t="shared" si="66"/>
        <v>0.14672885184156198</v>
      </c>
      <c r="AO178" s="1"/>
      <c r="AP178" s="110"/>
      <c r="AQ178" s="1">
        <f t="shared" si="95"/>
        <v>3.2084648423281306E-2</v>
      </c>
      <c r="AR178" s="15">
        <f t="shared" si="88"/>
        <v>186.73979383106044</v>
      </c>
      <c r="AS178" s="7">
        <v>31</v>
      </c>
      <c r="AT178" s="1">
        <f t="shared" si="89"/>
        <v>6.0238643171309816</v>
      </c>
      <c r="AU178" s="16">
        <f t="shared" si="91"/>
        <v>-1532.242505787802</v>
      </c>
      <c r="AV178" s="4">
        <f t="shared" si="90"/>
        <v>-1.532242505787802</v>
      </c>
      <c r="AW178" s="4">
        <f t="shared" si="67"/>
        <v>5.245220975199663</v>
      </c>
      <c r="AY178" s="4">
        <f>(O178-P178-AG178-(SpotGasPrices!K176-(SpotGasPrices!L176+SpotGasPrices!M176)/2))*($AL$279/AL178)</f>
        <v>-0.1384773240068142</v>
      </c>
      <c r="AZ178" s="1">
        <f t="shared" si="92"/>
        <v>-0.11687366738781198</v>
      </c>
    </row>
    <row r="179" spans="1:52">
      <c r="A179" s="2">
        <f>A167+1</f>
        <v>2014</v>
      </c>
      <c r="B179" s="2">
        <f>D179</f>
        <v>2014</v>
      </c>
      <c r="D179" s="2">
        <v>2014</v>
      </c>
      <c r="E179" s="2">
        <v>6</v>
      </c>
      <c r="F179" s="4">
        <v>2.163929</v>
      </c>
      <c r="G179" s="4">
        <f t="shared" si="93"/>
        <v>0.74063995554014428</v>
      </c>
      <c r="H179" s="4">
        <f t="shared" si="80"/>
        <v>0.77233515038894629</v>
      </c>
      <c r="I179" s="4">
        <f t="shared" si="93"/>
        <v>0.70855530711686321</v>
      </c>
      <c r="J179" s="4">
        <f t="shared" si="81"/>
        <v>0.73231281866462694</v>
      </c>
      <c r="K179">
        <v>111.8</v>
      </c>
      <c r="L179" s="4">
        <v>3.6920000000000002</v>
      </c>
      <c r="M179" s="1">
        <v>3.6259999999999999</v>
      </c>
      <c r="N179" s="1">
        <v>3.831</v>
      </c>
      <c r="O179" s="1">
        <v>4.1139999999999999</v>
      </c>
      <c r="P179" s="4">
        <f t="shared" si="58"/>
        <v>3.6451111111111114</v>
      </c>
      <c r="Q179" s="4">
        <f t="shared" si="59"/>
        <v>5.3106594026256273</v>
      </c>
      <c r="R179" s="4">
        <f t="shared" si="60"/>
        <v>4.7053824977728187</v>
      </c>
      <c r="S179" s="4">
        <v>0.24199999999999999</v>
      </c>
      <c r="T179" s="4">
        <f t="shared" si="68"/>
        <v>0.21061151466236216</v>
      </c>
      <c r="U179" s="4">
        <v>0.18400000000000008</v>
      </c>
      <c r="V179" s="4">
        <v>0.39499999999999974</v>
      </c>
      <c r="W179" s="4">
        <v>1.4000000000000009E-2</v>
      </c>
      <c r="X179" s="3">
        <v>3.249999999999998E-2</v>
      </c>
      <c r="Y179" s="4">
        <f t="shared" si="69"/>
        <v>0.12949636803874084</v>
      </c>
      <c r="Z179" s="4">
        <v>0</v>
      </c>
      <c r="AB179" s="4">
        <v>0.01</v>
      </c>
      <c r="AC179" s="4">
        <f t="shared" si="61"/>
        <v>0.53849636803874057</v>
      </c>
      <c r="AD179" s="4">
        <f t="shared" si="70"/>
        <v>0.73249636803874074</v>
      </c>
      <c r="AE179" s="4">
        <v>0.1</v>
      </c>
      <c r="AF179" s="4">
        <f t="shared" si="71"/>
        <v>3.1004035512510075E-2</v>
      </c>
      <c r="AG179" s="4">
        <f t="shared" si="62"/>
        <v>0.43788485337637839</v>
      </c>
      <c r="AH179" s="11">
        <v>1217309896</v>
      </c>
      <c r="AI179" s="32">
        <f t="shared" si="86"/>
        <v>40.576996533333336</v>
      </c>
      <c r="AJ179" s="32">
        <f t="shared" si="94"/>
        <v>40.276441141167432</v>
      </c>
      <c r="AK179" s="24">
        <f t="shared" si="87"/>
        <v>37741519.24531395</v>
      </c>
      <c r="AL179">
        <v>238.34299999999999</v>
      </c>
      <c r="AM179" s="95">
        <f t="shared" si="65"/>
        <v>0.77466839578640823</v>
      </c>
      <c r="AN179" s="1">
        <f t="shared" si="66"/>
        <v>4.0022331724319522E-2</v>
      </c>
      <c r="AO179" s="1"/>
      <c r="AP179" s="110"/>
      <c r="AQ179" s="1">
        <f t="shared" si="95"/>
        <v>3.2084648423281306E-2</v>
      </c>
      <c r="AR179" s="15">
        <f t="shared" si="88"/>
        <v>48.719580469008903</v>
      </c>
      <c r="AS179" s="7">
        <v>30</v>
      </c>
      <c r="AT179" s="1">
        <f t="shared" si="89"/>
        <v>1.6239860156336301</v>
      </c>
      <c r="AU179" s="16">
        <f t="shared" si="91"/>
        <v>-1483.5229253187931</v>
      </c>
      <c r="AV179" s="4">
        <f t="shared" si="90"/>
        <v>-1.4835229253187932</v>
      </c>
      <c r="AW179" s="4">
        <f t="shared" si="67"/>
        <v>5.1639250156287364</v>
      </c>
      <c r="AY179" s="4">
        <f>(O179-P179-AG179-(SpotGasPrices!K177-(SpotGasPrices!L177+SpotGasPrices!M177)/2))*($AL$279/AL179)</f>
        <v>-0.26569417758795461</v>
      </c>
      <c r="AZ179" s="1">
        <f t="shared" si="92"/>
        <v>-0.11687366738781198</v>
      </c>
    </row>
    <row r="180" spans="1:52">
      <c r="D180" s="2">
        <v>2014</v>
      </c>
      <c r="E180" s="2">
        <v>7</v>
      </c>
      <c r="F180" s="4">
        <v>2.0891769999999998</v>
      </c>
      <c r="G180" s="4">
        <f t="shared" si="93"/>
        <v>0.74063995554014428</v>
      </c>
      <c r="H180" s="4">
        <f t="shared" si="80"/>
        <v>0.90744144181834363</v>
      </c>
      <c r="I180" s="4">
        <f t="shared" si="93"/>
        <v>0.70855530711686321</v>
      </c>
      <c r="J180" s="4">
        <f t="shared" si="81"/>
        <v>0.77461321286546847</v>
      </c>
      <c r="K180">
        <v>106.77</v>
      </c>
      <c r="L180" s="4">
        <v>3.6110000000000002</v>
      </c>
      <c r="M180" s="1">
        <v>3.5390000000000001</v>
      </c>
      <c r="N180" s="1">
        <v>3.7629999999999999</v>
      </c>
      <c r="O180" s="1">
        <v>4.0609999999999999</v>
      </c>
      <c r="P180" s="4">
        <f t="shared" si="58"/>
        <v>3.5610000000000004</v>
      </c>
      <c r="Q180" s="4">
        <f t="shared" si="59"/>
        <v>5.2442893221406086</v>
      </c>
      <c r="R180" s="4">
        <f t="shared" si="60"/>
        <v>4.5985999202518366</v>
      </c>
      <c r="S180" s="4">
        <v>0.24199999999999999</v>
      </c>
      <c r="T180" s="4">
        <f t="shared" si="68"/>
        <v>0.21468576809254775</v>
      </c>
      <c r="U180" s="4">
        <v>0.18400000000000008</v>
      </c>
      <c r="V180" s="4">
        <v>0.35999999999999993</v>
      </c>
      <c r="W180" s="4">
        <v>1.4000000000000009E-2</v>
      </c>
      <c r="X180" s="3">
        <v>3.249999999999998E-2</v>
      </c>
      <c r="Y180" s="4">
        <f t="shared" si="69"/>
        <v>0.12782808716707014</v>
      </c>
      <c r="Z180" s="4">
        <v>0</v>
      </c>
      <c r="AB180" s="4">
        <v>0.01</v>
      </c>
      <c r="AC180" s="4">
        <f t="shared" si="61"/>
        <v>0.50182808716707006</v>
      </c>
      <c r="AD180" s="4">
        <f t="shared" si="70"/>
        <v>0.69582808716707023</v>
      </c>
      <c r="AE180" s="4">
        <v>0.1</v>
      </c>
      <c r="AF180" s="4">
        <f t="shared" si="71"/>
        <v>0.10285768092547709</v>
      </c>
      <c r="AG180" s="4">
        <f t="shared" si="62"/>
        <v>0.39714231907452247</v>
      </c>
      <c r="AH180" s="10">
        <v>1250901273</v>
      </c>
      <c r="AI180" s="32">
        <f t="shared" si="86"/>
        <v>40.351653967741939</v>
      </c>
      <c r="AJ180" s="32">
        <f t="shared" si="94"/>
        <v>40.276441141167432</v>
      </c>
      <c r="AK180" s="24">
        <f t="shared" si="87"/>
        <v>128664804.00750712</v>
      </c>
      <c r="AL180">
        <v>238.25</v>
      </c>
      <c r="AM180" s="95">
        <f t="shared" si="65"/>
        <v>0.77436612485414613</v>
      </c>
      <c r="AN180" s="1">
        <f t="shared" si="66"/>
        <v>0.13282822895287497</v>
      </c>
      <c r="AO180" s="1"/>
      <c r="AP180" s="110"/>
      <c r="AQ180" s="1">
        <f t="shared" si="95"/>
        <v>3.2084648423281306E-2</v>
      </c>
      <c r="AR180" s="15">
        <f t="shared" si="88"/>
        <v>166.15500068748676</v>
      </c>
      <c r="AS180" s="7">
        <v>31</v>
      </c>
      <c r="AT180" s="1">
        <f t="shared" si="89"/>
        <v>5.3598387318544116</v>
      </c>
      <c r="AU180" s="16">
        <f t="shared" si="91"/>
        <v>-1317.3679246313063</v>
      </c>
      <c r="AV180" s="4">
        <f t="shared" si="90"/>
        <v>-1.3173679246313064</v>
      </c>
      <c r="AW180" s="4">
        <f t="shared" si="67"/>
        <v>5.0993887513116478</v>
      </c>
      <c r="AY180" s="4">
        <f>(O180-P180-AG180-(SpotGasPrices!K178-(SpotGasPrices!L178+SpotGasPrices!M178)/2))*($AL$279/AL180)</f>
        <v>-5.9592792411486309E-2</v>
      </c>
      <c r="AZ180" s="1">
        <f t="shared" si="92"/>
        <v>-0.11687366738781198</v>
      </c>
    </row>
    <row r="181" spans="1:52">
      <c r="D181" s="2">
        <v>2014</v>
      </c>
      <c r="E181" s="2">
        <v>8</v>
      </c>
      <c r="F181" s="4">
        <v>2.1016949999999999</v>
      </c>
      <c r="G181" s="4">
        <f t="shared" si="93"/>
        <v>0.74063995554014428</v>
      </c>
      <c r="H181" s="4">
        <f t="shared" si="80"/>
        <v>0.88248120887023596</v>
      </c>
      <c r="I181" s="4">
        <f t="shared" si="93"/>
        <v>0.70855530711686321</v>
      </c>
      <c r="J181" s="4">
        <f t="shared" si="81"/>
        <v>0.77862149156608873</v>
      </c>
      <c r="K181">
        <v>101.61</v>
      </c>
      <c r="L181" s="4">
        <v>3.4870000000000001</v>
      </c>
      <c r="M181" s="1">
        <v>3.4249999999999998</v>
      </c>
      <c r="N181" s="1">
        <v>3.6160000000000001</v>
      </c>
      <c r="O181" s="1">
        <v>3.9119999999999999</v>
      </c>
      <c r="P181" s="4">
        <f t="shared" si="58"/>
        <v>3.4397777777777776</v>
      </c>
      <c r="Q181" s="4">
        <f t="shared" si="59"/>
        <v>5.0603272286968366</v>
      </c>
      <c r="R181" s="4">
        <f t="shared" si="60"/>
        <v>4.4494890464098118</v>
      </c>
      <c r="S181" s="4">
        <v>0.24199999999999999</v>
      </c>
      <c r="T181" s="4">
        <f t="shared" si="68"/>
        <v>0.21520688727468387</v>
      </c>
      <c r="U181" s="4">
        <v>0.18400000000000008</v>
      </c>
      <c r="V181" s="4">
        <v>0.35999999999999993</v>
      </c>
      <c r="W181" s="4">
        <v>1.4000000000000009E-2</v>
      </c>
      <c r="X181" s="3">
        <v>3.249999999999998E-2</v>
      </c>
      <c r="Y181" s="4">
        <f t="shared" si="69"/>
        <v>0.12313801452784497</v>
      </c>
      <c r="Z181" s="4">
        <v>0</v>
      </c>
      <c r="AB181" s="4">
        <v>0.01</v>
      </c>
      <c r="AC181" s="4">
        <f t="shared" si="61"/>
        <v>0.4971380145278449</v>
      </c>
      <c r="AD181" s="4">
        <f t="shared" si="70"/>
        <v>0.69113801452784507</v>
      </c>
      <c r="AE181" s="4">
        <v>0.1</v>
      </c>
      <c r="AF181" s="4">
        <f t="shared" si="71"/>
        <v>8.0291094969061394E-2</v>
      </c>
      <c r="AG181" s="4">
        <f t="shared" si="62"/>
        <v>0.39193112725316093</v>
      </c>
      <c r="AH181" s="10">
        <v>1285170048</v>
      </c>
      <c r="AI181" s="32">
        <f t="shared" si="86"/>
        <v>41.457098322580649</v>
      </c>
      <c r="AJ181" s="32">
        <f t="shared" si="94"/>
        <v>40.276441141167432</v>
      </c>
      <c r="AK181" s="24">
        <f t="shared" si="87"/>
        <v>103187710.37536119</v>
      </c>
      <c r="AL181">
        <v>237.852</v>
      </c>
      <c r="AM181" s="95">
        <f t="shared" si="65"/>
        <v>0.77307253527306774</v>
      </c>
      <c r="AN181" s="1">
        <f t="shared" si="66"/>
        <v>0.10385971730414748</v>
      </c>
      <c r="AO181" s="1"/>
      <c r="AP181" s="110"/>
      <c r="AQ181" s="1">
        <f t="shared" si="95"/>
        <v>3.2084648423281306E-2</v>
      </c>
      <c r="AR181" s="15">
        <f t="shared" si="88"/>
        <v>133.47739787303763</v>
      </c>
      <c r="AS181" s="7">
        <v>31</v>
      </c>
      <c r="AT181" s="1">
        <f t="shared" si="89"/>
        <v>4.3057225120334719</v>
      </c>
      <c r="AU181" s="16">
        <f t="shared" si="91"/>
        <v>-1183.8905267582686</v>
      </c>
      <c r="AV181" s="4">
        <f t="shared" si="90"/>
        <v>-1.1838905267582687</v>
      </c>
      <c r="AW181" s="4">
        <f t="shared" si="67"/>
        <v>4.9205095605670754</v>
      </c>
      <c r="AY181" s="4">
        <f>(O181-P181-AG181-(SpotGasPrices!K179-(SpotGasPrices!L179+SpotGasPrices!M179)/2))*($AL$279/AL181)</f>
        <v>-7.481110188722391E-2</v>
      </c>
      <c r="AZ181" s="1">
        <f t="shared" si="92"/>
        <v>-0.11687366738781198</v>
      </c>
    </row>
    <row r="182" spans="1:52">
      <c r="D182" s="2">
        <v>2014</v>
      </c>
      <c r="E182" s="2">
        <v>9</v>
      </c>
      <c r="F182" s="4">
        <v>1.7165330000000001</v>
      </c>
      <c r="G182" s="4">
        <f t="shared" si="93"/>
        <v>0.74063995554014428</v>
      </c>
      <c r="H182" s="4">
        <f t="shared" si="80"/>
        <v>0.84802380915916875</v>
      </c>
      <c r="I182" s="4">
        <f t="shared" si="93"/>
        <v>0.70855530711686321</v>
      </c>
      <c r="J182" s="4">
        <f t="shared" si="81"/>
        <v>0.82125720649926226</v>
      </c>
      <c r="K182">
        <v>97.09</v>
      </c>
      <c r="L182" s="4">
        <v>3.4060000000000001</v>
      </c>
      <c r="M182" s="1">
        <v>3.3540000000000001</v>
      </c>
      <c r="N182" s="1">
        <v>3.516</v>
      </c>
      <c r="O182" s="1">
        <v>3.7730000000000001</v>
      </c>
      <c r="P182" s="4">
        <f t="shared" si="58"/>
        <v>3.3652222222222221</v>
      </c>
      <c r="Q182" s="4">
        <f t="shared" si="59"/>
        <v>4.8768550440908962</v>
      </c>
      <c r="R182" s="4">
        <f t="shared" si="60"/>
        <v>4.349774971887415</v>
      </c>
      <c r="S182" s="4">
        <v>0.24199999999999999</v>
      </c>
      <c r="T182" s="4">
        <f t="shared" si="68"/>
        <v>0.2156930320150659</v>
      </c>
      <c r="U182" s="4">
        <v>0.18400000000000008</v>
      </c>
      <c r="V182" s="4">
        <v>0.36</v>
      </c>
      <c r="W182" s="4">
        <v>1.4000000000000009E-2</v>
      </c>
      <c r="X182" s="3">
        <v>3.249999999999998E-2</v>
      </c>
      <c r="Y182" s="4">
        <f t="shared" si="69"/>
        <v>0.11876271186440672</v>
      </c>
      <c r="Z182" s="4">
        <v>0</v>
      </c>
      <c r="AB182" s="4">
        <v>0.01</v>
      </c>
      <c r="AC182" s="4">
        <f t="shared" si="61"/>
        <v>0.49276271186440673</v>
      </c>
      <c r="AD182" s="4">
        <f t="shared" si="70"/>
        <v>0.68676271186440674</v>
      </c>
      <c r="AE182" s="4">
        <v>0.1</v>
      </c>
      <c r="AF182" s="4">
        <f t="shared" si="71"/>
        <v>2.0708097928437308E-2</v>
      </c>
      <c r="AG182" s="4">
        <f t="shared" si="62"/>
        <v>0.38706967984934071</v>
      </c>
      <c r="AH182" s="11">
        <v>1222879913</v>
      </c>
      <c r="AI182" s="32">
        <f t="shared" si="86"/>
        <v>40.76266376666667</v>
      </c>
      <c r="AJ182" s="32">
        <f t="shared" si="94"/>
        <v>40.276441141167432</v>
      </c>
      <c r="AK182" s="24">
        <f t="shared" si="87"/>
        <v>25323516.993122894</v>
      </c>
      <c r="AL182">
        <v>238.03100000000001</v>
      </c>
      <c r="AM182" s="95">
        <f t="shared" si="65"/>
        <v>0.77365432556204516</v>
      </c>
      <c r="AN182" s="1">
        <f t="shared" si="66"/>
        <v>2.676660265990663E-2</v>
      </c>
      <c r="AO182" s="1"/>
      <c r="AP182" s="110"/>
      <c r="AQ182" s="1">
        <f t="shared" si="95"/>
        <v>3.2084648423281306E-2</v>
      </c>
      <c r="AR182" s="15">
        <f t="shared" si="88"/>
        <v>32.732340732052187</v>
      </c>
      <c r="AS182" s="7">
        <v>30</v>
      </c>
      <c r="AT182" s="1">
        <f t="shared" si="89"/>
        <v>1.0910780244017395</v>
      </c>
      <c r="AU182" s="16">
        <f t="shared" si="91"/>
        <v>-1151.1581860262165</v>
      </c>
      <c r="AV182" s="4">
        <f t="shared" si="90"/>
        <v>-1.1511581860262166</v>
      </c>
      <c r="AW182" s="4">
        <f t="shared" si="67"/>
        <v>4.7421067423990992</v>
      </c>
      <c r="AY182" s="4">
        <f>(O182-P182-AG182-(SpotGasPrices!K180-(SpotGasPrices!L180+SpotGasPrices!M180)/2))*($AL$279/AL182)</f>
        <v>-4.4185044469629682E-2</v>
      </c>
      <c r="AZ182" s="1">
        <f t="shared" si="92"/>
        <v>-0.11687366738781198</v>
      </c>
    </row>
    <row r="183" spans="1:52">
      <c r="D183" s="2">
        <v>2014</v>
      </c>
      <c r="E183" s="2">
        <v>10</v>
      </c>
      <c r="F183" s="4">
        <v>1.6016429999999999</v>
      </c>
      <c r="G183" s="4">
        <f t="shared" si="93"/>
        <v>0.74063995554014428</v>
      </c>
      <c r="H183" s="4">
        <f t="shared" si="80"/>
        <v>0.85314010064855383</v>
      </c>
      <c r="I183" s="4">
        <f t="shared" si="93"/>
        <v>0.70855530711686321</v>
      </c>
      <c r="J183" s="4">
        <f t="shared" si="81"/>
        <v>0.81844469119602414</v>
      </c>
      <c r="K183">
        <v>87.43</v>
      </c>
      <c r="L183" s="4">
        <v>3.1709999999999998</v>
      </c>
      <c r="M183" s="1">
        <v>3.12</v>
      </c>
      <c r="N183" s="1">
        <v>3.2770000000000001</v>
      </c>
      <c r="O183" s="1">
        <v>3.536</v>
      </c>
      <c r="P183" s="4">
        <f t="shared" si="58"/>
        <v>3.1304444444444441</v>
      </c>
      <c r="Q183" s="4">
        <f t="shared" si="59"/>
        <v>4.5820280079011759</v>
      </c>
      <c r="R183" s="4">
        <f t="shared" si="60"/>
        <v>4.0565000343956674</v>
      </c>
      <c r="S183" s="4">
        <v>0.24199999999999999</v>
      </c>
      <c r="T183" s="4">
        <f t="shared" si="68"/>
        <v>0.21652192628463812</v>
      </c>
      <c r="U183" s="4">
        <v>0.18400000000000008</v>
      </c>
      <c r="V183" s="4">
        <v>0.35999999999999993</v>
      </c>
      <c r="W183" s="4">
        <v>1.4000000000000009E-2</v>
      </c>
      <c r="X183" s="3">
        <v>3.249999999999998E-2</v>
      </c>
      <c r="Y183" s="4">
        <f t="shared" si="69"/>
        <v>0.11130266343825659</v>
      </c>
      <c r="Z183" s="4">
        <v>0</v>
      </c>
      <c r="AB183" s="4">
        <v>0.01</v>
      </c>
      <c r="AC183" s="4">
        <f t="shared" si="61"/>
        <v>0.48530266343825657</v>
      </c>
      <c r="AD183" s="4">
        <f t="shared" si="70"/>
        <v>0.67930266343825663</v>
      </c>
      <c r="AE183" s="4">
        <v>0.1</v>
      </c>
      <c r="AF183" s="4">
        <f t="shared" si="71"/>
        <v>2.6774818401937406E-2</v>
      </c>
      <c r="AG183" s="4">
        <f t="shared" si="62"/>
        <v>0.37878073715361849</v>
      </c>
      <c r="AH183" s="10">
        <v>1271773798</v>
      </c>
      <c r="AI183" s="32">
        <f t="shared" si="86"/>
        <v>41.02496122580645</v>
      </c>
      <c r="AJ183" s="32">
        <f t="shared" si="94"/>
        <v>40.276441141167432</v>
      </c>
      <c r="AK183" s="24">
        <f t="shared" si="87"/>
        <v>34051512.489792228</v>
      </c>
      <c r="AL183">
        <v>237.43299999999999</v>
      </c>
      <c r="AM183" s="95">
        <f t="shared" si="65"/>
        <v>0.77171069096534939</v>
      </c>
      <c r="AN183" s="1">
        <f t="shared" si="66"/>
        <v>3.4695409452529698E-2</v>
      </c>
      <c r="AO183" s="1"/>
      <c r="AP183" s="110"/>
      <c r="AQ183" s="1">
        <f t="shared" si="95"/>
        <v>3.2084648423281306E-2</v>
      </c>
      <c r="AR183" s="15">
        <f t="shared" si="88"/>
        <v>44.1247126526088</v>
      </c>
      <c r="AS183" s="7">
        <v>31</v>
      </c>
      <c r="AT183" s="1">
        <f t="shared" si="89"/>
        <v>1.4233778275035096</v>
      </c>
      <c r="AU183" s="16">
        <f t="shared" si="91"/>
        <v>-1107.0334733736076</v>
      </c>
      <c r="AV183" s="4">
        <f t="shared" si="90"/>
        <v>-1.1070334733736076</v>
      </c>
      <c r="AW183" s="4">
        <f t="shared" si="67"/>
        <v>4.4554258253907415</v>
      </c>
      <c r="AY183" s="4">
        <f>(O183-P183-AG183-(SpotGasPrices!K181-(SpotGasPrices!L181+SpotGasPrices!M181)/2))*($AL$279/AL183)</f>
        <v>-2.8523317392282706E-2</v>
      </c>
      <c r="AZ183" s="1">
        <f t="shared" si="92"/>
        <v>-0.11687366738781198</v>
      </c>
    </row>
    <row r="184" spans="1:52">
      <c r="D184" s="2">
        <v>2014</v>
      </c>
      <c r="E184" s="2">
        <v>11</v>
      </c>
      <c r="F184" s="4">
        <v>2.1526420000000002</v>
      </c>
      <c r="G184" s="4">
        <f t="shared" si="93"/>
        <v>0.74063995554014428</v>
      </c>
      <c r="H184" s="4">
        <f t="shared" si="80"/>
        <v>0.66469912809737008</v>
      </c>
      <c r="I184" s="4">
        <f t="shared" si="93"/>
        <v>0.70855530711686321</v>
      </c>
      <c r="J184" s="4">
        <f t="shared" si="81"/>
        <v>0.74700240034774212</v>
      </c>
      <c r="K184">
        <v>79.44</v>
      </c>
      <c r="L184" s="4">
        <v>2.9119999999999999</v>
      </c>
      <c r="M184" s="1">
        <v>2.875</v>
      </c>
      <c r="N184" s="1">
        <v>2.99</v>
      </c>
      <c r="O184" s="1">
        <v>3.1850000000000001</v>
      </c>
      <c r="P184" s="4">
        <f t="shared" si="58"/>
        <v>2.8816666666666664</v>
      </c>
      <c r="Q184" s="4">
        <f t="shared" si="59"/>
        <v>4.1495997687920019</v>
      </c>
      <c r="R184" s="4">
        <f t="shared" si="60"/>
        <v>3.7543997908118105</v>
      </c>
      <c r="S184" s="4">
        <v>0.24199999999999999</v>
      </c>
      <c r="T184" s="4">
        <f t="shared" si="68"/>
        <v>0.21774952919020715</v>
      </c>
      <c r="U184" s="4">
        <v>0.18400000000000008</v>
      </c>
      <c r="V184" s="4">
        <v>0.36</v>
      </c>
      <c r="W184" s="4">
        <v>1.4000000000000009E-2</v>
      </c>
      <c r="X184" s="3">
        <v>3.249999999999998E-2</v>
      </c>
      <c r="Y184" s="4">
        <f t="shared" si="69"/>
        <v>0.10025423728813554</v>
      </c>
      <c r="Z184" s="4">
        <v>0</v>
      </c>
      <c r="AB184" s="4">
        <v>0.01</v>
      </c>
      <c r="AC184" s="4">
        <f t="shared" si="61"/>
        <v>0.47425423728813554</v>
      </c>
      <c r="AD184" s="4">
        <f t="shared" si="70"/>
        <v>0.6682542372881356</v>
      </c>
      <c r="AE184" s="4">
        <v>0.1</v>
      </c>
      <c r="AF184" s="4">
        <f t="shared" si="71"/>
        <v>-6.3171374764594557E-2</v>
      </c>
      <c r="AG184" s="4">
        <f t="shared" si="62"/>
        <v>0.36650470809792823</v>
      </c>
      <c r="AH184" s="10">
        <v>1194414902</v>
      </c>
      <c r="AI184" s="32">
        <f t="shared" si="86"/>
        <v>39.813830066666668</v>
      </c>
      <c r="AJ184" s="32">
        <f t="shared" si="94"/>
        <v>40.276441141167432</v>
      </c>
      <c r="AK184" s="24">
        <f t="shared" si="87"/>
        <v>-75452831.398658484</v>
      </c>
      <c r="AL184">
        <v>236.15100000000001</v>
      </c>
      <c r="AM184" s="95">
        <f t="shared" si="65"/>
        <v>0.76754390241524229</v>
      </c>
      <c r="AN184" s="1">
        <f t="shared" si="66"/>
        <v>-8.2303272250371887E-2</v>
      </c>
      <c r="AO184" s="1"/>
      <c r="AP184" s="110"/>
      <c r="AQ184" s="1">
        <f t="shared" si="95"/>
        <v>3.2084648423281306E-2</v>
      </c>
      <c r="AR184" s="15">
        <f t="shared" si="88"/>
        <v>-98.304254859207262</v>
      </c>
      <c r="AS184" s="7">
        <v>30</v>
      </c>
      <c r="AT184" s="1">
        <f t="shared" si="89"/>
        <v>-3.2768084953069088</v>
      </c>
      <c r="AU184" s="16">
        <f t="shared" si="91"/>
        <v>-1205.3377282328149</v>
      </c>
      <c r="AV184" s="4">
        <f t="shared" si="90"/>
        <v>-1.2053377282328148</v>
      </c>
      <c r="AW184" s="4">
        <f t="shared" si="67"/>
        <v>4.0349456491820916</v>
      </c>
      <c r="AY184" s="4">
        <f>(O184-P184-AG184-(SpotGasPrices!K182-(SpotGasPrices!L182+SpotGasPrices!M182)/2))*($AL$279/AL184)</f>
        <v>-4.56466571657385E-2</v>
      </c>
      <c r="AZ184" s="1">
        <f t="shared" si="92"/>
        <v>-0.11687366738781198</v>
      </c>
    </row>
    <row r="185" spans="1:52">
      <c r="B185" s="26" t="s">
        <v>33</v>
      </c>
      <c r="C185" s="29"/>
      <c r="D185" s="2">
        <v>2014</v>
      </c>
      <c r="E185" s="2">
        <v>12</v>
      </c>
      <c r="F185" s="4">
        <v>1.8699699999999999</v>
      </c>
      <c r="G185" s="4">
        <f t="shared" si="93"/>
        <v>0.74063995554014428</v>
      </c>
      <c r="H185" s="4">
        <f t="shared" si="80"/>
        <v>0.80267556199737977</v>
      </c>
      <c r="I185" s="4">
        <f t="shared" si="93"/>
        <v>0.70855530711686321</v>
      </c>
      <c r="J185" s="4">
        <f t="shared" si="81"/>
        <v>0.79662575371704969</v>
      </c>
      <c r="K185">
        <v>62.34</v>
      </c>
      <c r="L185" s="4">
        <v>2.5430000000000001</v>
      </c>
      <c r="M185" s="1">
        <v>2.488</v>
      </c>
      <c r="N185" s="1">
        <v>2.657</v>
      </c>
      <c r="O185" s="1">
        <v>2.867</v>
      </c>
      <c r="P185" s="4">
        <f t="shared" si="58"/>
        <v>2.5070000000000001</v>
      </c>
      <c r="Q185" s="4">
        <f t="shared" si="59"/>
        <v>3.7565914731785428</v>
      </c>
      <c r="R185" s="4">
        <f t="shared" si="60"/>
        <v>3.2848883234246968</v>
      </c>
      <c r="S185" s="4">
        <v>0.24199999999999999</v>
      </c>
      <c r="T185" s="4">
        <f t="shared" si="68"/>
        <v>0.2188617164379876</v>
      </c>
      <c r="U185" s="4">
        <v>0.18400000000000008</v>
      </c>
      <c r="V185" s="4">
        <v>0.35999999999999993</v>
      </c>
      <c r="W185" s="4">
        <v>1.4000000000000009E-2</v>
      </c>
      <c r="X185" s="3">
        <v>3.249999999999998E-2</v>
      </c>
      <c r="Y185" s="4">
        <f t="shared" si="69"/>
        <v>9.0244552058111327E-2</v>
      </c>
      <c r="Z185" s="4">
        <v>0</v>
      </c>
      <c r="AB185" s="4">
        <v>0.01</v>
      </c>
      <c r="AC185" s="4">
        <f t="shared" si="61"/>
        <v>0.46424455205811127</v>
      </c>
      <c r="AD185" s="4">
        <f t="shared" si="70"/>
        <v>0.65824455205811139</v>
      </c>
      <c r="AE185" s="4">
        <v>0.1</v>
      </c>
      <c r="AF185" s="4">
        <f t="shared" si="71"/>
        <v>4.6171643798764705E-3</v>
      </c>
      <c r="AG185" s="4">
        <f t="shared" si="62"/>
        <v>0.35538283562012341</v>
      </c>
      <c r="AH185" s="11">
        <v>1248556730</v>
      </c>
      <c r="AI185" s="32">
        <f t="shared" si="86"/>
        <v>40.276023548387094</v>
      </c>
      <c r="AJ185" s="32">
        <f t="shared" si="94"/>
        <v>40.276441141167432</v>
      </c>
      <c r="AK185" s="24">
        <f t="shared" si="87"/>
        <v>5764791.6600110438</v>
      </c>
      <c r="AL185">
        <v>234.81200000000001</v>
      </c>
      <c r="AM185" s="95">
        <f t="shared" si="65"/>
        <v>0.76319185103568432</v>
      </c>
      <c r="AN185" s="1">
        <f t="shared" si="66"/>
        <v>6.0498082803305342E-3</v>
      </c>
      <c r="AO185" s="1"/>
      <c r="AP185" s="110"/>
      <c r="AQ185" s="1">
        <f t="shared" si="95"/>
        <v>3.2084648423281306E-2</v>
      </c>
      <c r="AR185" s="15">
        <f t="shared" si="88"/>
        <v>7.553528843616415</v>
      </c>
      <c r="AS185" s="7">
        <v>31</v>
      </c>
      <c r="AT185" s="1">
        <f t="shared" si="89"/>
        <v>0.24366222076181984</v>
      </c>
      <c r="AU185" s="16">
        <f t="shared" si="91"/>
        <v>-1197.7841993891984</v>
      </c>
      <c r="AV185" s="4">
        <f t="shared" si="90"/>
        <v>-1.1977841993891984</v>
      </c>
      <c r="AW185" s="4">
        <f t="shared" si="67"/>
        <v>3.6527962369895914</v>
      </c>
      <c r="AY185" s="4">
        <f>(O185-P185-AG185-(SpotGasPrices!K183-(SpotGasPrices!L183+SpotGasPrices!M183)/2))*($AL$279/AL185)</f>
        <v>6.2971698172051366E-2</v>
      </c>
      <c r="AZ185" s="1">
        <f t="shared" si="92"/>
        <v>-0.11687366738781198</v>
      </c>
    </row>
    <row r="186" spans="1:52">
      <c r="A186" s="33" t="s">
        <v>39</v>
      </c>
      <c r="B186" s="26" t="s">
        <v>33</v>
      </c>
      <c r="C186" s="29">
        <v>42005</v>
      </c>
      <c r="D186" s="2">
        <v>2015</v>
      </c>
      <c r="E186" s="2">
        <v>1</v>
      </c>
      <c r="F186" s="4">
        <v>1.3208120000000001</v>
      </c>
      <c r="G186" s="4">
        <f>AVERAGE(H186:H197)</f>
        <v>1.3844874711536983</v>
      </c>
      <c r="H186" s="4">
        <f t="shared" si="80"/>
        <v>0.73273805819585958</v>
      </c>
      <c r="I186" s="4">
        <f>AVERAGE(J186:J197)</f>
        <v>0.87275254764902499</v>
      </c>
      <c r="J186" s="4">
        <f t="shared" si="81"/>
        <v>0.6744792250473266</v>
      </c>
      <c r="K186">
        <v>47.76</v>
      </c>
      <c r="L186" s="4">
        <v>2.1160000000000001</v>
      </c>
      <c r="M186" s="1">
        <v>2.0459999999999998</v>
      </c>
      <c r="N186" s="1">
        <v>2.262</v>
      </c>
      <c r="O186" s="1">
        <v>2.5470000000000002</v>
      </c>
      <c r="P186" s="4">
        <f t="shared" si="58"/>
        <v>2.068111111111111</v>
      </c>
      <c r="Q186" s="4">
        <f t="shared" si="59"/>
        <v>3.353079013465579</v>
      </c>
      <c r="R186" s="4">
        <f t="shared" si="60"/>
        <v>2.7226305316771282</v>
      </c>
      <c r="S186" s="4">
        <v>0.247</v>
      </c>
      <c r="T186" s="4">
        <f t="shared" si="68"/>
        <v>0.22553645412967449</v>
      </c>
      <c r="U186" s="4">
        <v>0.18400000000000008</v>
      </c>
      <c r="V186" s="4">
        <v>0.35999999999999993</v>
      </c>
      <c r="W186" s="4">
        <v>2.0000000000000007E-2</v>
      </c>
      <c r="X186" s="3">
        <v>3.249999999999998E-2</v>
      </c>
      <c r="Y186" s="4">
        <f t="shared" si="69"/>
        <v>8.0171912832929737E-2</v>
      </c>
      <c r="Z186" s="4">
        <v>0.09</v>
      </c>
      <c r="AA186" s="38"/>
      <c r="AB186" s="4">
        <v>0.01</v>
      </c>
      <c r="AC186" s="4">
        <f t="shared" si="61"/>
        <v>0.46017191283292969</v>
      </c>
      <c r="AD186" s="4">
        <f t="shared" si="70"/>
        <v>0.74417191283292972</v>
      </c>
      <c r="AE186" s="4">
        <v>0.1</v>
      </c>
      <c r="AF186" s="4">
        <f t="shared" si="71"/>
        <v>4.4253430185634324E-2</v>
      </c>
      <c r="AG186" s="4">
        <f t="shared" si="62"/>
        <v>0.43463545870325482</v>
      </c>
      <c r="AH186" s="10">
        <v>1216497576</v>
      </c>
      <c r="AI186" s="32">
        <f t="shared" si="86"/>
        <v>39.241857290322578</v>
      </c>
      <c r="AJ186" s="32">
        <f>AVERAGE(AI186:AI197)</f>
        <v>41.385085913940095</v>
      </c>
      <c r="AK186" s="24">
        <f t="shared" si="87"/>
        <v>53834190.550509386</v>
      </c>
      <c r="AL186">
        <v>233.70699999999999</v>
      </c>
      <c r="AM186" s="95">
        <f t="shared" si="65"/>
        <v>0.75960035232439849</v>
      </c>
      <c r="AN186" s="1">
        <f t="shared" si="66"/>
        <v>5.8258833148533411E-2</v>
      </c>
      <c r="AO186" s="1">
        <f>MAX(AN186-0.4,0)</f>
        <v>0</v>
      </c>
      <c r="AP186" s="110">
        <f>AO186*AH186</f>
        <v>0</v>
      </c>
      <c r="AQ186" s="1">
        <f>AVERAGE(AN186:AN197)</f>
        <v>0.51173492350467387</v>
      </c>
      <c r="AR186" s="15">
        <f t="shared" si="88"/>
        <v>70.87172930577934</v>
      </c>
      <c r="AS186" s="7">
        <v>31</v>
      </c>
      <c r="AT186" s="1">
        <f t="shared" si="89"/>
        <v>2.2861848163154628</v>
      </c>
      <c r="AU186" s="16">
        <f t="shared" si="91"/>
        <v>-1126.9124700834191</v>
      </c>
      <c r="AV186" s="4">
        <f t="shared" si="90"/>
        <v>-1.126912470083419</v>
      </c>
      <c r="AW186" s="4">
        <f t="shared" si="67"/>
        <v>3.2604328924679198</v>
      </c>
      <c r="AY186" s="4">
        <f>(O186-P186-AG186-(SpotGasPrices!K184-(SpotGasPrices!L184+SpotGasPrices!M184)/2))*($AL$279/AL186)</f>
        <v>7.7469871405140819E-2</v>
      </c>
      <c r="AZ186" s="1">
        <f>AVERAGE($AY186:$AY197)</f>
        <v>3.9619945821010007E-2</v>
      </c>
    </row>
    <row r="187" spans="1:52">
      <c r="C187" s="28">
        <v>42036</v>
      </c>
      <c r="D187" s="2">
        <v>2015</v>
      </c>
      <c r="E187" s="2">
        <v>2</v>
      </c>
      <c r="F187" s="4">
        <v>1.3115790000000001</v>
      </c>
      <c r="G187" s="4">
        <f>G186</f>
        <v>1.3844874711536983</v>
      </c>
      <c r="H187" s="4">
        <f t="shared" si="80"/>
        <v>0.60613927145549296</v>
      </c>
      <c r="I187" s="4">
        <f>I186</f>
        <v>0.87275254764902499</v>
      </c>
      <c r="J187" s="4">
        <f t="shared" si="81"/>
        <v>0.46949208185069213</v>
      </c>
      <c r="K187">
        <v>58.1</v>
      </c>
      <c r="L187" s="4">
        <v>2.2160000000000002</v>
      </c>
      <c r="M187" s="1">
        <v>2.1520000000000001</v>
      </c>
      <c r="N187" s="1">
        <v>2.351</v>
      </c>
      <c r="O187" s="1">
        <v>2.706</v>
      </c>
      <c r="P187" s="4">
        <f t="shared" si="58"/>
        <v>2.1615555555555557</v>
      </c>
      <c r="Q187" s="4">
        <f t="shared" si="59"/>
        <v>3.5469948534862517</v>
      </c>
      <c r="R187" s="4">
        <f t="shared" si="60"/>
        <v>2.8333431009165451</v>
      </c>
      <c r="S187" s="4">
        <v>0.247</v>
      </c>
      <c r="T187" s="4">
        <f t="shared" si="68"/>
        <v>0.22498036050578424</v>
      </c>
      <c r="U187" s="4">
        <v>0.18400000000000008</v>
      </c>
      <c r="V187" s="4">
        <v>0.36</v>
      </c>
      <c r="W187" s="4">
        <v>2.0000000000000007E-2</v>
      </c>
      <c r="X187" s="3">
        <v>3.249999999999998E-2</v>
      </c>
      <c r="Y187" s="4">
        <f t="shared" si="69"/>
        <v>8.5176755447941843E-2</v>
      </c>
      <c r="Z187" s="4">
        <v>0.09</v>
      </c>
      <c r="AA187" s="38"/>
      <c r="AB187" s="4">
        <v>0.01</v>
      </c>
      <c r="AC187" s="4">
        <f t="shared" si="61"/>
        <v>0.46517675544794185</v>
      </c>
      <c r="AD187" s="4">
        <f t="shared" si="70"/>
        <v>0.74917675544794193</v>
      </c>
      <c r="AE187" s="4">
        <v>0.1</v>
      </c>
      <c r="AF187" s="4">
        <f t="shared" si="71"/>
        <v>0.10424804950228683</v>
      </c>
      <c r="AG187" s="4">
        <f t="shared" ref="AG187:AG221" si="96">(O187-P187-AF187)</f>
        <v>0.44019639494215745</v>
      </c>
      <c r="AH187" s="10">
        <v>1148447060</v>
      </c>
      <c r="AI187" s="32">
        <f t="shared" si="86"/>
        <v>41.015966428571431</v>
      </c>
      <c r="AJ187" s="32">
        <f>AJ186</f>
        <v>41.385085913940095</v>
      </c>
      <c r="AK187" s="24">
        <f t="shared" si="87"/>
        <v>119723365.96163578</v>
      </c>
      <c r="AL187">
        <v>234.72200000000001</v>
      </c>
      <c r="AM187" s="95">
        <f t="shared" si="65"/>
        <v>0.76289933077865646</v>
      </c>
      <c r="AN187" s="1">
        <f t="shared" si="66"/>
        <v>0.13664718960480096</v>
      </c>
      <c r="AO187" s="1">
        <f t="shared" ref="AO187:AO250" si="97">MAX(AN187-0.4,0)</f>
        <v>0</v>
      </c>
      <c r="AP187" s="110">
        <f t="shared" ref="AP187:AP250" si="98">AO187*AH187</f>
        <v>0</v>
      </c>
      <c r="AQ187" s="1">
        <f>AQ186</f>
        <v>0.51173492350467387</v>
      </c>
      <c r="AR187" s="15">
        <f t="shared" si="88"/>
        <v>156.93206315889623</v>
      </c>
      <c r="AS187" s="7">
        <v>28</v>
      </c>
      <c r="AT187" s="1">
        <f t="shared" si="89"/>
        <v>5.6047165413891511</v>
      </c>
      <c r="AU187" s="16">
        <f>AR187</f>
        <v>156.93206315889623</v>
      </c>
      <c r="AV187" s="4">
        <f t="shared" si="90"/>
        <v>0.15693206315889624</v>
      </c>
      <c r="AW187" s="4">
        <f t="shared" si="67"/>
        <v>3.448990806145142</v>
      </c>
      <c r="AY187" s="4">
        <f>(O187-P187-AG187-(SpotGasPrices!K185-(SpotGasPrices!L185+SpotGasPrices!M185)/2))*($AL$279/AL187)</f>
        <v>-0.29551075004355998</v>
      </c>
      <c r="AZ187" s="1">
        <f t="shared" ref="AZ187:AZ197" si="99">AZ186</f>
        <v>3.9619945821010007E-2</v>
      </c>
    </row>
    <row r="188" spans="1:52">
      <c r="C188" s="28">
        <f>C187+28</f>
        <v>42064</v>
      </c>
      <c r="D188" s="2">
        <v>2015</v>
      </c>
      <c r="E188" s="2">
        <v>3</v>
      </c>
      <c r="F188" s="4">
        <v>1.407659</v>
      </c>
      <c r="G188" s="4">
        <f t="shared" ref="G188:I197" si="100">G187</f>
        <v>1.3844874711536983</v>
      </c>
      <c r="H188" s="4">
        <f t="shared" si="80"/>
        <v>1.4692613572946305</v>
      </c>
      <c r="I188" s="4">
        <f t="shared" si="100"/>
        <v>0.87275254764902499</v>
      </c>
      <c r="J188" s="4">
        <f t="shared" si="81"/>
        <v>0.80626367870859283</v>
      </c>
      <c r="K188">
        <v>55.89</v>
      </c>
      <c r="L188" s="4">
        <v>2.464</v>
      </c>
      <c r="M188" s="1">
        <v>2.3519999999999999</v>
      </c>
      <c r="N188" s="1">
        <v>2.6970000000000001</v>
      </c>
      <c r="O188" s="1">
        <v>3.3380000000000001</v>
      </c>
      <c r="P188" s="4">
        <f t="shared" si="58"/>
        <v>2.3668888888888886</v>
      </c>
      <c r="Q188" s="4">
        <f t="shared" si="59"/>
        <v>4.349526289709849</v>
      </c>
      <c r="R188" s="4">
        <f t="shared" si="60"/>
        <v>3.0841358439318021</v>
      </c>
      <c r="S188" s="4">
        <v>0.247</v>
      </c>
      <c r="T188" s="4">
        <f t="shared" si="68"/>
        <v>0.22276997578692492</v>
      </c>
      <c r="U188" s="4">
        <v>0.18400000000000008</v>
      </c>
      <c r="V188" s="4">
        <v>0.35999999999999993</v>
      </c>
      <c r="W188" s="4">
        <v>2.0000000000000007E-2</v>
      </c>
      <c r="X188" s="3">
        <v>3.249999999999998E-2</v>
      </c>
      <c r="Y188" s="4">
        <f t="shared" si="69"/>
        <v>0.10507021791767548</v>
      </c>
      <c r="Z188" s="4">
        <v>0.09</v>
      </c>
      <c r="AA188" s="38"/>
      <c r="AB188" s="4">
        <v>0.01</v>
      </c>
      <c r="AC188" s="4">
        <f t="shared" si="61"/>
        <v>0.48507021791767546</v>
      </c>
      <c r="AD188" s="4">
        <f t="shared" si="70"/>
        <v>0.76907021791767549</v>
      </c>
      <c r="AE188" s="4">
        <v>0.1</v>
      </c>
      <c r="AF188" s="4">
        <f t="shared" si="71"/>
        <v>0.50881086898036143</v>
      </c>
      <c r="AG188" s="4">
        <f t="shared" si="96"/>
        <v>0.46230024213075005</v>
      </c>
      <c r="AH188" s="11">
        <v>1287581812</v>
      </c>
      <c r="AI188" s="32">
        <f t="shared" si="86"/>
        <v>41.534897161290324</v>
      </c>
      <c r="AJ188" s="32">
        <f t="shared" ref="AJ188:AJ197" si="101">AJ187</f>
        <v>41.385085913940095</v>
      </c>
      <c r="AK188" s="24">
        <f t="shared" si="87"/>
        <v>655135620.64702833</v>
      </c>
      <c r="AL188">
        <v>236.119</v>
      </c>
      <c r="AM188" s="95">
        <f t="shared" si="65"/>
        <v>0.76743989521274347</v>
      </c>
      <c r="AN188" s="1">
        <f t="shared" si="66"/>
        <v>0.66299767858603831</v>
      </c>
      <c r="AO188" s="1">
        <f t="shared" si="97"/>
        <v>0.26299767858603829</v>
      </c>
      <c r="AP188" s="110">
        <f t="shared" si="98"/>
        <v>338631027.54560477</v>
      </c>
      <c r="AQ188" s="1">
        <f t="shared" ref="AQ188:AQ197" si="102">AQ187</f>
        <v>0.51173492350467387</v>
      </c>
      <c r="AR188" s="15">
        <f t="shared" si="88"/>
        <v>853.66375234560473</v>
      </c>
      <c r="AS188" s="7">
        <v>31</v>
      </c>
      <c r="AT188" s="1">
        <f t="shared" si="89"/>
        <v>27.537540398245316</v>
      </c>
      <c r="AU188" s="16">
        <f>AU187+AR188</f>
        <v>1010.5958155045009</v>
      </c>
      <c r="AV188" s="4">
        <f t="shared" si="90"/>
        <v>1.0105958155045009</v>
      </c>
      <c r="AW188" s="4">
        <f t="shared" si="67"/>
        <v>4.2293481676612217</v>
      </c>
      <c r="AY188" s="4">
        <f>(O188-P188-AG188-(SpotGasPrices!K186-(SpotGasPrices!L186+SpotGasPrices!M186)/2))*($AL$279/AL188)</f>
        <v>0.1928666167761828</v>
      </c>
      <c r="AZ188" s="1">
        <f t="shared" si="99"/>
        <v>3.9619945821010007E-2</v>
      </c>
    </row>
    <row r="189" spans="1:52">
      <c r="C189" s="28">
        <f>C188+31</f>
        <v>42095</v>
      </c>
      <c r="D189" s="2">
        <v>2015</v>
      </c>
      <c r="E189" s="2">
        <v>4</v>
      </c>
      <c r="F189" s="4">
        <v>1.502367</v>
      </c>
      <c r="G189" s="4">
        <f t="shared" si="100"/>
        <v>1.3844874711536983</v>
      </c>
      <c r="H189" s="4">
        <f t="shared" si="80"/>
        <v>1.1917800180739189</v>
      </c>
      <c r="I189" s="4">
        <f t="shared" si="100"/>
        <v>0.87275254764902499</v>
      </c>
      <c r="J189" s="4">
        <f t="shared" si="81"/>
        <v>0.71647466280440131</v>
      </c>
      <c r="K189">
        <v>59.52</v>
      </c>
      <c r="L189" s="4">
        <v>2.4689999999999999</v>
      </c>
      <c r="M189" s="1">
        <v>2.3690000000000002</v>
      </c>
      <c r="N189" s="1">
        <v>2.6789999999999998</v>
      </c>
      <c r="O189" s="1">
        <v>3.21</v>
      </c>
      <c r="P189" s="4">
        <f t="shared" si="58"/>
        <v>2.3866666666666663</v>
      </c>
      <c r="Q189" s="4">
        <f t="shared" si="59"/>
        <v>4.1742522580399744</v>
      </c>
      <c r="R189" s="4">
        <f t="shared" si="60"/>
        <v>3.1035977328729194</v>
      </c>
      <c r="S189" s="4">
        <v>0.247</v>
      </c>
      <c r="T189" s="4">
        <f t="shared" si="68"/>
        <v>0.22321764864137744</v>
      </c>
      <c r="U189" s="4">
        <v>0.18400000000000008</v>
      </c>
      <c r="V189" s="4">
        <v>0.36</v>
      </c>
      <c r="W189" s="4">
        <v>2.0000000000000007E-2</v>
      </c>
      <c r="X189" s="3">
        <v>3.249999999999998E-2</v>
      </c>
      <c r="Y189" s="4">
        <f t="shared" si="69"/>
        <v>0.10104116222760284</v>
      </c>
      <c r="Z189" s="4">
        <v>0.09</v>
      </c>
      <c r="AA189" s="38"/>
      <c r="AB189" s="4">
        <v>0.01</v>
      </c>
      <c r="AC189" s="4">
        <f t="shared" si="61"/>
        <v>0.48104116222760285</v>
      </c>
      <c r="AD189" s="4">
        <f t="shared" si="70"/>
        <v>0.76504116222760288</v>
      </c>
      <c r="AE189" s="4">
        <v>0.1</v>
      </c>
      <c r="AF189" s="4">
        <f t="shared" si="71"/>
        <v>0.36550981974710872</v>
      </c>
      <c r="AG189" s="4">
        <f t="shared" si="96"/>
        <v>0.45782351358622497</v>
      </c>
      <c r="AH189" s="10">
        <v>1254633595</v>
      </c>
      <c r="AI189" s="32">
        <f t="shared" si="86"/>
        <v>41.821119833333334</v>
      </c>
      <c r="AJ189" s="32">
        <f t="shared" si="101"/>
        <v>41.385085913940095</v>
      </c>
      <c r="AK189" s="24">
        <f t="shared" si="87"/>
        <v>458580899.15711701</v>
      </c>
      <c r="AL189">
        <v>236.59899999999999</v>
      </c>
      <c r="AM189" s="95">
        <f t="shared" si="65"/>
        <v>0.76900000325022511</v>
      </c>
      <c r="AN189" s="1">
        <f t="shared" si="66"/>
        <v>0.47530535526951795</v>
      </c>
      <c r="AO189" s="1">
        <f t="shared" si="97"/>
        <v>7.5305355269517926E-2</v>
      </c>
      <c r="AP189" s="110">
        <f t="shared" si="98"/>
        <v>94480628.604547471</v>
      </c>
      <c r="AQ189" s="1">
        <f t="shared" si="102"/>
        <v>0.51173492350467387</v>
      </c>
      <c r="AR189" s="15">
        <f t="shared" si="88"/>
        <v>596.3340666045475</v>
      </c>
      <c r="AS189" s="7">
        <v>30</v>
      </c>
      <c r="AT189" s="1">
        <f t="shared" si="89"/>
        <v>19.877802220151583</v>
      </c>
      <c r="AU189" s="16">
        <f t="shared" ref="AU189:AU246" si="103">AU188+AR189</f>
        <v>1606.9298821090483</v>
      </c>
      <c r="AV189" s="4">
        <f t="shared" si="90"/>
        <v>1.6069298821090483</v>
      </c>
      <c r="AW189" s="4">
        <f t="shared" si="67"/>
        <v>4.0589169861242018</v>
      </c>
      <c r="AY189" s="4">
        <f>(O189-P189-AG189-(SpotGasPrices!K187-(SpotGasPrices!L187+SpotGasPrices!M187)/2))*($AL$279/AL189)</f>
        <v>-3.1476775461961336E-2</v>
      </c>
      <c r="AZ189" s="1">
        <f t="shared" si="99"/>
        <v>3.9619945821010007E-2</v>
      </c>
    </row>
    <row r="190" spans="1:52">
      <c r="C190" s="28">
        <f>C189+30</f>
        <v>42125</v>
      </c>
      <c r="D190" s="2">
        <v>2015</v>
      </c>
      <c r="E190" s="2">
        <v>5</v>
      </c>
      <c r="F190" s="4">
        <v>1.5610900000000001</v>
      </c>
      <c r="G190" s="4">
        <f t="shared" si="100"/>
        <v>1.3844874711536983</v>
      </c>
      <c r="H190" s="4">
        <f t="shared" ref="H190:H221" si="104">(O190-0.024*K190-AD190-AE190)/AM190</f>
        <v>1.7233073194580804</v>
      </c>
      <c r="I190" s="4">
        <f t="shared" si="100"/>
        <v>0.87275254764902499</v>
      </c>
      <c r="J190" s="4">
        <f t="shared" ref="J190:J221" si="105">(P190-K190*0.024-T190-U190)/AM190</f>
        <v>0.85373553480852482</v>
      </c>
      <c r="K190">
        <v>64.08</v>
      </c>
      <c r="L190" s="4">
        <v>2.718</v>
      </c>
      <c r="M190" s="1">
        <v>2.5779999999999998</v>
      </c>
      <c r="N190" s="1">
        <v>3.0139999999999998</v>
      </c>
      <c r="O190" s="1">
        <v>3.7519999999999998</v>
      </c>
      <c r="P190" s="4">
        <f t="shared" si="58"/>
        <v>2.6031111111111112</v>
      </c>
      <c r="Q190" s="4">
        <f t="shared" si="59"/>
        <v>4.8543201026050751</v>
      </c>
      <c r="R190" s="4">
        <f t="shared" si="60"/>
        <v>3.3678930159864873</v>
      </c>
      <c r="S190" s="4">
        <v>0.247</v>
      </c>
      <c r="T190" s="4">
        <f t="shared" si="68"/>
        <v>0.22132203389830507</v>
      </c>
      <c r="U190" s="4">
        <v>0.18400000000000008</v>
      </c>
      <c r="V190" s="4">
        <v>0.35999999999999993</v>
      </c>
      <c r="W190" s="4">
        <v>2.0000000000000007E-2</v>
      </c>
      <c r="X190" s="3">
        <v>3.249999999999998E-2</v>
      </c>
      <c r="Y190" s="4">
        <f t="shared" si="69"/>
        <v>0.11810169491525416</v>
      </c>
      <c r="Z190" s="4">
        <v>0.09</v>
      </c>
      <c r="AA190" s="38"/>
      <c r="AB190" s="4">
        <v>0.01</v>
      </c>
      <c r="AC190" s="4">
        <f t="shared" si="61"/>
        <v>0.49810169491525413</v>
      </c>
      <c r="AD190" s="4">
        <f t="shared" si="70"/>
        <v>0.78210169491525416</v>
      </c>
      <c r="AE190" s="4">
        <v>0.1</v>
      </c>
      <c r="AF190" s="4">
        <f t="shared" si="71"/>
        <v>0.67210922787193939</v>
      </c>
      <c r="AG190" s="4">
        <f t="shared" si="96"/>
        <v>0.47677966101694924</v>
      </c>
      <c r="AH190" s="10">
        <v>1278463759</v>
      </c>
      <c r="AI190" s="32">
        <f t="shared" si="86"/>
        <v>41.240766419354841</v>
      </c>
      <c r="AJ190" s="32">
        <f t="shared" si="101"/>
        <v>41.385085913940095</v>
      </c>
      <c r="AK190" s="24">
        <f t="shared" si="87"/>
        <v>859267289.92374718</v>
      </c>
      <c r="AL190">
        <v>237.80500000000001</v>
      </c>
      <c r="AM190" s="95">
        <f t="shared" si="65"/>
        <v>0.77291977469439765</v>
      </c>
      <c r="AN190" s="1">
        <f t="shared" si="66"/>
        <v>0.86957178464955509</v>
      </c>
      <c r="AO190" s="1">
        <f t="shared" si="97"/>
        <v>0.46957178464955507</v>
      </c>
      <c r="AP190" s="110">
        <f t="shared" si="98"/>
        <v>600330508.92340863</v>
      </c>
      <c r="AQ190" s="1">
        <f t="shared" si="102"/>
        <v>0.51173492350467387</v>
      </c>
      <c r="AR190" s="15">
        <f t="shared" si="88"/>
        <v>1111.7160125234086</v>
      </c>
      <c r="AS190" s="7">
        <v>31</v>
      </c>
      <c r="AT190" s="1">
        <f t="shared" si="89"/>
        <v>35.861806855593827</v>
      </c>
      <c r="AU190" s="16">
        <f t="shared" si="103"/>
        <v>2718.6458946324569</v>
      </c>
      <c r="AV190" s="4">
        <f t="shared" si="90"/>
        <v>2.718645894632457</v>
      </c>
      <c r="AW190" s="4">
        <f t="shared" si="67"/>
        <v>4.7201944450284889</v>
      </c>
      <c r="AY190" s="4">
        <f>(O190-P190-AG190-(SpotGasPrices!K188-(SpotGasPrices!L188+SpotGasPrices!M188)/2))*($AL$279/AL190)</f>
        <v>0.13923964263397498</v>
      </c>
      <c r="AZ190" s="1">
        <f t="shared" si="99"/>
        <v>3.9619945821010007E-2</v>
      </c>
    </row>
    <row r="191" spans="1:52">
      <c r="A191" s="2">
        <f>A179+1</f>
        <v>2015</v>
      </c>
      <c r="B191" s="2">
        <f>D191</f>
        <v>2015</v>
      </c>
      <c r="C191" s="28">
        <f>C190+31</f>
        <v>42156</v>
      </c>
      <c r="D191" s="2">
        <v>2015</v>
      </c>
      <c r="E191" s="2">
        <v>6</v>
      </c>
      <c r="F191" s="4">
        <v>1.436795</v>
      </c>
      <c r="G191" s="4">
        <f t="shared" si="100"/>
        <v>1.3844874711536983</v>
      </c>
      <c r="H191" s="4">
        <f t="shared" si="104"/>
        <v>1.5392627087194402</v>
      </c>
      <c r="I191" s="4">
        <f t="shared" si="100"/>
        <v>0.87275254764902499</v>
      </c>
      <c r="J191" s="4">
        <f t="shared" si="105"/>
        <v>1.0802592101456363</v>
      </c>
      <c r="K191">
        <v>61.48</v>
      </c>
      <c r="L191" s="4">
        <v>2.802</v>
      </c>
      <c r="M191" s="1">
        <v>2.7</v>
      </c>
      <c r="N191" s="1">
        <v>3.0139999999999998</v>
      </c>
      <c r="O191" s="1">
        <v>3.5449999999999999</v>
      </c>
      <c r="P191" s="4">
        <f t="shared" si="58"/>
        <v>2.7194444444444441</v>
      </c>
      <c r="Q191" s="4">
        <f t="shared" si="59"/>
        <v>4.5704946194654665</v>
      </c>
      <c r="R191" s="4">
        <f t="shared" si="60"/>
        <v>3.5061230469022813</v>
      </c>
      <c r="S191" s="4">
        <v>0.247</v>
      </c>
      <c r="T191" s="4">
        <f t="shared" si="68"/>
        <v>0.222046004842615</v>
      </c>
      <c r="U191" s="4">
        <v>0.18400000000000008</v>
      </c>
      <c r="V191" s="4">
        <v>0.36</v>
      </c>
      <c r="W191" s="4">
        <v>2.0000000000000007E-2</v>
      </c>
      <c r="X191" s="3">
        <v>3.249999999999998E-2</v>
      </c>
      <c r="Y191" s="4">
        <f t="shared" si="69"/>
        <v>0.11158595641646482</v>
      </c>
      <c r="Z191" s="4">
        <v>0.09</v>
      </c>
      <c r="AA191" s="38"/>
      <c r="AB191" s="4">
        <v>0.01</v>
      </c>
      <c r="AC191" s="4">
        <f t="shared" si="61"/>
        <v>0.49158595641646485</v>
      </c>
      <c r="AD191" s="4">
        <f t="shared" si="70"/>
        <v>0.77558595641646488</v>
      </c>
      <c r="AE191" s="4">
        <v>0.1</v>
      </c>
      <c r="AF191" s="4">
        <f t="shared" si="71"/>
        <v>0.35601560398170617</v>
      </c>
      <c r="AG191" s="4">
        <f t="shared" si="96"/>
        <v>0.46953995157384965</v>
      </c>
      <c r="AH191" s="11">
        <v>1262121393</v>
      </c>
      <c r="AI191" s="32">
        <f t="shared" si="86"/>
        <v>42.070713099999999</v>
      </c>
      <c r="AJ191" s="32">
        <f t="shared" si="101"/>
        <v>41.385085913940095</v>
      </c>
      <c r="AK191" s="24">
        <f t="shared" si="87"/>
        <v>449334910.02712733</v>
      </c>
      <c r="AL191">
        <v>238.63800000000001</v>
      </c>
      <c r="AM191" s="95">
        <f t="shared" si="65"/>
        <v>0.77562721218444386</v>
      </c>
      <c r="AN191" s="1">
        <f t="shared" si="66"/>
        <v>0.45900349857380429</v>
      </c>
      <c r="AO191" s="1">
        <f t="shared" si="97"/>
        <v>5.9003498573804269E-2</v>
      </c>
      <c r="AP191" s="110">
        <f t="shared" si="98"/>
        <v>74469577.811843351</v>
      </c>
      <c r="AQ191" s="1">
        <f t="shared" si="102"/>
        <v>0.51173492350467387</v>
      </c>
      <c r="AR191" s="15">
        <f t="shared" si="88"/>
        <v>579.31813501184331</v>
      </c>
      <c r="AS191" s="7">
        <v>30</v>
      </c>
      <c r="AT191" s="1">
        <f t="shared" si="89"/>
        <v>19.310604500394778</v>
      </c>
      <c r="AU191" s="16">
        <f t="shared" si="103"/>
        <v>3297.9640296443004</v>
      </c>
      <c r="AV191" s="4">
        <f t="shared" si="90"/>
        <v>3.2979640296443002</v>
      </c>
      <c r="AW191" s="4">
        <f t="shared" si="67"/>
        <v>4.4442111063619372</v>
      </c>
      <c r="AY191" s="4">
        <f>(O191-P191-AG191-(SpotGasPrices!K189-(SpotGasPrices!L189+SpotGasPrices!M189)/2))*($AL$279/AL191)</f>
        <v>0.17984720863314432</v>
      </c>
      <c r="AZ191" s="1">
        <f t="shared" si="99"/>
        <v>3.9619945821010007E-2</v>
      </c>
    </row>
    <row r="192" spans="1:52">
      <c r="C192" s="28">
        <f>C191+30</f>
        <v>42186</v>
      </c>
      <c r="D192" s="2">
        <v>2015</v>
      </c>
      <c r="E192" s="2">
        <v>7</v>
      </c>
      <c r="F192" s="4">
        <v>1.480477</v>
      </c>
      <c r="G192" s="4">
        <f t="shared" si="100"/>
        <v>1.3844874711536983</v>
      </c>
      <c r="H192" s="4">
        <f t="shared" si="104"/>
        <v>2.0309476417984307</v>
      </c>
      <c r="I192" s="4">
        <f t="shared" si="100"/>
        <v>0.87275254764902499</v>
      </c>
      <c r="J192" s="4">
        <f t="shared" si="105"/>
        <v>1.1832262555341564</v>
      </c>
      <c r="K192">
        <v>56.56</v>
      </c>
      <c r="L192" s="4">
        <v>2.794</v>
      </c>
      <c r="M192" s="1">
        <v>2.6659999999999999</v>
      </c>
      <c r="N192" s="1">
        <v>3.0609999999999999</v>
      </c>
      <c r="O192" s="1">
        <v>3.7549999999999999</v>
      </c>
      <c r="P192" s="4">
        <f t="shared" si="58"/>
        <v>2.6872222222222222</v>
      </c>
      <c r="Q192" s="4">
        <f t="shared" si="59"/>
        <v>4.8409186730580673</v>
      </c>
      <c r="R192" s="4">
        <f t="shared" si="60"/>
        <v>3.4643473326796674</v>
      </c>
      <c r="S192" s="4">
        <v>0.247</v>
      </c>
      <c r="T192" s="4">
        <f t="shared" si="68"/>
        <v>0.22797820823244552</v>
      </c>
      <c r="U192" s="4">
        <v>0.18400000000000008</v>
      </c>
      <c r="V192" s="4">
        <v>0.30000000000000004</v>
      </c>
      <c r="W192" s="4">
        <v>2.0000000000000007E-2</v>
      </c>
      <c r="X192" s="3">
        <v>3.249999999999998E-2</v>
      </c>
      <c r="Y192" s="4">
        <f t="shared" si="69"/>
        <v>0.11819612590799024</v>
      </c>
      <c r="Z192" s="4">
        <v>0.09</v>
      </c>
      <c r="AA192" s="38"/>
      <c r="AB192" s="4">
        <v>0.01</v>
      </c>
      <c r="AC192" s="4">
        <f t="shared" si="61"/>
        <v>0.43819612590799029</v>
      </c>
      <c r="AD192" s="4">
        <f t="shared" si="70"/>
        <v>0.72219612590799032</v>
      </c>
      <c r="AE192" s="4">
        <v>0.1</v>
      </c>
      <c r="AF192" s="4">
        <f t="shared" si="71"/>
        <v>0.65755986010223344</v>
      </c>
      <c r="AG192" s="4">
        <f t="shared" si="96"/>
        <v>0.41021791767554427</v>
      </c>
      <c r="AH192" s="10">
        <v>1279082202</v>
      </c>
      <c r="AI192" s="32">
        <f t="shared" si="86"/>
        <v>41.26071619354839</v>
      </c>
      <c r="AJ192" s="32">
        <f t="shared" si="101"/>
        <v>41.385085913940095</v>
      </c>
      <c r="AK192" s="24">
        <f t="shared" si="87"/>
        <v>841073113.8063767</v>
      </c>
      <c r="AL192">
        <v>238.654</v>
      </c>
      <c r="AM192" s="95">
        <f t="shared" si="65"/>
        <v>0.77567921578569321</v>
      </c>
      <c r="AN192" s="1">
        <f t="shared" si="66"/>
        <v>0.84772138626427485</v>
      </c>
      <c r="AO192" s="1">
        <f t="shared" si="97"/>
        <v>0.44772138626427482</v>
      </c>
      <c r="AP192" s="110">
        <f t="shared" si="98"/>
        <v>572672456.62540114</v>
      </c>
      <c r="AQ192" s="1">
        <f t="shared" si="102"/>
        <v>0.51173492350467387</v>
      </c>
      <c r="AR192" s="15">
        <f t="shared" si="88"/>
        <v>1084.3053374254011</v>
      </c>
      <c r="AS192" s="7">
        <v>31</v>
      </c>
      <c r="AT192" s="1">
        <f t="shared" si="89"/>
        <v>34.977591529851651</v>
      </c>
      <c r="AU192" s="16">
        <f t="shared" si="103"/>
        <v>4382.2693670697017</v>
      </c>
      <c r="AV192" s="4">
        <f t="shared" si="90"/>
        <v>4.3822693670697017</v>
      </c>
      <c r="AW192" s="4">
        <f t="shared" si="67"/>
        <v>4.7071632991695083</v>
      </c>
      <c r="AY192" s="4">
        <f>(O192-P192-AG192-(SpotGasPrices!K190-(SpotGasPrices!L190+SpotGasPrices!M190)/2))*($AL$279/AL192)</f>
        <v>-0.18161399754964561</v>
      </c>
      <c r="AZ192" s="1">
        <f t="shared" si="99"/>
        <v>3.9619945821010007E-2</v>
      </c>
    </row>
    <row r="193" spans="1:52">
      <c r="C193" s="28">
        <f t="shared" ref="C193:C220" si="106">C192+31</f>
        <v>42217</v>
      </c>
      <c r="D193" s="2">
        <v>2015</v>
      </c>
      <c r="E193" s="2">
        <v>8</v>
      </c>
      <c r="F193" s="4">
        <v>1.4139619999999999</v>
      </c>
      <c r="G193" s="4">
        <f t="shared" si="100"/>
        <v>1.3844874711536983</v>
      </c>
      <c r="H193" s="4">
        <f t="shared" si="104"/>
        <v>2.0760800698232598</v>
      </c>
      <c r="I193" s="4">
        <f t="shared" si="100"/>
        <v>0.87275254764902499</v>
      </c>
      <c r="J193" s="4">
        <f t="shared" si="105"/>
        <v>1.2992132067786741</v>
      </c>
      <c r="K193">
        <v>46.52</v>
      </c>
      <c r="L193" s="4">
        <v>2.6360000000000001</v>
      </c>
      <c r="M193" s="1">
        <v>2.5219999999999998</v>
      </c>
      <c r="N193" s="1">
        <v>2.8759999999999999</v>
      </c>
      <c r="O193" s="1">
        <v>3.54</v>
      </c>
      <c r="P193" s="4">
        <f t="shared" si="58"/>
        <v>2.5355555555555553</v>
      </c>
      <c r="Q193" s="4">
        <f t="shared" si="59"/>
        <v>4.5702149247217978</v>
      </c>
      <c r="R193" s="4">
        <f t="shared" si="60"/>
        <v>3.2734558877009237</v>
      </c>
      <c r="S193" s="4">
        <v>0.247</v>
      </c>
      <c r="T193" s="4">
        <f t="shared" si="68"/>
        <v>0.22873015873015873</v>
      </c>
      <c r="U193" s="4">
        <v>0.18400000000000008</v>
      </c>
      <c r="V193" s="4">
        <v>0.30000000000000004</v>
      </c>
      <c r="W193" s="4">
        <v>2.0000000000000007E-2</v>
      </c>
      <c r="X193" s="3">
        <v>3.249999999999998E-2</v>
      </c>
      <c r="Y193" s="4">
        <f t="shared" si="69"/>
        <v>0.11142857142857136</v>
      </c>
      <c r="Z193" s="4">
        <v>0.09</v>
      </c>
      <c r="AA193" s="38"/>
      <c r="AB193" s="4">
        <v>0.01</v>
      </c>
      <c r="AC193" s="4">
        <f t="shared" si="61"/>
        <v>0.43142857142857144</v>
      </c>
      <c r="AD193" s="4">
        <f t="shared" si="70"/>
        <v>0.71542857142857141</v>
      </c>
      <c r="AE193" s="4">
        <v>0.1</v>
      </c>
      <c r="AF193" s="4">
        <f t="shared" si="71"/>
        <v>0.60174603174603236</v>
      </c>
      <c r="AG193" s="4">
        <f t="shared" si="96"/>
        <v>0.40269841269841233</v>
      </c>
      <c r="AH193" s="10">
        <v>1315596270</v>
      </c>
      <c r="AI193" s="32">
        <f t="shared" si="86"/>
        <v>42.438589354838712</v>
      </c>
      <c r="AJ193" s="32">
        <f t="shared" si="101"/>
        <v>41.385085913940095</v>
      </c>
      <c r="AK193" s="24">
        <f t="shared" si="87"/>
        <v>791654834.85238171</v>
      </c>
      <c r="AL193">
        <v>238.316</v>
      </c>
      <c r="AM193" s="95">
        <f t="shared" si="65"/>
        <v>0.77458063970929991</v>
      </c>
      <c r="AN193" s="1">
        <f t="shared" si="66"/>
        <v>0.77686686304458585</v>
      </c>
      <c r="AO193" s="1">
        <f t="shared" si="97"/>
        <v>0.37686686304458583</v>
      </c>
      <c r="AP193" s="110">
        <f t="shared" si="98"/>
        <v>495804639.30805796</v>
      </c>
      <c r="AQ193" s="1">
        <f t="shared" si="102"/>
        <v>0.51173492350467387</v>
      </c>
      <c r="AR193" s="15">
        <f t="shared" si="88"/>
        <v>1022.0431473080579</v>
      </c>
      <c r="AS193" s="7">
        <v>31</v>
      </c>
      <c r="AT193" s="1">
        <f t="shared" si="89"/>
        <v>32.969133784130896</v>
      </c>
      <c r="AU193" s="16">
        <f t="shared" si="103"/>
        <v>5404.3125143777597</v>
      </c>
      <c r="AV193" s="4">
        <f t="shared" si="90"/>
        <v>5.4043125143777599</v>
      </c>
      <c r="AW193" s="4">
        <f t="shared" si="67"/>
        <v>4.4439391396297356</v>
      </c>
      <c r="AY193" s="4">
        <f>(O193-P193-AG193-(SpotGasPrices!K191-(SpotGasPrices!L191+SpotGasPrices!M191)/2))*($AL$279/AL193)</f>
        <v>0.15474329215284971</v>
      </c>
      <c r="AZ193" s="1">
        <f t="shared" si="99"/>
        <v>3.9619945821010007E-2</v>
      </c>
    </row>
    <row r="194" spans="1:52">
      <c r="C194" s="28">
        <f t="shared" si="106"/>
        <v>42248</v>
      </c>
      <c r="D194" s="2">
        <v>2015</v>
      </c>
      <c r="E194" s="2">
        <v>9</v>
      </c>
      <c r="F194" s="4">
        <v>1.4209620000000001</v>
      </c>
      <c r="G194" s="4">
        <f t="shared" si="100"/>
        <v>1.3844874711536983</v>
      </c>
      <c r="H194" s="4">
        <f t="shared" si="104"/>
        <v>1.5217056517960457</v>
      </c>
      <c r="I194" s="4">
        <f t="shared" si="100"/>
        <v>0.87275254764902499</v>
      </c>
      <c r="J194" s="4">
        <f t="shared" si="105"/>
        <v>0.93591980587642376</v>
      </c>
      <c r="K194">
        <v>47.62</v>
      </c>
      <c r="L194" s="4">
        <v>2.3650000000000002</v>
      </c>
      <c r="M194" s="1">
        <v>2.2749999999999999</v>
      </c>
      <c r="N194" s="1">
        <v>2.5550000000000002</v>
      </c>
      <c r="O194" s="1">
        <v>3.1219999999999999</v>
      </c>
      <c r="P194" s="4">
        <f t="shared" si="58"/>
        <v>2.2808888888888892</v>
      </c>
      <c r="Q194" s="4">
        <f t="shared" si="59"/>
        <v>4.0368524743112904</v>
      </c>
      <c r="R194" s="4">
        <f t="shared" si="60"/>
        <v>2.949267121953953</v>
      </c>
      <c r="S194" s="4">
        <v>0.247</v>
      </c>
      <c r="T194" s="4">
        <f t="shared" si="68"/>
        <v>0.23019209039548022</v>
      </c>
      <c r="U194" s="4">
        <v>0.18400000000000008</v>
      </c>
      <c r="V194" s="4">
        <v>0.3</v>
      </c>
      <c r="W194" s="4">
        <v>2.0000000000000007E-2</v>
      </c>
      <c r="X194" s="3">
        <v>3.249999999999998E-2</v>
      </c>
      <c r="Y194" s="4">
        <f t="shared" si="69"/>
        <v>9.8271186440677907E-2</v>
      </c>
      <c r="Z194" s="4">
        <v>0.09</v>
      </c>
      <c r="AA194" s="38"/>
      <c r="AB194" s="4">
        <v>0.01</v>
      </c>
      <c r="AC194" s="4">
        <f t="shared" si="61"/>
        <v>0.4182711864406779</v>
      </c>
      <c r="AD194" s="4">
        <f t="shared" si="70"/>
        <v>0.70227118644067799</v>
      </c>
      <c r="AE194" s="4">
        <v>0.1</v>
      </c>
      <c r="AF194" s="4">
        <f t="shared" si="71"/>
        <v>0.45303201506591328</v>
      </c>
      <c r="AG194" s="4">
        <f t="shared" si="96"/>
        <v>0.38807909604519741</v>
      </c>
      <c r="AH194" s="11">
        <v>1264298745</v>
      </c>
      <c r="AI194" s="32">
        <f t="shared" si="86"/>
        <v>42.143291499999997</v>
      </c>
      <c r="AJ194" s="32">
        <f t="shared" si="101"/>
        <v>41.385085913940095</v>
      </c>
      <c r="AK194" s="24">
        <f t="shared" si="87"/>
        <v>572767808.0926553</v>
      </c>
      <c r="AL194">
        <v>237.94499999999999</v>
      </c>
      <c r="AM194" s="95">
        <f t="shared" si="65"/>
        <v>0.77337480620532972</v>
      </c>
      <c r="AN194" s="1">
        <f t="shared" si="66"/>
        <v>0.58578584591962257</v>
      </c>
      <c r="AO194" s="1">
        <f t="shared" si="97"/>
        <v>0.18578584591962255</v>
      </c>
      <c r="AP194" s="110">
        <f t="shared" si="98"/>
        <v>234888811.83494216</v>
      </c>
      <c r="AQ194" s="1">
        <f t="shared" si="102"/>
        <v>0.51173492350467387</v>
      </c>
      <c r="AR194" s="15">
        <f t="shared" si="88"/>
        <v>740.60830983494236</v>
      </c>
      <c r="AS194" s="7">
        <v>30</v>
      </c>
      <c r="AT194" s="1">
        <f t="shared" si="89"/>
        <v>24.686943661164744</v>
      </c>
      <c r="AU194" s="16">
        <f t="shared" si="103"/>
        <v>6144.9208242127024</v>
      </c>
      <c r="AV194" s="4">
        <f t="shared" si="90"/>
        <v>6.1449208242127025</v>
      </c>
      <c r="AW194" s="4">
        <f t="shared" si="67"/>
        <v>3.925313580869529</v>
      </c>
      <c r="AY194" s="4">
        <f>(O194-P194-AG194-(SpotGasPrices!K192-(SpotGasPrices!L192+SpotGasPrices!M192)/2))*($AL$279/AL194)</f>
        <v>0.18101777668714572</v>
      </c>
      <c r="AZ194" s="1">
        <f t="shared" si="99"/>
        <v>3.9619945821010007E-2</v>
      </c>
    </row>
    <row r="195" spans="1:52">
      <c r="C195" s="28">
        <f>C194+30</f>
        <v>42278</v>
      </c>
      <c r="D195" s="2">
        <v>2015</v>
      </c>
      <c r="E195" s="2">
        <v>10</v>
      </c>
      <c r="F195" s="4">
        <v>1.4802999999999999</v>
      </c>
      <c r="G195" s="4">
        <f t="shared" si="100"/>
        <v>1.3844874711536983</v>
      </c>
      <c r="H195" s="4">
        <f t="shared" si="104"/>
        <v>1.2103290145450092</v>
      </c>
      <c r="I195" s="4">
        <f t="shared" si="100"/>
        <v>0.87275254764902499</v>
      </c>
      <c r="J195" s="4">
        <f t="shared" si="105"/>
        <v>0.83527091299243128</v>
      </c>
      <c r="K195">
        <v>48.43</v>
      </c>
      <c r="L195" s="4">
        <v>2.29</v>
      </c>
      <c r="M195" s="1">
        <v>2.23</v>
      </c>
      <c r="N195" s="1">
        <v>2.4140000000000001</v>
      </c>
      <c r="O195" s="1">
        <v>2.8929999999999998</v>
      </c>
      <c r="P195" s="4">
        <f t="shared" si="58"/>
        <v>2.2230000000000003</v>
      </c>
      <c r="Q195" s="4">
        <f t="shared" si="59"/>
        <v>3.7424305745927899</v>
      </c>
      <c r="R195" s="4">
        <f t="shared" si="60"/>
        <v>2.8757079734945639</v>
      </c>
      <c r="S195" s="4">
        <v>0.247</v>
      </c>
      <c r="T195" s="4">
        <f t="shared" si="68"/>
        <v>0.23099300511164916</v>
      </c>
      <c r="U195" s="4">
        <v>0.18400000000000008</v>
      </c>
      <c r="V195" s="4">
        <v>0.30000000000000004</v>
      </c>
      <c r="W195" s="4">
        <v>2.0000000000000007E-2</v>
      </c>
      <c r="X195" s="3">
        <v>3.249999999999998E-2</v>
      </c>
      <c r="Y195" s="4">
        <f t="shared" si="69"/>
        <v>9.106295399515732E-2</v>
      </c>
      <c r="Z195" s="4">
        <v>0.09</v>
      </c>
      <c r="AA195" s="38"/>
      <c r="AB195" s="4">
        <v>0.01</v>
      </c>
      <c r="AC195" s="4">
        <f t="shared" si="61"/>
        <v>0.41106295399515735</v>
      </c>
      <c r="AD195" s="4">
        <f t="shared" si="70"/>
        <v>0.69506295399515738</v>
      </c>
      <c r="AE195" s="4">
        <v>0.1</v>
      </c>
      <c r="AF195" s="4">
        <f t="shared" si="71"/>
        <v>0.28993005111649151</v>
      </c>
      <c r="AG195" s="4">
        <f t="shared" si="96"/>
        <v>0.38006994888350798</v>
      </c>
      <c r="AH195" s="10">
        <v>1303962044</v>
      </c>
      <c r="AI195" s="32">
        <f t="shared" si="86"/>
        <v>42.063291741935487</v>
      </c>
      <c r="AJ195" s="32">
        <f t="shared" si="101"/>
        <v>41.385085913940095</v>
      </c>
      <c r="AK195" s="24">
        <f t="shared" si="87"/>
        <v>378057782.07088476</v>
      </c>
      <c r="AL195">
        <v>237.83799999999999</v>
      </c>
      <c r="AM195" s="95">
        <f t="shared" si="65"/>
        <v>0.77302703212197443</v>
      </c>
      <c r="AN195" s="1">
        <f t="shared" si="66"/>
        <v>0.37505810155257807</v>
      </c>
      <c r="AO195" s="1">
        <f t="shared" si="97"/>
        <v>0</v>
      </c>
      <c r="AP195" s="110">
        <f t="shared" si="98"/>
        <v>0</v>
      </c>
      <c r="AQ195" s="1">
        <f t="shared" si="102"/>
        <v>0.51173492350467387</v>
      </c>
      <c r="AR195" s="15">
        <f t="shared" si="88"/>
        <v>489.06152871925929</v>
      </c>
      <c r="AS195" s="7">
        <v>31</v>
      </c>
      <c r="AT195" s="1">
        <f t="shared" si="89"/>
        <v>15.776178345782558</v>
      </c>
      <c r="AU195" s="16">
        <f t="shared" si="103"/>
        <v>6633.9823529319619</v>
      </c>
      <c r="AV195" s="4">
        <f t="shared" si="90"/>
        <v>6.6339823529319624</v>
      </c>
      <c r="AW195" s="4">
        <f t="shared" si="67"/>
        <v>3.6390266063454955</v>
      </c>
      <c r="AY195" s="4">
        <f>(O195-P195-AG195-(SpotGasPrices!K193-(SpotGasPrices!L193+SpotGasPrices!M193)/2))*($AL$279/AL195)</f>
        <v>-3.3918758174354746E-2</v>
      </c>
      <c r="AZ195" s="1">
        <f t="shared" si="99"/>
        <v>3.9619945821010007E-2</v>
      </c>
    </row>
    <row r="196" spans="1:52">
      <c r="C196" s="28">
        <f t="shared" si="106"/>
        <v>42309</v>
      </c>
      <c r="D196" s="2">
        <v>2015</v>
      </c>
      <c r="E196" s="2">
        <v>11</v>
      </c>
      <c r="F196" s="4">
        <v>1.4020699999999999</v>
      </c>
      <c r="G196" s="4">
        <f t="shared" si="100"/>
        <v>1.3844874711536983</v>
      </c>
      <c r="H196" s="4">
        <f t="shared" si="104"/>
        <v>1.1828623842790567</v>
      </c>
      <c r="I196" s="4">
        <f t="shared" si="100"/>
        <v>0.87275254764902499</v>
      </c>
      <c r="J196" s="4">
        <f t="shared" si="105"/>
        <v>0.79405094810018306</v>
      </c>
      <c r="K196">
        <v>44.27</v>
      </c>
      <c r="L196" s="4">
        <v>2.1579999999999999</v>
      </c>
      <c r="M196" s="1">
        <v>2.0880000000000001</v>
      </c>
      <c r="N196" s="1">
        <v>2.3039999999999998</v>
      </c>
      <c r="O196" s="1">
        <v>2.766</v>
      </c>
      <c r="P196" s="4">
        <f t="shared" si="58"/>
        <v>2.0904444444444445</v>
      </c>
      <c r="Q196" s="4">
        <f t="shared" si="59"/>
        <v>3.5857096521387395</v>
      </c>
      <c r="R196" s="4">
        <f t="shared" si="60"/>
        <v>2.709951851664588</v>
      </c>
      <c r="S196" s="4">
        <v>0.247</v>
      </c>
      <c r="T196" s="4">
        <f t="shared" si="68"/>
        <v>0.23143718052192627</v>
      </c>
      <c r="U196" s="4">
        <v>0.18400000000000008</v>
      </c>
      <c r="V196" s="4">
        <v>0.3</v>
      </c>
      <c r="W196" s="4">
        <v>2.0000000000000007E-2</v>
      </c>
      <c r="X196" s="3">
        <v>3.249999999999998E-2</v>
      </c>
      <c r="Y196" s="4">
        <f t="shared" si="69"/>
        <v>8.7065375302663381E-2</v>
      </c>
      <c r="Z196" s="4">
        <v>0.09</v>
      </c>
      <c r="AA196" s="38"/>
      <c r="AB196" s="4">
        <v>0.01</v>
      </c>
      <c r="AC196" s="4">
        <f t="shared" si="61"/>
        <v>0.4070653753026634</v>
      </c>
      <c r="AD196" s="4">
        <f t="shared" si="70"/>
        <v>0.69106537530266343</v>
      </c>
      <c r="AE196" s="4">
        <v>0.1</v>
      </c>
      <c r="AF196" s="4">
        <f t="shared" si="71"/>
        <v>0.29992736077481852</v>
      </c>
      <c r="AG196" s="4">
        <f t="shared" si="96"/>
        <v>0.37562819478073695</v>
      </c>
      <c r="AH196" s="10">
        <v>1224602888</v>
      </c>
      <c r="AI196" s="32">
        <f t="shared" si="86"/>
        <v>40.820096266666667</v>
      </c>
      <c r="AJ196" s="32">
        <f t="shared" si="101"/>
        <v>41.385085913940095</v>
      </c>
      <c r="AK196" s="24">
        <f t="shared" si="87"/>
        <v>367291912.19506067</v>
      </c>
      <c r="AL196">
        <v>237.33600000000001</v>
      </c>
      <c r="AM196" s="95">
        <f t="shared" si="65"/>
        <v>0.77139541913277498</v>
      </c>
      <c r="AN196" s="1">
        <f t="shared" si="66"/>
        <v>0.38881143617887376</v>
      </c>
      <c r="AO196" s="1">
        <f t="shared" si="97"/>
        <v>0</v>
      </c>
      <c r="AP196" s="110">
        <f t="shared" si="98"/>
        <v>0</v>
      </c>
      <c r="AQ196" s="1">
        <f t="shared" si="102"/>
        <v>0.51173492350467387</v>
      </c>
      <c r="AR196" s="15">
        <f t="shared" si="88"/>
        <v>476.13960763207649</v>
      </c>
      <c r="AS196" s="7">
        <v>30</v>
      </c>
      <c r="AT196" s="1">
        <f t="shared" si="89"/>
        <v>15.87132025440255</v>
      </c>
      <c r="AU196" s="16">
        <f t="shared" si="103"/>
        <v>7110.1219605640381</v>
      </c>
      <c r="AV196" s="4">
        <f t="shared" si="90"/>
        <v>7.1101219605640384</v>
      </c>
      <c r="AW196" s="4">
        <f t="shared" si="67"/>
        <v>3.4866359085852969</v>
      </c>
      <c r="AY196" s="4">
        <f>(O196-P196-AG196-(SpotGasPrices!K194-(SpotGasPrices!L194+SpotGasPrices!M194)/2))*($AL$279/AL196)</f>
        <v>0.13112467825877777</v>
      </c>
      <c r="AZ196" s="1">
        <f t="shared" si="99"/>
        <v>3.9619945821010007E-2</v>
      </c>
    </row>
    <row r="197" spans="1:52">
      <c r="B197" s="26" t="s">
        <v>33</v>
      </c>
      <c r="C197" s="28">
        <f>C196+30</f>
        <v>42339</v>
      </c>
      <c r="D197" s="2">
        <v>2015</v>
      </c>
      <c r="E197" s="2">
        <v>12</v>
      </c>
      <c r="F197" s="4">
        <v>1.331755</v>
      </c>
      <c r="G197" s="4">
        <f t="shared" si="100"/>
        <v>1.3844874711536983</v>
      </c>
      <c r="H197" s="4">
        <f t="shared" si="104"/>
        <v>1.3294361584051568</v>
      </c>
      <c r="I197" s="4">
        <f t="shared" si="100"/>
        <v>0.87275254764902499</v>
      </c>
      <c r="J197" s="4">
        <f t="shared" si="105"/>
        <v>0.82464504914125591</v>
      </c>
      <c r="K197">
        <v>38.01</v>
      </c>
      <c r="L197" s="4">
        <v>2.0379999999999998</v>
      </c>
      <c r="M197" s="1">
        <v>1.946</v>
      </c>
      <c r="N197" s="1">
        <v>2.23</v>
      </c>
      <c r="O197" s="1">
        <v>2.7240000000000002</v>
      </c>
      <c r="P197" s="4">
        <f t="shared" si="58"/>
        <v>1.9617777777777776</v>
      </c>
      <c r="Q197" s="4">
        <f t="shared" si="59"/>
        <v>3.5433709079378501</v>
      </c>
      <c r="R197" s="4">
        <f t="shared" si="60"/>
        <v>2.5518745615333116</v>
      </c>
      <c r="S197" s="4">
        <v>0.247</v>
      </c>
      <c r="T197" s="4">
        <f t="shared" si="68"/>
        <v>0.23158407317729349</v>
      </c>
      <c r="U197" s="4">
        <v>0.18400000000000008</v>
      </c>
      <c r="V197" s="4">
        <v>0.30000000000000004</v>
      </c>
      <c r="W197" s="4">
        <v>2.0000000000000007E-2</v>
      </c>
      <c r="X197" s="3">
        <v>3.249999999999998E-2</v>
      </c>
      <c r="Y197" s="4">
        <f t="shared" si="69"/>
        <v>8.5743341404358311E-2</v>
      </c>
      <c r="Z197" s="4">
        <v>0.09</v>
      </c>
      <c r="AA197" s="38"/>
      <c r="AB197" s="4">
        <v>0.01</v>
      </c>
      <c r="AC197" s="4">
        <f t="shared" si="61"/>
        <v>0.40574334140435836</v>
      </c>
      <c r="AD197" s="4">
        <f t="shared" si="70"/>
        <v>0.68974334140435845</v>
      </c>
      <c r="AE197" s="4">
        <v>0.1</v>
      </c>
      <c r="AF197" s="4">
        <f t="shared" si="71"/>
        <v>0.38806295399515811</v>
      </c>
      <c r="AG197" s="4">
        <f t="shared" si="96"/>
        <v>0.37415926822706447</v>
      </c>
      <c r="AH197" s="11">
        <v>1270061496</v>
      </c>
      <c r="AI197" s="32">
        <f t="shared" si="86"/>
        <v>40.969725677419355</v>
      </c>
      <c r="AJ197" s="32">
        <f t="shared" si="101"/>
        <v>41.385085913940095</v>
      </c>
      <c r="AK197" s="24">
        <f t="shared" si="87"/>
        <v>492863815.89326966</v>
      </c>
      <c r="AL197">
        <v>236.52500000000001</v>
      </c>
      <c r="AM197" s="95">
        <f t="shared" si="65"/>
        <v>0.76875948659444671</v>
      </c>
      <c r="AN197" s="1">
        <f t="shared" si="66"/>
        <v>0.50479110926390147</v>
      </c>
      <c r="AO197" s="1">
        <f t="shared" si="97"/>
        <v>0.10479110926390145</v>
      </c>
      <c r="AP197" s="110">
        <f t="shared" si="98"/>
        <v>133091152.99921013</v>
      </c>
      <c r="AQ197" s="1">
        <f t="shared" si="102"/>
        <v>0.51173492350467387</v>
      </c>
      <c r="AR197" s="15">
        <f t="shared" si="88"/>
        <v>641.11575139921013</v>
      </c>
      <c r="AS197" s="7">
        <v>31</v>
      </c>
      <c r="AT197" s="1">
        <f t="shared" si="89"/>
        <v>20.681153270942261</v>
      </c>
      <c r="AU197" s="16">
        <f t="shared" si="103"/>
        <v>7751.2377119632483</v>
      </c>
      <c r="AV197" s="4">
        <f t="shared" si="90"/>
        <v>7.7512377119632481</v>
      </c>
      <c r="AW197" s="4">
        <f t="shared" si="67"/>
        <v>3.4454669908043547</v>
      </c>
      <c r="AY197" s="4">
        <f>(O197-P197-AG197-(SpotGasPrices!K195-(SpotGasPrices!L195+SpotGasPrices!M195)/2))*($AL$279/AL197)</f>
        <v>-3.8349455465574334E-2</v>
      </c>
      <c r="AZ197" s="1">
        <f t="shared" si="99"/>
        <v>3.9619945821010007E-2</v>
      </c>
    </row>
    <row r="198" spans="1:52">
      <c r="A198" s="33" t="s">
        <v>39</v>
      </c>
      <c r="B198" s="26" t="s">
        <v>33</v>
      </c>
      <c r="C198" s="28">
        <f t="shared" si="106"/>
        <v>42370</v>
      </c>
      <c r="D198" s="2">
        <v>2016</v>
      </c>
      <c r="E198" s="2">
        <v>1</v>
      </c>
      <c r="F198" s="4">
        <v>1.234737</v>
      </c>
      <c r="G198" s="4">
        <f>AVERAGE(H198:H209)</f>
        <v>1.1349697417403424</v>
      </c>
      <c r="H198" s="4">
        <f t="shared" si="104"/>
        <v>1.5805503131768646</v>
      </c>
      <c r="I198" s="4">
        <f>AVERAGE(J198:J209)</f>
        <v>0.78475089983296309</v>
      </c>
      <c r="J198" s="4">
        <f t="shared" si="105"/>
        <v>0.90789041076133392</v>
      </c>
      <c r="K198">
        <v>30.7</v>
      </c>
      <c r="L198" s="4">
        <v>1.9490000000000001</v>
      </c>
      <c r="M198" s="1">
        <v>1.843</v>
      </c>
      <c r="N198" s="1">
        <v>2.17</v>
      </c>
      <c r="O198" s="1">
        <v>2.7679999999999998</v>
      </c>
      <c r="P198" s="4">
        <f t="shared" ref="P198:P291" si="107">(L198-0.1*O198)/0.9</f>
        <v>1.8580000000000001</v>
      </c>
      <c r="Q198" s="4">
        <f t="shared" ref="Q198:Q261" si="108">O198*$AL$291/$AL198</f>
        <v>3.5946636276148505</v>
      </c>
      <c r="R198" s="4">
        <f t="shared" ref="R198:R261" si="109">P198*$AL$291/$AL198</f>
        <v>2.4128919870333791</v>
      </c>
      <c r="S198" s="4">
        <v>0.253</v>
      </c>
      <c r="T198" s="4">
        <f t="shared" si="68"/>
        <v>0.23809685230024213</v>
      </c>
      <c r="U198" s="4">
        <v>0.18400000000000008</v>
      </c>
      <c r="V198" s="4">
        <v>0.30000000000000004</v>
      </c>
      <c r="W198" s="4">
        <v>2.0000000000000007E-2</v>
      </c>
      <c r="X198" s="3">
        <v>3.249999999999998E-2</v>
      </c>
      <c r="Y198" s="4">
        <f t="shared" si="69"/>
        <v>8.7128329297820772E-2</v>
      </c>
      <c r="Z198" s="4">
        <v>0.1</v>
      </c>
      <c r="AA198" s="36">
        <v>105</v>
      </c>
      <c r="AB198" s="4">
        <v>2.3E-2</v>
      </c>
      <c r="AC198" s="4">
        <f t="shared" ref="AC198:AC218" si="110">V198+W198+(X198/(1+X198))*O198</f>
        <v>0.40712832929782083</v>
      </c>
      <c r="AD198" s="4">
        <f t="shared" si="70"/>
        <v>0.71412832929782089</v>
      </c>
      <c r="AE198" s="4">
        <v>0.1</v>
      </c>
      <c r="AF198" s="4">
        <f t="shared" si="71"/>
        <v>0.51796852300242069</v>
      </c>
      <c r="AG198" s="4">
        <f t="shared" si="96"/>
        <v>0.39203147699757901</v>
      </c>
      <c r="AH198" s="10">
        <v>1221372599</v>
      </c>
      <c r="AI198" s="32">
        <f t="shared" ref="AI198:AI229" si="111">AH198/(1000000*AS198)</f>
        <v>39.399116096774193</v>
      </c>
      <c r="AJ198" s="32">
        <f>AVERAGE(AI198:AI209)</f>
        <v>42.319192481973793</v>
      </c>
      <c r="AK198" s="24">
        <f t="shared" ref="AK198:AK229" si="112">AF198*AH198</f>
        <v>632632561.13965786</v>
      </c>
      <c r="AL198">
        <v>236.916</v>
      </c>
      <c r="AM198" s="95">
        <f t="shared" ref="AM198:AM261" si="113">AL198/AL$291</f>
        <v>0.77003032459997856</v>
      </c>
      <c r="AN198" s="1">
        <f t="shared" ref="AN198:AN261" si="114">AF198/AM198</f>
        <v>0.67265990241553031</v>
      </c>
      <c r="AO198" s="1">
        <f t="shared" si="97"/>
        <v>0.27265990241553029</v>
      </c>
      <c r="AP198" s="110">
        <f t="shared" si="98"/>
        <v>333019333.65634263</v>
      </c>
      <c r="AQ198" s="1">
        <f>AVERAGE(AN198:AN209)</f>
        <v>0.35021884190737906</v>
      </c>
      <c r="AR198" s="15">
        <f t="shared" si="88"/>
        <v>821.56837325634262</v>
      </c>
      <c r="AS198" s="7">
        <v>31</v>
      </c>
      <c r="AT198" s="1">
        <f t="shared" si="89"/>
        <v>26.502205588914279</v>
      </c>
      <c r="AU198" s="16">
        <f t="shared" si="103"/>
        <v>8572.8060852195904</v>
      </c>
      <c r="AV198" s="4">
        <f t="shared" si="90"/>
        <v>8.5728060852195895</v>
      </c>
      <c r="AW198" s="4">
        <f t="shared" ref="AW198:AW261" si="115">O198*(AM$282/AM198)</f>
        <v>3.4953424842560232</v>
      </c>
      <c r="AY198" s="4">
        <f>(O198-P198-AG198-(SpotGasPrices!K196-(SpotGasPrices!L196+SpotGasPrices!M196)/2))*($AL$279/AL198)</f>
        <v>0.3383302414231093</v>
      </c>
      <c r="AZ198" s="1">
        <f>AVERAGE($AY198:$AY209)</f>
        <v>0.22385748828187405</v>
      </c>
    </row>
    <row r="199" spans="1:52">
      <c r="C199" s="28">
        <f>C198+31</f>
        <v>42401</v>
      </c>
      <c r="D199" s="2">
        <v>2016</v>
      </c>
      <c r="E199" s="2">
        <v>2</v>
      </c>
      <c r="F199" s="4">
        <v>1.30019</v>
      </c>
      <c r="G199" s="4">
        <f>G198</f>
        <v>1.1349697417403424</v>
      </c>
      <c r="H199" s="4">
        <f t="shared" si="104"/>
        <v>1.0943953593157292</v>
      </c>
      <c r="I199" s="4">
        <f>I198</f>
        <v>0.78475089983296309</v>
      </c>
      <c r="J199" s="4">
        <f t="shared" si="105"/>
        <v>0.64250338812590246</v>
      </c>
      <c r="K199">
        <v>32.18</v>
      </c>
      <c r="L199" s="4">
        <v>1.764</v>
      </c>
      <c r="M199" s="1">
        <v>1.681</v>
      </c>
      <c r="N199" s="1">
        <v>1.9359999999999999</v>
      </c>
      <c r="O199" s="1">
        <v>2.423</v>
      </c>
      <c r="P199" s="4">
        <f t="shared" si="107"/>
        <v>1.6907777777777777</v>
      </c>
      <c r="Q199" s="4">
        <f t="shared" si="108"/>
        <v>3.14404153750775</v>
      </c>
      <c r="R199" s="4">
        <f t="shared" si="109"/>
        <v>2.1939230557277671</v>
      </c>
      <c r="S199" s="4">
        <v>0.253</v>
      </c>
      <c r="T199" s="4">
        <f t="shared" ref="T199:T262" si="116">(S199-0.1*(V199+Y199))/0.9</f>
        <v>0.23930347054075868</v>
      </c>
      <c r="U199" s="4">
        <v>0.18400000000000008</v>
      </c>
      <c r="V199" s="4">
        <v>0.3</v>
      </c>
      <c r="W199" s="4">
        <v>2.0000000000000007E-2</v>
      </c>
      <c r="X199" s="3">
        <v>3.249999999999998E-2</v>
      </c>
      <c r="Y199" s="4">
        <f t="shared" ref="Y199:Y263" si="117">(X199/(1+X199))*O199</f>
        <v>7.6268765133171865E-2</v>
      </c>
      <c r="Z199" s="4">
        <v>0.1</v>
      </c>
      <c r="AA199" s="37">
        <v>122</v>
      </c>
      <c r="AB199" s="4">
        <v>2.7E-2</v>
      </c>
      <c r="AC199" s="4">
        <f t="shared" si="110"/>
        <v>0.39626876513317189</v>
      </c>
      <c r="AD199" s="4">
        <f t="shared" ref="AD199:AD275" si="118">U199+V199+W199+Y199+Z199+AB199</f>
        <v>0.70726876513317194</v>
      </c>
      <c r="AE199" s="4">
        <v>0.1</v>
      </c>
      <c r="AF199" s="4">
        <f t="shared" ref="AF199:AF263" si="119">(O199-Z199-AB199-AC199-AE199)-(P199-T199)</f>
        <v>0.34825692762980864</v>
      </c>
      <c r="AG199" s="4">
        <f t="shared" si="96"/>
        <v>0.38396529459241369</v>
      </c>
      <c r="AH199" s="10">
        <v>1224425194</v>
      </c>
      <c r="AI199" s="32">
        <f t="shared" si="111"/>
        <v>42.221558413793105</v>
      </c>
      <c r="AJ199" s="32">
        <f>AJ198</f>
        <v>42.319192481973793</v>
      </c>
      <c r="AK199" s="24">
        <f t="shared" si="112"/>
        <v>426414556.17497241</v>
      </c>
      <c r="AL199">
        <v>237.11099999999999</v>
      </c>
      <c r="AM199" s="95">
        <f t="shared" si="113"/>
        <v>0.77066411849020544</v>
      </c>
      <c r="AN199" s="1">
        <f t="shared" si="114"/>
        <v>0.4518919711898261</v>
      </c>
      <c r="AO199" s="1">
        <f t="shared" si="97"/>
        <v>5.189197118982608E-2</v>
      </c>
      <c r="AP199" s="110">
        <f t="shared" si="98"/>
        <v>63537836.891145207</v>
      </c>
      <c r="AQ199" s="1">
        <f>AQ198</f>
        <v>0.35021884190737906</v>
      </c>
      <c r="AR199" s="15">
        <f t="shared" si="88"/>
        <v>553.3079144911452</v>
      </c>
      <c r="AS199" s="7">
        <v>29</v>
      </c>
      <c r="AT199" s="1">
        <f t="shared" si="89"/>
        <v>19.079583258315353</v>
      </c>
      <c r="AU199" s="16">
        <f t="shared" si="103"/>
        <v>9126.1139997107348</v>
      </c>
      <c r="AV199" s="4">
        <f t="shared" si="90"/>
        <v>9.1261139997107357</v>
      </c>
      <c r="AW199" s="4">
        <f t="shared" si="115"/>
        <v>3.0571711561251904</v>
      </c>
      <c r="AY199" s="4">
        <f>(O199-P199-AG199-(SpotGasPrices!K197-(SpotGasPrices!L197+SpotGasPrices!M197)/2))*($AL$279/AL199)</f>
        <v>0.47164014962112499</v>
      </c>
      <c r="AZ199" s="1">
        <f t="shared" ref="AZ199:AZ209" si="120">AZ198</f>
        <v>0.22385748828187405</v>
      </c>
    </row>
    <row r="200" spans="1:52">
      <c r="C200" s="28">
        <f>C199+29</f>
        <v>42430</v>
      </c>
      <c r="D200" s="2">
        <v>2016</v>
      </c>
      <c r="E200" s="2">
        <v>3</v>
      </c>
      <c r="F200" s="4">
        <v>1.2747109999999999</v>
      </c>
      <c r="G200" s="4">
        <f t="shared" ref="G200:I209" si="121">G199</f>
        <v>1.1349697417403424</v>
      </c>
      <c r="H200" s="4">
        <f t="shared" si="104"/>
        <v>1.1580788551713375</v>
      </c>
      <c r="I200" s="4">
        <f t="shared" si="121"/>
        <v>0.78475089983296309</v>
      </c>
      <c r="J200" s="4">
        <f t="shared" si="105"/>
        <v>0.71897498150434735</v>
      </c>
      <c r="K200">
        <v>38.21</v>
      </c>
      <c r="L200" s="4">
        <v>1.9690000000000001</v>
      </c>
      <c r="M200" s="1">
        <v>1.895</v>
      </c>
      <c r="N200" s="1">
        <v>2.1240000000000001</v>
      </c>
      <c r="O200" s="1">
        <v>2.625</v>
      </c>
      <c r="P200" s="4">
        <f t="shared" si="107"/>
        <v>1.8961111111111113</v>
      </c>
      <c r="Q200" s="4">
        <f t="shared" si="108"/>
        <v>3.3915491198159002</v>
      </c>
      <c r="R200" s="4">
        <f t="shared" si="109"/>
        <v>2.4498110361760146</v>
      </c>
      <c r="S200" s="4">
        <v>0.253</v>
      </c>
      <c r="T200" s="4">
        <f t="shared" si="116"/>
        <v>0.2385969868173258</v>
      </c>
      <c r="U200" s="4">
        <v>0.18400000000000008</v>
      </c>
      <c r="V200" s="4">
        <v>0.30000000000000004</v>
      </c>
      <c r="W200" s="4">
        <v>2.0000000000000007E-2</v>
      </c>
      <c r="X200" s="3">
        <v>3.249999999999998E-2</v>
      </c>
      <c r="Y200" s="4">
        <f t="shared" si="117"/>
        <v>8.2627118644067743E-2</v>
      </c>
      <c r="Z200" s="4">
        <v>0.1</v>
      </c>
      <c r="AA200" s="37">
        <v>116</v>
      </c>
      <c r="AB200" s="4">
        <v>2.5000000000000001E-2</v>
      </c>
      <c r="AC200" s="4">
        <f t="shared" si="110"/>
        <v>0.40262711864406781</v>
      </c>
      <c r="AD200" s="4">
        <f t="shared" si="118"/>
        <v>0.71162711864406791</v>
      </c>
      <c r="AE200" s="4">
        <v>0.1</v>
      </c>
      <c r="AF200" s="4">
        <f t="shared" si="119"/>
        <v>0.33985875706214674</v>
      </c>
      <c r="AG200" s="4">
        <f t="shared" si="96"/>
        <v>0.38903013182674195</v>
      </c>
      <c r="AH200" s="11">
        <v>1300298942</v>
      </c>
      <c r="AI200" s="32">
        <f t="shared" si="111"/>
        <v>41.945127161290323</v>
      </c>
      <c r="AJ200" s="32">
        <f t="shared" ref="AJ200:AJ209" si="122">AJ199</f>
        <v>42.319192481973793</v>
      </c>
      <c r="AK200" s="24">
        <f t="shared" si="112"/>
        <v>441917982.23734444</v>
      </c>
      <c r="AL200">
        <v>238.13200000000001</v>
      </c>
      <c r="AM200" s="95">
        <f t="shared" si="113"/>
        <v>0.77398259829493199</v>
      </c>
      <c r="AN200" s="1">
        <f t="shared" si="114"/>
        <v>0.43910387366699033</v>
      </c>
      <c r="AO200" s="1">
        <f t="shared" si="97"/>
        <v>3.9103873666990308E-2</v>
      </c>
      <c r="AP200" s="110">
        <f t="shared" si="98"/>
        <v>50846725.557289161</v>
      </c>
      <c r="AQ200" s="1">
        <f t="shared" ref="AQ200:AQ209" si="123">AQ199</f>
        <v>0.35021884190737906</v>
      </c>
      <c r="AR200" s="15">
        <f t="shared" si="88"/>
        <v>570.96630235728924</v>
      </c>
      <c r="AS200" s="7">
        <v>31</v>
      </c>
      <c r="AT200" s="1">
        <f t="shared" si="89"/>
        <v>18.418267817977071</v>
      </c>
      <c r="AU200" s="16">
        <f t="shared" si="103"/>
        <v>9697.0803020680232</v>
      </c>
      <c r="AV200" s="4">
        <f t="shared" si="90"/>
        <v>9.6970803020680236</v>
      </c>
      <c r="AW200" s="4">
        <f t="shared" si="115"/>
        <v>3.2978400634941964</v>
      </c>
      <c r="AY200" s="4">
        <f>(O200-P200-AG200-(SpotGasPrices!K198-(SpotGasPrices!L198+SpotGasPrices!M198)/2))*($AL$279/AL200)</f>
        <v>2.4226655424741207E-2</v>
      </c>
      <c r="AZ200" s="1">
        <f t="shared" si="120"/>
        <v>0.22385748828187405</v>
      </c>
    </row>
    <row r="201" spans="1:52">
      <c r="C201" s="28">
        <f>C200+31</f>
        <v>42461</v>
      </c>
      <c r="D201" s="2">
        <v>2016</v>
      </c>
      <c r="E201" s="2">
        <v>4</v>
      </c>
      <c r="F201" s="4">
        <v>1.4483999999999999</v>
      </c>
      <c r="G201" s="4">
        <f t="shared" si="121"/>
        <v>1.1349697417403424</v>
      </c>
      <c r="H201" s="4">
        <f t="shared" si="104"/>
        <v>1.2254215834448994</v>
      </c>
      <c r="I201" s="4">
        <f t="shared" si="121"/>
        <v>0.78475089983296309</v>
      </c>
      <c r="J201" s="4">
        <f t="shared" si="105"/>
        <v>0.79753577210354176</v>
      </c>
      <c r="K201">
        <v>41.58</v>
      </c>
      <c r="L201" s="4">
        <v>2.113</v>
      </c>
      <c r="M201" s="1">
        <v>2.0270000000000001</v>
      </c>
      <c r="N201" s="1">
        <v>2.2930000000000001</v>
      </c>
      <c r="O201" s="1">
        <v>2.7679999999999998</v>
      </c>
      <c r="P201" s="4">
        <f t="shared" si="107"/>
        <v>2.0402222222222224</v>
      </c>
      <c r="Q201" s="4">
        <f t="shared" si="108"/>
        <v>3.5594322852449833</v>
      </c>
      <c r="R201" s="4">
        <f t="shared" si="109"/>
        <v>2.6235667799320965</v>
      </c>
      <c r="S201" s="4">
        <v>0.253</v>
      </c>
      <c r="T201" s="4">
        <f t="shared" si="116"/>
        <v>0.23809685230024213</v>
      </c>
      <c r="U201" s="4">
        <v>0.18400000000000008</v>
      </c>
      <c r="V201" s="4">
        <v>0.3</v>
      </c>
      <c r="W201" s="4">
        <v>2.0000000000000007E-2</v>
      </c>
      <c r="X201" s="3">
        <v>3.249999999999998E-2</v>
      </c>
      <c r="Y201" s="4">
        <f t="shared" si="117"/>
        <v>8.7128329297820772E-2</v>
      </c>
      <c r="Z201" s="4">
        <v>0.1</v>
      </c>
      <c r="AA201" s="37">
        <v>119</v>
      </c>
      <c r="AB201" s="4">
        <v>2.5999999999999999E-2</v>
      </c>
      <c r="AC201" s="4">
        <f t="shared" si="110"/>
        <v>0.40712832929782078</v>
      </c>
      <c r="AD201" s="4">
        <f t="shared" si="118"/>
        <v>0.71712832929782089</v>
      </c>
      <c r="AE201" s="4">
        <v>0.1</v>
      </c>
      <c r="AF201" s="4">
        <f t="shared" si="119"/>
        <v>0.33274630078019873</v>
      </c>
      <c r="AG201" s="4">
        <f t="shared" si="96"/>
        <v>0.39503147699757868</v>
      </c>
      <c r="AH201" s="10">
        <v>1274448751</v>
      </c>
      <c r="AI201" s="32">
        <f t="shared" si="111"/>
        <v>42.48162503333333</v>
      </c>
      <c r="AJ201" s="32">
        <f t="shared" si="122"/>
        <v>42.319192481973793</v>
      </c>
      <c r="AK201" s="24">
        <f t="shared" si="112"/>
        <v>424068107.42919463</v>
      </c>
      <c r="AL201">
        <v>239.261</v>
      </c>
      <c r="AM201" s="95">
        <f t="shared" si="113"/>
        <v>0.77765210240809179</v>
      </c>
      <c r="AN201" s="1">
        <f t="shared" si="114"/>
        <v>0.42788581134135745</v>
      </c>
      <c r="AO201" s="1">
        <f t="shared" si="97"/>
        <v>2.7885811341357425E-2</v>
      </c>
      <c r="AP201" s="110">
        <f t="shared" si="98"/>
        <v>35539037.434614606</v>
      </c>
      <c r="AQ201" s="1">
        <f t="shared" si="123"/>
        <v>0.35021884190737906</v>
      </c>
      <c r="AR201" s="15">
        <f t="shared" si="88"/>
        <v>545.31853783461463</v>
      </c>
      <c r="AS201" s="7">
        <v>30</v>
      </c>
      <c r="AT201" s="1">
        <f t="shared" si="89"/>
        <v>18.177284594487155</v>
      </c>
      <c r="AU201" s="16">
        <f t="shared" si="103"/>
        <v>10242.398839902638</v>
      </c>
      <c r="AV201" s="4">
        <f t="shared" si="90"/>
        <v>10.242398839902638</v>
      </c>
      <c r="AW201" s="4">
        <f t="shared" si="115"/>
        <v>3.4610845896322426</v>
      </c>
      <c r="AY201" s="4">
        <f>(O201-P201-AG201-(SpotGasPrices!K199-(SpotGasPrices!L199+SpotGasPrices!M199)/2))*($AL$279/AL201)</f>
        <v>0.21703281599637478</v>
      </c>
      <c r="AZ201" s="1">
        <f t="shared" si="120"/>
        <v>0.22385748828187405</v>
      </c>
    </row>
    <row r="202" spans="1:52">
      <c r="C202" s="28">
        <f>C201+30</f>
        <v>42491</v>
      </c>
      <c r="D202" s="2">
        <v>2016</v>
      </c>
      <c r="E202" s="2">
        <v>5</v>
      </c>
      <c r="F202" s="4">
        <v>1.488774</v>
      </c>
      <c r="G202" s="4">
        <f t="shared" si="121"/>
        <v>1.1349697417403424</v>
      </c>
      <c r="H202" s="4">
        <f t="shared" si="104"/>
        <v>1.1015705137111047</v>
      </c>
      <c r="I202" s="4">
        <f t="shared" si="121"/>
        <v>0.78475089983296309</v>
      </c>
      <c r="J202" s="4">
        <f t="shared" si="105"/>
        <v>0.85187677473563128</v>
      </c>
      <c r="K202">
        <v>46.74</v>
      </c>
      <c r="L202" s="4">
        <v>2.2679999999999998</v>
      </c>
      <c r="M202" s="1">
        <v>2.1989999999999998</v>
      </c>
      <c r="N202" s="1">
        <v>2.4129999999999998</v>
      </c>
      <c r="O202" s="1">
        <v>2.8</v>
      </c>
      <c r="P202" s="4">
        <f t="shared" si="107"/>
        <v>2.2088888888888887</v>
      </c>
      <c r="Q202" s="4">
        <f t="shared" si="108"/>
        <v>3.586073288403981</v>
      </c>
      <c r="R202" s="4">
        <f t="shared" si="109"/>
        <v>2.8290133719631405</v>
      </c>
      <c r="S202" s="4">
        <v>0.253</v>
      </c>
      <c r="T202" s="4">
        <f t="shared" si="116"/>
        <v>0.23798493408662899</v>
      </c>
      <c r="U202" s="4">
        <v>0.18400000000000008</v>
      </c>
      <c r="V202" s="4">
        <v>0.30000000000000004</v>
      </c>
      <c r="W202" s="4">
        <v>2.0000000000000007E-2</v>
      </c>
      <c r="X202" s="3">
        <v>3.249999999999998E-2</v>
      </c>
      <c r="Y202" s="4">
        <f t="shared" si="117"/>
        <v>8.8135593220338926E-2</v>
      </c>
      <c r="Z202" s="4">
        <v>0.1</v>
      </c>
      <c r="AA202" s="37">
        <v>119</v>
      </c>
      <c r="AB202" s="4">
        <v>2.5999999999999999E-2</v>
      </c>
      <c r="AC202" s="4">
        <f t="shared" si="110"/>
        <v>0.40813559322033899</v>
      </c>
      <c r="AD202" s="4">
        <f t="shared" si="118"/>
        <v>0.71813559322033904</v>
      </c>
      <c r="AE202" s="4">
        <v>0.1</v>
      </c>
      <c r="AF202" s="4">
        <f t="shared" si="119"/>
        <v>0.19496045197740131</v>
      </c>
      <c r="AG202" s="4">
        <f t="shared" si="96"/>
        <v>0.39615065913370984</v>
      </c>
      <c r="AH202" s="10">
        <v>1323331105</v>
      </c>
      <c r="AI202" s="32">
        <f t="shared" si="111"/>
        <v>42.688100161290322</v>
      </c>
      <c r="AJ202" s="32">
        <f t="shared" si="122"/>
        <v>42.319192481973793</v>
      </c>
      <c r="AK202" s="24">
        <f t="shared" si="112"/>
        <v>257997230.34655389</v>
      </c>
      <c r="AL202">
        <v>240.22900000000001</v>
      </c>
      <c r="AM202" s="95">
        <f t="shared" si="113"/>
        <v>0.78079832028367968</v>
      </c>
      <c r="AN202" s="1">
        <f t="shared" si="114"/>
        <v>0.24969373897547353</v>
      </c>
      <c r="AO202" s="1">
        <f t="shared" si="97"/>
        <v>0</v>
      </c>
      <c r="AP202" s="110">
        <f t="shared" si="98"/>
        <v>0</v>
      </c>
      <c r="AQ202" s="1">
        <f t="shared" si="123"/>
        <v>0.35021884190737906</v>
      </c>
      <c r="AR202" s="15">
        <f t="shared" si="88"/>
        <v>330.42749150999498</v>
      </c>
      <c r="AS202" s="7">
        <v>31</v>
      </c>
      <c r="AT202" s="1">
        <f t="shared" si="89"/>
        <v>10.658951339032097</v>
      </c>
      <c r="AU202" s="16">
        <f t="shared" si="103"/>
        <v>10572.826331412634</v>
      </c>
      <c r="AV202" s="4">
        <f t="shared" si="90"/>
        <v>10.572826331412635</v>
      </c>
      <c r="AW202" s="4">
        <f t="shared" si="115"/>
        <v>3.4869894975211153</v>
      </c>
      <c r="AY202" s="4">
        <f>(O202-P202-AG202-(SpotGasPrices!K200-(SpotGasPrices!L200+SpotGasPrices!M200)/2))*($AL$279/AL202)</f>
        <v>0.20463888296038077</v>
      </c>
      <c r="AZ202" s="1">
        <f t="shared" si="120"/>
        <v>0.22385748828187405</v>
      </c>
    </row>
    <row r="203" spans="1:52">
      <c r="A203" s="2">
        <f>A191+1</f>
        <v>2016</v>
      </c>
      <c r="B203" s="2">
        <v>2016</v>
      </c>
      <c r="C203" s="28">
        <f>C202+31</f>
        <v>42522</v>
      </c>
      <c r="D203" s="2">
        <v>2016</v>
      </c>
      <c r="E203" s="2">
        <v>6</v>
      </c>
      <c r="F203" s="4">
        <v>1.55877</v>
      </c>
      <c r="G203" s="4">
        <f t="shared" si="121"/>
        <v>1.1349697417403424</v>
      </c>
      <c r="H203" s="4">
        <f t="shared" si="104"/>
        <v>1.1469828433940725</v>
      </c>
      <c r="I203" s="4">
        <f t="shared" si="121"/>
        <v>0.78475089983296309</v>
      </c>
      <c r="J203" s="4">
        <f t="shared" si="105"/>
        <v>0.93152478931995275</v>
      </c>
      <c r="K203">
        <v>48.25</v>
      </c>
      <c r="L203" s="4">
        <v>2.3660000000000001</v>
      </c>
      <c r="M203" s="1">
        <v>2.3029999999999999</v>
      </c>
      <c r="N203" s="1">
        <v>2.4969999999999999</v>
      </c>
      <c r="O203" s="1">
        <v>2.875</v>
      </c>
      <c r="P203" s="4">
        <f t="shared" si="107"/>
        <v>2.3094444444444444</v>
      </c>
      <c r="Q203" s="4">
        <f t="shared" si="108"/>
        <v>3.6700749529080814</v>
      </c>
      <c r="R203" s="4">
        <f t="shared" si="109"/>
        <v>2.9481162471959217</v>
      </c>
      <c r="S203" s="4">
        <v>0.253</v>
      </c>
      <c r="T203" s="4">
        <f t="shared" si="116"/>
        <v>0.23772262577347325</v>
      </c>
      <c r="U203" s="4">
        <v>0.18400000000000008</v>
      </c>
      <c r="V203" s="4">
        <v>0.3</v>
      </c>
      <c r="W203" s="4">
        <v>2.0000000000000007E-2</v>
      </c>
      <c r="X203" s="3">
        <v>3.249999999999998E-2</v>
      </c>
      <c r="Y203" s="4">
        <f t="shared" si="117"/>
        <v>9.0496368038740865E-2</v>
      </c>
      <c r="Z203" s="4">
        <v>0.1</v>
      </c>
      <c r="AA203" s="37">
        <v>112</v>
      </c>
      <c r="AB203" s="4">
        <v>2.4E-2</v>
      </c>
      <c r="AC203" s="4">
        <f t="shared" si="110"/>
        <v>0.4104963680387409</v>
      </c>
      <c r="AD203" s="4">
        <f t="shared" si="118"/>
        <v>0.71849636803874095</v>
      </c>
      <c r="AE203" s="4">
        <v>0.1</v>
      </c>
      <c r="AF203" s="4">
        <f t="shared" si="119"/>
        <v>0.16878181329028763</v>
      </c>
      <c r="AG203" s="4">
        <f t="shared" si="96"/>
        <v>0.39677374226526796</v>
      </c>
      <c r="AH203" s="11">
        <v>1295550673</v>
      </c>
      <c r="AI203" s="32">
        <f t="shared" si="111"/>
        <v>43.18502243333333</v>
      </c>
      <c r="AJ203" s="32">
        <f t="shared" si="122"/>
        <v>42.319192481973793</v>
      </c>
      <c r="AK203" s="24">
        <f t="shared" si="112"/>
        <v>218665391.79839247</v>
      </c>
      <c r="AL203">
        <v>241.018</v>
      </c>
      <c r="AM203" s="95">
        <f t="shared" si="113"/>
        <v>0.78336274787029003</v>
      </c>
      <c r="AN203" s="1">
        <f t="shared" si="114"/>
        <v>0.2154580540741193</v>
      </c>
      <c r="AO203" s="1">
        <f t="shared" si="97"/>
        <v>0</v>
      </c>
      <c r="AP203" s="110">
        <f t="shared" si="98"/>
        <v>0</v>
      </c>
      <c r="AQ203" s="1">
        <f t="shared" si="123"/>
        <v>0.35021884190737906</v>
      </c>
      <c r="AR203" s="15">
        <f t="shared" si="88"/>
        <v>279.13682695899564</v>
      </c>
      <c r="AS203" s="7">
        <v>30</v>
      </c>
      <c r="AT203" s="1">
        <f t="shared" si="89"/>
        <v>9.3045608986331878</v>
      </c>
      <c r="AU203" s="16">
        <f t="shared" si="103"/>
        <v>10851.963158371629</v>
      </c>
      <c r="AV203" s="4">
        <f t="shared" si="90"/>
        <v>10.851963158371628</v>
      </c>
      <c r="AW203" s="4">
        <f t="shared" si="115"/>
        <v>3.5686701823100351</v>
      </c>
      <c r="AY203" s="4">
        <f>(O203-P203-AG203-(SpotGasPrices!K201-(SpotGasPrices!L201+SpotGasPrices!M201)/2))*($AL$279/AL203)</f>
        <v>2.8787309421973772E-2</v>
      </c>
      <c r="AZ203" s="1">
        <f t="shared" si="120"/>
        <v>0.22385748828187405</v>
      </c>
    </row>
    <row r="204" spans="1:52">
      <c r="C204" s="28">
        <f>C203+30</f>
        <v>42552</v>
      </c>
      <c r="D204" s="2">
        <v>2016</v>
      </c>
      <c r="E204" s="2">
        <v>7</v>
      </c>
      <c r="F204" s="4">
        <v>1.44964</v>
      </c>
      <c r="G204" s="4">
        <f t="shared" si="121"/>
        <v>1.1349697417403424</v>
      </c>
      <c r="H204" s="4">
        <f t="shared" si="104"/>
        <v>1.261061656236802</v>
      </c>
      <c r="I204" s="4">
        <f t="shared" si="121"/>
        <v>0.78475089983296309</v>
      </c>
      <c r="J204" s="4">
        <f t="shared" si="105"/>
        <v>0.8532252124455133</v>
      </c>
      <c r="K204">
        <v>44.95</v>
      </c>
      <c r="L204" s="4">
        <v>2.2389999999999999</v>
      </c>
      <c r="M204" s="1">
        <v>2.157</v>
      </c>
      <c r="N204" s="1">
        <v>2.411</v>
      </c>
      <c r="O204" s="1">
        <v>2.8570000000000002</v>
      </c>
      <c r="P204" s="4">
        <f t="shared" si="107"/>
        <v>2.1703333333333332</v>
      </c>
      <c r="Q204" s="4">
        <f t="shared" si="108"/>
        <v>3.6530081578203704</v>
      </c>
      <c r="R204" s="4">
        <f t="shared" si="109"/>
        <v>2.775024631381219</v>
      </c>
      <c r="S204" s="4">
        <v>0.253</v>
      </c>
      <c r="T204" s="4">
        <f t="shared" si="116"/>
        <v>0.24023002421307504</v>
      </c>
      <c r="U204" s="4">
        <v>0.18400000000000008</v>
      </c>
      <c r="V204" s="4">
        <v>0.27800000000000025</v>
      </c>
      <c r="W204" s="4">
        <v>2.0000000000000007E-2</v>
      </c>
      <c r="X204" s="3">
        <v>3.249999999999998E-2</v>
      </c>
      <c r="Y204" s="4">
        <f t="shared" si="117"/>
        <v>8.9929782082324411E-2</v>
      </c>
      <c r="Z204" s="4">
        <v>0.1</v>
      </c>
      <c r="AA204" s="37">
        <v>92</v>
      </c>
      <c r="AB204" s="4">
        <v>0.02</v>
      </c>
      <c r="AC204" s="4">
        <f t="shared" si="110"/>
        <v>0.38792978208232465</v>
      </c>
      <c r="AD204" s="4">
        <f t="shared" si="118"/>
        <v>0.6919297820823247</v>
      </c>
      <c r="AE204" s="4">
        <v>0.1</v>
      </c>
      <c r="AF204" s="4">
        <f t="shared" si="119"/>
        <v>0.31896690879741696</v>
      </c>
      <c r="AG204" s="4">
        <f t="shared" si="96"/>
        <v>0.36769975786925002</v>
      </c>
      <c r="AH204" s="10">
        <v>1331548556</v>
      </c>
      <c r="AI204" s="32">
        <f t="shared" si="111"/>
        <v>42.953179225806451</v>
      </c>
      <c r="AJ204" s="32">
        <f t="shared" si="122"/>
        <v>42.319192481973793</v>
      </c>
      <c r="AK204" s="24">
        <f t="shared" si="112"/>
        <v>424719926.82098424</v>
      </c>
      <c r="AL204">
        <v>240.62799999999999</v>
      </c>
      <c r="AM204" s="95">
        <f t="shared" si="113"/>
        <v>0.78209516008983615</v>
      </c>
      <c r="AN204" s="1">
        <f t="shared" si="114"/>
        <v>0.40783644379128814</v>
      </c>
      <c r="AO204" s="1">
        <f t="shared" si="97"/>
        <v>7.8364437912881169E-3</v>
      </c>
      <c r="AP204" s="110">
        <f t="shared" si="98"/>
        <v>10434605.414464857</v>
      </c>
      <c r="AQ204" s="1">
        <f t="shared" si="123"/>
        <v>0.35021884190737906</v>
      </c>
      <c r="AR204" s="15">
        <f t="shared" si="88"/>
        <v>543.05402781446492</v>
      </c>
      <c r="AS204" s="7">
        <v>31</v>
      </c>
      <c r="AT204" s="1">
        <f t="shared" si="89"/>
        <v>17.517871864982741</v>
      </c>
      <c r="AU204" s="16">
        <f t="shared" si="103"/>
        <v>11395.017186186094</v>
      </c>
      <c r="AV204" s="4">
        <f t="shared" si="90"/>
        <v>11.395017186186095</v>
      </c>
      <c r="AW204" s="4">
        <f t="shared" si="115"/>
        <v>3.552074945559121</v>
      </c>
      <c r="AY204" s="4">
        <f>(O204-P204-AG204-(SpotGasPrices!K202-(SpotGasPrices!L202+SpotGasPrices!M202)/2))*($AL$279/AL204)</f>
        <v>0.32567820213996657</v>
      </c>
      <c r="AZ204" s="1">
        <f t="shared" si="120"/>
        <v>0.22385748828187405</v>
      </c>
    </row>
    <row r="205" spans="1:52">
      <c r="C205" s="28">
        <f t="shared" si="106"/>
        <v>42583</v>
      </c>
      <c r="D205" s="2">
        <v>2016</v>
      </c>
      <c r="E205" s="2">
        <v>8</v>
      </c>
      <c r="F205" s="4">
        <v>1.3451040000000001</v>
      </c>
      <c r="G205" s="4">
        <f t="shared" si="121"/>
        <v>1.1349697417403424</v>
      </c>
      <c r="H205" s="4">
        <f t="shared" si="104"/>
        <v>1.0335845818130227</v>
      </c>
      <c r="I205" s="4">
        <f t="shared" si="121"/>
        <v>0.78475089983296309</v>
      </c>
      <c r="J205" s="4">
        <f t="shared" si="105"/>
        <v>0.76125643843003254</v>
      </c>
      <c r="K205">
        <v>45.84</v>
      </c>
      <c r="L205" s="4">
        <v>2.1779999999999999</v>
      </c>
      <c r="M205" s="1">
        <v>2.1190000000000002</v>
      </c>
      <c r="N205" s="1">
        <v>2.2999999999999998</v>
      </c>
      <c r="O205" s="1">
        <v>2.6920000000000002</v>
      </c>
      <c r="P205" s="4">
        <f t="shared" si="107"/>
        <v>2.1208888888888886</v>
      </c>
      <c r="Q205" s="4">
        <f t="shared" si="108"/>
        <v>3.4388780190077606</v>
      </c>
      <c r="R205" s="4">
        <f t="shared" si="109"/>
        <v>2.7093158175177532</v>
      </c>
      <c r="S205" s="4">
        <v>0.253</v>
      </c>
      <c r="T205" s="4">
        <f t="shared" si="116"/>
        <v>0.2408071025020177</v>
      </c>
      <c r="U205" s="4">
        <v>0.18400000000000008</v>
      </c>
      <c r="V205" s="4">
        <v>0.27800000000000025</v>
      </c>
      <c r="W205" s="4">
        <v>2.0000000000000007E-2</v>
      </c>
      <c r="X205" s="3">
        <v>3.249999999999998E-2</v>
      </c>
      <c r="Y205" s="4">
        <f t="shared" si="117"/>
        <v>8.4736077481840144E-2</v>
      </c>
      <c r="Z205" s="4">
        <v>0.1</v>
      </c>
      <c r="AA205" s="37">
        <v>75</v>
      </c>
      <c r="AB205" s="4">
        <v>1.6E-2</v>
      </c>
      <c r="AC205" s="4">
        <f t="shared" si="110"/>
        <v>0.38273607748184041</v>
      </c>
      <c r="AD205" s="4">
        <f t="shared" si="118"/>
        <v>0.6827360774818404</v>
      </c>
      <c r="AE205" s="4">
        <v>0.1</v>
      </c>
      <c r="AF205" s="4">
        <f t="shared" si="119"/>
        <v>0.21318213613128867</v>
      </c>
      <c r="AG205" s="4">
        <f t="shared" si="96"/>
        <v>0.3579289749798229</v>
      </c>
      <c r="AH205" s="10">
        <v>1363294300</v>
      </c>
      <c r="AI205" s="32">
        <f t="shared" si="111"/>
        <v>43.97723548387097</v>
      </c>
      <c r="AJ205" s="32">
        <f t="shared" si="122"/>
        <v>42.319192481973793</v>
      </c>
      <c r="AK205" s="24">
        <f t="shared" si="112"/>
        <v>290629991.0496099</v>
      </c>
      <c r="AL205">
        <v>240.84899999999999</v>
      </c>
      <c r="AM205" s="95">
        <f t="shared" si="113"/>
        <v>0.78281345983209338</v>
      </c>
      <c r="AN205" s="1">
        <f t="shared" si="114"/>
        <v>0.27232814338298983</v>
      </c>
      <c r="AO205" s="1">
        <f t="shared" si="97"/>
        <v>0</v>
      </c>
      <c r="AP205" s="110">
        <f t="shared" si="98"/>
        <v>0</v>
      </c>
      <c r="AQ205" s="1">
        <f t="shared" si="123"/>
        <v>0.35021884190737906</v>
      </c>
      <c r="AR205" s="15">
        <f t="shared" si="88"/>
        <v>371.26340560361274</v>
      </c>
      <c r="AS205" s="7">
        <v>31</v>
      </c>
      <c r="AT205" s="1">
        <f t="shared" si="89"/>
        <v>11.97623889043912</v>
      </c>
      <c r="AU205" s="16">
        <f t="shared" si="103"/>
        <v>11766.280591789708</v>
      </c>
      <c r="AV205" s="4">
        <f t="shared" si="90"/>
        <v>11.766280591789707</v>
      </c>
      <c r="AW205" s="4">
        <f t="shared" si="115"/>
        <v>3.3438612574683724</v>
      </c>
      <c r="AY205" s="4">
        <f>(O205-P205-AG205-(SpotGasPrices!K203-(SpotGasPrices!L203+SpotGasPrices!M203)/2))*($AL$279/AL205)</f>
        <v>0.28357612758515754</v>
      </c>
      <c r="AZ205" s="1">
        <f t="shared" si="120"/>
        <v>0.22385748828187405</v>
      </c>
    </row>
    <row r="206" spans="1:52">
      <c r="C206" s="28">
        <f t="shared" si="106"/>
        <v>42614</v>
      </c>
      <c r="D206" s="2">
        <v>2016</v>
      </c>
      <c r="E206" s="2">
        <v>9</v>
      </c>
      <c r="F206" s="4">
        <v>1.4596480000000001</v>
      </c>
      <c r="G206" s="4">
        <f t="shared" si="121"/>
        <v>1.1349697417403424</v>
      </c>
      <c r="H206" s="4">
        <f t="shared" si="104"/>
        <v>1.0702914171611113</v>
      </c>
      <c r="I206" s="4">
        <f t="shared" si="121"/>
        <v>0.78475089983296309</v>
      </c>
      <c r="J206" s="4">
        <f t="shared" si="105"/>
        <v>0.78761598117940201</v>
      </c>
      <c r="K206">
        <v>46.57</v>
      </c>
      <c r="L206" s="4">
        <v>2.2189999999999999</v>
      </c>
      <c r="M206" s="1">
        <v>2.161</v>
      </c>
      <c r="N206" s="1">
        <v>2.339</v>
      </c>
      <c r="O206" s="1">
        <v>2.7469999999999999</v>
      </c>
      <c r="P206" s="4">
        <f t="shared" si="107"/>
        <v>2.160333333333333</v>
      </c>
      <c r="Q206" s="4">
        <f t="shared" si="108"/>
        <v>3.5007216934241265</v>
      </c>
      <c r="R206" s="4">
        <f t="shared" si="109"/>
        <v>2.753085462332455</v>
      </c>
      <c r="S206" s="4">
        <v>0.253</v>
      </c>
      <c r="T206" s="4">
        <f t="shared" si="116"/>
        <v>0.24061474307237016</v>
      </c>
      <c r="U206" s="4">
        <v>0.18400000000000008</v>
      </c>
      <c r="V206" s="4">
        <v>0.27800000000000025</v>
      </c>
      <c r="W206" s="4">
        <v>2.0000000000000007E-2</v>
      </c>
      <c r="X206" s="3">
        <v>3.249999999999998E-2</v>
      </c>
      <c r="Y206" s="4">
        <f t="shared" si="117"/>
        <v>8.6467312348668224E-2</v>
      </c>
      <c r="Z206" s="4">
        <v>0.1</v>
      </c>
      <c r="AA206" s="37">
        <v>98.4</v>
      </c>
      <c r="AB206" s="4">
        <v>2.1000000000000001E-2</v>
      </c>
      <c r="AC206" s="4">
        <f t="shared" si="110"/>
        <v>0.38446731234866849</v>
      </c>
      <c r="AD206" s="4">
        <f t="shared" si="118"/>
        <v>0.68946731234866854</v>
      </c>
      <c r="AE206" s="4">
        <v>0.1</v>
      </c>
      <c r="AF206" s="4">
        <f t="shared" si="119"/>
        <v>0.22181409739036839</v>
      </c>
      <c r="AG206" s="4">
        <f t="shared" si="96"/>
        <v>0.3648525692762985</v>
      </c>
      <c r="AH206" s="11">
        <v>1288772790</v>
      </c>
      <c r="AI206" s="32">
        <f t="shared" si="111"/>
        <v>42.959093000000003</v>
      </c>
      <c r="AJ206" s="32">
        <f t="shared" si="122"/>
        <v>42.319192481973793</v>
      </c>
      <c r="AK206" s="24">
        <f t="shared" si="112"/>
        <v>285867973.1551168</v>
      </c>
      <c r="AL206">
        <v>241.428</v>
      </c>
      <c r="AM206" s="95">
        <f t="shared" si="113"/>
        <v>0.78469534015230558</v>
      </c>
      <c r="AN206" s="1">
        <f t="shared" si="114"/>
        <v>0.28267543598170897</v>
      </c>
      <c r="AO206" s="1">
        <f t="shared" si="97"/>
        <v>0</v>
      </c>
      <c r="AP206" s="110">
        <f t="shared" si="98"/>
        <v>0</v>
      </c>
      <c r="AQ206" s="1">
        <f t="shared" si="123"/>
        <v>0.35021884190737906</v>
      </c>
      <c r="AR206" s="15">
        <f t="shared" si="88"/>
        <v>364.30441029461349</v>
      </c>
      <c r="AS206" s="7">
        <v>30</v>
      </c>
      <c r="AT206" s="1">
        <f t="shared" si="89"/>
        <v>12.143480343153783</v>
      </c>
      <c r="AU206" s="16">
        <f t="shared" si="103"/>
        <v>12130.585002084321</v>
      </c>
      <c r="AV206" s="4">
        <f t="shared" si="90"/>
        <v>12.13058500208432</v>
      </c>
      <c r="AW206" s="4">
        <f t="shared" si="115"/>
        <v>3.4039961810560495</v>
      </c>
      <c r="AY206" s="4">
        <f>(O206-P206-AG206-(SpotGasPrices!K204-(SpotGasPrices!L204+SpotGasPrices!M204)/2))*($AL$279/AL206)</f>
        <v>0.10530934602241018</v>
      </c>
      <c r="AZ206" s="1">
        <f t="shared" si="120"/>
        <v>0.22385748828187405</v>
      </c>
    </row>
    <row r="207" spans="1:52">
      <c r="C207" s="28">
        <f>C206+30</f>
        <v>42644</v>
      </c>
      <c r="D207" s="2">
        <v>2016</v>
      </c>
      <c r="E207" s="2">
        <v>10</v>
      </c>
      <c r="F207" s="4">
        <v>1.5395080000000001</v>
      </c>
      <c r="G207" s="4">
        <f t="shared" si="121"/>
        <v>1.1349697417403424</v>
      </c>
      <c r="H207" s="4">
        <f t="shared" si="104"/>
        <v>1.0553542930432454</v>
      </c>
      <c r="I207" s="4">
        <f t="shared" si="121"/>
        <v>0.78475089983296309</v>
      </c>
      <c r="J207" s="4">
        <f t="shared" si="105"/>
        <v>0.73072973467392965</v>
      </c>
      <c r="K207">
        <v>49.52</v>
      </c>
      <c r="L207" s="4">
        <v>2.2490000000000001</v>
      </c>
      <c r="M207" s="1">
        <v>2.1859999999999999</v>
      </c>
      <c r="N207" s="1">
        <v>2.3820000000000001</v>
      </c>
      <c r="O207" s="1">
        <v>2.8069999999999999</v>
      </c>
      <c r="P207" s="4">
        <f t="shared" si="107"/>
        <v>2.1870000000000003</v>
      </c>
      <c r="Q207" s="4">
        <f t="shared" si="108"/>
        <v>3.572730193729341</v>
      </c>
      <c r="R207" s="4">
        <f t="shared" si="109"/>
        <v>2.7835984801161633</v>
      </c>
      <c r="S207" s="4">
        <v>0.253</v>
      </c>
      <c r="T207" s="4">
        <f t="shared" si="116"/>
        <v>0.24040489642184557</v>
      </c>
      <c r="U207" s="4">
        <v>0.18400000000000008</v>
      </c>
      <c r="V207" s="4">
        <v>0.27800000000000025</v>
      </c>
      <c r="W207" s="4">
        <v>2.0000000000000007E-2</v>
      </c>
      <c r="X207" s="3">
        <v>3.249999999999998E-2</v>
      </c>
      <c r="Y207" s="4">
        <f t="shared" si="117"/>
        <v>8.8355932203389775E-2</v>
      </c>
      <c r="Z207" s="4">
        <v>0.1</v>
      </c>
      <c r="AA207" s="37">
        <v>89</v>
      </c>
      <c r="AB207" s="4">
        <v>1.9E-2</v>
      </c>
      <c r="AC207" s="4">
        <f t="shared" si="110"/>
        <v>0.38635593220339004</v>
      </c>
      <c r="AD207" s="4">
        <f t="shared" si="118"/>
        <v>0.68935593220339009</v>
      </c>
      <c r="AE207" s="4">
        <v>0.1</v>
      </c>
      <c r="AF207" s="4">
        <f t="shared" si="119"/>
        <v>0.2550489642184548</v>
      </c>
      <c r="AG207" s="4">
        <f t="shared" si="96"/>
        <v>0.36495103578154486</v>
      </c>
      <c r="AH207" s="10">
        <v>1318576424</v>
      </c>
      <c r="AI207" s="32">
        <f t="shared" si="111"/>
        <v>42.534723354838711</v>
      </c>
      <c r="AJ207" s="32">
        <f t="shared" si="122"/>
        <v>42.319192481973793</v>
      </c>
      <c r="AK207" s="24">
        <f t="shared" si="112"/>
        <v>336301551.1840741</v>
      </c>
      <c r="AL207">
        <v>241.72900000000001</v>
      </c>
      <c r="AM207" s="95">
        <f t="shared" si="113"/>
        <v>0.78567365790080967</v>
      </c>
      <c r="AN207" s="1">
        <f t="shared" si="114"/>
        <v>0.32462455836931525</v>
      </c>
      <c r="AO207" s="1">
        <f t="shared" si="97"/>
        <v>0</v>
      </c>
      <c r="AP207" s="110">
        <f t="shared" si="98"/>
        <v>0</v>
      </c>
      <c r="AQ207" s="1">
        <f t="shared" si="123"/>
        <v>0.35021884190737906</v>
      </c>
      <c r="AR207" s="15">
        <f t="shared" si="88"/>
        <v>428.04228931719098</v>
      </c>
      <c r="AS207" s="7">
        <v>31</v>
      </c>
      <c r="AT207" s="1">
        <f t="shared" si="89"/>
        <v>13.807815784425516</v>
      </c>
      <c r="AU207" s="16">
        <f t="shared" si="103"/>
        <v>12558.627291401512</v>
      </c>
      <c r="AV207" s="4">
        <f t="shared" si="90"/>
        <v>12.558627291401512</v>
      </c>
      <c r="AW207" s="4">
        <f t="shared" si="115"/>
        <v>3.4740150747324483</v>
      </c>
      <c r="AY207" s="4">
        <f>(O207-P207-AG207-(SpotGasPrices!K205-(SpotGasPrices!L205+SpotGasPrices!M205)/2))*($AL$279/AL207)</f>
        <v>0.17450653386507273</v>
      </c>
      <c r="AZ207" s="1">
        <f t="shared" si="120"/>
        <v>0.22385748828187405</v>
      </c>
    </row>
    <row r="208" spans="1:52">
      <c r="C208" s="28">
        <f t="shared" si="106"/>
        <v>42675</v>
      </c>
      <c r="D208" s="2">
        <v>2016</v>
      </c>
      <c r="E208" s="2">
        <v>11</v>
      </c>
      <c r="F208" s="4">
        <v>1.5354369999999999</v>
      </c>
      <c r="G208" s="4">
        <f t="shared" si="121"/>
        <v>1.1349697417403424</v>
      </c>
      <c r="H208" s="4">
        <f t="shared" si="104"/>
        <v>1.1071235908076691</v>
      </c>
      <c r="I208" s="4">
        <f t="shared" si="121"/>
        <v>0.78475089983296309</v>
      </c>
      <c r="J208" s="4">
        <f t="shared" si="105"/>
        <v>0.79380513134417474</v>
      </c>
      <c r="K208">
        <v>44.73</v>
      </c>
      <c r="L208" s="4">
        <v>2.1819999999999999</v>
      </c>
      <c r="M208" s="1">
        <v>2.105</v>
      </c>
      <c r="N208" s="1">
        <v>2.343</v>
      </c>
      <c r="O208" s="1">
        <v>2.7320000000000002</v>
      </c>
      <c r="P208" s="4">
        <f t="shared" si="107"/>
        <v>2.1208888888888886</v>
      </c>
      <c r="Q208" s="4">
        <f t="shared" si="108"/>
        <v>3.4826878969807709</v>
      </c>
      <c r="R208" s="4">
        <f t="shared" si="109"/>
        <v>2.7036581494049514</v>
      </c>
      <c r="S208" s="4">
        <v>0.253</v>
      </c>
      <c r="T208" s="4">
        <f t="shared" si="116"/>
        <v>0.24066720473500131</v>
      </c>
      <c r="U208" s="4">
        <v>0.18400000000000008</v>
      </c>
      <c r="V208" s="4">
        <v>0.27800000000000025</v>
      </c>
      <c r="W208" s="4">
        <v>2.0000000000000007E-2</v>
      </c>
      <c r="X208" s="3">
        <v>3.249999999999998E-2</v>
      </c>
      <c r="Y208" s="4">
        <f t="shared" si="117"/>
        <v>8.599515738498785E-2</v>
      </c>
      <c r="Z208" s="4">
        <v>0.1</v>
      </c>
      <c r="AA208" s="37">
        <v>100</v>
      </c>
      <c r="AB208" s="4">
        <v>2.1999999999999999E-2</v>
      </c>
      <c r="AC208" s="4">
        <f t="shared" si="110"/>
        <v>0.38399515738498813</v>
      </c>
      <c r="AD208" s="4">
        <f t="shared" si="118"/>
        <v>0.68999515738498818</v>
      </c>
      <c r="AE208" s="4">
        <v>0.1</v>
      </c>
      <c r="AF208" s="4">
        <f t="shared" si="119"/>
        <v>0.24578315846112475</v>
      </c>
      <c r="AG208" s="4">
        <f t="shared" si="96"/>
        <v>0.36532795264998685</v>
      </c>
      <c r="AH208" s="10">
        <v>1251416220</v>
      </c>
      <c r="AI208" s="32">
        <f t="shared" si="111"/>
        <v>41.713873999999997</v>
      </c>
      <c r="AJ208" s="32">
        <f t="shared" si="122"/>
        <v>42.319192481973793</v>
      </c>
      <c r="AK208" s="24">
        <f t="shared" si="112"/>
        <v>307577031.10108173</v>
      </c>
      <c r="AL208">
        <v>241.35300000000001</v>
      </c>
      <c r="AM208" s="95">
        <f t="shared" si="113"/>
        <v>0.7844515732714491</v>
      </c>
      <c r="AN208" s="1">
        <f t="shared" si="114"/>
        <v>0.31331845946349418</v>
      </c>
      <c r="AO208" s="1">
        <f t="shared" si="97"/>
        <v>0</v>
      </c>
      <c r="AP208" s="110">
        <f t="shared" si="98"/>
        <v>0</v>
      </c>
      <c r="AQ208" s="1">
        <f t="shared" si="123"/>
        <v>0.35021884190737906</v>
      </c>
      <c r="AR208" s="15">
        <f t="shared" si="88"/>
        <v>392.09180219802909</v>
      </c>
      <c r="AS208" s="7">
        <v>30</v>
      </c>
      <c r="AT208" s="1">
        <f t="shared" si="89"/>
        <v>13.069726739934303</v>
      </c>
      <c r="AU208" s="16">
        <f t="shared" si="103"/>
        <v>12950.71909359954</v>
      </c>
      <c r="AV208" s="4">
        <f t="shared" si="90"/>
        <v>12.95071909359954</v>
      </c>
      <c r="AW208" s="4">
        <f t="shared" si="115"/>
        <v>3.3864606613549451</v>
      </c>
      <c r="AY208" s="4">
        <f>(O208-P208-AG208-(SpotGasPrices!K206-(SpotGasPrices!L206+SpotGasPrices!M206)/2))*($AL$279/AL208)</f>
        <v>0.24853553351032187</v>
      </c>
      <c r="AZ208" s="1">
        <f t="shared" si="120"/>
        <v>0.22385748828187405</v>
      </c>
    </row>
    <row r="209" spans="1:52">
      <c r="B209" s="26" t="s">
        <v>33</v>
      </c>
      <c r="C209" s="28">
        <f>C208+30</f>
        <v>42705</v>
      </c>
      <c r="D209" s="2">
        <v>2016</v>
      </c>
      <c r="E209" s="2">
        <v>12</v>
      </c>
      <c r="F209" s="4">
        <v>1.6520950000000001</v>
      </c>
      <c r="G209" s="4">
        <f t="shared" si="121"/>
        <v>1.1349697417403424</v>
      </c>
      <c r="H209" s="4">
        <f t="shared" si="104"/>
        <v>0.78522189360825012</v>
      </c>
      <c r="I209" s="4">
        <f t="shared" si="121"/>
        <v>0.78475089983296309</v>
      </c>
      <c r="J209" s="4">
        <f t="shared" si="105"/>
        <v>0.64007218337179494</v>
      </c>
      <c r="K209">
        <v>53.31</v>
      </c>
      <c r="L209" s="4">
        <v>2.254</v>
      </c>
      <c r="M209" s="1">
        <v>2.1920000000000002</v>
      </c>
      <c r="N209" s="1">
        <v>2.3849999999999998</v>
      </c>
      <c r="O209" s="1">
        <v>2.681</v>
      </c>
      <c r="P209" s="4">
        <f t="shared" si="107"/>
        <v>2.2065555555555556</v>
      </c>
      <c r="Q209" s="4">
        <f t="shared" si="108"/>
        <v>3.4165560116306044</v>
      </c>
      <c r="R209" s="4">
        <f t="shared" si="109"/>
        <v>2.8119435465610745</v>
      </c>
      <c r="S209" s="4">
        <v>0.253</v>
      </c>
      <c r="T209" s="4">
        <f t="shared" si="116"/>
        <v>0.24084557438794724</v>
      </c>
      <c r="U209" s="4">
        <v>0.18400000000000008</v>
      </c>
      <c r="V209" s="4">
        <v>0.27800000000000025</v>
      </c>
      <c r="W209" s="4">
        <v>2.0000000000000007E-2</v>
      </c>
      <c r="X209" s="3">
        <v>3.249999999999998E-2</v>
      </c>
      <c r="Y209" s="4">
        <f t="shared" si="117"/>
        <v>8.4389830508474525E-2</v>
      </c>
      <c r="Z209" s="4">
        <v>0.1</v>
      </c>
      <c r="AA209" s="37">
        <v>89</v>
      </c>
      <c r="AB209" s="4">
        <v>1.9E-2</v>
      </c>
      <c r="AC209" s="4">
        <f t="shared" si="110"/>
        <v>0.3823898305084748</v>
      </c>
      <c r="AD209" s="4">
        <f t="shared" si="118"/>
        <v>0.6853898305084748</v>
      </c>
      <c r="AE209" s="4">
        <v>0.1</v>
      </c>
      <c r="AF209" s="4">
        <f t="shared" si="119"/>
        <v>0.11390018832391657</v>
      </c>
      <c r="AG209" s="4">
        <f t="shared" si="96"/>
        <v>0.36054425612052787</v>
      </c>
      <c r="AH209" s="11">
        <v>1294921318</v>
      </c>
      <c r="AI209" s="32">
        <f t="shared" si="111"/>
        <v>41.771655419354836</v>
      </c>
      <c r="AJ209" s="32">
        <f t="shared" si="122"/>
        <v>42.319192481973793</v>
      </c>
      <c r="AK209" s="24">
        <f t="shared" si="112"/>
        <v>147491781.98485425</v>
      </c>
      <c r="AL209">
        <v>241.43199999999999</v>
      </c>
      <c r="AM209" s="95">
        <f t="shared" si="113"/>
        <v>0.78470834105261789</v>
      </c>
      <c r="AN209" s="1">
        <f t="shared" si="114"/>
        <v>0.14514971023645473</v>
      </c>
      <c r="AO209" s="1">
        <f t="shared" si="97"/>
        <v>0</v>
      </c>
      <c r="AP209" s="110">
        <f t="shared" si="98"/>
        <v>0</v>
      </c>
      <c r="AQ209" s="1">
        <f t="shared" si="123"/>
        <v>0.35021884190737906</v>
      </c>
      <c r="AR209" s="15">
        <f t="shared" si="88"/>
        <v>187.95745408670803</v>
      </c>
      <c r="AS209" s="7">
        <v>31</v>
      </c>
      <c r="AT209" s="1">
        <f t="shared" si="89"/>
        <v>6.0631436802163883</v>
      </c>
      <c r="AU209" s="16">
        <f t="shared" si="103"/>
        <v>13138.676547686249</v>
      </c>
      <c r="AV209" s="4">
        <f t="shared" si="90"/>
        <v>13.138676547686249</v>
      </c>
      <c r="AW209" s="4">
        <f t="shared" si="115"/>
        <v>3.3221560108022135</v>
      </c>
      <c r="AY209" s="4">
        <f>(O209-P209-AG209-(SpotGasPrices!K207-(SpotGasPrices!L207+SpotGasPrices!M207)/2))*($AL$279/AL209)</f>
        <v>0.26402806141185536</v>
      </c>
      <c r="AZ209" s="1">
        <f t="shared" si="120"/>
        <v>0.22385748828187405</v>
      </c>
    </row>
    <row r="210" spans="1:52">
      <c r="A210" s="33" t="s">
        <v>39</v>
      </c>
      <c r="B210" s="26" t="s">
        <v>33</v>
      </c>
      <c r="C210" s="28">
        <f t="shared" si="106"/>
        <v>42736</v>
      </c>
      <c r="D210" s="2">
        <v>2017</v>
      </c>
      <c r="E210" s="2">
        <v>1</v>
      </c>
      <c r="F210" s="4">
        <v>1.3572599999999999</v>
      </c>
      <c r="G210" s="4">
        <f>AVERAGE(H210:H221)</f>
        <v>1.0916726394167364</v>
      </c>
      <c r="H210" s="4">
        <f t="shared" si="104"/>
        <v>0.84286690429266053</v>
      </c>
      <c r="I210" s="4">
        <f>AVERAGE(J210:J221)</f>
        <v>0.76545287972873488</v>
      </c>
      <c r="J210" s="4">
        <f t="shared" si="105"/>
        <v>0.70535901730432071</v>
      </c>
      <c r="K210">
        <v>54.58</v>
      </c>
      <c r="L210" s="4">
        <v>2.3490000000000002</v>
      </c>
      <c r="M210" s="1">
        <v>2.2850000000000001</v>
      </c>
      <c r="N210" s="1">
        <v>2.4820000000000002</v>
      </c>
      <c r="O210" s="1">
        <v>2.79</v>
      </c>
      <c r="P210" s="4">
        <f t="shared" si="107"/>
        <v>2.3000000000000003</v>
      </c>
      <c r="Q210" s="4">
        <f t="shared" si="108"/>
        <v>3.5348609160802016</v>
      </c>
      <c r="R210" s="4">
        <f t="shared" si="109"/>
        <v>2.9140430490983742</v>
      </c>
      <c r="S210" s="4">
        <v>0.26100000000000001</v>
      </c>
      <c r="T210" s="4">
        <f t="shared" si="116"/>
        <v>0.24935324186171642</v>
      </c>
      <c r="U210" s="4">
        <v>0.18400000000000008</v>
      </c>
      <c r="V210" s="4">
        <v>0.27800000000000025</v>
      </c>
      <c r="W210" s="4">
        <v>2.0000000000000007E-2</v>
      </c>
      <c r="X210" s="3">
        <v>3.249999999999998E-2</v>
      </c>
      <c r="Y210" s="4">
        <f t="shared" si="117"/>
        <v>8.782082324455201E-2</v>
      </c>
      <c r="Z210" s="4">
        <v>0.11</v>
      </c>
      <c r="AA210" s="37">
        <v>90</v>
      </c>
      <c r="AB210" s="4">
        <v>3.5000000000000003E-2</v>
      </c>
      <c r="AC210" s="4">
        <f t="shared" si="110"/>
        <v>0.38582082324455225</v>
      </c>
      <c r="AD210" s="4">
        <f t="shared" si="118"/>
        <v>0.71482082324455232</v>
      </c>
      <c r="AE210" s="4">
        <v>0.1</v>
      </c>
      <c r="AF210" s="4">
        <f t="shared" si="119"/>
        <v>0.10853241861716389</v>
      </c>
      <c r="AG210" s="4">
        <f t="shared" si="96"/>
        <v>0.38146758138283587</v>
      </c>
      <c r="AH210" s="10">
        <v>1228865654</v>
      </c>
      <c r="AI210" s="32">
        <f t="shared" si="111"/>
        <v>39.640827548387094</v>
      </c>
      <c r="AJ210" s="32">
        <f>AVERAGE(AI210:AI221)</f>
        <v>42.700627597702258</v>
      </c>
      <c r="AK210" s="24">
        <f t="shared" si="112"/>
        <v>133371761.58418289</v>
      </c>
      <c r="AL210">
        <v>242.839</v>
      </c>
      <c r="AM210" s="95">
        <f t="shared" si="113"/>
        <v>0.78928140773748579</v>
      </c>
      <c r="AN210" s="1">
        <f t="shared" si="114"/>
        <v>0.13750788698833974</v>
      </c>
      <c r="AO210" s="1">
        <f t="shared" si="97"/>
        <v>0</v>
      </c>
      <c r="AP210" s="110">
        <f t="shared" si="98"/>
        <v>0</v>
      </c>
      <c r="AQ210" s="1">
        <f>AVERAGE(AN210:AN221)</f>
        <v>0.32621975968800182</v>
      </c>
      <c r="AR210" s="15">
        <f t="shared" si="88"/>
        <v>168.97871947408419</v>
      </c>
      <c r="AS210" s="7">
        <v>31</v>
      </c>
      <c r="AT210" s="1">
        <f t="shared" si="89"/>
        <v>5.4509264346478767</v>
      </c>
      <c r="AU210" s="16">
        <f t="shared" si="103"/>
        <v>13307.655267160333</v>
      </c>
      <c r="AV210" s="4">
        <f t="shared" si="90"/>
        <v>13.307655267160333</v>
      </c>
      <c r="AW210" s="4">
        <f t="shared" si="115"/>
        <v>3.4371921314121701</v>
      </c>
      <c r="AY210" s="4">
        <f>(O210-P210-AG210-(SpotGasPrices!K208-(SpotGasPrices!L208+SpotGasPrices!M208)/2))*($AL$279/AL210)</f>
        <v>0.12644137530190055</v>
      </c>
      <c r="AZ210" s="1">
        <f>AVERAGE($AY210:$AY221)</f>
        <v>0.18300776762795912</v>
      </c>
    </row>
    <row r="211" spans="1:52">
      <c r="C211" s="28">
        <f>C210+31</f>
        <v>42767</v>
      </c>
      <c r="D211" s="2">
        <v>2017</v>
      </c>
      <c r="E211" s="2">
        <v>2</v>
      </c>
      <c r="F211" s="4">
        <v>1.398568</v>
      </c>
      <c r="G211" s="4">
        <f>G210</f>
        <v>1.0916726394167364</v>
      </c>
      <c r="H211" s="4">
        <f t="shared" si="104"/>
        <v>0.95004809545845481</v>
      </c>
      <c r="I211" s="4">
        <f>I210</f>
        <v>0.76545287972873488</v>
      </c>
      <c r="J211" s="4">
        <f t="shared" si="105"/>
        <v>0.61788646691635918</v>
      </c>
      <c r="K211">
        <v>54.87</v>
      </c>
      <c r="L211" s="4">
        <v>2.3039999999999998</v>
      </c>
      <c r="M211" s="1">
        <v>2.2269999999999999</v>
      </c>
      <c r="N211" s="1">
        <v>2.4670000000000001</v>
      </c>
      <c r="O211" s="1">
        <v>2.8879999999999999</v>
      </c>
      <c r="P211" s="4">
        <f t="shared" si="107"/>
        <v>2.2391111111111108</v>
      </c>
      <c r="Q211" s="4">
        <f t="shared" si="108"/>
        <v>3.6475488725508303</v>
      </c>
      <c r="R211" s="4">
        <f t="shared" si="109"/>
        <v>2.8280011110974268</v>
      </c>
      <c r="S211" s="4">
        <v>0.26100000000000001</v>
      </c>
      <c r="T211" s="4">
        <f t="shared" si="116"/>
        <v>0.24901049233252623</v>
      </c>
      <c r="U211" s="4">
        <v>0.18400000000000008</v>
      </c>
      <c r="V211" s="4">
        <v>0.27800000000000025</v>
      </c>
      <c r="W211" s="4">
        <v>2.0000000000000007E-2</v>
      </c>
      <c r="X211" s="3">
        <v>3.249999999999998E-2</v>
      </c>
      <c r="Y211" s="4">
        <f t="shared" si="117"/>
        <v>9.0905569007263862E-2</v>
      </c>
      <c r="Z211" s="4">
        <v>0.11</v>
      </c>
      <c r="AA211" s="37">
        <v>93</v>
      </c>
      <c r="AB211" s="4">
        <v>3.5999999999999997E-2</v>
      </c>
      <c r="AC211" s="4">
        <f t="shared" si="110"/>
        <v>0.38890556900726414</v>
      </c>
      <c r="AD211" s="4">
        <f t="shared" si="118"/>
        <v>0.71890556900726421</v>
      </c>
      <c r="AE211" s="4">
        <v>0.1</v>
      </c>
      <c r="AF211" s="4">
        <f t="shared" si="119"/>
        <v>0.26299381221415108</v>
      </c>
      <c r="AG211" s="4">
        <f t="shared" si="96"/>
        <v>0.38589507667473799</v>
      </c>
      <c r="AH211" s="10">
        <v>1161081695</v>
      </c>
      <c r="AI211" s="32">
        <f t="shared" si="111"/>
        <v>41.467203392857144</v>
      </c>
      <c r="AJ211" s="32">
        <f>AJ210</f>
        <v>42.700627597702258</v>
      </c>
      <c r="AK211" s="24">
        <f t="shared" si="112"/>
        <v>305357301.26011825</v>
      </c>
      <c r="AL211">
        <v>243.60300000000001</v>
      </c>
      <c r="AM211" s="95">
        <f t="shared" si="113"/>
        <v>0.79176457969714409</v>
      </c>
      <c r="AN211" s="1">
        <f t="shared" si="114"/>
        <v>0.33216162854209541</v>
      </c>
      <c r="AO211" s="1">
        <f t="shared" si="97"/>
        <v>0</v>
      </c>
      <c r="AP211" s="110">
        <f t="shared" si="98"/>
        <v>0</v>
      </c>
      <c r="AQ211" s="1">
        <f>AQ210</f>
        <v>0.32621975968800182</v>
      </c>
      <c r="AR211" s="15">
        <f t="shared" si="88"/>
        <v>385.66678668161654</v>
      </c>
      <c r="AS211" s="7">
        <v>28</v>
      </c>
      <c r="AT211" s="1">
        <f t="shared" si="89"/>
        <v>13.773813810057733</v>
      </c>
      <c r="AU211" s="16">
        <f t="shared" si="103"/>
        <v>13693.32205384195</v>
      </c>
      <c r="AV211" s="4">
        <f t="shared" si="90"/>
        <v>13.69332205384195</v>
      </c>
      <c r="AW211" s="4">
        <f t="shared" si="115"/>
        <v>3.5467665012335643</v>
      </c>
      <c r="AY211" s="4">
        <f>(O211-P211-AG211-(SpotGasPrices!K209-(SpotGasPrices!L209+SpotGasPrices!M209)/2))*($AL$279/AL211)</f>
        <v>6.3606687789409685E-2</v>
      </c>
      <c r="AZ211" s="1">
        <f t="shared" ref="AZ211:AZ221" si="124">AZ210</f>
        <v>0.18300776762795912</v>
      </c>
    </row>
    <row r="212" spans="1:52">
      <c r="C212" s="28">
        <f>C211+28</f>
        <v>42795</v>
      </c>
      <c r="D212" s="2">
        <v>2017</v>
      </c>
      <c r="E212" s="2">
        <v>3</v>
      </c>
      <c r="F212" s="4">
        <v>1.3859570000000001</v>
      </c>
      <c r="G212" s="4">
        <f t="shared" ref="G212:I221" si="125">G211</f>
        <v>1.0916726394167364</v>
      </c>
      <c r="H212" s="4">
        <f t="shared" si="104"/>
        <v>1.186733832570728</v>
      </c>
      <c r="I212" s="4">
        <f t="shared" si="125"/>
        <v>0.76545287972873488</v>
      </c>
      <c r="J212" s="4">
        <f t="shared" si="105"/>
        <v>0.73082744865481075</v>
      </c>
      <c r="K212">
        <v>51.59</v>
      </c>
      <c r="L212" s="4">
        <v>2.3250000000000002</v>
      </c>
      <c r="M212" s="1">
        <v>2.2429999999999999</v>
      </c>
      <c r="N212" s="1">
        <v>2.4980000000000002</v>
      </c>
      <c r="O212" s="1">
        <v>3.0009999999999999</v>
      </c>
      <c r="P212" s="4">
        <f t="shared" si="107"/>
        <v>2.249888888888889</v>
      </c>
      <c r="Q212" s="4">
        <f t="shared" si="108"/>
        <v>3.7871898433558515</v>
      </c>
      <c r="R212" s="4">
        <f t="shared" si="109"/>
        <v>2.8393056809993946</v>
      </c>
      <c r="S212" s="4">
        <v>0.26100000000000001</v>
      </c>
      <c r="T212" s="4">
        <f t="shared" si="116"/>
        <v>0.24861528114070483</v>
      </c>
      <c r="U212" s="4">
        <v>0.18400000000000008</v>
      </c>
      <c r="V212" s="4">
        <v>0.27800000000000025</v>
      </c>
      <c r="W212" s="4">
        <v>2.0000000000000007E-2</v>
      </c>
      <c r="X212" s="3">
        <v>3.249999999999998E-2</v>
      </c>
      <c r="Y212" s="4">
        <f t="shared" si="117"/>
        <v>9.4462469733656115E-2</v>
      </c>
      <c r="Z212" s="4">
        <v>0.11</v>
      </c>
      <c r="AA212" s="37">
        <v>93</v>
      </c>
      <c r="AB212" s="4">
        <v>3.5999999999999997E-2</v>
      </c>
      <c r="AC212" s="4">
        <f t="shared" si="110"/>
        <v>0.39246246973365639</v>
      </c>
      <c r="AD212" s="4">
        <f t="shared" si="118"/>
        <v>0.72246246973365646</v>
      </c>
      <c r="AE212" s="4">
        <v>0.1</v>
      </c>
      <c r="AF212" s="4">
        <f t="shared" si="119"/>
        <v>0.36126392251815931</v>
      </c>
      <c r="AG212" s="4">
        <f t="shared" si="96"/>
        <v>0.38984718859295153</v>
      </c>
      <c r="AH212" s="11">
        <v>1343199458</v>
      </c>
      <c r="AI212" s="32">
        <f t="shared" si="111"/>
        <v>43.329014774193546</v>
      </c>
      <c r="AJ212" s="32">
        <f t="shared" ref="AJ212:AJ221" si="126">AJ211</f>
        <v>42.700627597702258</v>
      </c>
      <c r="AK212" s="24">
        <f t="shared" si="112"/>
        <v>485249504.92134559</v>
      </c>
      <c r="AL212">
        <v>243.80099999999999</v>
      </c>
      <c r="AM212" s="95">
        <f t="shared" si="113"/>
        <v>0.79240812426260521</v>
      </c>
      <c r="AN212" s="1">
        <f t="shared" si="114"/>
        <v>0.45590638391591742</v>
      </c>
      <c r="AO212" s="1">
        <f t="shared" si="97"/>
        <v>5.5906383915917401E-2</v>
      </c>
      <c r="AP212" s="110">
        <f t="shared" si="98"/>
        <v>75093424.574600175</v>
      </c>
      <c r="AQ212" s="1">
        <f t="shared" ref="AQ212:AQ221" si="127">AQ211</f>
        <v>0.32621975968800182</v>
      </c>
      <c r="AR212" s="15">
        <f t="shared" si="88"/>
        <v>612.37320777460025</v>
      </c>
      <c r="AS212" s="7">
        <v>31</v>
      </c>
      <c r="AT212" s="1">
        <f t="shared" si="89"/>
        <v>19.753974444341942</v>
      </c>
      <c r="AU212" s="16">
        <f t="shared" si="103"/>
        <v>14305.695261616551</v>
      </c>
      <c r="AV212" s="4">
        <f t="shared" si="90"/>
        <v>14.305695261616551</v>
      </c>
      <c r="AW212" s="4">
        <f t="shared" si="115"/>
        <v>3.6825491691994698</v>
      </c>
      <c r="AY212" s="4">
        <f>(O212-P212-AG212-(SpotGasPrices!K210-(SpotGasPrices!L210+SpotGasPrices!M210)/2))*($AL$279/AL212)</f>
        <v>0.18184270809997355</v>
      </c>
      <c r="AZ212" s="1">
        <f t="shared" si="124"/>
        <v>0.18300776762795912</v>
      </c>
    </row>
    <row r="213" spans="1:52">
      <c r="C213" s="28">
        <f>C212+31</f>
        <v>42826</v>
      </c>
      <c r="D213" s="2">
        <v>2017</v>
      </c>
      <c r="E213" s="2">
        <v>4</v>
      </c>
      <c r="F213" s="4">
        <v>1.563947</v>
      </c>
      <c r="G213" s="4">
        <f t="shared" si="125"/>
        <v>1.0916726394167364</v>
      </c>
      <c r="H213" s="4">
        <f t="shared" si="104"/>
        <v>1.1737480728272063</v>
      </c>
      <c r="I213" s="4">
        <f t="shared" si="125"/>
        <v>0.76545287972873488</v>
      </c>
      <c r="J213" s="4">
        <f t="shared" si="105"/>
        <v>0.83446142066491025</v>
      </c>
      <c r="K213">
        <v>52.31</v>
      </c>
      <c r="L213" s="4">
        <v>2.4169999999999998</v>
      </c>
      <c r="M213" s="1">
        <v>2.34</v>
      </c>
      <c r="N213" s="1">
        <v>2.5790000000000002</v>
      </c>
      <c r="O213" s="1">
        <v>3.0089999999999999</v>
      </c>
      <c r="P213" s="4">
        <f t="shared" si="107"/>
        <v>2.3512222222222219</v>
      </c>
      <c r="Q213" s="4">
        <f t="shared" si="108"/>
        <v>3.7860579697698382</v>
      </c>
      <c r="R213" s="4">
        <f t="shared" si="109"/>
        <v>2.9584126397954114</v>
      </c>
      <c r="S213" s="4">
        <v>0.26100000000000001</v>
      </c>
      <c r="T213" s="4">
        <f t="shared" si="116"/>
        <v>0.24858730158730158</v>
      </c>
      <c r="U213" s="4">
        <v>0.18400000000000008</v>
      </c>
      <c r="V213" s="4">
        <v>0.27800000000000025</v>
      </c>
      <c r="W213" s="4">
        <v>2.0000000000000007E-2</v>
      </c>
      <c r="X213" s="3">
        <v>3.249999999999998E-2</v>
      </c>
      <c r="Y213" s="4">
        <f t="shared" si="117"/>
        <v>9.4714285714285654E-2</v>
      </c>
      <c r="Z213" s="4">
        <v>0.11</v>
      </c>
      <c r="AA213" s="37">
        <v>87</v>
      </c>
      <c r="AB213" s="4">
        <v>3.4000000000000002E-2</v>
      </c>
      <c r="AC213" s="4">
        <f t="shared" si="110"/>
        <v>0.3927142857142859</v>
      </c>
      <c r="AD213" s="4">
        <f t="shared" si="118"/>
        <v>0.72071428571428597</v>
      </c>
      <c r="AE213" s="4">
        <v>0.1</v>
      </c>
      <c r="AF213" s="4">
        <f t="shared" si="119"/>
        <v>0.26965079365079392</v>
      </c>
      <c r="AG213" s="4">
        <f t="shared" si="96"/>
        <v>0.3881269841269841</v>
      </c>
      <c r="AH213" s="10">
        <v>1286102023</v>
      </c>
      <c r="AI213" s="32">
        <f t="shared" si="111"/>
        <v>42.870067433333332</v>
      </c>
      <c r="AJ213" s="32">
        <f t="shared" si="126"/>
        <v>42.700627597702258</v>
      </c>
      <c r="AK213" s="24">
        <f t="shared" si="112"/>
        <v>346798431.21784163</v>
      </c>
      <c r="AL213">
        <v>244.524</v>
      </c>
      <c r="AM213" s="95">
        <f t="shared" si="113"/>
        <v>0.79475803699406189</v>
      </c>
      <c r="AN213" s="1">
        <f t="shared" si="114"/>
        <v>0.33928665216229659</v>
      </c>
      <c r="AO213" s="1">
        <f t="shared" si="97"/>
        <v>0</v>
      </c>
      <c r="AP213" s="110">
        <f t="shared" si="98"/>
        <v>0</v>
      </c>
      <c r="AQ213" s="1">
        <f t="shared" si="127"/>
        <v>0.32621975968800182</v>
      </c>
      <c r="AR213" s="15">
        <f t="shared" si="88"/>
        <v>436.35724972282696</v>
      </c>
      <c r="AS213" s="7">
        <v>30</v>
      </c>
      <c r="AT213" s="1">
        <f t="shared" si="89"/>
        <v>14.545241657427566</v>
      </c>
      <c r="AU213" s="16">
        <f t="shared" si="103"/>
        <v>14742.052511339378</v>
      </c>
      <c r="AV213" s="4">
        <f t="shared" si="90"/>
        <v>14.742052511339377</v>
      </c>
      <c r="AW213" s="4">
        <f t="shared" si="115"/>
        <v>3.6814485694655739</v>
      </c>
      <c r="AY213" s="4">
        <f>(O213-P213-AG213-(SpotGasPrices!K211-(SpotGasPrices!L211+SpotGasPrices!M211)/2))*($AL$279/AL213)</f>
        <v>0.13241743271605427</v>
      </c>
      <c r="AZ213" s="1">
        <f t="shared" si="124"/>
        <v>0.18300776762795912</v>
      </c>
    </row>
    <row r="214" spans="1:52">
      <c r="C214" s="28">
        <f>C213+30</f>
        <v>42856</v>
      </c>
      <c r="D214" s="2">
        <v>2017</v>
      </c>
      <c r="E214" s="2">
        <v>5</v>
      </c>
      <c r="F214" s="4">
        <v>1.4322349999999999</v>
      </c>
      <c r="G214" s="4">
        <f t="shared" si="125"/>
        <v>1.0916726394167364</v>
      </c>
      <c r="H214" s="4">
        <f t="shared" si="104"/>
        <v>1.2776562689259348</v>
      </c>
      <c r="I214" s="4">
        <f t="shared" si="125"/>
        <v>0.76545287972873488</v>
      </c>
      <c r="J214" s="4">
        <f t="shared" si="105"/>
        <v>0.85257145730106321</v>
      </c>
      <c r="K214">
        <v>50.33</v>
      </c>
      <c r="L214" s="4">
        <v>2.391</v>
      </c>
      <c r="M214" s="1">
        <v>2.3029999999999999</v>
      </c>
      <c r="N214" s="1">
        <v>2.577</v>
      </c>
      <c r="O214" s="1">
        <v>3.0430000000000001</v>
      </c>
      <c r="P214" s="4">
        <f t="shared" si="107"/>
        <v>2.3185555555555557</v>
      </c>
      <c r="Q214" s="4">
        <f t="shared" si="108"/>
        <v>3.8255684889246648</v>
      </c>
      <c r="R214" s="4">
        <f t="shared" si="109"/>
        <v>2.9148186241059983</v>
      </c>
      <c r="S214" s="4">
        <v>0.26100000000000001</v>
      </c>
      <c r="T214" s="4">
        <f t="shared" si="116"/>
        <v>0.24846838848533762</v>
      </c>
      <c r="U214" s="4">
        <v>0.18400000000000008</v>
      </c>
      <c r="V214" s="4">
        <v>0.27800000000000025</v>
      </c>
      <c r="W214" s="4">
        <v>2.0000000000000007E-2</v>
      </c>
      <c r="X214" s="3">
        <v>3.249999999999998E-2</v>
      </c>
      <c r="Y214" s="4">
        <f t="shared" si="117"/>
        <v>9.5784503631961213E-2</v>
      </c>
      <c r="Z214" s="4">
        <v>0.11</v>
      </c>
      <c r="AA214" s="37">
        <v>80</v>
      </c>
      <c r="AB214" s="4">
        <v>3.1E-2</v>
      </c>
      <c r="AC214" s="4">
        <f t="shared" si="110"/>
        <v>0.39378450363196149</v>
      </c>
      <c r="AD214" s="4">
        <f t="shared" si="118"/>
        <v>0.71878450363196156</v>
      </c>
      <c r="AE214" s="4">
        <v>0.1</v>
      </c>
      <c r="AF214" s="4">
        <f t="shared" si="119"/>
        <v>0.33812832929782033</v>
      </c>
      <c r="AG214" s="4">
        <f t="shared" si="96"/>
        <v>0.38631611514662412</v>
      </c>
      <c r="AH214" s="10">
        <v>1355006663</v>
      </c>
      <c r="AI214" s="32">
        <f t="shared" si="111"/>
        <v>43.709892354838708</v>
      </c>
      <c r="AJ214" s="32">
        <f t="shared" si="126"/>
        <v>42.700627597702258</v>
      </c>
      <c r="AK214" s="24">
        <f t="shared" si="112"/>
        <v>458166139.14760464</v>
      </c>
      <c r="AL214">
        <v>244.733</v>
      </c>
      <c r="AM214" s="95">
        <f t="shared" si="113"/>
        <v>0.79543733403538197</v>
      </c>
      <c r="AN214" s="1">
        <f t="shared" si="114"/>
        <v>0.42508481162487149</v>
      </c>
      <c r="AO214" s="1">
        <f t="shared" si="97"/>
        <v>2.5084811624871473E-2</v>
      </c>
      <c r="AP214" s="110">
        <f t="shared" si="98"/>
        <v>33990086.891800702</v>
      </c>
      <c r="AQ214" s="1">
        <f t="shared" si="127"/>
        <v>0.32621975968800182</v>
      </c>
      <c r="AR214" s="15">
        <f t="shared" si="88"/>
        <v>575.99275209180064</v>
      </c>
      <c r="AS214" s="7">
        <v>31</v>
      </c>
      <c r="AT214" s="1">
        <f t="shared" si="89"/>
        <v>18.580411357800021</v>
      </c>
      <c r="AU214" s="16">
        <f t="shared" si="103"/>
        <v>15318.045263431179</v>
      </c>
      <c r="AV214" s="4">
        <f t="shared" si="90"/>
        <v>15.318045263431179</v>
      </c>
      <c r="AW214" s="4">
        <f t="shared" si="115"/>
        <v>3.7198674065205757</v>
      </c>
      <c r="AY214" s="4">
        <f>(O214-P214-AG214-(SpotGasPrices!K212-(SpotGasPrices!L212+SpotGasPrices!M212)/2))*($AL$279/AL214)</f>
        <v>0.14810712764809836</v>
      </c>
      <c r="AZ214" s="1">
        <f t="shared" si="124"/>
        <v>0.18300776762795912</v>
      </c>
    </row>
    <row r="215" spans="1:52">
      <c r="A215" s="2">
        <f>A203+1</f>
        <v>2017</v>
      </c>
      <c r="B215" s="2">
        <f>D215</f>
        <v>2017</v>
      </c>
      <c r="C215" s="28">
        <f>C214+31</f>
        <v>42887</v>
      </c>
      <c r="D215" s="2">
        <v>2017</v>
      </c>
      <c r="E215" s="2">
        <v>6</v>
      </c>
      <c r="F215" s="4">
        <v>1.5075909999999999</v>
      </c>
      <c r="G215" s="4">
        <f t="shared" si="125"/>
        <v>1.0916726394167364</v>
      </c>
      <c r="H215" s="4">
        <f t="shared" si="104"/>
        <v>1.3727976391153129</v>
      </c>
      <c r="I215" s="4">
        <f t="shared" si="125"/>
        <v>0.76545287972873488</v>
      </c>
      <c r="J215" s="4">
        <f t="shared" si="105"/>
        <v>0.91246931500366613</v>
      </c>
      <c r="K215">
        <v>46.37</v>
      </c>
      <c r="L215" s="4">
        <v>2.347</v>
      </c>
      <c r="M215" s="1">
        <v>2.2570000000000001</v>
      </c>
      <c r="N215" s="1">
        <v>2.536</v>
      </c>
      <c r="O215" s="1">
        <v>3.0230000000000001</v>
      </c>
      <c r="P215" s="4">
        <f t="shared" si="107"/>
        <v>2.2718888888888884</v>
      </c>
      <c r="Q215" s="4">
        <f t="shared" si="108"/>
        <v>3.7969808046375864</v>
      </c>
      <c r="R215" s="4">
        <f t="shared" si="109"/>
        <v>2.8535621903342783</v>
      </c>
      <c r="S215" s="4">
        <v>0.26100000000000001</v>
      </c>
      <c r="T215" s="4">
        <f t="shared" si="116"/>
        <v>0.24853833736884581</v>
      </c>
      <c r="U215" s="4">
        <v>0.18400000000000008</v>
      </c>
      <c r="V215" s="4">
        <v>0.27800000000000025</v>
      </c>
      <c r="W215" s="4">
        <v>2.0000000000000007E-2</v>
      </c>
      <c r="X215" s="3">
        <v>3.249999999999998E-2</v>
      </c>
      <c r="Y215" s="4">
        <f t="shared" si="117"/>
        <v>9.5154963680387353E-2</v>
      </c>
      <c r="Z215" s="4">
        <v>0.11</v>
      </c>
      <c r="AA215" s="37">
        <v>77</v>
      </c>
      <c r="AB215" s="4">
        <v>0.03</v>
      </c>
      <c r="AC215" s="4">
        <f t="shared" si="110"/>
        <v>0.3931549636803876</v>
      </c>
      <c r="AD215" s="4">
        <f t="shared" si="118"/>
        <v>0.71715496368038767</v>
      </c>
      <c r="AE215" s="4">
        <v>0.1</v>
      </c>
      <c r="AF215" s="4">
        <f t="shared" si="119"/>
        <v>0.36649448479957014</v>
      </c>
      <c r="AG215" s="4">
        <f t="shared" si="96"/>
        <v>0.38461662631154159</v>
      </c>
      <c r="AH215" s="11">
        <v>1317369673</v>
      </c>
      <c r="AI215" s="32">
        <f t="shared" si="111"/>
        <v>43.912322433333337</v>
      </c>
      <c r="AJ215" s="32">
        <f t="shared" si="126"/>
        <v>42.700627597702258</v>
      </c>
      <c r="AK215" s="24">
        <f t="shared" si="112"/>
        <v>482808719.59671319</v>
      </c>
      <c r="AL215">
        <v>244.95500000000001</v>
      </c>
      <c r="AM215" s="95">
        <f t="shared" si="113"/>
        <v>0.79615888400271728</v>
      </c>
      <c r="AN215" s="1">
        <f t="shared" si="114"/>
        <v>0.46032832411164715</v>
      </c>
      <c r="AO215" s="1">
        <f t="shared" si="97"/>
        <v>6.0328324111647125E-2</v>
      </c>
      <c r="AP215" s="110">
        <f t="shared" si="98"/>
        <v>79474704.607598588</v>
      </c>
      <c r="AQ215" s="1">
        <f t="shared" si="127"/>
        <v>0.32621975968800182</v>
      </c>
      <c r="AR215" s="15">
        <f t="shared" si="88"/>
        <v>606.42257380759861</v>
      </c>
      <c r="AS215" s="7">
        <v>30</v>
      </c>
      <c r="AT215" s="1">
        <f t="shared" si="89"/>
        <v>20.214085793586619</v>
      </c>
      <c r="AU215" s="16">
        <f t="shared" si="103"/>
        <v>15924.467837238777</v>
      </c>
      <c r="AV215" s="4">
        <f t="shared" si="90"/>
        <v>15.924467837238778</v>
      </c>
      <c r="AW215" s="4">
        <f t="shared" si="115"/>
        <v>3.6920696046212567</v>
      </c>
      <c r="AY215" s="4">
        <f>(O215-P215-AG215-(SpotGasPrices!K213-(SpotGasPrices!L213+SpotGasPrices!M213)/2))*($AL$279/AL215)</f>
        <v>0.22628069810409854</v>
      </c>
      <c r="AZ215" s="1">
        <f t="shared" si="124"/>
        <v>0.18300776762795912</v>
      </c>
    </row>
    <row r="216" spans="1:52">
      <c r="C216" s="28">
        <f>C215+30</f>
        <v>42917</v>
      </c>
      <c r="D216" s="2">
        <v>2017</v>
      </c>
      <c r="E216" s="2">
        <v>7</v>
      </c>
      <c r="F216" s="4">
        <v>1.4712499999999999</v>
      </c>
      <c r="G216" s="4">
        <f t="shared" si="125"/>
        <v>1.0916726394167364</v>
      </c>
      <c r="H216" s="4">
        <f t="shared" si="104"/>
        <v>1.1847806536321523</v>
      </c>
      <c r="I216" s="4">
        <f t="shared" si="125"/>
        <v>0.76545287972873488</v>
      </c>
      <c r="J216" s="4">
        <f t="shared" si="105"/>
        <v>0.79633936205501921</v>
      </c>
      <c r="K216">
        <v>48.48</v>
      </c>
      <c r="L216" s="4">
        <v>2.2999999999999998</v>
      </c>
      <c r="O216" s="4">
        <v>2.95</v>
      </c>
      <c r="P216" s="4">
        <f t="shared" si="107"/>
        <v>2.2277777777777774</v>
      </c>
      <c r="Q216" s="4">
        <f t="shared" si="108"/>
        <v>3.7078486923271758</v>
      </c>
      <c r="R216" s="4">
        <f t="shared" si="109"/>
        <v>2.8000891254674145</v>
      </c>
      <c r="S216" s="4">
        <v>0.26100000000000001</v>
      </c>
      <c r="T216" s="4">
        <f t="shared" si="116"/>
        <v>0.24668253968253967</v>
      </c>
      <c r="U216" s="4">
        <v>0.18400000000000008</v>
      </c>
      <c r="V216" s="4">
        <v>0.29699999999999999</v>
      </c>
      <c r="W216" s="4">
        <v>2.0000000000000007E-2</v>
      </c>
      <c r="X216" s="3">
        <v>3.249999999999998E-2</v>
      </c>
      <c r="Y216" s="4">
        <f t="shared" si="117"/>
        <v>9.2857142857142805E-2</v>
      </c>
      <c r="Z216" s="4">
        <v>0.12</v>
      </c>
      <c r="AA216" s="37">
        <v>76</v>
      </c>
      <c r="AB216" s="4">
        <v>0.03</v>
      </c>
      <c r="AC216" s="4">
        <f t="shared" si="110"/>
        <v>0.40985714285714281</v>
      </c>
      <c r="AD216" s="4">
        <f t="shared" si="118"/>
        <v>0.74385714285714288</v>
      </c>
      <c r="AE216" s="4">
        <v>0.1</v>
      </c>
      <c r="AF216" s="4">
        <f t="shared" si="119"/>
        <v>0.30904761904761968</v>
      </c>
      <c r="AG216" s="4">
        <f t="shared" si="96"/>
        <v>0.41317460317460308</v>
      </c>
      <c r="AH216" s="20">
        <v>1335680621</v>
      </c>
      <c r="AI216" s="32">
        <f t="shared" si="111"/>
        <v>43.086471645161289</v>
      </c>
      <c r="AJ216" s="32">
        <f t="shared" si="126"/>
        <v>42.700627597702258</v>
      </c>
      <c r="AK216" s="24">
        <f t="shared" si="112"/>
        <v>412788915.72809607</v>
      </c>
      <c r="AL216">
        <v>244.786</v>
      </c>
      <c r="AM216" s="95">
        <f t="shared" si="113"/>
        <v>0.79560959596452052</v>
      </c>
      <c r="AN216" s="1">
        <f t="shared" si="114"/>
        <v>0.38844129157713347</v>
      </c>
      <c r="AO216" s="1">
        <f t="shared" si="97"/>
        <v>0</v>
      </c>
      <c r="AP216" s="110">
        <f t="shared" si="98"/>
        <v>0</v>
      </c>
      <c r="AQ216" s="1">
        <f t="shared" si="127"/>
        <v>0.32621975968800182</v>
      </c>
      <c r="AR216" s="15">
        <f t="shared" si="88"/>
        <v>518.83350555578772</v>
      </c>
      <c r="AS216" s="7">
        <v>31</v>
      </c>
      <c r="AT216" s="1">
        <f t="shared" si="89"/>
        <v>16.73656469534799</v>
      </c>
      <c r="AU216" s="16">
        <f t="shared" si="103"/>
        <v>16443.301342794566</v>
      </c>
      <c r="AV216" s="4">
        <f t="shared" si="90"/>
        <v>16.443301342794566</v>
      </c>
      <c r="AW216" s="4">
        <f t="shared" si="115"/>
        <v>3.6054002271371735</v>
      </c>
      <c r="AY216" s="4">
        <f>(O216-P216-AG216-(SpotGasPrices!K214-(SpotGasPrices!L214+SpotGasPrices!M214)/2))*($AL$279/AL216)</f>
        <v>0.21919697632879018</v>
      </c>
      <c r="AZ216" s="1">
        <f t="shared" si="124"/>
        <v>0.18300776762795912</v>
      </c>
    </row>
    <row r="217" spans="1:52">
      <c r="C217" s="28">
        <f t="shared" si="106"/>
        <v>42948</v>
      </c>
      <c r="D217" s="2">
        <v>2017</v>
      </c>
      <c r="E217" s="2">
        <v>8</v>
      </c>
      <c r="F217" s="4">
        <v>1.4901390000000001</v>
      </c>
      <c r="G217" s="4">
        <f t="shared" si="125"/>
        <v>1.0916726394167364</v>
      </c>
      <c r="H217" s="4">
        <f t="shared" si="104"/>
        <v>1.1655999741260659</v>
      </c>
      <c r="I217" s="4">
        <f t="shared" si="125"/>
        <v>0.76545287972873488</v>
      </c>
      <c r="J217" s="4">
        <f t="shared" si="105"/>
        <v>0.77470290099862893</v>
      </c>
      <c r="K217">
        <v>51.7</v>
      </c>
      <c r="L217" s="4">
        <v>2.38</v>
      </c>
      <c r="O217" s="4">
        <v>3.02</v>
      </c>
      <c r="P217" s="4">
        <f t="shared" si="107"/>
        <v>2.3088888888888888</v>
      </c>
      <c r="Q217" s="4">
        <f t="shared" si="108"/>
        <v>3.7844990408074324</v>
      </c>
      <c r="R217" s="4">
        <f t="shared" si="109"/>
        <v>2.8933734388513042</v>
      </c>
      <c r="S217" s="4">
        <v>0.27850000000000003</v>
      </c>
      <c r="T217" s="4">
        <f t="shared" si="116"/>
        <v>0.26588216303470541</v>
      </c>
      <c r="U217" s="4">
        <v>0.18400000000000008</v>
      </c>
      <c r="V217" s="4">
        <v>0.29699999999999999</v>
      </c>
      <c r="W217" s="4">
        <v>2.0000000000000007E-2</v>
      </c>
      <c r="X217" s="3">
        <v>3.249999999999998E-2</v>
      </c>
      <c r="Y217" s="4">
        <f t="shared" si="117"/>
        <v>9.5060532687651272E-2</v>
      </c>
      <c r="Z217" s="4">
        <v>0.12</v>
      </c>
      <c r="AA217" s="37">
        <v>85</v>
      </c>
      <c r="AB217" s="4">
        <v>3.3000000000000002E-2</v>
      </c>
      <c r="AC217" s="4">
        <f t="shared" si="110"/>
        <v>0.4120605326876513</v>
      </c>
      <c r="AD217" s="4">
        <f t="shared" si="118"/>
        <v>0.74906053268765138</v>
      </c>
      <c r="AE217" s="4">
        <v>0.1</v>
      </c>
      <c r="AF217" s="4">
        <f t="shared" si="119"/>
        <v>0.31193274145816519</v>
      </c>
      <c r="AG217" s="4">
        <f t="shared" si="96"/>
        <v>0.39917836965294606</v>
      </c>
      <c r="AH217" s="12">
        <v>1377920826</v>
      </c>
      <c r="AI217" s="32">
        <f t="shared" si="111"/>
        <v>44.449058903225804</v>
      </c>
      <c r="AJ217" s="32">
        <f t="shared" si="126"/>
        <v>42.700627597702258</v>
      </c>
      <c r="AK217" s="24">
        <f t="shared" si="112"/>
        <v>429818620.76647943</v>
      </c>
      <c r="AL217">
        <v>245.51900000000001</v>
      </c>
      <c r="AM217" s="95">
        <f t="shared" si="113"/>
        <v>0.79799201094675809</v>
      </c>
      <c r="AN217" s="1">
        <f t="shared" si="114"/>
        <v>0.39089707312743671</v>
      </c>
      <c r="AO217" s="1">
        <f t="shared" si="97"/>
        <v>0</v>
      </c>
      <c r="AP217" s="110">
        <f t="shared" si="98"/>
        <v>0</v>
      </c>
      <c r="AQ217" s="1">
        <f t="shared" si="127"/>
        <v>0.32621975968800182</v>
      </c>
      <c r="AR217" s="15">
        <f t="shared" si="88"/>
        <v>538.62521788473998</v>
      </c>
      <c r="AS217" s="7">
        <v>31</v>
      </c>
      <c r="AT217" s="1">
        <f t="shared" si="89"/>
        <v>17.375007028540001</v>
      </c>
      <c r="AU217" s="16">
        <f t="shared" si="103"/>
        <v>16981.926560679305</v>
      </c>
      <c r="AV217" s="4">
        <f t="shared" si="90"/>
        <v>16.981926560679305</v>
      </c>
      <c r="AW217" s="4">
        <f t="shared" si="115"/>
        <v>3.6799327139651106</v>
      </c>
      <c r="AY217" s="4">
        <f>(O217-P217-AG217-(SpotGasPrices!K215-(SpotGasPrices!L215+SpotGasPrices!M215)/2))*($AL$279/AL217)</f>
        <v>0.20383747142759087</v>
      </c>
      <c r="AZ217" s="1">
        <f t="shared" si="124"/>
        <v>0.18300776762795912</v>
      </c>
    </row>
    <row r="218" spans="1:52">
      <c r="C218" s="28">
        <f t="shared" si="106"/>
        <v>42979</v>
      </c>
      <c r="D218" s="2">
        <v>2017</v>
      </c>
      <c r="E218" s="2">
        <v>9</v>
      </c>
      <c r="F218" s="4">
        <v>1.51834</v>
      </c>
      <c r="G218" s="4">
        <f t="shared" si="125"/>
        <v>1.0916726394167364</v>
      </c>
      <c r="H218" s="4">
        <f t="shared" si="104"/>
        <v>1.1941062395616746</v>
      </c>
      <c r="I218" s="4">
        <f t="shared" si="125"/>
        <v>0.76545287972873488</v>
      </c>
      <c r="J218" s="4">
        <f t="shared" si="105"/>
        <v>0.98574943899854006</v>
      </c>
      <c r="K218">
        <v>56.15</v>
      </c>
      <c r="L218" s="4">
        <v>2.645</v>
      </c>
      <c r="O218" s="4">
        <v>3.16</v>
      </c>
      <c r="P218" s="4">
        <f t="shared" si="107"/>
        <v>2.5877777777777773</v>
      </c>
      <c r="Q218" s="4">
        <f t="shared" si="108"/>
        <v>3.9390823234840107</v>
      </c>
      <c r="R218" s="4">
        <f t="shared" si="109"/>
        <v>3.2257815511231573</v>
      </c>
      <c r="S218" s="4">
        <v>0.27850000000000003</v>
      </c>
      <c r="T218" s="4">
        <f t="shared" si="116"/>
        <v>0.26539252085014797</v>
      </c>
      <c r="U218" s="4">
        <v>0.18400000000000008</v>
      </c>
      <c r="V218" s="4">
        <v>0.29699999999999999</v>
      </c>
      <c r="W218" s="4">
        <v>2.0000000000000007E-2</v>
      </c>
      <c r="X218" s="3">
        <v>3.249999999999998E-2</v>
      </c>
      <c r="Y218" s="4">
        <f t="shared" si="117"/>
        <v>9.9467312348668221E-2</v>
      </c>
      <c r="Z218" s="4">
        <v>0.12</v>
      </c>
      <c r="AA218" s="37">
        <v>88</v>
      </c>
      <c r="AB218" s="4">
        <v>3.4000000000000002E-2</v>
      </c>
      <c r="AC218" s="4">
        <f t="shared" si="110"/>
        <v>0.41646731234866824</v>
      </c>
      <c r="AD218" s="4">
        <f t="shared" si="118"/>
        <v>0.75446731234866837</v>
      </c>
      <c r="AE218" s="4">
        <v>0.1</v>
      </c>
      <c r="AF218" s="4">
        <f t="shared" si="119"/>
        <v>0.16714743072370286</v>
      </c>
      <c r="AG218" s="4">
        <f t="shared" si="96"/>
        <v>0.40507479149851999</v>
      </c>
      <c r="AH218" s="12">
        <v>1298535079</v>
      </c>
      <c r="AI218" s="32">
        <f t="shared" si="111"/>
        <v>43.284502633333332</v>
      </c>
      <c r="AJ218" s="32">
        <f t="shared" si="126"/>
        <v>42.700627597702258</v>
      </c>
      <c r="AK218" s="24">
        <f t="shared" si="112"/>
        <v>217046802.15945053</v>
      </c>
      <c r="AL218">
        <v>246.81899999999999</v>
      </c>
      <c r="AM218" s="95">
        <f t="shared" si="113"/>
        <v>0.8022173035482707</v>
      </c>
      <c r="AN218" s="1">
        <f t="shared" si="114"/>
        <v>0.20835680056313485</v>
      </c>
      <c r="AO218" s="1">
        <f t="shared" si="97"/>
        <v>0</v>
      </c>
      <c r="AP218" s="110">
        <f t="shared" si="98"/>
        <v>0</v>
      </c>
      <c r="AQ218" s="1">
        <f t="shared" si="127"/>
        <v>0.32621975968800182</v>
      </c>
      <c r="AR218" s="15">
        <f t="shared" si="88"/>
        <v>270.55861447943761</v>
      </c>
      <c r="AS218" s="7">
        <v>30</v>
      </c>
      <c r="AT218" s="1">
        <f t="shared" si="89"/>
        <v>9.0186204826479202</v>
      </c>
      <c r="AU218" s="16">
        <f t="shared" si="103"/>
        <v>17252.485175158741</v>
      </c>
      <c r="AV218" s="4">
        <f t="shared" si="90"/>
        <v>17.252485175158743</v>
      </c>
      <c r="AW218" s="4">
        <f t="shared" si="115"/>
        <v>3.830244835284156</v>
      </c>
      <c r="AY218" s="4">
        <f>(O218-P218-AG218-(SpotGasPrices!K216-(SpotGasPrices!L216+SpotGasPrices!M216)/2))*($AL$279/AL218)</f>
        <v>0.18611931871060236</v>
      </c>
      <c r="AZ218" s="1">
        <f t="shared" si="124"/>
        <v>0.18300776762795912</v>
      </c>
    </row>
    <row r="219" spans="1:52">
      <c r="C219" s="28">
        <f>C218+30</f>
        <v>43009</v>
      </c>
      <c r="D219" s="2">
        <v>2017</v>
      </c>
      <c r="E219" s="2">
        <v>10</v>
      </c>
      <c r="F219" s="4">
        <v>1.3859090000000001</v>
      </c>
      <c r="G219" s="4">
        <f t="shared" si="125"/>
        <v>1.0916726394167364</v>
      </c>
      <c r="H219" s="4">
        <f t="shared" si="104"/>
        <v>1.0562554588573707</v>
      </c>
      <c r="I219" s="4">
        <f t="shared" si="125"/>
        <v>0.76545287972873488</v>
      </c>
      <c r="J219" s="4">
        <f t="shared" si="105"/>
        <v>0.76236867455771407</v>
      </c>
      <c r="K219">
        <v>57.51</v>
      </c>
      <c r="L219" s="4">
        <v>2.5049999999999999</v>
      </c>
      <c r="O219" s="4">
        <v>3.08</v>
      </c>
      <c r="P219" s="4">
        <f t="shared" si="107"/>
        <v>2.4411111111111112</v>
      </c>
      <c r="Q219" s="4">
        <f t="shared" si="108"/>
        <v>3.8417868914267643</v>
      </c>
      <c r="R219" s="4">
        <f t="shared" si="109"/>
        <v>3.0448794373970425</v>
      </c>
      <c r="S219" s="4">
        <v>0.27850000000000003</v>
      </c>
      <c r="T219" s="4">
        <f t="shared" si="116"/>
        <v>0.26567231638418082</v>
      </c>
      <c r="U219" s="4">
        <v>0.18400000000000008</v>
      </c>
      <c r="V219" s="4">
        <v>0.29699999999999999</v>
      </c>
      <c r="W219" s="4">
        <v>2.0000000000000007E-2</v>
      </c>
      <c r="X219" s="3">
        <v>3.249999999999998E-2</v>
      </c>
      <c r="Y219" s="4">
        <f t="shared" si="117"/>
        <v>9.6949152542372824E-2</v>
      </c>
      <c r="Z219" s="4">
        <v>0.12</v>
      </c>
      <c r="AA219" s="37">
        <v>91</v>
      </c>
      <c r="AB219" s="4">
        <v>3.5000000000000003E-2</v>
      </c>
      <c r="AC219" s="4">
        <f t="shared" ref="AC219:AC286" si="128">V219+W219+(X219/(1+X219))*O219</f>
        <v>0.41394915254237286</v>
      </c>
      <c r="AD219" s="4">
        <f t="shared" si="118"/>
        <v>0.75294915254237293</v>
      </c>
      <c r="AE219" s="4">
        <v>0.1</v>
      </c>
      <c r="AF219" s="4">
        <f t="shared" si="119"/>
        <v>0.23561205273069641</v>
      </c>
      <c r="AG219" s="4">
        <f t="shared" si="96"/>
        <v>0.40327683615819243</v>
      </c>
      <c r="AH219" s="20">
        <v>1339509988</v>
      </c>
      <c r="AI219" s="32">
        <f t="shared" si="111"/>
        <v>43.209999612903225</v>
      </c>
      <c r="AJ219" s="32">
        <f t="shared" si="126"/>
        <v>42.700627597702258</v>
      </c>
      <c r="AK219" s="24">
        <f t="shared" si="112"/>
        <v>315604697.92595053</v>
      </c>
      <c r="AL219" s="2">
        <v>246.66300000000001</v>
      </c>
      <c r="AM219" s="95">
        <f t="shared" si="113"/>
        <v>0.80171026843608928</v>
      </c>
      <c r="AN219" s="1">
        <f t="shared" si="114"/>
        <v>0.29388678429965615</v>
      </c>
      <c r="AO219" s="1">
        <f t="shared" si="97"/>
        <v>0</v>
      </c>
      <c r="AP219" s="110">
        <f t="shared" si="98"/>
        <v>0</v>
      </c>
      <c r="AQ219" s="1">
        <f t="shared" si="127"/>
        <v>0.32621975968800182</v>
      </c>
      <c r="AR219" s="15">
        <f t="shared" si="88"/>
        <v>393.664282910591</v>
      </c>
      <c r="AS219" s="7">
        <v>31</v>
      </c>
      <c r="AT219" s="1">
        <f t="shared" si="89"/>
        <v>12.698847835825516</v>
      </c>
      <c r="AU219" s="16">
        <f t="shared" si="103"/>
        <v>17646.149458069332</v>
      </c>
      <c r="AV219" s="4">
        <f t="shared" si="90"/>
        <v>17.646149458069331</v>
      </c>
      <c r="AW219" s="4">
        <f t="shared" si="115"/>
        <v>3.7356376919116365</v>
      </c>
      <c r="AY219" s="4">
        <f>(O219-P219-AG219-(SpotGasPrices!K217-(SpotGasPrices!L217+SpotGasPrices!M217)/2))*($AL$279/AL219)</f>
        <v>0.19102698442158056</v>
      </c>
      <c r="AZ219" s="1">
        <f t="shared" si="124"/>
        <v>0.18300776762795912</v>
      </c>
    </row>
    <row r="220" spans="1:52">
      <c r="C220" s="28">
        <f t="shared" si="106"/>
        <v>43040</v>
      </c>
      <c r="D220" s="2">
        <v>2017</v>
      </c>
      <c r="E220" s="2">
        <v>11</v>
      </c>
      <c r="F220" s="4">
        <v>1.325677</v>
      </c>
      <c r="G220" s="4">
        <f t="shared" si="125"/>
        <v>1.0916726394167364</v>
      </c>
      <c r="H220" s="4">
        <f t="shared" si="104"/>
        <v>0.93609550389120733</v>
      </c>
      <c r="I220" s="4">
        <f t="shared" si="125"/>
        <v>0.76545287972873488</v>
      </c>
      <c r="J220" s="4">
        <f t="shared" si="105"/>
        <v>0.68427989818419643</v>
      </c>
      <c r="K220">
        <v>62.71</v>
      </c>
      <c r="L220" s="4">
        <v>2.5640000000000001</v>
      </c>
      <c r="O220" s="4">
        <v>3.2349999999999999</v>
      </c>
      <c r="P220" s="4">
        <f t="shared" si="107"/>
        <v>2.4894444444444441</v>
      </c>
      <c r="Q220" s="4">
        <f t="shared" si="108"/>
        <v>4.0350254186784715</v>
      </c>
      <c r="R220" s="4">
        <f t="shared" si="109"/>
        <v>3.1050916883218664</v>
      </c>
      <c r="S220" s="4">
        <v>0.27850000000000003</v>
      </c>
      <c r="T220" s="4">
        <f t="shared" si="116"/>
        <v>0.2517968792036589</v>
      </c>
      <c r="U220" s="4">
        <v>0.18400000000000008</v>
      </c>
      <c r="V220" s="4">
        <v>0.41699999999999998</v>
      </c>
      <c r="W220" s="4">
        <v>2.0000000000000007E-2</v>
      </c>
      <c r="X220" s="3">
        <v>3.249999999999998E-2</v>
      </c>
      <c r="Y220" s="4">
        <f t="shared" si="117"/>
        <v>0.10182808716707016</v>
      </c>
      <c r="Z220" s="4">
        <f>15.14*0.007902</f>
        <v>0.11963628</v>
      </c>
      <c r="AA220" s="37">
        <v>94</v>
      </c>
      <c r="AB220" s="4">
        <v>3.6999999999999998E-2</v>
      </c>
      <c r="AC220" s="4">
        <f t="shared" si="128"/>
        <v>0.5388280871670702</v>
      </c>
      <c r="AD220" s="4">
        <f t="shared" si="118"/>
        <v>0.87946436716707033</v>
      </c>
      <c r="AE220" s="4">
        <v>0.1</v>
      </c>
      <c r="AF220" s="4">
        <f t="shared" si="119"/>
        <v>0.20188806759214462</v>
      </c>
      <c r="AG220" s="4">
        <f t="shared" si="96"/>
        <v>0.54366748796341113</v>
      </c>
      <c r="AH220" s="7">
        <v>1245965360</v>
      </c>
      <c r="AI220" s="32">
        <f t="shared" si="111"/>
        <v>41.532178666666667</v>
      </c>
      <c r="AJ220" s="32">
        <f t="shared" si="126"/>
        <v>42.700627597702258</v>
      </c>
      <c r="AK220" s="24">
        <f t="shared" si="112"/>
        <v>251545538.8171508</v>
      </c>
      <c r="AL220" s="2">
        <v>246.66900000000001</v>
      </c>
      <c r="AM220" s="95">
        <f t="shared" si="113"/>
        <v>0.80172976978655774</v>
      </c>
      <c r="AN220" s="1">
        <f t="shared" si="114"/>
        <v>0.25181560570701111</v>
      </c>
      <c r="AO220" s="1">
        <f t="shared" si="97"/>
        <v>0</v>
      </c>
      <c r="AP220" s="110">
        <f t="shared" si="98"/>
        <v>0</v>
      </c>
      <c r="AQ220" s="1">
        <f t="shared" si="127"/>
        <v>0.32621975968800182</v>
      </c>
      <c r="AR220" s="15">
        <f t="shared" si="88"/>
        <v>313.7535218183541</v>
      </c>
      <c r="AS220" s="7">
        <v>30</v>
      </c>
      <c r="AT220" s="1">
        <f t="shared" si="89"/>
        <v>10.458450727278469</v>
      </c>
      <c r="AU220" s="16">
        <f t="shared" si="103"/>
        <v>17959.902979887687</v>
      </c>
      <c r="AV220" s="4">
        <f t="shared" si="90"/>
        <v>17.959902979887687</v>
      </c>
      <c r="AW220" s="4">
        <f t="shared" si="115"/>
        <v>3.923537007082365</v>
      </c>
      <c r="AY220" s="4">
        <f>(O220-P220-AG220-(SpotGasPrices!K218-(SpotGasPrices!L218+SpotGasPrices!M218)/2))*($AL$279/AL220)</f>
        <v>0.19256394925698059</v>
      </c>
      <c r="AZ220" s="1">
        <f t="shared" si="124"/>
        <v>0.18300776762795912</v>
      </c>
    </row>
    <row r="221" spans="1:52">
      <c r="B221" s="26" t="s">
        <v>33</v>
      </c>
      <c r="C221" s="28">
        <f>C220+30</f>
        <v>43070</v>
      </c>
      <c r="D221" s="2">
        <v>2017</v>
      </c>
      <c r="E221" s="2">
        <v>12</v>
      </c>
      <c r="F221" s="4">
        <v>1.214162</v>
      </c>
      <c r="G221" s="4">
        <f t="shared" si="125"/>
        <v>1.0916726394167364</v>
      </c>
      <c r="H221" s="4">
        <f t="shared" si="104"/>
        <v>0.75938302974206906</v>
      </c>
      <c r="I221" s="4">
        <f t="shared" si="125"/>
        <v>0.76545287972873488</v>
      </c>
      <c r="J221" s="4">
        <f t="shared" si="105"/>
        <v>0.52841915610558776</v>
      </c>
      <c r="K221">
        <v>64.37</v>
      </c>
      <c r="L221" s="4">
        <v>2.4769999999999999</v>
      </c>
      <c r="O221" s="4">
        <v>3.13</v>
      </c>
      <c r="P221" s="4">
        <f t="shared" si="107"/>
        <v>2.4044444444444442</v>
      </c>
      <c r="Q221" s="4">
        <f t="shared" si="108"/>
        <v>3.9063548782268662</v>
      </c>
      <c r="R221" s="4">
        <f t="shared" si="109"/>
        <v>3.0008349153294063</v>
      </c>
      <c r="S221" s="4">
        <v>0.27850000000000003</v>
      </c>
      <c r="T221" s="4">
        <f t="shared" si="116"/>
        <v>0.25216411084207696</v>
      </c>
      <c r="U221" s="4">
        <v>0.18400000000000008</v>
      </c>
      <c r="V221" s="4">
        <v>0.41699999999999998</v>
      </c>
      <c r="W221" s="4">
        <v>2.0000000000000007E-2</v>
      </c>
      <c r="X221" s="3">
        <v>3.249999999999998E-2</v>
      </c>
      <c r="Y221" s="4">
        <f t="shared" si="117"/>
        <v>9.8523002421307446E-2</v>
      </c>
      <c r="Z221" s="4">
        <f>14.95*0.007902</f>
        <v>0.11813489999999999</v>
      </c>
      <c r="AA221" s="37">
        <v>101</v>
      </c>
      <c r="AB221" s="4">
        <v>3.9E-2</v>
      </c>
      <c r="AC221" s="4">
        <f t="shared" si="128"/>
        <v>0.53552300242130746</v>
      </c>
      <c r="AD221" s="4">
        <f t="shared" si="118"/>
        <v>0.87665790242130759</v>
      </c>
      <c r="AE221" s="4">
        <v>0.1</v>
      </c>
      <c r="AF221" s="4">
        <f t="shared" si="119"/>
        <v>0.18506176397632501</v>
      </c>
      <c r="AG221" s="4">
        <f t="shared" si="96"/>
        <v>0.54049379157923072</v>
      </c>
      <c r="AH221" s="7">
        <v>1299395745</v>
      </c>
      <c r="AI221" s="32">
        <f t="shared" si="111"/>
        <v>41.91599177419355</v>
      </c>
      <c r="AJ221" s="32">
        <f t="shared" si="126"/>
        <v>42.700627597702258</v>
      </c>
      <c r="AK221" s="24">
        <f t="shared" si="112"/>
        <v>240468468.673031</v>
      </c>
      <c r="AL221" s="2">
        <v>246.524</v>
      </c>
      <c r="AM221" s="95">
        <f t="shared" si="113"/>
        <v>0.80125848715023518</v>
      </c>
      <c r="AN221" s="1">
        <f t="shared" si="114"/>
        <v>0.23096387363648119</v>
      </c>
      <c r="AO221" s="1">
        <f t="shared" si="97"/>
        <v>0</v>
      </c>
      <c r="AP221" s="110">
        <f t="shared" si="98"/>
        <v>0</v>
      </c>
      <c r="AQ221" s="1">
        <f t="shared" si="127"/>
        <v>0.32621975968800182</v>
      </c>
      <c r="AR221" s="15">
        <f t="shared" si="88"/>
        <v>300.11347465196133</v>
      </c>
      <c r="AS221" s="7">
        <v>31</v>
      </c>
      <c r="AT221" s="1">
        <f t="shared" si="89"/>
        <v>9.6810798274826233</v>
      </c>
      <c r="AU221" s="16">
        <f t="shared" si="103"/>
        <v>18260.016454539647</v>
      </c>
      <c r="AV221" s="4">
        <f t="shared" si="90"/>
        <v>18.260016454539649</v>
      </c>
      <c r="AW221" s="4">
        <f t="shared" si="115"/>
        <v>3.7984216546867646</v>
      </c>
      <c r="AY221" s="4">
        <f>(O221-P221-AG221-(SpotGasPrices!K219-(SpotGasPrices!L219+SpotGasPrices!M219)/2))*($AL$279/AL221)</f>
        <v>0.32465248173043004</v>
      </c>
      <c r="AZ221" s="1">
        <f t="shared" si="124"/>
        <v>0.18300776762795912</v>
      </c>
    </row>
    <row r="222" spans="1:52">
      <c r="A222" s="33" t="s">
        <v>39</v>
      </c>
      <c r="B222" s="26" t="s">
        <v>33</v>
      </c>
      <c r="C222" s="28">
        <v>43118</v>
      </c>
      <c r="D222" s="2">
        <v>2018</v>
      </c>
      <c r="E222" s="2">
        <v>1</v>
      </c>
      <c r="F222" s="4">
        <v>1.2751710000000001</v>
      </c>
      <c r="G222" s="4">
        <f>AVERAGE(H222:H233)</f>
        <v>0.898828639251394</v>
      </c>
      <c r="H222" s="4">
        <f t="shared" ref="H222:H253" si="129">(O222-0.024*K222-AD222-AE222)/AM222</f>
        <v>0.68343412378675328</v>
      </c>
      <c r="I222" s="4">
        <f>AVERAGE(J222:J233)</f>
        <v>0.60187433121268619</v>
      </c>
      <c r="J222" s="4">
        <f t="shared" ref="J222:J253" si="130">(P222-K222*0.024-T222-U222)/AM222</f>
        <v>0.47578897219688526</v>
      </c>
      <c r="K222">
        <v>69.08</v>
      </c>
      <c r="L222" s="4">
        <v>2.5550000000000002</v>
      </c>
      <c r="O222" s="4">
        <v>3.21</v>
      </c>
      <c r="P222" s="4">
        <f t="shared" si="107"/>
        <v>2.4822222222222221</v>
      </c>
      <c r="Q222" s="4">
        <f t="shared" si="108"/>
        <v>3.9844913199417427</v>
      </c>
      <c r="R222" s="4">
        <f t="shared" si="109"/>
        <v>3.0811192830563701</v>
      </c>
      <c r="S222" s="4">
        <v>0.28310000000000002</v>
      </c>
      <c r="T222" s="4">
        <f t="shared" si="116"/>
        <v>0.25699542641915524</v>
      </c>
      <c r="U222" s="4">
        <v>0.18400000000000008</v>
      </c>
      <c r="V222" s="4">
        <v>0.41699999999999998</v>
      </c>
      <c r="W222" s="4">
        <v>2.0000000000000007E-2</v>
      </c>
      <c r="X222" s="3">
        <v>3.249999999999998E-2</v>
      </c>
      <c r="Y222" s="4">
        <f t="shared" si="117"/>
        <v>0.10104116222760284</v>
      </c>
      <c r="Z222" s="4">
        <f>14.61*0.007902</f>
        <v>0.11544821999999999</v>
      </c>
      <c r="AA222" s="37">
        <v>115</v>
      </c>
      <c r="AB222" s="4">
        <v>6.4000000000000001E-2</v>
      </c>
      <c r="AC222" s="4">
        <f t="shared" si="128"/>
        <v>0.5380411622276029</v>
      </c>
      <c r="AD222" s="4">
        <f t="shared" si="118"/>
        <v>0.90148938222760289</v>
      </c>
      <c r="AE222" s="4">
        <v>0.1</v>
      </c>
      <c r="AF222" s="4">
        <f t="shared" si="119"/>
        <v>0.16728382196933023</v>
      </c>
      <c r="AG222" s="4">
        <f>(O222-P222-AF222)</f>
        <v>0.56049395580844763</v>
      </c>
      <c r="AH222" s="7">
        <v>1237429754</v>
      </c>
      <c r="AI222" s="32">
        <f t="shared" si="111"/>
        <v>39.917088838709681</v>
      </c>
      <c r="AJ222" s="32">
        <f>AVERAGE(AI222:AI233)</f>
        <v>42.524910738178441</v>
      </c>
      <c r="AK222" s="24">
        <f t="shared" si="112"/>
        <v>207001978.6676881</v>
      </c>
      <c r="AL222" s="34">
        <v>247.86699999999999</v>
      </c>
      <c r="AM222" s="95">
        <f t="shared" si="113"/>
        <v>0.80562353943010556</v>
      </c>
      <c r="AN222" s="1">
        <f t="shared" si="114"/>
        <v>0.20764515158986796</v>
      </c>
      <c r="AO222" s="1">
        <f t="shared" si="97"/>
        <v>0</v>
      </c>
      <c r="AP222" s="110">
        <f t="shared" si="98"/>
        <v>0</v>
      </c>
      <c r="AQ222" s="1">
        <f>AVERAGE(AN$222:AN$233)</f>
        <v>0.29695430803870787</v>
      </c>
      <c r="AR222" s="15">
        <f t="shared" si="88"/>
        <v>256.94628885114298</v>
      </c>
      <c r="AS222" s="7">
        <v>31</v>
      </c>
      <c r="AT222" s="1">
        <f t="shared" si="89"/>
        <v>8.2885899629400956</v>
      </c>
      <c r="AU222" s="16">
        <f t="shared" si="103"/>
        <v>18516.962743390792</v>
      </c>
      <c r="AV222" s="4">
        <f t="shared" si="90"/>
        <v>18.516962743390792</v>
      </c>
      <c r="AW222" s="4">
        <f t="shared" si="115"/>
        <v>3.8743991737504389</v>
      </c>
      <c r="AY222" s="4">
        <f>(O222-P222-AG222-(SpotGasPrices!K220-(SpotGasPrices!L220+SpotGasPrices!M220)/2))*($AL$279/AL222)</f>
        <v>0.12177415449706532</v>
      </c>
      <c r="AZ222" s="1">
        <f>AVERAGE($AY222:$AY233)</f>
        <v>0.11012776862711086</v>
      </c>
    </row>
    <row r="223" spans="1:52">
      <c r="C223" s="28">
        <v>43149</v>
      </c>
      <c r="D223" s="2">
        <v>2018</v>
      </c>
      <c r="E223" s="2">
        <v>2</v>
      </c>
      <c r="F223" s="4">
        <v>1.383453</v>
      </c>
      <c r="G223" s="4">
        <f>G222</f>
        <v>0.898828639251394</v>
      </c>
      <c r="H223" s="4">
        <f t="shared" si="129"/>
        <v>0.95411180991147526</v>
      </c>
      <c r="I223" s="4">
        <f>I222</f>
        <v>0.60187433121268619</v>
      </c>
      <c r="J223" s="4">
        <f t="shared" si="130"/>
        <v>0.6092698068259994</v>
      </c>
      <c r="K223">
        <v>65.319999999999993</v>
      </c>
      <c r="L223" s="4">
        <v>2.5870000000000002</v>
      </c>
      <c r="O223" s="4">
        <v>3.359</v>
      </c>
      <c r="P223" s="4">
        <f t="shared" si="107"/>
        <v>2.5012222222222222</v>
      </c>
      <c r="Q223" s="4">
        <f t="shared" si="108"/>
        <v>4.1506194561249199</v>
      </c>
      <c r="R223" s="4">
        <f t="shared" si="109"/>
        <v>3.0906881868554819</v>
      </c>
      <c r="S223" s="4">
        <v>0.28310000000000002</v>
      </c>
      <c r="T223" s="4">
        <f t="shared" si="116"/>
        <v>0.25647430723701914</v>
      </c>
      <c r="U223" s="4">
        <v>0.18400000000000008</v>
      </c>
      <c r="V223" s="4">
        <v>0.41699999999999998</v>
      </c>
      <c r="W223" s="4">
        <v>2.0000000000000007E-2</v>
      </c>
      <c r="X223" s="3">
        <v>3.249999999999998E-2</v>
      </c>
      <c r="Y223" s="4">
        <f t="shared" si="117"/>
        <v>0.10573123486682802</v>
      </c>
      <c r="Z223" s="4">
        <f t="shared" ref="Z223:Z224" si="131">14.61*0.007902</f>
        <v>0.11544821999999999</v>
      </c>
      <c r="AA223" s="37">
        <v>137</v>
      </c>
      <c r="AB223" s="4">
        <v>7.6999999999999999E-2</v>
      </c>
      <c r="AC223" s="4">
        <f t="shared" si="128"/>
        <v>0.54273123486682806</v>
      </c>
      <c r="AD223" s="4">
        <f t="shared" si="118"/>
        <v>0.91917945486682806</v>
      </c>
      <c r="AE223" s="4">
        <v>0.1</v>
      </c>
      <c r="AF223" s="4">
        <f t="shared" si="119"/>
        <v>0.27907263014796868</v>
      </c>
      <c r="AG223" s="4">
        <f t="shared" ref="AG223:AG229" si="132">(O223-P223-AF223)</f>
        <v>0.57870514762980907</v>
      </c>
      <c r="AH223" s="7">
        <v>1184216689</v>
      </c>
      <c r="AI223" s="32">
        <f t="shared" si="111"/>
        <v>42.293453178571426</v>
      </c>
      <c r="AJ223" s="32">
        <f>AJ222</f>
        <v>42.524910738178441</v>
      </c>
      <c r="AK223" s="24">
        <f t="shared" si="112"/>
        <v>330482466.06434906</v>
      </c>
      <c r="AL223" s="34">
        <v>248.99100000000001</v>
      </c>
      <c r="AM223" s="95">
        <f t="shared" si="113"/>
        <v>0.80927679241787498</v>
      </c>
      <c r="AN223" s="1">
        <f t="shared" si="114"/>
        <v>0.34484200308547563</v>
      </c>
      <c r="AO223" s="1">
        <f t="shared" si="97"/>
        <v>0</v>
      </c>
      <c r="AP223" s="110">
        <f t="shared" si="98"/>
        <v>0</v>
      </c>
      <c r="AQ223" s="1">
        <f t="shared" ref="AQ223:AQ233" si="133">AVERAGE(AN$222:AN$233)</f>
        <v>0.29695430803870787</v>
      </c>
      <c r="AR223" s="15">
        <f t="shared" si="88"/>
        <v>408.36765512200975</v>
      </c>
      <c r="AS223" s="7">
        <v>28</v>
      </c>
      <c r="AT223" s="1">
        <f t="shared" si="89"/>
        <v>14.584559111500349</v>
      </c>
      <c r="AU223" s="16">
        <f t="shared" si="103"/>
        <v>18925.3303985128</v>
      </c>
      <c r="AV223" s="4">
        <f t="shared" si="90"/>
        <v>18.925330398512802</v>
      </c>
      <c r="AW223" s="4">
        <f t="shared" si="115"/>
        <v>4.0359371623873956</v>
      </c>
      <c r="AY223" s="4">
        <f>(O223-P223-AG223-(SpotGasPrices!K221-(SpotGasPrices!L221+SpotGasPrices!M221)/2))*($AL$279/AL223)</f>
        <v>0.23108449966326661</v>
      </c>
      <c r="AZ223" s="1">
        <f t="shared" ref="AZ223:AZ233" si="134">AZ222</f>
        <v>0.11012776862711086</v>
      </c>
    </row>
    <row r="224" spans="1:52">
      <c r="C224" s="28">
        <v>43177</v>
      </c>
      <c r="D224" s="2">
        <v>2018</v>
      </c>
      <c r="E224" s="2">
        <v>3</v>
      </c>
      <c r="F224" s="4">
        <v>1.4113020000000001</v>
      </c>
      <c r="G224" s="4">
        <f t="shared" ref="G224:I233" si="135">G223</f>
        <v>0.898828639251394</v>
      </c>
      <c r="H224" s="4">
        <f t="shared" si="129"/>
        <v>1.0115992267044012</v>
      </c>
      <c r="I224" s="4">
        <f t="shared" si="135"/>
        <v>0.60187433121268619</v>
      </c>
      <c r="J224" s="4">
        <f t="shared" si="130"/>
        <v>0.58496716252166781</v>
      </c>
      <c r="K224">
        <v>66.02</v>
      </c>
      <c r="L224" s="4">
        <v>2.5910000000000002</v>
      </c>
      <c r="O224" s="4">
        <v>3.4169999999999998</v>
      </c>
      <c r="P224" s="4">
        <f t="shared" si="107"/>
        <v>2.4992222222222225</v>
      </c>
      <c r="Q224" s="4">
        <f t="shared" si="108"/>
        <v>4.2127627968295434</v>
      </c>
      <c r="R224" s="4">
        <f t="shared" si="109"/>
        <v>3.0812497508889192</v>
      </c>
      <c r="S224" s="4">
        <v>0.28310000000000002</v>
      </c>
      <c r="T224" s="4">
        <f t="shared" si="116"/>
        <v>0.25627145547484531</v>
      </c>
      <c r="U224" s="4">
        <v>0.18400000000000008</v>
      </c>
      <c r="V224" s="4">
        <v>0.41699999999999998</v>
      </c>
      <c r="W224" s="4">
        <v>2.0000000000000007E-2</v>
      </c>
      <c r="X224" s="3">
        <v>3.249999999999998E-2</v>
      </c>
      <c r="Y224" s="4">
        <f t="shared" si="117"/>
        <v>0.10755690072639218</v>
      </c>
      <c r="Z224" s="4">
        <f t="shared" si="131"/>
        <v>0.11544821999999999</v>
      </c>
      <c r="AA224" s="37">
        <v>122</v>
      </c>
      <c r="AB224" s="4">
        <v>6.8000000000000005E-2</v>
      </c>
      <c r="AC224" s="4">
        <f t="shared" si="128"/>
        <v>0.54455690072639218</v>
      </c>
      <c r="AD224" s="4">
        <f t="shared" si="118"/>
        <v>0.91200512072639239</v>
      </c>
      <c r="AE224" s="4">
        <v>0.1</v>
      </c>
      <c r="AF224" s="4">
        <f t="shared" si="119"/>
        <v>0.34604411252623013</v>
      </c>
      <c r="AG224" s="4">
        <f t="shared" si="132"/>
        <v>0.57173366525154723</v>
      </c>
      <c r="AH224" s="7">
        <v>1306951656</v>
      </c>
      <c r="AI224" s="32">
        <f t="shared" si="111"/>
        <v>42.159730838709677</v>
      </c>
      <c r="AJ224" s="32">
        <f t="shared" ref="AJ224:AJ233" si="136">AJ223</f>
        <v>42.524910738178441</v>
      </c>
      <c r="AK224" s="24">
        <f t="shared" si="112"/>
        <v>452262925.91520679</v>
      </c>
      <c r="AL224" s="34">
        <v>249.554</v>
      </c>
      <c r="AM224" s="95">
        <f t="shared" si="113"/>
        <v>0.81110666913683771</v>
      </c>
      <c r="AN224" s="1">
        <f t="shared" si="114"/>
        <v>0.42663206418273303</v>
      </c>
      <c r="AO224" s="1">
        <f t="shared" si="97"/>
        <v>2.6632064182733006E-2</v>
      </c>
      <c r="AP224" s="110">
        <f t="shared" si="98"/>
        <v>34806820.386321187</v>
      </c>
      <c r="AQ224" s="1">
        <f t="shared" si="133"/>
        <v>0.29695430803870787</v>
      </c>
      <c r="AR224" s="15">
        <f t="shared" si="88"/>
        <v>557.58748278632117</v>
      </c>
      <c r="AS224" s="7">
        <v>31</v>
      </c>
      <c r="AT224" s="1">
        <f t="shared" si="89"/>
        <v>17.986692993107134</v>
      </c>
      <c r="AU224" s="16">
        <f t="shared" si="103"/>
        <v>19482.917881299123</v>
      </c>
      <c r="AV224" s="4">
        <f t="shared" si="90"/>
        <v>19.482917881299123</v>
      </c>
      <c r="AW224" s="4">
        <f t="shared" si="115"/>
        <v>4.0963634724348239</v>
      </c>
      <c r="AY224" s="4">
        <f>(O224-P224-AG224-(SpotGasPrices!K222-(SpotGasPrices!L222+SpotGasPrices!M222)/2))*($AL$279/AL224)</f>
        <v>0.1111112707556956</v>
      </c>
      <c r="AZ224" s="1">
        <f t="shared" si="134"/>
        <v>0.11012776862711086</v>
      </c>
    </row>
    <row r="225" spans="1:52">
      <c r="C225" s="28">
        <v>43208</v>
      </c>
      <c r="D225" s="2">
        <v>2018</v>
      </c>
      <c r="E225" s="2">
        <v>4</v>
      </c>
      <c r="F225" s="4">
        <v>1.390074</v>
      </c>
      <c r="G225" s="4">
        <f t="shared" si="135"/>
        <v>0.898828639251394</v>
      </c>
      <c r="H225" s="4">
        <f t="shared" si="129"/>
        <v>0.99050711464921959</v>
      </c>
      <c r="I225" s="4">
        <f t="shared" si="135"/>
        <v>0.60187433121268619</v>
      </c>
      <c r="J225" s="4">
        <f t="shared" si="130"/>
        <v>0.61103132496751411</v>
      </c>
      <c r="K225">
        <v>72.11</v>
      </c>
      <c r="L225" s="4">
        <v>2.7570000000000001</v>
      </c>
      <c r="O225" s="4">
        <v>3.5579999999999998</v>
      </c>
      <c r="P225" s="4">
        <f t="shared" si="107"/>
        <v>2.6680000000000001</v>
      </c>
      <c r="Q225" s="4">
        <f t="shared" si="108"/>
        <v>4.3692312709043444</v>
      </c>
      <c r="R225" s="4">
        <f t="shared" si="109"/>
        <v>3.2763094521564904</v>
      </c>
      <c r="S225" s="4">
        <v>0.28310000000000002</v>
      </c>
      <c r="T225" s="4">
        <f t="shared" si="116"/>
        <v>0.25577831584611249</v>
      </c>
      <c r="U225" s="4">
        <v>0.18400000000000008</v>
      </c>
      <c r="V225" s="4">
        <v>0.41699999999999998</v>
      </c>
      <c r="W225" s="4">
        <v>2.0000000000000007E-2</v>
      </c>
      <c r="X225" s="3">
        <v>3.249999999999998E-2</v>
      </c>
      <c r="Y225" s="4">
        <f t="shared" si="117"/>
        <v>0.11199515738498782</v>
      </c>
      <c r="Z225" s="4">
        <f>14.65*0.007902</f>
        <v>0.11576429999999999</v>
      </c>
      <c r="AA225" s="37">
        <v>129</v>
      </c>
      <c r="AB225" s="4">
        <v>7.1999999999999995E-2</v>
      </c>
      <c r="AC225" s="4">
        <f t="shared" si="128"/>
        <v>0.54899515738498783</v>
      </c>
      <c r="AD225" s="4">
        <f t="shared" si="118"/>
        <v>0.92075945738498788</v>
      </c>
      <c r="AE225" s="4">
        <v>0.1</v>
      </c>
      <c r="AF225" s="4">
        <f t="shared" si="119"/>
        <v>0.30901885846112442</v>
      </c>
      <c r="AG225" s="4">
        <f t="shared" si="132"/>
        <v>0.58098114153887526</v>
      </c>
      <c r="AH225" s="7">
        <v>1345629191</v>
      </c>
      <c r="AI225" s="32">
        <f t="shared" si="111"/>
        <v>44.85430636666667</v>
      </c>
      <c r="AJ225" s="32">
        <f t="shared" si="136"/>
        <v>42.524910738178441</v>
      </c>
      <c r="AK225" s="24">
        <f t="shared" si="112"/>
        <v>415824796.51478636</v>
      </c>
      <c r="AL225" s="34">
        <v>250.54599999999999</v>
      </c>
      <c r="AM225" s="95">
        <f t="shared" si="113"/>
        <v>0.81433089241429968</v>
      </c>
      <c r="AN225" s="1">
        <f t="shared" si="114"/>
        <v>0.37947578968170559</v>
      </c>
      <c r="AO225" s="1">
        <f t="shared" si="97"/>
        <v>0</v>
      </c>
      <c r="AP225" s="110">
        <f t="shared" si="98"/>
        <v>0</v>
      </c>
      <c r="AQ225" s="1">
        <f t="shared" si="133"/>
        <v>0.29695430803870787</v>
      </c>
      <c r="AR225" s="15">
        <f t="shared" si="88"/>
        <v>510.63369987347966</v>
      </c>
      <c r="AS225" s="7">
        <v>30</v>
      </c>
      <c r="AT225" s="1">
        <f t="shared" si="89"/>
        <v>17.021123329115987</v>
      </c>
      <c r="AU225" s="16">
        <f t="shared" si="103"/>
        <v>19993.551581172604</v>
      </c>
      <c r="AV225" s="4">
        <f t="shared" si="90"/>
        <v>19.993551581172603</v>
      </c>
      <c r="AW225" s="4">
        <f t="shared" si="115"/>
        <v>4.2485086970057395</v>
      </c>
      <c r="AY225" s="4">
        <f>(O225-P225-AG225-(SpotGasPrices!K223-(SpotGasPrices!L223+SpotGasPrices!M223)/2))*($AL$279/AL225)</f>
        <v>9.0420649492374994E-2</v>
      </c>
      <c r="AZ225" s="1">
        <f t="shared" si="134"/>
        <v>0.11012776862711086</v>
      </c>
    </row>
    <row r="226" spans="1:52">
      <c r="C226" s="28">
        <v>43238</v>
      </c>
      <c r="D226" s="2">
        <v>2018</v>
      </c>
      <c r="E226" s="2">
        <v>5</v>
      </c>
      <c r="F226" s="4">
        <v>1.399376</v>
      </c>
      <c r="G226" s="4">
        <f t="shared" si="135"/>
        <v>0.898828639251394</v>
      </c>
      <c r="H226" s="4">
        <f t="shared" si="129"/>
        <v>0.91075142228411232</v>
      </c>
      <c r="I226" s="4">
        <f t="shared" si="135"/>
        <v>0.60187433121268619</v>
      </c>
      <c r="J226" s="4">
        <f t="shared" si="130"/>
        <v>0.65294180477830766</v>
      </c>
      <c r="K226">
        <v>76.98</v>
      </c>
      <c r="L226" s="4">
        <v>2.9009999999999998</v>
      </c>
      <c r="O226" s="4">
        <v>3.621</v>
      </c>
      <c r="P226" s="4">
        <f t="shared" si="107"/>
        <v>2.8209999999999997</v>
      </c>
      <c r="Q226" s="4">
        <f t="shared" si="108"/>
        <v>4.4281789711750958</v>
      </c>
      <c r="R226" s="4">
        <f t="shared" si="109"/>
        <v>3.4498461413103958</v>
      </c>
      <c r="S226" s="4">
        <v>0.28310000000000002</v>
      </c>
      <c r="T226" s="4">
        <f t="shared" si="116"/>
        <v>0.25555797686306164</v>
      </c>
      <c r="U226" s="4">
        <v>0.18400000000000008</v>
      </c>
      <c r="V226" s="4">
        <v>0.41699999999999998</v>
      </c>
      <c r="W226" s="4">
        <v>2.0000000000000007E-2</v>
      </c>
      <c r="X226" s="3">
        <v>3.249999999999998E-2</v>
      </c>
      <c r="Y226" s="4">
        <f t="shared" si="117"/>
        <v>0.11397820823244545</v>
      </c>
      <c r="Z226" s="4">
        <f t="shared" ref="Z226:Z227" si="137">14.65*0.007902</f>
        <v>0.11576429999999999</v>
      </c>
      <c r="AA226" s="37">
        <v>140</v>
      </c>
      <c r="AB226" s="4">
        <v>7.8E-2</v>
      </c>
      <c r="AC226" s="4">
        <f t="shared" si="128"/>
        <v>0.55097820823244548</v>
      </c>
      <c r="AD226" s="4">
        <f t="shared" si="118"/>
        <v>0.92874250823244553</v>
      </c>
      <c r="AE226" s="4">
        <v>0.1</v>
      </c>
      <c r="AF226" s="4">
        <f t="shared" si="119"/>
        <v>0.21081546863061629</v>
      </c>
      <c r="AG226" s="4">
        <f t="shared" si="132"/>
        <v>0.58918453136938398</v>
      </c>
      <c r="AH226" s="7">
        <v>1335455368</v>
      </c>
      <c r="AI226" s="32">
        <f t="shared" si="111"/>
        <v>43.079205419354835</v>
      </c>
      <c r="AJ226" s="32">
        <f t="shared" si="136"/>
        <v>42.524910738178441</v>
      </c>
      <c r="AK226" s="24">
        <f t="shared" si="112"/>
        <v>281534649.24019212</v>
      </c>
      <c r="AL226" s="34">
        <v>251.58799999999999</v>
      </c>
      <c r="AM226" s="95">
        <f t="shared" si="113"/>
        <v>0.81771762694566597</v>
      </c>
      <c r="AN226" s="1">
        <f t="shared" si="114"/>
        <v>0.2578096175058045</v>
      </c>
      <c r="AO226" s="1">
        <f t="shared" si="97"/>
        <v>0</v>
      </c>
      <c r="AP226" s="110">
        <f t="shared" si="98"/>
        <v>0</v>
      </c>
      <c r="AQ226" s="1">
        <f t="shared" si="133"/>
        <v>0.29695430803870787</v>
      </c>
      <c r="AR226" s="15">
        <f t="shared" si="88"/>
        <v>344.29323762015338</v>
      </c>
      <c r="AS226" s="7">
        <v>31</v>
      </c>
      <c r="AT226" s="1">
        <f t="shared" si="89"/>
        <v>11.10623347161785</v>
      </c>
      <c r="AU226" s="16">
        <f t="shared" si="103"/>
        <v>20337.844818792757</v>
      </c>
      <c r="AV226" s="4">
        <f t="shared" si="90"/>
        <v>20.337844818792757</v>
      </c>
      <c r="AW226" s="4">
        <f t="shared" si="115"/>
        <v>4.3058276626866148</v>
      </c>
      <c r="AY226" s="4">
        <f>(O226-P226-AG226-(SpotGasPrices!K224-(SpotGasPrices!L224+SpotGasPrices!M224)/2))*($AL$279/AL226)</f>
        <v>3.0579039690077976E-2</v>
      </c>
      <c r="AZ226" s="1">
        <f t="shared" si="134"/>
        <v>0.11012776862711086</v>
      </c>
    </row>
    <row r="227" spans="1:52">
      <c r="A227" s="2">
        <v>2018</v>
      </c>
      <c r="B227" s="2">
        <f>D227</f>
        <v>2018</v>
      </c>
      <c r="C227" s="28">
        <v>43269</v>
      </c>
      <c r="D227" s="2">
        <v>2018</v>
      </c>
      <c r="E227" s="2">
        <v>6</v>
      </c>
      <c r="F227" s="4">
        <v>1.4013930000000001</v>
      </c>
      <c r="G227" s="4">
        <f t="shared" si="135"/>
        <v>0.898828639251394</v>
      </c>
      <c r="H227" s="4">
        <f t="shared" si="129"/>
        <v>0.95119302547355622</v>
      </c>
      <c r="I227" s="4">
        <f t="shared" si="135"/>
        <v>0.60187433121268619</v>
      </c>
      <c r="J227" s="4">
        <f t="shared" si="130"/>
        <v>0.71627370831382986</v>
      </c>
      <c r="K227">
        <v>74.41</v>
      </c>
      <c r="L227" s="4">
        <v>2.891</v>
      </c>
      <c r="O227" s="4">
        <v>3.601</v>
      </c>
      <c r="P227" s="4">
        <f t="shared" si="107"/>
        <v>2.8121111111111108</v>
      </c>
      <c r="Q227" s="4">
        <f t="shared" si="108"/>
        <v>4.3967128366714414</v>
      </c>
      <c r="R227" s="4">
        <f t="shared" si="109"/>
        <v>3.4335031992137215</v>
      </c>
      <c r="S227" s="4">
        <v>0.28310000000000002</v>
      </c>
      <c r="T227" s="4">
        <f t="shared" si="116"/>
        <v>0.25562792574656984</v>
      </c>
      <c r="U227" s="4">
        <v>0.18400000000000008</v>
      </c>
      <c r="V227" s="4">
        <v>0.41699999999999998</v>
      </c>
      <c r="W227" s="4">
        <v>2.0000000000000007E-2</v>
      </c>
      <c r="X227" s="3">
        <v>3.249999999999998E-2</v>
      </c>
      <c r="Y227" s="4">
        <f t="shared" si="117"/>
        <v>0.1133486682808716</v>
      </c>
      <c r="Z227" s="4">
        <f t="shared" si="137"/>
        <v>0.11576429999999999</v>
      </c>
      <c r="AA227" s="37">
        <v>154</v>
      </c>
      <c r="AB227" s="4">
        <v>8.5999999999999993E-2</v>
      </c>
      <c r="AC227" s="4">
        <f t="shared" si="128"/>
        <v>0.55034866828087159</v>
      </c>
      <c r="AD227" s="4">
        <f t="shared" si="118"/>
        <v>0.93611296828087165</v>
      </c>
      <c r="AE227" s="4">
        <v>0.1</v>
      </c>
      <c r="AF227" s="4">
        <f t="shared" si="119"/>
        <v>0.1924038463545874</v>
      </c>
      <c r="AG227" s="4">
        <f t="shared" si="132"/>
        <v>0.59648504253430179</v>
      </c>
      <c r="AH227" s="12">
        <v>1294694748</v>
      </c>
      <c r="AI227" s="32">
        <f t="shared" si="111"/>
        <v>43.156491600000003</v>
      </c>
      <c r="AJ227" s="32">
        <f t="shared" si="136"/>
        <v>42.524910738178441</v>
      </c>
      <c r="AK227" s="24">
        <f t="shared" si="112"/>
        <v>249104249.37028325</v>
      </c>
      <c r="AL227" s="34">
        <v>251.989</v>
      </c>
      <c r="AM227" s="95">
        <f t="shared" si="113"/>
        <v>0.81902096720197881</v>
      </c>
      <c r="AN227" s="1">
        <f t="shared" si="114"/>
        <v>0.23491931715972625</v>
      </c>
      <c r="AO227" s="1">
        <f t="shared" si="97"/>
        <v>0</v>
      </c>
      <c r="AP227" s="110">
        <f t="shared" si="98"/>
        <v>0</v>
      </c>
      <c r="AQ227" s="1">
        <f t="shared" si="133"/>
        <v>0.29695430803870787</v>
      </c>
      <c r="AR227" s="15">
        <f t="shared" si="88"/>
        <v>304.1488061304438</v>
      </c>
      <c r="AS227" s="7">
        <v>30</v>
      </c>
      <c r="AT227" s="1">
        <f t="shared" si="89"/>
        <v>10.138293537681459</v>
      </c>
      <c r="AU227" s="16">
        <f t="shared" si="103"/>
        <v>20641.993624923201</v>
      </c>
      <c r="AV227" s="4">
        <f t="shared" si="90"/>
        <v>20.641993624923202</v>
      </c>
      <c r="AW227" s="4">
        <f t="shared" si="115"/>
        <v>4.2752309426205111</v>
      </c>
      <c r="AY227" s="4">
        <f>(O227-P227-AG227-(SpotGasPrices!K225-(SpotGasPrices!L225+SpotGasPrices!M225)/2))*($AL$279/AL227)</f>
        <v>8.5627606998016859E-2</v>
      </c>
      <c r="AZ227" s="1">
        <f t="shared" si="134"/>
        <v>0.11012776862711086</v>
      </c>
    </row>
    <row r="228" spans="1:52">
      <c r="C228" s="28">
        <v>43299</v>
      </c>
      <c r="D228" s="2">
        <v>2018</v>
      </c>
      <c r="E228" s="2">
        <v>7</v>
      </c>
      <c r="F228" s="4">
        <v>1.404752</v>
      </c>
      <c r="G228" s="4">
        <f t="shared" si="135"/>
        <v>0.898828639251394</v>
      </c>
      <c r="H228" s="4">
        <f t="shared" si="129"/>
        <v>0.83503962267215959</v>
      </c>
      <c r="I228" s="4">
        <f t="shared" si="135"/>
        <v>0.60187433121268619</v>
      </c>
      <c r="J228" s="4">
        <f t="shared" si="130"/>
        <v>0.6732671208034644</v>
      </c>
      <c r="K228">
        <v>74.25</v>
      </c>
      <c r="L228" s="4">
        <v>2.8490000000000002</v>
      </c>
      <c r="O228" s="4">
        <v>3.53</v>
      </c>
      <c r="P228" s="4">
        <f t="shared" si="107"/>
        <v>2.7733333333333339</v>
      </c>
      <c r="Q228" s="4">
        <f t="shared" si="108"/>
        <v>4.3097332206376038</v>
      </c>
      <c r="R228" s="4">
        <f t="shared" si="109"/>
        <v>3.385928271549091</v>
      </c>
      <c r="S228" s="4">
        <v>0.28310000000000002</v>
      </c>
      <c r="T228" s="4">
        <f t="shared" si="116"/>
        <v>0.25587624428302397</v>
      </c>
      <c r="U228" s="4">
        <v>0.18400000000000008</v>
      </c>
      <c r="V228" s="4">
        <v>0.41699999999999998</v>
      </c>
      <c r="W228" s="4">
        <v>2.0000000000000007E-2</v>
      </c>
      <c r="X228" s="3">
        <v>3.249999999999998E-2</v>
      </c>
      <c r="Y228" s="4">
        <f t="shared" si="117"/>
        <v>0.11111380145278443</v>
      </c>
      <c r="Z228" s="4">
        <f>15.05*0.007902</f>
        <v>0.11892509999999999</v>
      </c>
      <c r="AA228" s="37">
        <v>169</v>
      </c>
      <c r="AB228" s="4">
        <v>0.113</v>
      </c>
      <c r="AC228" s="4">
        <f t="shared" si="128"/>
        <v>0.54811380145278443</v>
      </c>
      <c r="AD228" s="4">
        <f t="shared" si="118"/>
        <v>0.96403890145278459</v>
      </c>
      <c r="AE228" s="4">
        <v>0.1</v>
      </c>
      <c r="AF228" s="4">
        <f t="shared" si="119"/>
        <v>0.13250400949690544</v>
      </c>
      <c r="AG228" s="4">
        <f t="shared" si="132"/>
        <v>0.62416265716976049</v>
      </c>
      <c r="AH228" s="7">
        <v>1317182454</v>
      </c>
      <c r="AI228" s="32">
        <f t="shared" si="111"/>
        <v>42.489756580645164</v>
      </c>
      <c r="AJ228" s="32">
        <f t="shared" si="136"/>
        <v>42.524910738178441</v>
      </c>
      <c r="AK228" s="24">
        <f t="shared" si="112"/>
        <v>174531956.3939732</v>
      </c>
      <c r="AL228" s="34">
        <v>252.006</v>
      </c>
      <c r="AM228" s="95">
        <f t="shared" si="113"/>
        <v>0.81907622102830624</v>
      </c>
      <c r="AN228" s="1">
        <f t="shared" si="114"/>
        <v>0.16177250186869516</v>
      </c>
      <c r="AO228" s="1">
        <f t="shared" si="97"/>
        <v>0</v>
      </c>
      <c r="AP228" s="110">
        <f t="shared" si="98"/>
        <v>0</v>
      </c>
      <c r="AQ228" s="1">
        <f t="shared" si="133"/>
        <v>0.29695430803870787</v>
      </c>
      <c r="AR228" s="15">
        <f t="shared" si="88"/>
        <v>213.08390100112746</v>
      </c>
      <c r="AS228" s="7">
        <v>31</v>
      </c>
      <c r="AT228" s="1">
        <f t="shared" si="89"/>
        <v>6.8736742258428212</v>
      </c>
      <c r="AU228" s="16">
        <f t="shared" si="103"/>
        <v>20855.077525924327</v>
      </c>
      <c r="AV228" s="4">
        <f t="shared" si="90"/>
        <v>20.855077525924326</v>
      </c>
      <c r="AW228" s="4">
        <f t="shared" si="115"/>
        <v>4.1906545875891839</v>
      </c>
      <c r="AY228" s="4">
        <f>(O228-P228-AG228-(SpotGasPrices!K226-(SpotGasPrices!L226+SpotGasPrices!M226)/2))*($AL$279/AL228)</f>
        <v>6.0315257883509707E-2</v>
      </c>
      <c r="AZ228" s="1">
        <f t="shared" si="134"/>
        <v>0.11012776862711086</v>
      </c>
    </row>
    <row r="229" spans="1:52">
      <c r="C229" s="28">
        <v>43330</v>
      </c>
      <c r="D229" s="2">
        <v>2018</v>
      </c>
      <c r="E229" s="2">
        <v>8</v>
      </c>
      <c r="F229" s="4">
        <v>1.31653</v>
      </c>
      <c r="G229" s="4">
        <f t="shared" si="135"/>
        <v>0.898828639251394</v>
      </c>
      <c r="H229" s="4">
        <f t="shared" si="129"/>
        <v>0.8184965116952081</v>
      </c>
      <c r="I229" s="4">
        <f t="shared" si="135"/>
        <v>0.60187433121268619</v>
      </c>
      <c r="J229" s="4">
        <f t="shared" si="130"/>
        <v>0.70786961210304056</v>
      </c>
      <c r="K229">
        <v>72.53</v>
      </c>
      <c r="L229" s="4">
        <v>2.8359999999999999</v>
      </c>
      <c r="O229" s="4">
        <v>3.4809999999999999</v>
      </c>
      <c r="P229" s="4">
        <f t="shared" si="107"/>
        <v>2.7643333333333331</v>
      </c>
      <c r="Q229" s="4">
        <f t="shared" si="108"/>
        <v>4.2475500345038197</v>
      </c>
      <c r="R229" s="4">
        <f t="shared" si="109"/>
        <v>3.3730664020051875</v>
      </c>
      <c r="S229" s="4">
        <v>0.28620000000000001</v>
      </c>
      <c r="T229" s="4">
        <f t="shared" si="116"/>
        <v>0.2594920634920635</v>
      </c>
      <c r="U229" s="4">
        <v>0.18400000000000008</v>
      </c>
      <c r="V229" s="4">
        <v>0.41699999999999998</v>
      </c>
      <c r="W229" s="4">
        <v>2.0000000000000007E-2</v>
      </c>
      <c r="X229" s="3">
        <v>3.249999999999998E-2</v>
      </c>
      <c r="Y229" s="4">
        <f t="shared" si="117"/>
        <v>0.1095714285714285</v>
      </c>
      <c r="Z229" s="4">
        <f t="shared" ref="Z229:Z231" si="138">15.05*0.007902</f>
        <v>0.11892509999999999</v>
      </c>
      <c r="AA229" s="37">
        <v>179</v>
      </c>
      <c r="AB229" s="4">
        <v>0.12</v>
      </c>
      <c r="AC229" s="4">
        <f t="shared" si="128"/>
        <v>0.54657142857142849</v>
      </c>
      <c r="AD229" s="4">
        <f t="shared" si="118"/>
        <v>0.96949652857142865</v>
      </c>
      <c r="AE229" s="4">
        <v>0.1</v>
      </c>
      <c r="AF229" s="4">
        <f t="shared" si="119"/>
        <v>9.0662201587301539E-2</v>
      </c>
      <c r="AG229" s="4">
        <f t="shared" si="132"/>
        <v>0.62600446507936525</v>
      </c>
      <c r="AH229" s="7">
        <v>1360722426</v>
      </c>
      <c r="AI229" s="32">
        <f t="shared" si="111"/>
        <v>43.894271806451613</v>
      </c>
      <c r="AJ229" s="32">
        <f t="shared" si="136"/>
        <v>42.524910738178441</v>
      </c>
      <c r="AK229" s="24">
        <f t="shared" si="112"/>
        <v>123366090.890374</v>
      </c>
      <c r="AL229" s="2">
        <v>252.14599999999999</v>
      </c>
      <c r="AM229" s="95">
        <f t="shared" si="113"/>
        <v>0.81953125253923831</v>
      </c>
      <c r="AN229" s="1">
        <f t="shared" si="114"/>
        <v>0.11062689959216744</v>
      </c>
      <c r="AO229" s="1">
        <f t="shared" si="97"/>
        <v>0</v>
      </c>
      <c r="AP229" s="110">
        <f t="shared" si="98"/>
        <v>0</v>
      </c>
      <c r="AQ229" s="1">
        <f t="shared" si="133"/>
        <v>0.29695430803870787</v>
      </c>
      <c r="AR229" s="15">
        <f t="shared" si="88"/>
        <v>150.5325031939125</v>
      </c>
      <c r="AS229" s="7">
        <v>31</v>
      </c>
      <c r="AT229" s="1">
        <f t="shared" si="89"/>
        <v>4.8558871998036288</v>
      </c>
      <c r="AU229" s="16">
        <f t="shared" si="103"/>
        <v>21005.610029118241</v>
      </c>
      <c r="AV229" s="4">
        <f t="shared" si="90"/>
        <v>21.005610029118241</v>
      </c>
      <c r="AW229" s="4">
        <f t="shared" si="115"/>
        <v>4.1301895330483136</v>
      </c>
      <c r="AY229" s="4">
        <f>(O229-P229-AG229-(SpotGasPrices!K227-(SpotGasPrices!L227+SpotGasPrices!M227)/2))*($AL$279/AL229)</f>
        <v>9.1789153979975641E-2</v>
      </c>
      <c r="AZ229" s="1">
        <f t="shared" si="134"/>
        <v>0.11012776862711086</v>
      </c>
    </row>
    <row r="230" spans="1:52">
      <c r="C230" s="28">
        <v>43361</v>
      </c>
      <c r="D230" s="2">
        <v>2018</v>
      </c>
      <c r="E230" s="2">
        <v>9</v>
      </c>
      <c r="F230" s="4">
        <v>1.2</v>
      </c>
      <c r="G230" s="4">
        <f t="shared" si="135"/>
        <v>0.898828639251394</v>
      </c>
      <c r="H230" s="4">
        <f t="shared" si="129"/>
        <v>0.67042567899948446</v>
      </c>
      <c r="I230" s="4">
        <f t="shared" si="135"/>
        <v>0.60187433121268619</v>
      </c>
      <c r="J230" s="4">
        <f t="shared" si="130"/>
        <v>0.51655197184135881</v>
      </c>
      <c r="K230">
        <v>78.89</v>
      </c>
      <c r="L230" s="4">
        <v>2.8359999999999999</v>
      </c>
      <c r="O230" s="4">
        <v>3.5150000000000001</v>
      </c>
      <c r="P230" s="4">
        <f t="shared" si="107"/>
        <v>2.760555555555555</v>
      </c>
      <c r="Q230" s="4">
        <f t="shared" si="108"/>
        <v>4.2840589805854092</v>
      </c>
      <c r="R230" s="4">
        <f t="shared" si="109"/>
        <v>3.3645470324844147</v>
      </c>
      <c r="S230" s="4">
        <v>0.28620000000000001</v>
      </c>
      <c r="T230" s="4">
        <f t="shared" si="116"/>
        <v>0.25937315039009956</v>
      </c>
      <c r="U230" s="4">
        <v>0.18400000000000008</v>
      </c>
      <c r="V230" s="4">
        <v>0.41699999999999998</v>
      </c>
      <c r="W230" s="4">
        <v>2.0000000000000007E-2</v>
      </c>
      <c r="X230" s="3">
        <v>3.249999999999998E-2</v>
      </c>
      <c r="Y230" s="4">
        <f t="shared" si="117"/>
        <v>0.11064164648910406</v>
      </c>
      <c r="Z230" s="4">
        <f t="shared" si="138"/>
        <v>0.11892509999999999</v>
      </c>
      <c r="AA230" s="54">
        <v>181</v>
      </c>
      <c r="AB230" s="4">
        <v>0.121</v>
      </c>
      <c r="AC230" s="4">
        <f t="shared" si="128"/>
        <v>0.54764164648910407</v>
      </c>
      <c r="AD230" s="4">
        <f t="shared" si="118"/>
        <v>0.97156674648910413</v>
      </c>
      <c r="AE230" s="4">
        <v>0.1</v>
      </c>
      <c r="AF230" s="4">
        <f t="shared" si="119"/>
        <v>0.12625084834544076</v>
      </c>
      <c r="AG230" s="4">
        <f t="shared" ref="AG230:AG272" si="139">(O230-P230-AF230)</f>
        <v>0.62819359609900438</v>
      </c>
      <c r="AH230" s="7">
        <v>1276672486</v>
      </c>
      <c r="AI230" s="32">
        <f t="shared" ref="AI230:AI261" si="140">AH230/(1000000*AS230)</f>
        <v>42.555749533333334</v>
      </c>
      <c r="AJ230" s="32">
        <f t="shared" si="136"/>
        <v>42.524910738178441</v>
      </c>
      <c r="AK230" s="24">
        <f t="shared" ref="AK230:AK261" si="141">AF230*AH230</f>
        <v>161180984.41678283</v>
      </c>
      <c r="AL230" s="2">
        <v>252.43899999999999</v>
      </c>
      <c r="AM230" s="95">
        <f t="shared" si="113"/>
        <v>0.82048356848711768</v>
      </c>
      <c r="AN230" s="1">
        <f t="shared" si="114"/>
        <v>0.15387370715812576</v>
      </c>
      <c r="AO230" s="1">
        <f t="shared" si="97"/>
        <v>0</v>
      </c>
      <c r="AP230" s="110">
        <f t="shared" si="98"/>
        <v>0</v>
      </c>
      <c r="AQ230" s="1">
        <f t="shared" si="133"/>
        <v>0.29695430803870787</v>
      </c>
      <c r="AR230" s="15">
        <f t="shared" si="88"/>
        <v>196.44632824760038</v>
      </c>
      <c r="AS230" s="7">
        <v>30</v>
      </c>
      <c r="AT230" s="1">
        <f t="shared" si="89"/>
        <v>6.5482109415866789</v>
      </c>
      <c r="AU230" s="16">
        <f t="shared" si="103"/>
        <v>21202.05635736584</v>
      </c>
      <c r="AV230" s="4">
        <f t="shared" si="90"/>
        <v>21.202056357365841</v>
      </c>
      <c r="AW230" s="4">
        <f t="shared" si="115"/>
        <v>4.165689730984516</v>
      </c>
      <c r="AY230" s="4">
        <f>(O230-P230-AG230-(SpotGasPrices!K228-(SpotGasPrices!L228+SpotGasPrices!M228)/2))*($AL$279/AL230)</f>
        <v>-3.3939257336935189E-2</v>
      </c>
      <c r="AZ230" s="1">
        <f t="shared" si="134"/>
        <v>0.11012776862711086</v>
      </c>
    </row>
    <row r="231" spans="1:52">
      <c r="C231" s="28">
        <v>43391</v>
      </c>
      <c r="D231" s="2">
        <v>2018</v>
      </c>
      <c r="E231" s="2">
        <v>10</v>
      </c>
      <c r="F231" s="4">
        <v>1.2092959999999999</v>
      </c>
      <c r="G231" s="4">
        <f t="shared" si="135"/>
        <v>0.898828639251394</v>
      </c>
      <c r="H231" s="4">
        <f t="shared" si="129"/>
        <v>0.80825389713459883</v>
      </c>
      <c r="I231" s="4">
        <f t="shared" si="135"/>
        <v>0.60187433121268619</v>
      </c>
      <c r="J231" s="4">
        <f t="shared" si="130"/>
        <v>0.46320935716542894</v>
      </c>
      <c r="K231">
        <v>81.03</v>
      </c>
      <c r="L231" s="4">
        <v>2.86</v>
      </c>
      <c r="O231" s="4">
        <v>3.6859999999999999</v>
      </c>
      <c r="P231" s="4">
        <f t="shared" si="107"/>
        <v>2.7682222222222217</v>
      </c>
      <c r="Q231" s="4">
        <f t="shared" si="108"/>
        <v>4.4845495225102319</v>
      </c>
      <c r="R231" s="4">
        <f t="shared" si="109"/>
        <v>3.3679407609519472</v>
      </c>
      <c r="S231" s="4">
        <v>0.28620000000000001</v>
      </c>
      <c r="T231" s="4">
        <f t="shared" si="116"/>
        <v>0.25877508743610439</v>
      </c>
      <c r="U231" s="4">
        <v>0.18400000000000008</v>
      </c>
      <c r="V231" s="4">
        <v>0.41699999999999998</v>
      </c>
      <c r="W231" s="4">
        <v>2.0000000000000007E-2</v>
      </c>
      <c r="X231" s="3">
        <v>3.249999999999998E-2</v>
      </c>
      <c r="Y231" s="4">
        <f t="shared" si="117"/>
        <v>0.11602421307506046</v>
      </c>
      <c r="Z231" s="4">
        <f t="shared" si="138"/>
        <v>0.11892509999999999</v>
      </c>
      <c r="AA231" s="54">
        <v>180</v>
      </c>
      <c r="AB231" s="4">
        <v>0.121</v>
      </c>
      <c r="AC231" s="4">
        <f t="shared" si="128"/>
        <v>0.55302421307506044</v>
      </c>
      <c r="AD231" s="35">
        <f t="shared" si="118"/>
        <v>0.97694931307506061</v>
      </c>
      <c r="AE231" s="4">
        <v>0.1</v>
      </c>
      <c r="AF231" s="4">
        <f t="shared" si="119"/>
        <v>0.28360355213882249</v>
      </c>
      <c r="AG231" s="4">
        <f t="shared" si="139"/>
        <v>0.63417422563895576</v>
      </c>
      <c r="AH231" s="42">
        <v>1351752385</v>
      </c>
      <c r="AI231" s="32">
        <f t="shared" si="140"/>
        <v>43.604915645161292</v>
      </c>
      <c r="AJ231" s="32">
        <f t="shared" si="136"/>
        <v>42.524910738178441</v>
      </c>
      <c r="AK231" s="24">
        <f t="shared" si="141"/>
        <v>383361777.99812514</v>
      </c>
      <c r="AL231" s="2">
        <v>252.88499999999999</v>
      </c>
      <c r="AM231" s="95">
        <f t="shared" si="113"/>
        <v>0.82193316887194434</v>
      </c>
      <c r="AN231" s="1">
        <f t="shared" si="114"/>
        <v>0.34504453996917039</v>
      </c>
      <c r="AO231" s="1">
        <f t="shared" si="97"/>
        <v>0</v>
      </c>
      <c r="AP231" s="110">
        <f t="shared" si="98"/>
        <v>0</v>
      </c>
      <c r="AQ231" s="1">
        <f t="shared" si="133"/>
        <v>0.29695430803870787</v>
      </c>
      <c r="AR231" s="15">
        <f t="shared" ref="AR231:AR291" si="142">(AK231/AM231)/1000000</f>
        <v>466.41477983455388</v>
      </c>
      <c r="AS231" s="7">
        <v>31</v>
      </c>
      <c r="AT231" s="1">
        <f t="shared" ref="AT231:AT291" si="143">AR231/AS231</f>
        <v>15.045638059179158</v>
      </c>
      <c r="AU231" s="16">
        <f t="shared" si="103"/>
        <v>21668.471137200395</v>
      </c>
      <c r="AV231" s="4">
        <f t="shared" si="90"/>
        <v>21.668471137200395</v>
      </c>
      <c r="AW231" s="4">
        <f t="shared" si="115"/>
        <v>4.3606406864780443</v>
      </c>
      <c r="AY231" s="4">
        <f>(O231-P231-AG231-(SpotGasPrices!K229-(SpotGasPrices!L229+SpotGasPrices!M229)/2))*($AL$279/AL231)</f>
        <v>3.3118594538998951E-2</v>
      </c>
      <c r="AZ231" s="1">
        <f t="shared" si="134"/>
        <v>0.11012776862711086</v>
      </c>
    </row>
    <row r="232" spans="1:52">
      <c r="C232" s="28">
        <v>43422</v>
      </c>
      <c r="D232" s="2">
        <v>2018</v>
      </c>
      <c r="E232" s="2">
        <v>11</v>
      </c>
      <c r="F232" s="4">
        <v>1.209581</v>
      </c>
      <c r="G232" s="4">
        <f t="shared" si="135"/>
        <v>0.898828639251394</v>
      </c>
      <c r="H232" s="4">
        <f t="shared" si="129"/>
        <v>1.1290155093372556</v>
      </c>
      <c r="I232" s="4">
        <f t="shared" si="135"/>
        <v>0.60187433121268619</v>
      </c>
      <c r="J232" s="4">
        <f t="shared" si="130"/>
        <v>0.66963898612634043</v>
      </c>
      <c r="K232">
        <v>64.75</v>
      </c>
      <c r="L232" s="4">
        <v>2.6469999999999998</v>
      </c>
      <c r="O232" s="4">
        <v>3.5579999999999998</v>
      </c>
      <c r="P232" s="4">
        <f t="shared" si="107"/>
        <v>2.5457777777777775</v>
      </c>
      <c r="Q232" s="4">
        <f t="shared" si="108"/>
        <v>4.343366547901506</v>
      </c>
      <c r="R232" s="4">
        <f t="shared" si="109"/>
        <v>3.1077138949946694</v>
      </c>
      <c r="S232" s="4">
        <v>0.28620000000000001</v>
      </c>
      <c r="T232" s="4">
        <f t="shared" si="116"/>
        <v>0.25922276029055691</v>
      </c>
      <c r="U232" s="4">
        <v>0.18400000000000008</v>
      </c>
      <c r="V232" s="4">
        <v>0.41699999999999998</v>
      </c>
      <c r="W232" s="4">
        <v>2.0000000000000007E-2</v>
      </c>
      <c r="X232" s="3">
        <v>3.249999999999998E-2</v>
      </c>
      <c r="Y232" s="4">
        <f t="shared" si="117"/>
        <v>0.11199515738498782</v>
      </c>
      <c r="Z232" s="4">
        <f>15.33*0.007902</f>
        <v>0.12113765999999999</v>
      </c>
      <c r="AA232" s="54">
        <v>186</v>
      </c>
      <c r="AB232" s="4">
        <v>0.125</v>
      </c>
      <c r="AC232" s="4">
        <f t="shared" si="128"/>
        <v>0.54899515738498783</v>
      </c>
      <c r="AD232" s="35">
        <f t="shared" si="118"/>
        <v>0.97913281738498792</v>
      </c>
      <c r="AE232" s="4">
        <v>0.1</v>
      </c>
      <c r="AF232" s="4">
        <f t="shared" si="119"/>
        <v>0.37631216512779142</v>
      </c>
      <c r="AG232" s="4">
        <f t="shared" si="139"/>
        <v>0.63591005709443094</v>
      </c>
      <c r="AH232" s="42">
        <v>1236042647</v>
      </c>
      <c r="AI232" s="32">
        <f t="shared" si="140"/>
        <v>41.201421566666667</v>
      </c>
      <c r="AJ232" s="32">
        <f t="shared" si="136"/>
        <v>42.524910738178441</v>
      </c>
      <c r="AK232" s="24">
        <f t="shared" si="141"/>
        <v>465137884.68285638</v>
      </c>
      <c r="AL232" s="2">
        <v>252.03800000000001</v>
      </c>
      <c r="AM232" s="95">
        <f t="shared" si="113"/>
        <v>0.81918022823080505</v>
      </c>
      <c r="AN232" s="1">
        <f t="shared" si="114"/>
        <v>0.45937652321091543</v>
      </c>
      <c r="AO232" s="1">
        <f t="shared" si="97"/>
        <v>5.9376523210915411E-2</v>
      </c>
      <c r="AP232" s="110">
        <f t="shared" si="98"/>
        <v>73391914.919276819</v>
      </c>
      <c r="AQ232" s="1">
        <f t="shared" si="133"/>
        <v>0.29695430803870787</v>
      </c>
      <c r="AR232" s="15">
        <f t="shared" si="142"/>
        <v>567.80897371927676</v>
      </c>
      <c r="AS232" s="7">
        <v>30</v>
      </c>
      <c r="AT232" s="1">
        <f t="shared" si="143"/>
        <v>18.926965790642559</v>
      </c>
      <c r="AU232" s="16">
        <f t="shared" si="103"/>
        <v>22236.280110919673</v>
      </c>
      <c r="AV232" s="4">
        <f t="shared" ref="AV232:AV246" si="144">AU232/1000</f>
        <v>22.236280110919672</v>
      </c>
      <c r="AW232" s="4">
        <f t="shared" si="115"/>
        <v>4.2233586205254756</v>
      </c>
      <c r="AY232" s="4">
        <f>(O232-P232-AG232-(SpotGasPrices!K230-(SpotGasPrices!L230+SpotGasPrices!M230)/2))*($AL$279/AL232)</f>
        <v>0.26345510976147796</v>
      </c>
      <c r="AZ232" s="1">
        <f t="shared" si="134"/>
        <v>0.11012776862711086</v>
      </c>
    </row>
    <row r="233" spans="1:52">
      <c r="B233" s="26" t="s">
        <v>33</v>
      </c>
      <c r="C233" s="29">
        <v>43452</v>
      </c>
      <c r="D233" s="2">
        <v>2018</v>
      </c>
      <c r="E233" s="2">
        <v>12</v>
      </c>
      <c r="F233" s="4">
        <v>1.159206</v>
      </c>
      <c r="G233" s="4">
        <f t="shared" si="135"/>
        <v>0.898828639251394</v>
      </c>
      <c r="H233" s="4">
        <f t="shared" si="129"/>
        <v>1.0231157283685037</v>
      </c>
      <c r="I233" s="4">
        <f t="shared" si="135"/>
        <v>0.60187433121268619</v>
      </c>
      <c r="J233" s="4">
        <f t="shared" si="130"/>
        <v>0.54168214690839644</v>
      </c>
      <c r="K233">
        <v>57.36</v>
      </c>
      <c r="L233" s="4">
        <v>2.3660000000000001</v>
      </c>
      <c r="O233" s="4">
        <v>3.2919999999999998</v>
      </c>
      <c r="P233" s="4">
        <f t="shared" si="107"/>
        <v>2.2631111111111109</v>
      </c>
      <c r="Q233" s="4">
        <f t="shared" si="108"/>
        <v>4.0315282307658622</v>
      </c>
      <c r="R233" s="4">
        <f t="shared" si="109"/>
        <v>2.7715055691993751</v>
      </c>
      <c r="S233" s="4">
        <v>0.28620000000000001</v>
      </c>
      <c r="T233" s="4">
        <f t="shared" si="116"/>
        <v>0.26015308044121604</v>
      </c>
      <c r="U233" s="4">
        <v>0.18400000000000008</v>
      </c>
      <c r="V233" s="4">
        <v>0.41699999999999998</v>
      </c>
      <c r="W233" s="4">
        <v>2.0000000000000007E-2</v>
      </c>
      <c r="X233" s="3">
        <v>3.249999999999998E-2</v>
      </c>
      <c r="Y233" s="4">
        <f t="shared" si="117"/>
        <v>0.10362227602905562</v>
      </c>
      <c r="Z233" s="4">
        <f>15.73*0.007902</f>
        <v>0.12429845999999999</v>
      </c>
      <c r="AA233" s="54">
        <v>195</v>
      </c>
      <c r="AB233" s="4">
        <v>0.13100000000000001</v>
      </c>
      <c r="AC233" s="4">
        <f t="shared" si="128"/>
        <v>0.54062227602905566</v>
      </c>
      <c r="AD233" s="35">
        <f t="shared" si="118"/>
        <v>0.97992073602905572</v>
      </c>
      <c r="AE233" s="4">
        <v>0.1</v>
      </c>
      <c r="AF233" s="4">
        <f t="shared" si="119"/>
        <v>0.39312123330104987</v>
      </c>
      <c r="AG233" s="4">
        <f t="shared" si="139"/>
        <v>0.6357676555878391</v>
      </c>
      <c r="AH233" s="43">
        <v>1273868662</v>
      </c>
      <c r="AI233" s="32">
        <f t="shared" si="140"/>
        <v>41.09253748387097</v>
      </c>
      <c r="AJ233" s="32">
        <f t="shared" si="136"/>
        <v>42.524910738178441</v>
      </c>
      <c r="AK233" s="24">
        <f t="shared" si="141"/>
        <v>500784819.46899825</v>
      </c>
      <c r="AL233" s="2">
        <v>251.233</v>
      </c>
      <c r="AM233" s="95">
        <f t="shared" si="113"/>
        <v>0.81656379704294524</v>
      </c>
      <c r="AN233" s="1">
        <f t="shared" si="114"/>
        <v>0.48143358146010801</v>
      </c>
      <c r="AO233" s="1">
        <f t="shared" si="97"/>
        <v>8.1433581460107984E-2</v>
      </c>
      <c r="AP233" s="110">
        <f t="shared" si="98"/>
        <v>103735687.45645577</v>
      </c>
      <c r="AQ233" s="1">
        <f t="shared" si="133"/>
        <v>0.29695430803870787</v>
      </c>
      <c r="AR233" s="15">
        <f t="shared" si="142"/>
        <v>613.28315225645576</v>
      </c>
      <c r="AS233" s="7">
        <v>31</v>
      </c>
      <c r="AT233" s="1">
        <f t="shared" si="143"/>
        <v>19.783327492143734</v>
      </c>
      <c r="AU233" s="16">
        <f t="shared" si="103"/>
        <v>22849.563263176129</v>
      </c>
      <c r="AV233" s="4">
        <f t="shared" si="144"/>
        <v>22.84956326317613</v>
      </c>
      <c r="AW233" s="4">
        <f t="shared" si="115"/>
        <v>3.9201364470431832</v>
      </c>
      <c r="AY233" s="4">
        <f>(O233-P233-AG233-(SpotGasPrices!K231-(SpotGasPrices!L231+SpotGasPrices!M231)/2))*($AL$279/AL233)</f>
        <v>0.23619714360180585</v>
      </c>
      <c r="AZ233" s="1">
        <f t="shared" si="134"/>
        <v>0.11012776862711086</v>
      </c>
    </row>
    <row r="234" spans="1:52">
      <c r="A234" s="33" t="s">
        <v>39</v>
      </c>
      <c r="B234" s="26" t="s">
        <v>33</v>
      </c>
      <c r="C234" s="29">
        <v>43483</v>
      </c>
      <c r="D234" s="2">
        <v>2019</v>
      </c>
      <c r="E234" s="2">
        <v>1</v>
      </c>
      <c r="F234" s="4">
        <v>1.1744779999999999</v>
      </c>
      <c r="G234" s="4">
        <f>AVERAGE(H234:H245)</f>
        <v>1.1091065495278014</v>
      </c>
      <c r="H234" s="4">
        <f t="shared" si="129"/>
        <v>0.79009049802798859</v>
      </c>
      <c r="I234" s="4">
        <f>AVERAGE(J234:J245)</f>
        <v>0.59974552286491856</v>
      </c>
      <c r="J234" s="4">
        <f t="shared" si="130"/>
        <v>0.33732886458436584</v>
      </c>
      <c r="K234">
        <v>59.41</v>
      </c>
      <c r="L234" s="4">
        <v>2.2480000000000002</v>
      </c>
      <c r="O234" s="4">
        <v>3.1560000000000001</v>
      </c>
      <c r="P234" s="4">
        <f t="shared" si="107"/>
        <v>2.1471111111111112</v>
      </c>
      <c r="Q234" s="4">
        <f t="shared" si="108"/>
        <v>3.857621710526316</v>
      </c>
      <c r="R234" s="4">
        <f t="shared" si="109"/>
        <v>2.6244431042884995</v>
      </c>
      <c r="S234" s="4">
        <f>0.2868</f>
        <v>0.2868</v>
      </c>
      <c r="T234" s="4">
        <f t="shared" si="116"/>
        <v>0.26129539951573849</v>
      </c>
      <c r="U234" s="4">
        <v>0.18400000000000008</v>
      </c>
      <c r="V234" s="4">
        <v>0.41699999999999998</v>
      </c>
      <c r="W234" s="4">
        <v>2.0000000000000007E-2</v>
      </c>
      <c r="X234" s="3">
        <v>3.249999999999998E-2</v>
      </c>
      <c r="Y234" s="4">
        <f t="shared" si="117"/>
        <v>9.9341404358353452E-2</v>
      </c>
      <c r="Z234" s="4">
        <f>15.62*0.007902</f>
        <v>0.12342923999999998</v>
      </c>
      <c r="AA234" s="54">
        <v>188</v>
      </c>
      <c r="AB234" s="4">
        <v>0.14000000000000001</v>
      </c>
      <c r="AC234" s="4">
        <f t="shared" si="128"/>
        <v>0.53634140435835342</v>
      </c>
      <c r="AD234" s="35">
        <f t="shared" si="118"/>
        <v>0.9837706443583536</v>
      </c>
      <c r="AE234" s="4">
        <v>0.1</v>
      </c>
      <c r="AF234" s="4">
        <f t="shared" si="119"/>
        <v>0.37041364404627397</v>
      </c>
      <c r="AG234" s="4">
        <f t="shared" si="139"/>
        <v>0.63847524484261498</v>
      </c>
      <c r="AH234" s="44">
        <v>1231039407</v>
      </c>
      <c r="AI234" s="32">
        <f t="shared" si="140"/>
        <v>39.710948612903223</v>
      </c>
      <c r="AJ234" s="32">
        <f>AVERAGE(AI234:AI245)</f>
        <v>42.256996420583718</v>
      </c>
      <c r="AK234" s="24">
        <f t="shared" si="141"/>
        <v>455993792.71143419</v>
      </c>
      <c r="AL234" s="34">
        <v>251.71199999999999</v>
      </c>
      <c r="AM234" s="95">
        <f t="shared" si="113"/>
        <v>0.81812065485534868</v>
      </c>
      <c r="AN234" s="1">
        <f t="shared" si="114"/>
        <v>0.45276163344362275</v>
      </c>
      <c r="AO234" s="1">
        <f t="shared" si="97"/>
        <v>5.2761633443622724E-2</v>
      </c>
      <c r="AP234" s="110">
        <f t="shared" si="98"/>
        <v>64951649.946788684</v>
      </c>
      <c r="AQ234" s="1">
        <f>AVERAGE(AN$234:AN$245)</f>
        <v>0.50936102666288274</v>
      </c>
      <c r="AR234" s="15">
        <f t="shared" si="142"/>
        <v>557.36741274678877</v>
      </c>
      <c r="AS234" s="7">
        <v>31</v>
      </c>
      <c r="AT234" s="1">
        <f t="shared" si="143"/>
        <v>17.97959395957383</v>
      </c>
      <c r="AU234" s="16">
        <f t="shared" si="103"/>
        <v>23406.930675922918</v>
      </c>
      <c r="AV234" s="4">
        <f t="shared" si="144"/>
        <v>23.406930675922919</v>
      </c>
      <c r="AW234" s="4">
        <f t="shared" si="115"/>
        <v>3.7510349923722357</v>
      </c>
      <c r="AY234" s="4">
        <f>(O234-P234-AG234-(SpotGasPrices!K232-(SpotGasPrices!L232+SpotGasPrices!M232)/2))*($AL$279/AL234)</f>
        <v>0.18044866708586882</v>
      </c>
      <c r="AZ234" s="1">
        <f>AVERAGE($AY234:$AY245)</f>
        <v>0.20852609487102344</v>
      </c>
    </row>
    <row r="235" spans="1:52">
      <c r="C235" s="28">
        <v>43514</v>
      </c>
      <c r="D235" s="2">
        <v>2019</v>
      </c>
      <c r="E235" s="2">
        <v>2</v>
      </c>
      <c r="F235" s="4">
        <v>1.228084</v>
      </c>
      <c r="G235" s="4">
        <f>G234</f>
        <v>1.1091065495278014</v>
      </c>
      <c r="H235" s="4">
        <f t="shared" si="129"/>
        <v>0.65514971885921491</v>
      </c>
      <c r="I235" s="4">
        <f>I234</f>
        <v>0.59974552286491856</v>
      </c>
      <c r="J235" s="4">
        <f t="shared" si="130"/>
        <v>0.28522916503104312</v>
      </c>
      <c r="K235">
        <v>63.96</v>
      </c>
      <c r="L235" s="4">
        <v>2.3090000000000002</v>
      </c>
      <c r="O235" s="4">
        <v>3.1579999999999999</v>
      </c>
      <c r="P235" s="4">
        <f t="shared" si="107"/>
        <v>2.2146666666666666</v>
      </c>
      <c r="Q235" s="4">
        <f t="shared" si="108"/>
        <v>3.8438183134474788</v>
      </c>
      <c r="R235" s="4">
        <f t="shared" si="109"/>
        <v>2.6956226382251476</v>
      </c>
      <c r="S235" s="4">
        <f t="shared" ref="S235:S242" si="145">0.2868</f>
        <v>0.2868</v>
      </c>
      <c r="T235" s="4">
        <f t="shared" si="116"/>
        <v>0.26128840462738767</v>
      </c>
      <c r="U235" s="4">
        <v>0.18400000000000008</v>
      </c>
      <c r="V235" s="4">
        <v>0.41699999999999998</v>
      </c>
      <c r="W235" s="4">
        <v>2.0000000000000007E-2</v>
      </c>
      <c r="X235" s="3">
        <v>3.249999999999998E-2</v>
      </c>
      <c r="Y235" s="4">
        <f t="shared" si="117"/>
        <v>9.940435835351083E-2</v>
      </c>
      <c r="Z235" s="4">
        <f>15.73*0.007902</f>
        <v>0.12429845999999999</v>
      </c>
      <c r="AA235" s="54">
        <v>193</v>
      </c>
      <c r="AB235" s="4">
        <v>0.14000000000000001</v>
      </c>
      <c r="AC235" s="4">
        <f t="shared" si="128"/>
        <v>0.53640435835351086</v>
      </c>
      <c r="AD235" s="35">
        <f t="shared" si="118"/>
        <v>0.98470281835351092</v>
      </c>
      <c r="AE235" s="4">
        <v>0.1</v>
      </c>
      <c r="AF235" s="4">
        <f t="shared" si="119"/>
        <v>0.30391891960720985</v>
      </c>
      <c r="AG235" s="4">
        <f t="shared" si="139"/>
        <v>0.63941441372612351</v>
      </c>
      <c r="AH235" s="47">
        <v>1146563762</v>
      </c>
      <c r="AI235" s="32">
        <f t="shared" si="140"/>
        <v>40.948705785714289</v>
      </c>
      <c r="AJ235" s="32">
        <f>AJ234</f>
        <v>42.256996420583718</v>
      </c>
      <c r="AK235" s="24">
        <f t="shared" si="141"/>
        <v>348462419.80781811</v>
      </c>
      <c r="AL235" s="34">
        <v>252.77600000000001</v>
      </c>
      <c r="AM235" s="95">
        <f t="shared" si="113"/>
        <v>0.82157889433843301</v>
      </c>
      <c r="AN235" s="1">
        <f t="shared" si="114"/>
        <v>0.36992055382817141</v>
      </c>
      <c r="AO235" s="1">
        <f t="shared" si="97"/>
        <v>0</v>
      </c>
      <c r="AP235" s="110">
        <f t="shared" si="98"/>
        <v>0</v>
      </c>
      <c r="AQ235" s="1">
        <f t="shared" ref="AQ235:AQ245" si="146">AVERAGE(AN$234:AN$245)</f>
        <v>0.50936102666288274</v>
      </c>
      <c r="AR235" s="15">
        <f t="shared" si="142"/>
        <v>424.13750183835174</v>
      </c>
      <c r="AS235" s="7">
        <v>28</v>
      </c>
      <c r="AT235" s="1">
        <f t="shared" si="143"/>
        <v>15.147767922798277</v>
      </c>
      <c r="AU235" s="16">
        <f t="shared" si="103"/>
        <v>23831.06817776127</v>
      </c>
      <c r="AV235" s="4">
        <f t="shared" si="144"/>
        <v>23.831068177761271</v>
      </c>
      <c r="AW235" s="4">
        <f t="shared" si="115"/>
        <v>3.7376129854100073</v>
      </c>
      <c r="AY235" s="4">
        <f>(O235-P235-AG235-(SpotGasPrices!K233-(SpotGasPrices!L233+SpotGasPrices!M233)/2))*($AL$279/AL235)</f>
        <v>6.9781508924259992E-3</v>
      </c>
      <c r="AZ235" s="1">
        <f t="shared" ref="AZ235:AZ245" si="147">AZ234</f>
        <v>0.20852609487102344</v>
      </c>
    </row>
    <row r="236" spans="1:52">
      <c r="C236" s="28">
        <v>43542</v>
      </c>
      <c r="D236" s="2">
        <v>2019</v>
      </c>
      <c r="E236" s="2">
        <v>3</v>
      </c>
      <c r="F236" s="4">
        <v>1.3388949999999999</v>
      </c>
      <c r="G236" s="4">
        <f t="shared" ref="G236:I245" si="148">G235</f>
        <v>1.1091065495278014</v>
      </c>
      <c r="H236" s="4">
        <f t="shared" si="129"/>
        <v>0.71709619550173931</v>
      </c>
      <c r="I236" s="4">
        <f t="shared" si="148"/>
        <v>0.59974552286491856</v>
      </c>
      <c r="J236" s="4">
        <f t="shared" si="130"/>
        <v>0.48435501767378653</v>
      </c>
      <c r="K236">
        <v>66.14</v>
      </c>
      <c r="L236" s="4">
        <v>2.516</v>
      </c>
      <c r="O236" s="4">
        <v>3.2679999999999998</v>
      </c>
      <c r="P236" s="4">
        <f t="shared" si="107"/>
        <v>2.4324444444444446</v>
      </c>
      <c r="Q236" s="4">
        <f t="shared" si="108"/>
        <v>3.9553930653574714</v>
      </c>
      <c r="R236" s="4">
        <f t="shared" si="109"/>
        <v>2.9440862568613415</v>
      </c>
      <c r="S236" s="4">
        <f t="shared" si="145"/>
        <v>0.2868</v>
      </c>
      <c r="T236" s="4">
        <f t="shared" si="116"/>
        <v>0.26090368576809253</v>
      </c>
      <c r="U236" s="4">
        <v>0.18400000000000008</v>
      </c>
      <c r="V236" s="4">
        <v>0.41699999999999998</v>
      </c>
      <c r="W236" s="4">
        <v>2.0000000000000007E-2</v>
      </c>
      <c r="X236" s="3">
        <v>3.249999999999998E-2</v>
      </c>
      <c r="Y236" s="4">
        <f t="shared" si="117"/>
        <v>0.102866828087167</v>
      </c>
      <c r="Z236" s="4">
        <f t="shared" ref="Z236:Z237" si="149">15.73*0.007902</f>
        <v>0.12429845999999999</v>
      </c>
      <c r="AA236" s="54">
        <v>192</v>
      </c>
      <c r="AB236" s="4">
        <v>0.14000000000000001</v>
      </c>
      <c r="AC236" s="4">
        <f t="shared" si="128"/>
        <v>0.53986682808716702</v>
      </c>
      <c r="AD236" s="35">
        <f t="shared" si="118"/>
        <v>0.98816528808716708</v>
      </c>
      <c r="AE236" s="4">
        <v>0.1</v>
      </c>
      <c r="AF236" s="4">
        <f t="shared" si="119"/>
        <v>0.19229395323648069</v>
      </c>
      <c r="AG236" s="4">
        <f t="shared" si="139"/>
        <v>0.64326160231907448</v>
      </c>
      <c r="AH236" s="48">
        <v>1291224740</v>
      </c>
      <c r="AI236" s="32">
        <f t="shared" si="140"/>
        <v>41.652410967741936</v>
      </c>
      <c r="AJ236" s="32">
        <f t="shared" ref="AJ236:AJ245" si="150">AJ235</f>
        <v>42.256996420583718</v>
      </c>
      <c r="AK236" s="24">
        <f t="shared" si="141"/>
        <v>248294709.77134693</v>
      </c>
      <c r="AL236" s="34">
        <v>254.202</v>
      </c>
      <c r="AM236" s="95">
        <f t="shared" si="113"/>
        <v>0.82621371529978449</v>
      </c>
      <c r="AN236" s="1">
        <f t="shared" si="114"/>
        <v>0.23274117782795278</v>
      </c>
      <c r="AO236" s="1">
        <f t="shared" si="97"/>
        <v>0</v>
      </c>
      <c r="AP236" s="110">
        <f t="shared" si="98"/>
        <v>0</v>
      </c>
      <c r="AQ236" s="1">
        <f t="shared" si="146"/>
        <v>0.50936102666288274</v>
      </c>
      <c r="AR236" s="15">
        <f t="shared" si="142"/>
        <v>300.52116682819207</v>
      </c>
      <c r="AS236" s="7">
        <v>31</v>
      </c>
      <c r="AT236" s="1">
        <f t="shared" si="143"/>
        <v>9.6942311880061958</v>
      </c>
      <c r="AU236" s="16">
        <f t="shared" si="103"/>
        <v>24131.589344589462</v>
      </c>
      <c r="AV236" s="4">
        <f t="shared" si="144"/>
        <v>24.131589344589461</v>
      </c>
      <c r="AW236" s="4">
        <f t="shared" si="115"/>
        <v>3.8461049086946604</v>
      </c>
      <c r="AY236" s="4">
        <f>(O236-P236-AG236-(SpotGasPrices!K234-(SpotGasPrices!L234+SpotGasPrices!M234)/2))*($AL$279/AL236)</f>
        <v>3.2754722303918993E-3</v>
      </c>
      <c r="AZ236" s="1">
        <f t="shared" si="147"/>
        <v>0.20852609487102344</v>
      </c>
    </row>
    <row r="237" spans="1:52">
      <c r="C237" s="28">
        <v>43556</v>
      </c>
      <c r="D237" s="2">
        <v>2019</v>
      </c>
      <c r="E237" s="2">
        <v>4</v>
      </c>
      <c r="F237" s="4">
        <v>1.2827900000000001</v>
      </c>
      <c r="G237" s="4">
        <f t="shared" si="148"/>
        <v>1.1091065495278014</v>
      </c>
      <c r="H237" s="4">
        <f t="shared" si="129"/>
        <v>1.2219521302579961</v>
      </c>
      <c r="I237" s="4">
        <f t="shared" si="148"/>
        <v>0.59974552286491856</v>
      </c>
      <c r="J237" s="4">
        <f t="shared" si="130"/>
        <v>0.6404511213071381</v>
      </c>
      <c r="K237">
        <v>71.23</v>
      </c>
      <c r="L237" s="4">
        <v>2.798</v>
      </c>
      <c r="O237" s="4">
        <v>3.82</v>
      </c>
      <c r="P237" s="4">
        <f t="shared" si="107"/>
        <v>2.6844444444444444</v>
      </c>
      <c r="Q237" s="4">
        <f t="shared" si="108"/>
        <v>4.5991485748274297</v>
      </c>
      <c r="R237" s="4">
        <f t="shared" si="109"/>
        <v>3.2319787541544707</v>
      </c>
      <c r="S237" s="4">
        <f t="shared" si="145"/>
        <v>0.2868</v>
      </c>
      <c r="T237" s="4">
        <f t="shared" si="116"/>
        <v>0.25897309658326606</v>
      </c>
      <c r="U237" s="4">
        <v>0.18400000000000008</v>
      </c>
      <c r="V237" s="4">
        <v>0.41699999999999998</v>
      </c>
      <c r="W237" s="4">
        <v>2.0000000000000007E-2</v>
      </c>
      <c r="X237" s="3">
        <v>3.249999999999998E-2</v>
      </c>
      <c r="Y237" s="4">
        <f t="shared" si="117"/>
        <v>0.12024213075060525</v>
      </c>
      <c r="Z237" s="4">
        <f t="shared" si="149"/>
        <v>0.12429845999999999</v>
      </c>
      <c r="AA237" s="54">
        <v>175</v>
      </c>
      <c r="AB237" s="4">
        <v>0.13</v>
      </c>
      <c r="AC237" s="4">
        <f t="shared" si="128"/>
        <v>0.55724213075060525</v>
      </c>
      <c r="AD237" s="4">
        <f t="shared" si="118"/>
        <v>0.99554059075060541</v>
      </c>
      <c r="AE237" s="4">
        <v>0.1</v>
      </c>
      <c r="AF237" s="4">
        <f t="shared" si="119"/>
        <v>0.48298806138821604</v>
      </c>
      <c r="AG237" s="4">
        <f t="shared" si="139"/>
        <v>0.65256749416733939</v>
      </c>
      <c r="AH237" s="49">
        <v>1276843472</v>
      </c>
      <c r="AI237" s="32">
        <f t="shared" si="140"/>
        <v>42.561449066666668</v>
      </c>
      <c r="AJ237" s="32">
        <f t="shared" si="150"/>
        <v>42.256996420583718</v>
      </c>
      <c r="AK237" s="24">
        <f t="shared" si="141"/>
        <v>616700153.23747885</v>
      </c>
      <c r="AL237" s="2">
        <v>255.548</v>
      </c>
      <c r="AM237" s="95">
        <f t="shared" si="113"/>
        <v>0.83058851825488922</v>
      </c>
      <c r="AN237" s="1">
        <f t="shared" si="114"/>
        <v>0.58150100895085777</v>
      </c>
      <c r="AO237" s="1">
        <f t="shared" si="97"/>
        <v>0.18150100895085775</v>
      </c>
      <c r="AP237" s="110">
        <f t="shared" si="98"/>
        <v>231748378.44031629</v>
      </c>
      <c r="AQ237" s="1">
        <f t="shared" si="146"/>
        <v>0.50936102666288274</v>
      </c>
      <c r="AR237" s="15">
        <f t="shared" si="142"/>
        <v>742.48576724031625</v>
      </c>
      <c r="AS237" s="7">
        <v>30</v>
      </c>
      <c r="AT237" s="1">
        <f t="shared" si="143"/>
        <v>24.749525574677207</v>
      </c>
      <c r="AU237" s="16">
        <f t="shared" si="103"/>
        <v>24874.075111829778</v>
      </c>
      <c r="AV237" s="4">
        <f t="shared" si="144"/>
        <v>24.874075111829779</v>
      </c>
      <c r="AW237" s="4">
        <f t="shared" si="115"/>
        <v>4.4720733482555133</v>
      </c>
      <c r="AY237" s="4">
        <f>(O237-P237-AG237-(SpotGasPrices!K235-(SpotGasPrices!L235+SpotGasPrices!M235)/2))*($AL$279/AL237)</f>
        <v>-5.8447643870230201E-3</v>
      </c>
      <c r="AZ237" s="1">
        <f t="shared" si="147"/>
        <v>0.20852609487102344</v>
      </c>
    </row>
    <row r="238" spans="1:52">
      <c r="C238" s="28">
        <v>43604</v>
      </c>
      <c r="D238" s="2">
        <v>2019</v>
      </c>
      <c r="E238" s="2">
        <v>5</v>
      </c>
      <c r="F238" s="4">
        <v>1.2887</v>
      </c>
      <c r="G238" s="4">
        <f t="shared" si="148"/>
        <v>1.1091065495278014</v>
      </c>
      <c r="H238" s="4">
        <f t="shared" si="129"/>
        <v>1.3470072030872977</v>
      </c>
      <c r="I238" s="4">
        <f t="shared" si="148"/>
        <v>0.59974552286491856</v>
      </c>
      <c r="J238" s="4">
        <f t="shared" si="130"/>
        <v>0.70150481342818971</v>
      </c>
      <c r="K238">
        <v>71.319999999999993</v>
      </c>
      <c r="L238" s="4">
        <v>2.859</v>
      </c>
      <c r="O238" s="4">
        <v>3.9470000000000001</v>
      </c>
      <c r="P238" s="4">
        <f t="shared" si="107"/>
        <v>2.7381111111111109</v>
      </c>
      <c r="Q238" s="4">
        <f t="shared" si="108"/>
        <v>4.7419577222248259</v>
      </c>
      <c r="R238" s="4">
        <f t="shared" si="109"/>
        <v>3.2895888339607122</v>
      </c>
      <c r="S238" s="4">
        <f t="shared" si="145"/>
        <v>0.2868</v>
      </c>
      <c r="T238" s="4">
        <f t="shared" si="116"/>
        <v>0.25852892117298898</v>
      </c>
      <c r="U238" s="4">
        <v>0.18400000000000008</v>
      </c>
      <c r="V238" s="4">
        <v>0.41699999999999998</v>
      </c>
      <c r="W238" s="4">
        <v>2.0000000000000007E-2</v>
      </c>
      <c r="X238" s="3">
        <v>3.249999999999998E-2</v>
      </c>
      <c r="Y238" s="4">
        <f t="shared" si="117"/>
        <v>0.1242397094430992</v>
      </c>
      <c r="Z238" s="4">
        <f>17.45*0.007902</f>
        <v>0.13788989999999998</v>
      </c>
      <c r="AA238" s="54">
        <v>185</v>
      </c>
      <c r="AB238" s="4">
        <v>0.13100000000000001</v>
      </c>
      <c r="AC238" s="4">
        <f t="shared" si="128"/>
        <v>0.5612397094430992</v>
      </c>
      <c r="AD238" s="4">
        <f t="shared" si="118"/>
        <v>1.0141296094430994</v>
      </c>
      <c r="AE238" s="4">
        <v>0.1</v>
      </c>
      <c r="AF238" s="4">
        <f t="shared" si="119"/>
        <v>0.53728820061877913</v>
      </c>
      <c r="AG238" s="4">
        <f t="shared" si="139"/>
        <v>0.67160068827010999</v>
      </c>
      <c r="AH238" s="50">
        <v>1294569692</v>
      </c>
      <c r="AI238" s="32">
        <f t="shared" si="140"/>
        <v>41.760312645161292</v>
      </c>
      <c r="AJ238" s="32">
        <f t="shared" si="150"/>
        <v>42.256996420583718</v>
      </c>
      <c r="AK238" s="24">
        <f t="shared" si="141"/>
        <v>695557020.39028716</v>
      </c>
      <c r="AL238" s="2">
        <v>256.09199999999998</v>
      </c>
      <c r="AM238" s="95">
        <f t="shared" si="113"/>
        <v>0.83235664069736826</v>
      </c>
      <c r="AN238" s="1">
        <f t="shared" si="114"/>
        <v>0.64550238965910844</v>
      </c>
      <c r="AO238" s="1">
        <f t="shared" si="97"/>
        <v>0.24550238965910842</v>
      </c>
      <c r="AP238" s="110">
        <f t="shared" si="98"/>
        <v>317819952.96625596</v>
      </c>
      <c r="AQ238" s="1">
        <f t="shared" si="146"/>
        <v>0.50936102666288274</v>
      </c>
      <c r="AR238" s="15">
        <f t="shared" si="142"/>
        <v>835.64782976625611</v>
      </c>
      <c r="AS238" s="7">
        <v>31</v>
      </c>
      <c r="AT238" s="1">
        <f t="shared" si="143"/>
        <v>26.956381605363099</v>
      </c>
      <c r="AU238" s="16">
        <f t="shared" si="103"/>
        <v>25709.722941596032</v>
      </c>
      <c r="AV238" s="4">
        <f t="shared" si="144"/>
        <v>25.709722941596031</v>
      </c>
      <c r="AW238" s="4">
        <f t="shared" si="115"/>
        <v>4.6109366555769027</v>
      </c>
      <c r="AY238" s="4">
        <f>(O238-P238-AG238-(SpotGasPrices!K236-(SpotGasPrices!L236+SpotGasPrices!M236)/2))*($AL$279/AL238)</f>
        <v>0.22900069210597598</v>
      </c>
      <c r="AZ238" s="1">
        <f t="shared" si="147"/>
        <v>0.20852609487102344</v>
      </c>
    </row>
    <row r="239" spans="1:52">
      <c r="A239" s="2">
        <v>2019</v>
      </c>
      <c r="B239" s="2">
        <v>2019</v>
      </c>
      <c r="C239" s="28">
        <v>43635</v>
      </c>
      <c r="D239" s="2">
        <v>2019</v>
      </c>
      <c r="E239" s="2">
        <v>6</v>
      </c>
      <c r="F239" s="4">
        <v>1.4637500000000001</v>
      </c>
      <c r="G239" s="4">
        <f t="shared" si="148"/>
        <v>1.1091065495278014</v>
      </c>
      <c r="H239" s="4">
        <f t="shared" si="129"/>
        <v>1.2838454523336575</v>
      </c>
      <c r="I239" s="4">
        <f t="shared" si="148"/>
        <v>0.59974552286491856</v>
      </c>
      <c r="J239" s="4">
        <f t="shared" si="130"/>
        <v>0.74492223010844194</v>
      </c>
      <c r="K239">
        <v>64.22</v>
      </c>
      <c r="L239" s="4">
        <v>2.7160000000000002</v>
      </c>
      <c r="O239" s="4">
        <v>3.7170000000000001</v>
      </c>
      <c r="P239" s="4">
        <f t="shared" si="107"/>
        <v>2.6047777777777776</v>
      </c>
      <c r="Q239" s="4">
        <f t="shared" si="108"/>
        <v>4.4647447207224094</v>
      </c>
      <c r="R239" s="4">
        <f t="shared" si="109"/>
        <v>3.1287780016110793</v>
      </c>
      <c r="S239" s="4">
        <f t="shared" si="145"/>
        <v>0.2868</v>
      </c>
      <c r="T239" s="4">
        <f t="shared" si="116"/>
        <v>0.2593333333333333</v>
      </c>
      <c r="U239" s="4">
        <v>0.18400000000000008</v>
      </c>
      <c r="V239" s="4">
        <v>0.41699999999999998</v>
      </c>
      <c r="W239" s="4">
        <v>2.0000000000000007E-2</v>
      </c>
      <c r="X239" s="3">
        <v>3.249999999999998E-2</v>
      </c>
      <c r="Y239" s="4">
        <f t="shared" si="117"/>
        <v>0.11699999999999994</v>
      </c>
      <c r="Z239" s="4">
        <f>17.45*0.007902</f>
        <v>0.13788989999999998</v>
      </c>
      <c r="AA239" s="54">
        <v>185</v>
      </c>
      <c r="AB239" s="4">
        <v>0.13100000000000001</v>
      </c>
      <c r="AC239" s="4">
        <f t="shared" si="128"/>
        <v>0.55399999999999994</v>
      </c>
      <c r="AD239" s="4">
        <f t="shared" si="118"/>
        <v>1.0068899</v>
      </c>
      <c r="AE239" s="4">
        <v>0.1</v>
      </c>
      <c r="AF239" s="4">
        <f t="shared" si="119"/>
        <v>0.44866565555555571</v>
      </c>
      <c r="AG239" s="4">
        <f t="shared" si="139"/>
        <v>0.66355656666666674</v>
      </c>
      <c r="AH239" s="51">
        <v>1282276623</v>
      </c>
      <c r="AI239" s="32">
        <f t="shared" si="140"/>
        <v>42.7425541</v>
      </c>
      <c r="AJ239" s="32">
        <f t="shared" si="150"/>
        <v>42.256996420583718</v>
      </c>
      <c r="AK239" s="24">
        <f t="shared" si="141"/>
        <v>575313481.66185915</v>
      </c>
      <c r="AL239" s="2">
        <v>256.14299999999997</v>
      </c>
      <c r="AM239" s="95">
        <f t="shared" si="113"/>
        <v>0.83252240217635065</v>
      </c>
      <c r="AN239" s="4">
        <f t="shared" si="114"/>
        <v>0.5389232222252156</v>
      </c>
      <c r="AO239" s="1">
        <f t="shared" si="97"/>
        <v>0.13892322222521558</v>
      </c>
      <c r="AP239" s="110">
        <f t="shared" si="98"/>
        <v>178138000.25122797</v>
      </c>
      <c r="AQ239" s="1">
        <f t="shared" si="146"/>
        <v>0.50936102666288274</v>
      </c>
      <c r="AR239" s="16">
        <f t="shared" si="142"/>
        <v>691.0486494512279</v>
      </c>
      <c r="AS239" s="7">
        <v>30</v>
      </c>
      <c r="AT239" s="1">
        <f t="shared" si="143"/>
        <v>23.034954981707596</v>
      </c>
      <c r="AU239" s="16">
        <f t="shared" si="103"/>
        <v>26400.771591047262</v>
      </c>
      <c r="AV239" s="4">
        <f t="shared" si="144"/>
        <v>26.400771591047263</v>
      </c>
      <c r="AW239" s="4">
        <f t="shared" si="115"/>
        <v>4.3413830945995011</v>
      </c>
      <c r="AY239" s="4">
        <f>(O239-P239-AG239-(SpotGasPrices!K237-(SpotGasPrices!L237+SpotGasPrices!M237)/2))*($AL$279/AL239)</f>
        <v>0.38238917067193812</v>
      </c>
      <c r="AZ239" s="1">
        <f t="shared" si="147"/>
        <v>0.20852609487102344</v>
      </c>
    </row>
    <row r="240" spans="1:52">
      <c r="C240" s="28">
        <v>43665</v>
      </c>
      <c r="D240" s="2">
        <v>2019</v>
      </c>
      <c r="E240" s="2">
        <v>7</v>
      </c>
      <c r="F240" s="4">
        <v>1.4602360000000001</v>
      </c>
      <c r="G240" s="4">
        <f t="shared" si="148"/>
        <v>1.1091065495278014</v>
      </c>
      <c r="H240" s="4">
        <f t="shared" si="129"/>
        <v>1.0754955943360247</v>
      </c>
      <c r="I240" s="4">
        <f t="shared" si="148"/>
        <v>0.59974552286491856</v>
      </c>
      <c r="J240" s="4">
        <f t="shared" si="130"/>
        <v>0.80749646324569935</v>
      </c>
      <c r="K240">
        <v>63.92</v>
      </c>
      <c r="L240" s="4">
        <v>2.74</v>
      </c>
      <c r="O240" s="4">
        <v>3.5950000000000002</v>
      </c>
      <c r="P240" s="4">
        <f t="shared" si="107"/>
        <v>2.645</v>
      </c>
      <c r="Q240" s="4">
        <f t="shared" si="108"/>
        <v>4.3109986904209743</v>
      </c>
      <c r="R240" s="4">
        <f t="shared" si="109"/>
        <v>3.1717918042179356</v>
      </c>
      <c r="S240" s="4">
        <f t="shared" si="145"/>
        <v>0.2868</v>
      </c>
      <c r="T240" s="4">
        <f t="shared" si="116"/>
        <v>0.25353779930051118</v>
      </c>
      <c r="U240" s="4">
        <v>0.18400000000000008</v>
      </c>
      <c r="V240" s="4">
        <v>0.47299999999999998</v>
      </c>
      <c r="W240" s="4">
        <v>2.0000000000000007E-2</v>
      </c>
      <c r="X240" s="3">
        <v>3.249999999999998E-2</v>
      </c>
      <c r="Y240" s="4">
        <f t="shared" si="117"/>
        <v>0.11315980629539946</v>
      </c>
      <c r="Z240" s="4">
        <f>17.45*0.007902</f>
        <v>0.13788989999999998</v>
      </c>
      <c r="AA240" s="54">
        <v>192</v>
      </c>
      <c r="AB240" s="4">
        <v>0.13600000000000001</v>
      </c>
      <c r="AC240" s="4">
        <f t="shared" si="128"/>
        <v>0.60615980629539945</v>
      </c>
      <c r="AD240" s="4">
        <f t="shared" si="118"/>
        <v>1.0640497062953995</v>
      </c>
      <c r="AE240" s="4">
        <v>0.1</v>
      </c>
      <c r="AF240" s="4">
        <f t="shared" si="119"/>
        <v>0.22348809300511219</v>
      </c>
      <c r="AG240" s="4">
        <f t="shared" si="139"/>
        <v>0.72651190699488799</v>
      </c>
      <c r="AH240" s="52">
        <v>1514230979</v>
      </c>
      <c r="AI240" s="32">
        <f t="shared" si="140"/>
        <v>48.846160612903226</v>
      </c>
      <c r="AJ240" s="32">
        <f t="shared" si="150"/>
        <v>42.256996420583718</v>
      </c>
      <c r="AK240" s="24">
        <f t="shared" si="141"/>
        <v>338412593.86597407</v>
      </c>
      <c r="AL240" s="2">
        <v>256.57100000000003</v>
      </c>
      <c r="AM240" s="95">
        <f t="shared" si="113"/>
        <v>0.83391349850977192</v>
      </c>
      <c r="AN240" s="4">
        <f t="shared" si="114"/>
        <v>0.26799913109032536</v>
      </c>
      <c r="AO240" s="1">
        <f t="shared" si="97"/>
        <v>0</v>
      </c>
      <c r="AP240" s="110">
        <f t="shared" si="98"/>
        <v>0</v>
      </c>
      <c r="AQ240" s="1">
        <f t="shared" si="146"/>
        <v>0.50936102666288274</v>
      </c>
      <c r="AR240" s="16">
        <f t="shared" si="142"/>
        <v>405.81258664205262</v>
      </c>
      <c r="AS240" s="7">
        <v>31</v>
      </c>
      <c r="AT240" s="1">
        <f t="shared" si="143"/>
        <v>13.090728601356536</v>
      </c>
      <c r="AU240" s="16">
        <f t="shared" si="103"/>
        <v>26806.584177689314</v>
      </c>
      <c r="AV240" s="4">
        <f t="shared" si="144"/>
        <v>26.806584177689313</v>
      </c>
      <c r="AW240" s="4">
        <f t="shared" si="115"/>
        <v>4.191885092235677</v>
      </c>
      <c r="AY240" s="4">
        <f>(O240-P240-AG240-(SpotGasPrices!K238-(SpotGasPrices!L238+SpotGasPrices!M238)/2))*($AL$279/AL240)</f>
        <v>0.20499421046275473</v>
      </c>
      <c r="AZ240" s="1">
        <f t="shared" si="147"/>
        <v>0.20852609487102344</v>
      </c>
    </row>
    <row r="241" spans="1:52">
      <c r="C241" s="28">
        <v>43696</v>
      </c>
      <c r="D241" s="2">
        <v>2019</v>
      </c>
      <c r="E241" s="2">
        <v>8</v>
      </c>
      <c r="F241" s="4">
        <v>1.330673</v>
      </c>
      <c r="G241" s="4">
        <f t="shared" si="148"/>
        <v>1.1091065495278014</v>
      </c>
      <c r="H241" s="4">
        <f t="shared" si="129"/>
        <v>1.0851060990807462</v>
      </c>
      <c r="I241" s="4">
        <f t="shared" si="148"/>
        <v>0.59974552286491856</v>
      </c>
      <c r="J241" s="4">
        <f t="shared" si="130"/>
        <v>0.80400940360001882</v>
      </c>
      <c r="K241">
        <v>59.04</v>
      </c>
      <c r="L241" s="4">
        <v>2.621</v>
      </c>
      <c r="O241" s="4">
        <v>3.4820000000000002</v>
      </c>
      <c r="P241" s="4">
        <f t="shared" si="107"/>
        <v>2.5253333333333337</v>
      </c>
      <c r="Q241" s="4">
        <f t="shared" si="108"/>
        <v>4.1757046048067101</v>
      </c>
      <c r="R241" s="4">
        <f t="shared" si="109"/>
        <v>3.0284451547018612</v>
      </c>
      <c r="S241" s="4">
        <f t="shared" si="145"/>
        <v>0.2868</v>
      </c>
      <c r="T241" s="4">
        <f t="shared" si="116"/>
        <v>0.25393301049233252</v>
      </c>
      <c r="U241" s="4">
        <v>0.18400000000000008</v>
      </c>
      <c r="V241" s="4">
        <v>0.47299999999999998</v>
      </c>
      <c r="W241" s="4">
        <v>2.0000000000000007E-2</v>
      </c>
      <c r="X241" s="3">
        <v>3.249999999999998E-2</v>
      </c>
      <c r="Y241" s="4">
        <f t="shared" si="117"/>
        <v>0.1096029055690072</v>
      </c>
      <c r="Z241" s="4">
        <f>17.16*0.007902</f>
        <v>0.13559831999999999</v>
      </c>
      <c r="AA241" s="54">
        <v>195</v>
      </c>
      <c r="AB241" s="4">
        <v>0.13800000000000001</v>
      </c>
      <c r="AC241" s="4">
        <f t="shared" si="128"/>
        <v>0.6026029055690072</v>
      </c>
      <c r="AD241" s="4">
        <f t="shared" si="118"/>
        <v>1.0602012255690072</v>
      </c>
      <c r="AE241" s="4">
        <v>0.1</v>
      </c>
      <c r="AF241" s="4">
        <f t="shared" si="119"/>
        <v>0.23439845158999217</v>
      </c>
      <c r="AG241" s="4">
        <f t="shared" si="139"/>
        <v>0.72226821507667438</v>
      </c>
      <c r="AH241" s="53">
        <v>1346921123</v>
      </c>
      <c r="AI241" s="32">
        <f t="shared" si="140"/>
        <v>43.449068483870967</v>
      </c>
      <c r="AJ241" s="32">
        <f t="shared" si="150"/>
        <v>42.256996420583718</v>
      </c>
      <c r="AK241" s="24">
        <f t="shared" si="141"/>
        <v>315716225.64505339</v>
      </c>
      <c r="AL241" s="2">
        <v>256.55799999999999</v>
      </c>
      <c r="AM241" s="95">
        <f t="shared" si="113"/>
        <v>0.83387124558375669</v>
      </c>
      <c r="AN241" s="4">
        <f t="shared" si="114"/>
        <v>0.28109669548072747</v>
      </c>
      <c r="AO241" s="1">
        <f t="shared" si="97"/>
        <v>0</v>
      </c>
      <c r="AP241" s="110">
        <f t="shared" si="98"/>
        <v>0</v>
      </c>
      <c r="AQ241" s="1">
        <f t="shared" si="146"/>
        <v>0.50936102666288274</v>
      </c>
      <c r="AR241" s="16">
        <f t="shared" si="142"/>
        <v>378.61507674849048</v>
      </c>
      <c r="AS241" s="7">
        <v>31</v>
      </c>
      <c r="AT241" s="1">
        <f t="shared" si="143"/>
        <v>12.21338957253195</v>
      </c>
      <c r="AU241" s="16">
        <f t="shared" si="103"/>
        <v>27185.199254437804</v>
      </c>
      <c r="AV241" s="4">
        <f t="shared" si="144"/>
        <v>27.185199254437805</v>
      </c>
      <c r="AW241" s="4">
        <f t="shared" si="115"/>
        <v>4.0603292043124757</v>
      </c>
      <c r="AY241" s="4">
        <f>(O241-P241-AG241-(SpotGasPrices!K239-(SpotGasPrices!L239+SpotGasPrices!M239)/2))*($AL$279/AL241)</f>
        <v>0.13636739978966453</v>
      </c>
      <c r="AZ241" s="1">
        <f t="shared" si="147"/>
        <v>0.20852609487102344</v>
      </c>
    </row>
    <row r="242" spans="1:52">
      <c r="C242" s="28">
        <v>43727</v>
      </c>
      <c r="D242" s="2">
        <v>2019</v>
      </c>
      <c r="E242" s="2">
        <v>9</v>
      </c>
      <c r="F242" s="4">
        <v>1.32907</v>
      </c>
      <c r="G242" s="4">
        <f t="shared" si="148"/>
        <v>1.1091065495278014</v>
      </c>
      <c r="H242" s="4">
        <f t="shared" si="129"/>
        <v>1.1226526601757278</v>
      </c>
      <c r="I242" s="4">
        <f t="shared" si="148"/>
        <v>0.59974552286491856</v>
      </c>
      <c r="J242" s="4">
        <f t="shared" si="130"/>
        <v>0.63939541477209738</v>
      </c>
      <c r="K242">
        <v>62.83</v>
      </c>
      <c r="L242" s="4">
        <v>2.5920000000000001</v>
      </c>
      <c r="O242" s="4">
        <v>3.609</v>
      </c>
      <c r="P242" s="4">
        <f t="shared" si="107"/>
        <v>2.4790000000000001</v>
      </c>
      <c r="Q242" s="4">
        <f t="shared" si="108"/>
        <v>4.3246181789148572</v>
      </c>
      <c r="R242" s="4">
        <f t="shared" si="109"/>
        <v>2.9705537449514914</v>
      </c>
      <c r="S242" s="4">
        <f t="shared" si="145"/>
        <v>0.2868</v>
      </c>
      <c r="T242" s="4">
        <f t="shared" si="116"/>
        <v>0.25348883508205544</v>
      </c>
      <c r="U242" s="4">
        <v>0.18400000000000008</v>
      </c>
      <c r="V242" s="4">
        <v>0.47299999999999998</v>
      </c>
      <c r="W242" s="4">
        <v>2.0000000000000007E-2</v>
      </c>
      <c r="X242" s="3">
        <v>3.249999999999998E-2</v>
      </c>
      <c r="Y242" s="4">
        <f t="shared" si="117"/>
        <v>0.11360048426150114</v>
      </c>
      <c r="Z242" s="4">
        <f>17.16*0.007902</f>
        <v>0.13559831999999999</v>
      </c>
      <c r="AA242" s="54">
        <v>195</v>
      </c>
      <c r="AB242" s="4">
        <v>0.13800000000000001</v>
      </c>
      <c r="AC242" s="4">
        <f t="shared" si="128"/>
        <v>0.60660048426150115</v>
      </c>
      <c r="AD242" s="4">
        <f t="shared" si="118"/>
        <v>1.0641988042615012</v>
      </c>
      <c r="AE242" s="4">
        <v>0.1</v>
      </c>
      <c r="AF242" s="4">
        <f t="shared" si="119"/>
        <v>0.40329003082055426</v>
      </c>
      <c r="AG242" s="4">
        <f t="shared" si="139"/>
        <v>0.72670996917944564</v>
      </c>
      <c r="AH242" s="55">
        <v>1273221583</v>
      </c>
      <c r="AI242" s="32">
        <f t="shared" si="140"/>
        <v>42.440719433333335</v>
      </c>
      <c r="AJ242" s="32">
        <f t="shared" si="150"/>
        <v>42.256996420583718</v>
      </c>
      <c r="AK242" s="24">
        <f t="shared" si="141"/>
        <v>513477571.44946486</v>
      </c>
      <c r="AL242" s="2">
        <v>256.75900000000001</v>
      </c>
      <c r="AM242" s="95">
        <f t="shared" si="113"/>
        <v>0.83452454082445215</v>
      </c>
      <c r="AN242" s="4">
        <f t="shared" si="114"/>
        <v>0.48325724540363041</v>
      </c>
      <c r="AO242" s="1">
        <f t="shared" si="97"/>
        <v>8.3257245403630387E-2</v>
      </c>
      <c r="AP242" s="110">
        <f t="shared" si="98"/>
        <v>106004921.78902976</v>
      </c>
      <c r="AQ242" s="1">
        <f t="shared" si="146"/>
        <v>0.50936102666288274</v>
      </c>
      <c r="AR242" s="16">
        <f t="shared" si="142"/>
        <v>615.29355498902976</v>
      </c>
      <c r="AS242" s="7">
        <v>30</v>
      </c>
      <c r="AT242" s="1">
        <f t="shared" si="143"/>
        <v>20.509785166300993</v>
      </c>
      <c r="AU242" s="16">
        <f t="shared" si="103"/>
        <v>27800.492809426833</v>
      </c>
      <c r="AV242" s="4">
        <f t="shared" si="144"/>
        <v>27.800492809426832</v>
      </c>
      <c r="AW242" s="4">
        <f t="shared" si="115"/>
        <v>4.2051282720372019</v>
      </c>
      <c r="AY242" s="4">
        <f>(O242-P242-AG242-(SpotGasPrices!K240-(SpotGasPrices!L240+SpotGasPrices!M240)/2))*($AL$279/AL242)</f>
        <v>5.5468367865955895E-2</v>
      </c>
      <c r="AZ242" s="1">
        <f t="shared" si="147"/>
        <v>0.20852609487102344</v>
      </c>
    </row>
    <row r="243" spans="1:52">
      <c r="C243" s="28">
        <v>43757</v>
      </c>
      <c r="D243" s="2">
        <v>2019</v>
      </c>
      <c r="E243" s="2">
        <v>10</v>
      </c>
      <c r="F243" s="4">
        <v>1.4809479999999999</v>
      </c>
      <c r="G243" s="4">
        <f t="shared" si="148"/>
        <v>1.1091065495278014</v>
      </c>
      <c r="H243" s="4">
        <f t="shared" si="129"/>
        <v>1.7062880044230841</v>
      </c>
      <c r="I243" s="4">
        <f t="shared" si="148"/>
        <v>0.59974552286491856</v>
      </c>
      <c r="J243" s="4">
        <f t="shared" si="130"/>
        <v>0.70548397967501419</v>
      </c>
      <c r="K243">
        <v>59.71</v>
      </c>
      <c r="L243" s="4">
        <v>2.6269999999999998</v>
      </c>
      <c r="O243" s="4">
        <v>4.04</v>
      </c>
      <c r="P243" s="4">
        <f t="shared" si="107"/>
        <v>2.4699999999999998</v>
      </c>
      <c r="Q243" s="4">
        <f t="shared" si="108"/>
        <v>4.8300375370124264</v>
      </c>
      <c r="R243" s="4">
        <f t="shared" si="109"/>
        <v>2.9530179991140328</v>
      </c>
      <c r="S243" s="4">
        <v>0.29659999999999997</v>
      </c>
      <c r="T243" s="4">
        <f t="shared" si="116"/>
        <v>0.26287032553134243</v>
      </c>
      <c r="U243" s="4">
        <v>0.18400000000000008</v>
      </c>
      <c r="V243" s="4">
        <v>0.47299999999999998</v>
      </c>
      <c r="W243" s="4">
        <v>2.0000000000000007E-2</v>
      </c>
      <c r="X243" s="3">
        <v>3.249999999999998E-2</v>
      </c>
      <c r="Y243" s="4">
        <f t="shared" si="117"/>
        <v>0.12716707021791759</v>
      </c>
      <c r="Z243" s="4">
        <f>17.16*0.007902</f>
        <v>0.13559831999999999</v>
      </c>
      <c r="AA243" s="54">
        <v>197</v>
      </c>
      <c r="AB243" s="4">
        <v>0.14000000000000001</v>
      </c>
      <c r="AC243" s="4">
        <f t="shared" si="128"/>
        <v>0.62016707021791762</v>
      </c>
      <c r="AD243" s="4">
        <f t="shared" si="118"/>
        <v>1.0797653902179176</v>
      </c>
      <c r="AE243" s="4">
        <v>0.1</v>
      </c>
      <c r="AF243" s="4">
        <f t="shared" si="119"/>
        <v>0.83710493531342456</v>
      </c>
      <c r="AG243" s="4">
        <f t="shared" si="139"/>
        <v>0.73289506468657573</v>
      </c>
      <c r="AH243" s="68">
        <v>1303322996</v>
      </c>
      <c r="AI243" s="32">
        <f t="shared" si="140"/>
        <v>42.04267729032258</v>
      </c>
      <c r="AJ243" s="32">
        <f t="shared" si="150"/>
        <v>42.256996420583718</v>
      </c>
      <c r="AK243" s="24">
        <f t="shared" si="141"/>
        <v>1091018112.2590787</v>
      </c>
      <c r="AL243" s="2">
        <f>257.346</f>
        <v>257.346</v>
      </c>
      <c r="AM243" s="95">
        <f t="shared" si="113"/>
        <v>0.83643242294528897</v>
      </c>
      <c r="AN243" s="4">
        <f t="shared" si="114"/>
        <v>1.0008040247480694</v>
      </c>
      <c r="AO243" s="1">
        <f t="shared" si="97"/>
        <v>0.60080402474806938</v>
      </c>
      <c r="AP243" s="110">
        <f t="shared" si="98"/>
        <v>783041701.54351187</v>
      </c>
      <c r="AQ243" s="1">
        <f t="shared" si="146"/>
        <v>0.50936102666288274</v>
      </c>
      <c r="AR243" s="16">
        <f t="shared" si="142"/>
        <v>1304.3708999435119</v>
      </c>
      <c r="AS243" s="7">
        <v>31</v>
      </c>
      <c r="AT243" s="1">
        <f t="shared" si="143"/>
        <v>42.076480643339089</v>
      </c>
      <c r="AU243" s="16">
        <f t="shared" si="103"/>
        <v>29104.863709370344</v>
      </c>
      <c r="AV243" s="4">
        <f t="shared" si="144"/>
        <v>29.104863709370342</v>
      </c>
      <c r="AW243" s="4">
        <f t="shared" si="115"/>
        <v>4.696582810690666</v>
      </c>
      <c r="AY243" s="4">
        <f>(O243-P243-AG243-(SpotGasPrices!K241-(SpotGasPrices!L241+SpotGasPrices!M241)/2))*($AL$279/AL243)</f>
        <v>0.35331783661927624</v>
      </c>
      <c r="AZ243" s="1">
        <f t="shared" si="147"/>
        <v>0.20852609487102344</v>
      </c>
    </row>
    <row r="244" spans="1:52">
      <c r="C244" s="28">
        <v>43788</v>
      </c>
      <c r="D244" s="2">
        <v>2019</v>
      </c>
      <c r="E244" s="2">
        <v>11</v>
      </c>
      <c r="F244" s="4">
        <v>1.44859</v>
      </c>
      <c r="G244" s="4">
        <f t="shared" si="148"/>
        <v>1.1091065495278014</v>
      </c>
      <c r="H244" s="4">
        <f t="shared" si="129"/>
        <v>1.4077322634951122</v>
      </c>
      <c r="I244" s="4">
        <f t="shared" si="148"/>
        <v>0.59974552286491856</v>
      </c>
      <c r="J244" s="4">
        <f t="shared" si="130"/>
        <v>0.58885032842288887</v>
      </c>
      <c r="K244">
        <v>63.21</v>
      </c>
      <c r="L244" s="4">
        <v>2.5979999999999999</v>
      </c>
      <c r="O244" s="4">
        <v>3.8690000000000002</v>
      </c>
      <c r="P244" s="4">
        <f t="shared" si="107"/>
        <v>2.4567777777777779</v>
      </c>
      <c r="Q244" s="4">
        <f t="shared" si="108"/>
        <v>4.6280796048334416</v>
      </c>
      <c r="R244" s="4">
        <f t="shared" si="109"/>
        <v>2.9387860240220625</v>
      </c>
      <c r="S244" s="4">
        <v>0.29659999999999997</v>
      </c>
      <c r="T244" s="4">
        <f t="shared" si="116"/>
        <v>0.2634683884853376</v>
      </c>
      <c r="U244" s="4">
        <v>0.18400000000000008</v>
      </c>
      <c r="V244" s="4">
        <v>0.47299999999999998</v>
      </c>
      <c r="W244" s="4">
        <v>2.0000000000000007E-2</v>
      </c>
      <c r="X244" s="3">
        <v>3.249999999999998E-2</v>
      </c>
      <c r="Y244" s="4">
        <f t="shared" si="117"/>
        <v>0.12178450363196119</v>
      </c>
      <c r="Z244" s="4">
        <f>17*0.007902</f>
        <v>0.13433399999999998</v>
      </c>
      <c r="AA244" s="54">
        <v>200</v>
      </c>
      <c r="AB244" s="4">
        <v>0.14199999999999999</v>
      </c>
      <c r="AC244" s="4">
        <f t="shared" si="128"/>
        <v>0.61478450363196124</v>
      </c>
      <c r="AD244" s="4">
        <f t="shared" si="118"/>
        <v>1.075118503631961</v>
      </c>
      <c r="AE244" s="4">
        <v>0.1</v>
      </c>
      <c r="AF244" s="4">
        <f t="shared" si="119"/>
        <v>0.68457210707559879</v>
      </c>
      <c r="AG244" s="4">
        <f t="shared" si="139"/>
        <v>0.72765011514662348</v>
      </c>
      <c r="AH244" s="69">
        <v>1229130465</v>
      </c>
      <c r="AI244" s="32">
        <f t="shared" si="140"/>
        <v>40.9710155</v>
      </c>
      <c r="AJ244" s="32">
        <f t="shared" si="150"/>
        <v>42.256996420583718</v>
      </c>
      <c r="AK244" s="24">
        <f t="shared" si="141"/>
        <v>841428432.29586053</v>
      </c>
      <c r="AL244" s="2">
        <v>257.20800000000003</v>
      </c>
      <c r="AM244" s="95">
        <f t="shared" si="113"/>
        <v>0.83598389188451316</v>
      </c>
      <c r="AN244" s="4">
        <f t="shared" si="114"/>
        <v>0.81888193507222373</v>
      </c>
      <c r="AO244" s="1">
        <f t="shared" si="97"/>
        <v>0.41888193507222371</v>
      </c>
      <c r="AP244" s="110">
        <f t="shared" si="98"/>
        <v>514860547.63542211</v>
      </c>
      <c r="AQ244" s="1">
        <f t="shared" si="146"/>
        <v>0.50936102666288274</v>
      </c>
      <c r="AR244" s="16">
        <f t="shared" si="142"/>
        <v>1006.5127336354221</v>
      </c>
      <c r="AS244" s="7">
        <v>30</v>
      </c>
      <c r="AT244" s="1">
        <f t="shared" si="143"/>
        <v>33.550424454514072</v>
      </c>
      <c r="AU244" s="16">
        <f t="shared" si="103"/>
        <v>30111.376443005767</v>
      </c>
      <c r="AV244" s="4">
        <f t="shared" si="144"/>
        <v>30.111376443005767</v>
      </c>
      <c r="AW244" s="4">
        <f t="shared" si="115"/>
        <v>4.5002050091754535</v>
      </c>
      <c r="AY244" s="4">
        <f>(O244-P244-AG244-(SpotGasPrices!K242-(SpotGasPrices!L242+SpotGasPrices!M242)/2))*($AL$279/AL244)</f>
        <v>0.51625857194882463</v>
      </c>
      <c r="AZ244" s="1">
        <f t="shared" si="147"/>
        <v>0.20852609487102344</v>
      </c>
    </row>
    <row r="245" spans="1:52">
      <c r="B245" s="26" t="s">
        <v>33</v>
      </c>
      <c r="C245" s="28">
        <v>43818</v>
      </c>
      <c r="D245" s="2">
        <v>2019</v>
      </c>
      <c r="E245" s="2">
        <v>12</v>
      </c>
      <c r="F245" s="4">
        <v>1.3155239999999999</v>
      </c>
      <c r="G245" s="4">
        <f t="shared" si="148"/>
        <v>1.1091065495278014</v>
      </c>
      <c r="H245" s="4">
        <f t="shared" si="129"/>
        <v>0.89686277475502729</v>
      </c>
      <c r="I245" s="4">
        <f t="shared" si="148"/>
        <v>0.59974552286491856</v>
      </c>
      <c r="J245" s="4">
        <f t="shared" si="130"/>
        <v>0.45791947253033921</v>
      </c>
      <c r="K245">
        <v>67.31</v>
      </c>
      <c r="L245" s="4">
        <v>2.5550000000000002</v>
      </c>
      <c r="O245" s="4">
        <v>3.5310000000000001</v>
      </c>
      <c r="P245" s="4">
        <f t="shared" si="107"/>
        <v>2.4465555555555558</v>
      </c>
      <c r="Q245" s="4">
        <f t="shared" si="108"/>
        <v>4.2276117467136753</v>
      </c>
      <c r="R245" s="4">
        <f t="shared" si="109"/>
        <v>2.9292231678431806</v>
      </c>
      <c r="S245" s="4">
        <v>0.29659999999999997</v>
      </c>
      <c r="T245" s="4">
        <f t="shared" si="116"/>
        <v>0.2646505246166263</v>
      </c>
      <c r="U245" s="4">
        <v>0.184</v>
      </c>
      <c r="V245" s="4">
        <v>0.47299999999999998</v>
      </c>
      <c r="W245" s="4">
        <v>2.0000000000000007E-2</v>
      </c>
      <c r="X245" s="3">
        <v>3.249999999999998E-2</v>
      </c>
      <c r="Y245" s="4">
        <f t="shared" si="117"/>
        <v>0.11114527845036314</v>
      </c>
      <c r="Z245" s="4">
        <f>17*0.007902</f>
        <v>0.13433399999999998</v>
      </c>
      <c r="AA245" s="54">
        <v>203</v>
      </c>
      <c r="AB245" s="4">
        <v>0.14399999999999999</v>
      </c>
      <c r="AC245" s="4">
        <f t="shared" si="128"/>
        <v>0.60414527845036314</v>
      </c>
      <c r="AD245" s="4">
        <f t="shared" si="118"/>
        <v>1.0664792784503632</v>
      </c>
      <c r="AE245" s="4">
        <v>0.1</v>
      </c>
      <c r="AF245" s="4">
        <f t="shared" si="119"/>
        <v>0.3666156906107072</v>
      </c>
      <c r="AG245" s="4">
        <f t="shared" si="139"/>
        <v>0.71782875383373712</v>
      </c>
      <c r="AH245" s="70">
        <v>1238695971</v>
      </c>
      <c r="AI245" s="32">
        <f t="shared" si="140"/>
        <v>39.957934548387094</v>
      </c>
      <c r="AJ245" s="32">
        <f t="shared" si="150"/>
        <v>42.256996420583718</v>
      </c>
      <c r="AK245" s="24">
        <f t="shared" si="141"/>
        <v>454125378.86486554</v>
      </c>
      <c r="AL245" s="2">
        <v>256.97399999999999</v>
      </c>
      <c r="AM245" s="95">
        <f t="shared" si="113"/>
        <v>0.8352233392162407</v>
      </c>
      <c r="AN245" s="4">
        <f t="shared" si="114"/>
        <v>0.43894330222468769</v>
      </c>
      <c r="AO245" s="1">
        <f t="shared" si="97"/>
        <v>3.894330222468767E-2</v>
      </c>
      <c r="AP245" s="110">
        <f t="shared" si="98"/>
        <v>48238911.563155957</v>
      </c>
      <c r="AQ245" s="1">
        <f t="shared" si="146"/>
        <v>0.50936102666288274</v>
      </c>
      <c r="AR245" s="16">
        <f t="shared" si="142"/>
        <v>543.71729996315594</v>
      </c>
      <c r="AS245" s="7">
        <v>31</v>
      </c>
      <c r="AT245" s="1">
        <f t="shared" si="143"/>
        <v>17.539267740746965</v>
      </c>
      <c r="AU245" s="16">
        <f t="shared" si="103"/>
        <v>30655.093742968922</v>
      </c>
      <c r="AV245" s="4">
        <f t="shared" si="144"/>
        <v>30.655093742968923</v>
      </c>
      <c r="AW245" s="4">
        <f t="shared" si="115"/>
        <v>4.110802143407505</v>
      </c>
      <c r="AY245" s="4">
        <f>(O245-P245-AG245-(SpotGasPrices!K243-(SpotGasPrices!L243+SpotGasPrices!M243)/2))*($AL$279/AL245)</f>
        <v>0.43965936316622717</v>
      </c>
      <c r="AZ245" s="1">
        <f t="shared" si="147"/>
        <v>0.20852609487102344</v>
      </c>
    </row>
    <row r="246" spans="1:52">
      <c r="A246" s="33" t="s">
        <v>39</v>
      </c>
      <c r="B246" s="26" t="s">
        <v>33</v>
      </c>
      <c r="C246" s="28">
        <v>43849</v>
      </c>
      <c r="D246" s="2">
        <v>2020</v>
      </c>
      <c r="E246" s="2">
        <v>1</v>
      </c>
      <c r="F246" s="4">
        <v>1.236381</v>
      </c>
      <c r="G246" s="4">
        <f>AVERAGE(H246:H257)</f>
        <v>1.014085742802934</v>
      </c>
      <c r="H246" s="4">
        <f t="shared" si="129"/>
        <v>0.81780268882371421</v>
      </c>
      <c r="I246" s="4">
        <f>AVERAGE(J246:J257)</f>
        <v>0.7354076183735625</v>
      </c>
      <c r="J246" s="4">
        <f t="shared" si="130"/>
        <v>0.56571288394064023</v>
      </c>
      <c r="K246">
        <v>63.65</v>
      </c>
      <c r="L246" s="4">
        <v>2.548</v>
      </c>
      <c r="O246" s="4">
        <v>3.411</v>
      </c>
      <c r="P246" s="4">
        <f t="shared" si="107"/>
        <v>2.4521111111111114</v>
      </c>
      <c r="Q246" s="4">
        <f t="shared" si="108"/>
        <v>4.0681540987165219</v>
      </c>
      <c r="R246" s="4">
        <f t="shared" si="109"/>
        <v>2.9245282518836095</v>
      </c>
      <c r="S246" s="4">
        <v>0.29759999999999998</v>
      </c>
      <c r="T246" s="4">
        <f t="shared" si="116"/>
        <v>0.26618132902878666</v>
      </c>
      <c r="U246" s="4">
        <v>0.184</v>
      </c>
      <c r="V246" s="4">
        <v>0.47299999999999998</v>
      </c>
      <c r="W246" s="4">
        <v>2.0000000000000007E-2</v>
      </c>
      <c r="X246" s="3">
        <v>3.249999999999998E-2</v>
      </c>
      <c r="Y246" s="4">
        <f t="shared" si="117"/>
        <v>0.10736803874092003</v>
      </c>
      <c r="Z246" s="4">
        <f>17*0.007902</f>
        <v>0.13433399999999998</v>
      </c>
      <c r="AA246" s="54">
        <v>210</v>
      </c>
      <c r="AB246" s="4">
        <v>0.17899999999999999</v>
      </c>
      <c r="AC246" s="4">
        <f t="shared" si="128"/>
        <v>0.60036803874092004</v>
      </c>
      <c r="AD246" s="4">
        <f t="shared" si="118"/>
        <v>1.09770203874092</v>
      </c>
      <c r="AE246" s="4">
        <v>0.1</v>
      </c>
      <c r="AF246" s="4">
        <f t="shared" si="119"/>
        <v>0.21136817917675499</v>
      </c>
      <c r="AG246" s="4">
        <f t="shared" si="139"/>
        <v>0.74752070971213369</v>
      </c>
      <c r="AH246" s="71">
        <v>1222308687</v>
      </c>
      <c r="AI246" s="32">
        <f t="shared" si="140"/>
        <v>39.429312483870966</v>
      </c>
      <c r="AJ246" s="32">
        <f>AVERAGE(AI246:AI257)</f>
        <v>34.155862057761709</v>
      </c>
      <c r="AK246" s="24">
        <f t="shared" si="141"/>
        <v>258357161.56312013</v>
      </c>
      <c r="AL246" s="2">
        <v>257.971</v>
      </c>
      <c r="AM246" s="95">
        <f t="shared" si="113"/>
        <v>0.83846381361909317</v>
      </c>
      <c r="AN246" s="4">
        <f t="shared" si="114"/>
        <v>0.25208980488307359</v>
      </c>
      <c r="AO246" s="1">
        <f t="shared" si="97"/>
        <v>0</v>
      </c>
      <c r="AP246" s="110">
        <f t="shared" si="98"/>
        <v>0</v>
      </c>
      <c r="AQ246" s="1">
        <f>AVERAGE(AN$246:AN$257)</f>
        <v>0.27867812442937162</v>
      </c>
      <c r="AR246" s="16">
        <f t="shared" si="142"/>
        <v>308.13155841271583</v>
      </c>
      <c r="AS246" s="7">
        <v>31</v>
      </c>
      <c r="AT246" s="1">
        <f t="shared" si="143"/>
        <v>9.9397276907327683</v>
      </c>
      <c r="AU246" s="16">
        <f t="shared" si="103"/>
        <v>30963.225301381637</v>
      </c>
      <c r="AV246" s="4">
        <f t="shared" si="144"/>
        <v>30.963225301381637</v>
      </c>
      <c r="AW246" s="4">
        <f t="shared" si="115"/>
        <v>3.9557503362781086</v>
      </c>
      <c r="AY246" s="4">
        <f>(O246-P246-AG246-(SpotGasPrices!K244-(SpotGasPrices!L244+SpotGasPrices!M244)/2))*($AL$279/AL246)</f>
        <v>-1.7480508224478216E-2</v>
      </c>
      <c r="AZ246" s="1">
        <f>AVERAGE($AY246:$AY257)</f>
        <v>0.11331032352625492</v>
      </c>
    </row>
    <row r="247" spans="1:52">
      <c r="C247" s="28">
        <v>43880</v>
      </c>
      <c r="D247" s="2">
        <v>2020</v>
      </c>
      <c r="E247" s="2">
        <v>2</v>
      </c>
      <c r="F247" s="4">
        <v>1.232105</v>
      </c>
      <c r="G247" s="4">
        <f>G246</f>
        <v>1.014085742802934</v>
      </c>
      <c r="H247" s="4">
        <f t="shared" si="129"/>
        <v>0.98132754836568203</v>
      </c>
      <c r="I247" s="4">
        <f>I246</f>
        <v>0.7354076183735625</v>
      </c>
      <c r="J247" s="4">
        <f t="shared" si="130"/>
        <v>0.65817678383478151</v>
      </c>
      <c r="K247">
        <v>55.66</v>
      </c>
      <c r="L247" s="4">
        <v>2.4420000000000002</v>
      </c>
      <c r="O247" s="4">
        <v>3.3639999999999999</v>
      </c>
      <c r="P247" s="4">
        <f t="shared" si="107"/>
        <v>2.3395555555555556</v>
      </c>
      <c r="Q247" s="4">
        <f t="shared" si="108"/>
        <v>4.0011336255885697</v>
      </c>
      <c r="R247" s="4">
        <f t="shared" si="109"/>
        <v>2.7826618318269563</v>
      </c>
      <c r="S247" s="4">
        <v>0.29759999999999998</v>
      </c>
      <c r="T247" s="4">
        <f t="shared" si="116"/>
        <v>0.26634570890503095</v>
      </c>
      <c r="U247" s="4">
        <v>0.184</v>
      </c>
      <c r="V247" s="4">
        <v>0.47299999999999998</v>
      </c>
      <c r="W247" s="4">
        <v>2.0000000000000007E-2</v>
      </c>
      <c r="X247" s="3">
        <v>3.249999999999998E-2</v>
      </c>
      <c r="Y247" s="4">
        <f t="shared" si="117"/>
        <v>0.10588861985472148</v>
      </c>
      <c r="Z247" s="4">
        <f>17.87*0.007902</f>
        <v>0.14120874</v>
      </c>
      <c r="AA247" s="54">
        <v>210</v>
      </c>
      <c r="AB247" s="4">
        <v>0.17899999999999999</v>
      </c>
      <c r="AC247" s="4">
        <f t="shared" si="128"/>
        <v>0.59888861985472142</v>
      </c>
      <c r="AD247" s="4">
        <f t="shared" si="118"/>
        <v>1.1030973598547216</v>
      </c>
      <c r="AE247" s="4">
        <v>0.1</v>
      </c>
      <c r="AF247" s="4">
        <f t="shared" si="119"/>
        <v>0.27169279349475373</v>
      </c>
      <c r="AG247" s="4">
        <f t="shared" si="139"/>
        <v>0.75275165094969054</v>
      </c>
      <c r="AH247" s="72">
        <v>1195822723</v>
      </c>
      <c r="AI247" s="32">
        <f t="shared" si="140"/>
        <v>41.235266310344826</v>
      </c>
      <c r="AJ247" s="32">
        <f>AJ246</f>
        <v>34.155862057761709</v>
      </c>
      <c r="AK247" s="24">
        <f t="shared" si="141"/>
        <v>324896416.1363731</v>
      </c>
      <c r="AL247" s="2">
        <v>258.678</v>
      </c>
      <c r="AM247" s="95">
        <f t="shared" si="113"/>
        <v>0.84076172274930039</v>
      </c>
      <c r="AN247" s="4">
        <f t="shared" si="114"/>
        <v>0.32315076453090086</v>
      </c>
      <c r="AO247" s="1">
        <f t="shared" si="97"/>
        <v>0</v>
      </c>
      <c r="AP247" s="110">
        <f t="shared" si="98"/>
        <v>0</v>
      </c>
      <c r="AQ247" s="1">
        <f t="shared" ref="AQ247:AQ257" si="151">AVERAGE(AN$246:AN$257)</f>
        <v>0.27867812442937162</v>
      </c>
      <c r="AR247" s="16">
        <f t="shared" si="142"/>
        <v>386.43102718087368</v>
      </c>
      <c r="AS247" s="7">
        <v>29</v>
      </c>
      <c r="AT247" s="1">
        <f t="shared" si="143"/>
        <v>13.32520783382323</v>
      </c>
      <c r="AU247" s="16">
        <f t="shared" ref="AU247" si="152">AU246+AR247</f>
        <v>31349.656328562512</v>
      </c>
      <c r="AV247" s="4">
        <f t="shared" ref="AV247" si="153">AU247/1000</f>
        <v>31.349656328562514</v>
      </c>
      <c r="AW247" s="4">
        <f t="shared" si="115"/>
        <v>3.8905816497730767</v>
      </c>
      <c r="AY247" s="4">
        <f>(O247-P247-AG247-(SpotGasPrices!K245-(SpotGasPrices!L245+SpotGasPrices!M245)/2))*($AL$279/AL247)</f>
        <v>-7.2357530308110429E-2</v>
      </c>
      <c r="AZ247" s="1">
        <f t="shared" ref="AZ247:AZ257" si="154">AZ246</f>
        <v>0.11331032352625492</v>
      </c>
    </row>
    <row r="248" spans="1:52">
      <c r="C248" s="28">
        <v>43909</v>
      </c>
      <c r="D248" s="2">
        <v>2020</v>
      </c>
      <c r="E248" s="2">
        <v>3</v>
      </c>
      <c r="F248" s="4">
        <v>1.004618</v>
      </c>
      <c r="G248" s="4">
        <f t="shared" ref="G248:I257" si="155">G247</f>
        <v>1.014085742802934</v>
      </c>
      <c r="H248" s="4">
        <f t="shared" si="129"/>
        <v>1.4653496652038978</v>
      </c>
      <c r="I248" s="4">
        <f t="shared" si="155"/>
        <v>0.7354076183735625</v>
      </c>
      <c r="J248" s="4">
        <f t="shared" si="130"/>
        <v>1.0837938741867237</v>
      </c>
      <c r="K248">
        <v>32.01</v>
      </c>
      <c r="L248" s="4">
        <v>2.234</v>
      </c>
      <c r="O248" s="4">
        <v>3.1840000000000002</v>
      </c>
      <c r="P248" s="4">
        <f t="shared" si="107"/>
        <v>2.1284444444444444</v>
      </c>
      <c r="Q248" s="4">
        <f t="shared" si="108"/>
        <v>3.7953023419793501</v>
      </c>
      <c r="R248" s="4">
        <f t="shared" si="109"/>
        <v>2.5370886258708971</v>
      </c>
      <c r="S248" s="4">
        <v>0.29759999999999998</v>
      </c>
      <c r="T248" s="4">
        <f t="shared" si="116"/>
        <v>0.26697524885660479</v>
      </c>
      <c r="U248" s="4">
        <v>0.184</v>
      </c>
      <c r="V248" s="4">
        <v>0.47299999999999998</v>
      </c>
      <c r="W248" s="4">
        <v>2.0000000000000007E-2</v>
      </c>
      <c r="X248" s="3">
        <v>3.249999999999998E-2</v>
      </c>
      <c r="Y248" s="4">
        <f t="shared" si="117"/>
        <v>0.10022276029055685</v>
      </c>
      <c r="Z248" s="4">
        <f>17.87*0.007902</f>
        <v>0.14120874</v>
      </c>
      <c r="AA248" s="54">
        <v>196.8</v>
      </c>
      <c r="AB248" s="4">
        <v>0.16800000000000001</v>
      </c>
      <c r="AC248" s="4">
        <f t="shared" si="128"/>
        <v>0.59322276029055687</v>
      </c>
      <c r="AD248" s="4">
        <f t="shared" si="118"/>
        <v>1.0864315002905569</v>
      </c>
      <c r="AE248" s="4">
        <v>0.1</v>
      </c>
      <c r="AF248" s="4">
        <f t="shared" si="119"/>
        <v>0.32009930412160315</v>
      </c>
      <c r="AG248" s="4">
        <f t="shared" si="139"/>
        <v>0.73545625143395266</v>
      </c>
      <c r="AH248" s="73">
        <v>1018254473</v>
      </c>
      <c r="AI248" s="32">
        <f t="shared" si="140"/>
        <v>32.846918483870965</v>
      </c>
      <c r="AJ248" s="32">
        <f t="shared" ref="AJ248:AJ257" si="156">AJ247</f>
        <v>34.155862057761709</v>
      </c>
      <c r="AK248" s="24">
        <f t="shared" si="141"/>
        <v>325942548.22600973</v>
      </c>
      <c r="AL248" s="2">
        <v>258.11500000000001</v>
      </c>
      <c r="AM248" s="95">
        <f t="shared" si="113"/>
        <v>0.83893184603033766</v>
      </c>
      <c r="AN248" s="4">
        <f t="shared" si="114"/>
        <v>0.38155579101717357</v>
      </c>
      <c r="AO248" s="1">
        <f t="shared" si="97"/>
        <v>0</v>
      </c>
      <c r="AP248" s="110">
        <f t="shared" si="98"/>
        <v>0</v>
      </c>
      <c r="AQ248" s="1">
        <f t="shared" si="151"/>
        <v>0.27867812442937162</v>
      </c>
      <c r="AR248" s="16">
        <f t="shared" si="142"/>
        <v>388.52089090229015</v>
      </c>
      <c r="AS248" s="7">
        <v>31</v>
      </c>
      <c r="AT248" s="1">
        <f t="shared" si="143"/>
        <v>12.532931964590004</v>
      </c>
      <c r="AU248" s="16">
        <f t="shared" ref="AU248:AU291" si="157">AU247+AR248</f>
        <v>31738.177219464804</v>
      </c>
      <c r="AV248" s="4">
        <f t="shared" ref="AV248:AV291" si="158">AU248/1000</f>
        <v>31.738177219464802</v>
      </c>
      <c r="AW248" s="4">
        <f t="shared" si="115"/>
        <v>3.6904375181605098</v>
      </c>
      <c r="AY248" s="4">
        <f>(O248-P248-AG248-(SpotGasPrices!K246-(SpotGasPrices!L246+SpotGasPrices!M246)/2))*($AL$279/AL248)</f>
        <v>0.29395288076976228</v>
      </c>
      <c r="AZ248" s="1">
        <f t="shared" si="154"/>
        <v>0.11331032352625492</v>
      </c>
    </row>
    <row r="249" spans="1:52">
      <c r="C249" s="28">
        <v>43940</v>
      </c>
      <c r="D249" s="2">
        <v>2020</v>
      </c>
      <c r="E249" s="2">
        <v>4</v>
      </c>
      <c r="F249" s="4">
        <v>0.78881900000000005</v>
      </c>
      <c r="G249" s="4">
        <f t="shared" si="155"/>
        <v>1.014085742802934</v>
      </c>
      <c r="H249" s="4">
        <f t="shared" si="129"/>
        <v>1.3611766357207173</v>
      </c>
      <c r="I249" s="4">
        <f t="shared" si="155"/>
        <v>0.7354076183735625</v>
      </c>
      <c r="J249" s="4">
        <f t="shared" si="130"/>
        <v>1.0164529263907844</v>
      </c>
      <c r="K249">
        <v>18.38</v>
      </c>
      <c r="L249" s="4">
        <v>1.841</v>
      </c>
      <c r="O249" s="4">
        <v>2.7440000000000002</v>
      </c>
      <c r="P249" s="4">
        <f t="shared" si="107"/>
        <v>1.7406666666666666</v>
      </c>
      <c r="Q249" s="4">
        <f t="shared" si="108"/>
        <v>3.2928449504463919</v>
      </c>
      <c r="R249" s="4">
        <f t="shared" si="109"/>
        <v>2.0888285144838505</v>
      </c>
      <c r="S249" s="4">
        <v>0.29759999999999998</v>
      </c>
      <c r="T249" s="4">
        <f t="shared" si="116"/>
        <v>0.26851412429378529</v>
      </c>
      <c r="U249" s="4">
        <v>0.184</v>
      </c>
      <c r="V249" s="4">
        <v>0.47299999999999998</v>
      </c>
      <c r="W249" s="4">
        <v>2.0000000000000007E-2</v>
      </c>
      <c r="X249" s="3">
        <v>3.249999999999998E-2</v>
      </c>
      <c r="Y249" s="4">
        <f t="shared" si="117"/>
        <v>8.6372881355932157E-2</v>
      </c>
      <c r="Z249" s="4">
        <f>17.87*0.007902</f>
        <v>0.14120874</v>
      </c>
      <c r="AA249" s="54">
        <v>192.51</v>
      </c>
      <c r="AB249" s="4">
        <v>0.16400000000000001</v>
      </c>
      <c r="AC249" s="4">
        <f t="shared" si="128"/>
        <v>0.57937288135593212</v>
      </c>
      <c r="AD249" s="4">
        <f t="shared" si="118"/>
        <v>1.068581621355932</v>
      </c>
      <c r="AE249" s="4">
        <v>0.1</v>
      </c>
      <c r="AF249" s="4">
        <f t="shared" si="119"/>
        <v>0.28726583627118663</v>
      </c>
      <c r="AG249" s="4">
        <f t="shared" si="139"/>
        <v>0.71606749706214701</v>
      </c>
      <c r="AH249" s="74">
        <v>713648347</v>
      </c>
      <c r="AI249" s="32">
        <f t="shared" si="140"/>
        <v>23.788278233333333</v>
      </c>
      <c r="AJ249" s="32">
        <f t="shared" si="156"/>
        <v>34.155862057761709</v>
      </c>
      <c r="AK249" s="24">
        <f t="shared" si="141"/>
        <v>205006789.20450497</v>
      </c>
      <c r="AL249" s="2">
        <v>256.38900000000001</v>
      </c>
      <c r="AM249" s="95">
        <f t="shared" si="113"/>
        <v>0.83332195754556004</v>
      </c>
      <c r="AN249" s="4">
        <f t="shared" si="114"/>
        <v>0.34472370932993324</v>
      </c>
      <c r="AO249" s="1">
        <f t="shared" si="97"/>
        <v>0</v>
      </c>
      <c r="AP249" s="110">
        <f t="shared" si="98"/>
        <v>0</v>
      </c>
      <c r="AQ249" s="1">
        <f t="shared" si="151"/>
        <v>0.27867812442937162</v>
      </c>
      <c r="AR249" s="16">
        <f t="shared" si="142"/>
        <v>246.01150533501533</v>
      </c>
      <c r="AS249" s="7">
        <v>30</v>
      </c>
      <c r="AT249" s="1">
        <f t="shared" si="143"/>
        <v>8.2003835111671783</v>
      </c>
      <c r="AU249" s="16">
        <f t="shared" si="157"/>
        <v>31984.18872479982</v>
      </c>
      <c r="AV249" s="4">
        <f t="shared" si="158"/>
        <v>31.984188724799822</v>
      </c>
      <c r="AW249" s="4">
        <f t="shared" si="115"/>
        <v>3.2018631064515253</v>
      </c>
      <c r="AY249" s="4">
        <f>(O249-P249-AG249-(SpotGasPrices!K247-(SpotGasPrices!L247+SpotGasPrices!M247)/2))*($AL$279/AL249)</f>
        <v>0.45071696679205769</v>
      </c>
      <c r="AZ249" s="1">
        <f t="shared" si="154"/>
        <v>0.11331032352625492</v>
      </c>
    </row>
    <row r="250" spans="1:52">
      <c r="C250" s="28">
        <v>43971</v>
      </c>
      <c r="D250" s="2">
        <v>2020</v>
      </c>
      <c r="E250" s="2">
        <v>5</v>
      </c>
      <c r="F250" s="4">
        <v>1.0446599999999999</v>
      </c>
      <c r="G250" s="4">
        <f t="shared" si="155"/>
        <v>1.014085742802934</v>
      </c>
      <c r="H250" s="4">
        <f t="shared" si="129"/>
        <v>0.96378098729221051</v>
      </c>
      <c r="I250" s="4">
        <f t="shared" si="155"/>
        <v>0.7354076183735625</v>
      </c>
      <c r="J250" s="4">
        <f t="shared" si="130"/>
        <v>0.74458707566378379</v>
      </c>
      <c r="K250" s="2">
        <v>29.38</v>
      </c>
      <c r="L250" s="4">
        <v>1.87</v>
      </c>
      <c r="O250" s="4">
        <v>2.6850000000000001</v>
      </c>
      <c r="P250" s="4">
        <f t="shared" si="107"/>
        <v>1.7794444444444446</v>
      </c>
      <c r="Q250" s="4">
        <f t="shared" si="108"/>
        <v>3.2219811501049165</v>
      </c>
      <c r="R250" s="4">
        <f t="shared" si="109"/>
        <v>2.1353208408413096</v>
      </c>
      <c r="S250" s="4">
        <v>0.29859999999999998</v>
      </c>
      <c r="T250" s="4">
        <f t="shared" si="116"/>
        <v>0.26983158461124562</v>
      </c>
      <c r="U250" s="4">
        <v>0.184</v>
      </c>
      <c r="V250" s="4">
        <v>0.47299999999999998</v>
      </c>
      <c r="W250" s="4">
        <v>2.0000000000000007E-2</v>
      </c>
      <c r="X250" s="3">
        <v>3.249999999999998E-2</v>
      </c>
      <c r="Y250" s="4">
        <f t="shared" si="117"/>
        <v>8.4515738498789295E-2</v>
      </c>
      <c r="Z250" s="4">
        <f>17.87*0.007902</f>
        <v>0.14120874</v>
      </c>
      <c r="AA250" s="4">
        <f>AVERAGE(212,209,205.5,200,194.5)</f>
        <v>204.2</v>
      </c>
      <c r="AB250" s="4">
        <v>0.17399999999999999</v>
      </c>
      <c r="AC250" s="4">
        <f t="shared" si="128"/>
        <v>0.57751573849878923</v>
      </c>
      <c r="AD250" s="4">
        <f t="shared" si="118"/>
        <v>1.0767244784987893</v>
      </c>
      <c r="AE250" s="4">
        <v>0.1</v>
      </c>
      <c r="AF250" s="4">
        <f t="shared" si="119"/>
        <v>0.18266266166801159</v>
      </c>
      <c r="AG250" s="4">
        <f t="shared" si="139"/>
        <v>0.72289289388754385</v>
      </c>
      <c r="AH250" s="73">
        <v>923929609</v>
      </c>
      <c r="AI250" s="32">
        <f t="shared" si="140"/>
        <v>29.80418093548387</v>
      </c>
      <c r="AJ250" s="32">
        <f t="shared" si="156"/>
        <v>34.155862057761709</v>
      </c>
      <c r="AK250" s="24">
        <f t="shared" si="141"/>
        <v>168767441.57382524</v>
      </c>
      <c r="AL250" s="2">
        <v>256.39400000000001</v>
      </c>
      <c r="AM250" s="95">
        <f t="shared" si="113"/>
        <v>0.83333820867095054</v>
      </c>
      <c r="AN250" s="4">
        <f t="shared" si="114"/>
        <v>0.21919391162842652</v>
      </c>
      <c r="AO250" s="1">
        <f t="shared" si="97"/>
        <v>0</v>
      </c>
      <c r="AP250" s="110">
        <f t="shared" si="98"/>
        <v>0</v>
      </c>
      <c r="AQ250" s="1">
        <f t="shared" si="151"/>
        <v>0.27867812442937162</v>
      </c>
      <c r="AR250" s="16">
        <f t="shared" si="142"/>
        <v>202.51974506603267</v>
      </c>
      <c r="AS250" s="7">
        <v>31</v>
      </c>
      <c r="AT250" s="1">
        <f t="shared" si="143"/>
        <v>6.5328950021300862</v>
      </c>
      <c r="AU250" s="16">
        <f t="shared" si="157"/>
        <v>32186.708469865855</v>
      </c>
      <c r="AV250" s="4">
        <f t="shared" si="158"/>
        <v>32.186708469865856</v>
      </c>
      <c r="AW250" s="4">
        <f t="shared" si="115"/>
        <v>3.132957284491837</v>
      </c>
      <c r="AY250" s="4">
        <f>(O250-P250-AG250-(SpotGasPrices!K248-(SpotGasPrices!L248+SpotGasPrices!M248)/2))*($AL$279/AL250)</f>
        <v>4.2571867087664176E-3</v>
      </c>
      <c r="AZ250" s="1">
        <f t="shared" si="154"/>
        <v>0.11331032352625492</v>
      </c>
    </row>
    <row r="251" spans="1:52">
      <c r="A251" s="2">
        <v>2020</v>
      </c>
      <c r="B251" s="2">
        <v>2020</v>
      </c>
      <c r="C251" s="28">
        <v>44002</v>
      </c>
      <c r="D251" s="2">
        <v>2020</v>
      </c>
      <c r="E251" s="2">
        <v>6</v>
      </c>
      <c r="F251" s="4">
        <v>1.2006520000000001</v>
      </c>
      <c r="G251" s="4">
        <f t="shared" si="155"/>
        <v>1.014085742802934</v>
      </c>
      <c r="H251" s="4">
        <f t="shared" si="129"/>
        <v>0.89125090331572487</v>
      </c>
      <c r="I251" s="4">
        <f t="shared" si="155"/>
        <v>0.7354076183735625</v>
      </c>
      <c r="J251" s="4">
        <f t="shared" si="130"/>
        <v>0.68353790047610907</v>
      </c>
      <c r="K251" s="2">
        <v>40.270000000000003</v>
      </c>
      <c r="L251" s="4">
        <v>2.0819999999999999</v>
      </c>
      <c r="O251" s="4">
        <v>2.8889999999999998</v>
      </c>
      <c r="P251" s="4">
        <f t="shared" si="107"/>
        <v>1.9923333333333333</v>
      </c>
      <c r="Q251" s="4">
        <f t="shared" si="108"/>
        <v>3.4479125785016889</v>
      </c>
      <c r="R251" s="4">
        <f t="shared" si="109"/>
        <v>2.3777747180921418</v>
      </c>
      <c r="S251" s="4">
        <v>0.29859999999999998</v>
      </c>
      <c r="T251" s="4">
        <f t="shared" si="116"/>
        <v>0.2691181059994619</v>
      </c>
      <c r="U251" s="4">
        <v>0.184</v>
      </c>
      <c r="V251" s="4">
        <v>0.47299999999999998</v>
      </c>
      <c r="W251" s="4">
        <v>2.0000000000000007E-2</v>
      </c>
      <c r="X251" s="3">
        <v>3.249999999999998E-2</v>
      </c>
      <c r="Y251" s="4">
        <f t="shared" si="117"/>
        <v>9.0937046004842551E-2</v>
      </c>
      <c r="Z251" s="4">
        <f>16.68*0.007902</f>
        <v>0.13180535999999998</v>
      </c>
      <c r="AA251" s="54">
        <f>AVERAGE(202.5,207,207.5,210)</f>
        <v>206.75</v>
      </c>
      <c r="AB251" s="4">
        <v>0.17599999999999999</v>
      </c>
      <c r="AC251" s="4">
        <f t="shared" si="128"/>
        <v>0.58393704600484253</v>
      </c>
      <c r="AD251" s="4">
        <f t="shared" si="118"/>
        <v>1.0757424060048426</v>
      </c>
      <c r="AE251" s="4">
        <v>0.1</v>
      </c>
      <c r="AF251" s="4">
        <f t="shared" si="119"/>
        <v>0.17404236666128559</v>
      </c>
      <c r="AG251" s="4">
        <f t="shared" si="139"/>
        <v>0.72262430000538092</v>
      </c>
      <c r="AH251" s="72">
        <v>1028732844</v>
      </c>
      <c r="AI251" s="32">
        <f t="shared" si="140"/>
        <v>34.291094800000003</v>
      </c>
      <c r="AJ251" s="32">
        <f t="shared" si="156"/>
        <v>34.155862057761709</v>
      </c>
      <c r="AK251" s="24">
        <f t="shared" si="141"/>
        <v>179043098.83195511</v>
      </c>
      <c r="AL251" s="2">
        <v>257.79700000000003</v>
      </c>
      <c r="AM251" s="95">
        <f t="shared" si="113"/>
        <v>0.83789827445550613</v>
      </c>
      <c r="AN251" s="4">
        <f t="shared" si="114"/>
        <v>0.20771300283961563</v>
      </c>
      <c r="AO251" s="1">
        <f t="shared" ref="AO251:AO291" si="159">MAX(AN251-0.4,0)</f>
        <v>0</v>
      </c>
      <c r="AP251" s="110">
        <f t="shared" ref="AP251:AP291" si="160">AO251*AH251</f>
        <v>0</v>
      </c>
      <c r="AQ251" s="1">
        <f t="shared" si="151"/>
        <v>0.27867812442937162</v>
      </c>
      <c r="AR251" s="16">
        <f t="shared" si="142"/>
        <v>213.68118814697786</v>
      </c>
      <c r="AS251" s="7">
        <v>30</v>
      </c>
      <c r="AT251" s="1">
        <f t="shared" si="143"/>
        <v>7.1227062715659288</v>
      </c>
      <c r="AU251" s="16">
        <f t="shared" si="157"/>
        <v>32400.389658012831</v>
      </c>
      <c r="AV251" s="4">
        <f t="shared" si="158"/>
        <v>32.400389658012834</v>
      </c>
      <c r="AW251" s="4">
        <f t="shared" si="115"/>
        <v>3.3526461906073379</v>
      </c>
      <c r="AY251" s="4">
        <f>(O251-P251-AG251-(SpotGasPrices!K249-(SpotGasPrices!L249+SpotGasPrices!M249)/2))*($AL$279/AL251)</f>
        <v>-2.1914926188190364E-2</v>
      </c>
      <c r="AZ251" s="1">
        <f t="shared" si="154"/>
        <v>0.11331032352625492</v>
      </c>
    </row>
    <row r="252" spans="1:52">
      <c r="C252" s="28">
        <v>44032</v>
      </c>
      <c r="D252" s="2">
        <v>2020</v>
      </c>
      <c r="E252" s="2">
        <v>7</v>
      </c>
      <c r="F252" s="4">
        <v>1.2820229999999999</v>
      </c>
      <c r="G252" s="4">
        <f t="shared" si="155"/>
        <v>1.014085742802934</v>
      </c>
      <c r="H252" s="4">
        <f t="shared" si="129"/>
        <v>0.92543497096335259</v>
      </c>
      <c r="I252" s="4">
        <f t="shared" si="155"/>
        <v>0.7354076183735625</v>
      </c>
      <c r="J252" s="4">
        <f t="shared" si="130"/>
        <v>0.71606913180225429</v>
      </c>
      <c r="K252" s="2">
        <v>43.24</v>
      </c>
      <c r="L252" s="4">
        <v>2.1829999999999998</v>
      </c>
      <c r="O252" s="4">
        <v>3.0209999999999999</v>
      </c>
      <c r="P252" s="4">
        <f t="shared" si="107"/>
        <v>2.0898888888888885</v>
      </c>
      <c r="Q252" s="4">
        <f t="shared" si="108"/>
        <v>3.5873041439438671</v>
      </c>
      <c r="R252" s="4">
        <f t="shared" si="109"/>
        <v>2.4816508015535765</v>
      </c>
      <c r="S252" s="4">
        <v>0.29859999999999998</v>
      </c>
      <c r="T252" s="4">
        <f t="shared" si="116"/>
        <v>0.26510088781275221</v>
      </c>
      <c r="U252" s="4">
        <v>0.184</v>
      </c>
      <c r="V252" s="4">
        <v>0.505</v>
      </c>
      <c r="W252" s="4">
        <v>2.0000000000000007E-2</v>
      </c>
      <c r="X252" s="3">
        <v>3.249999999999998E-2</v>
      </c>
      <c r="Y252" s="4">
        <f t="shared" si="117"/>
        <v>9.5092009685229961E-2</v>
      </c>
      <c r="Z252" s="4">
        <f t="shared" ref="Z252:Z255" si="161">16.68*0.007902</f>
        <v>0.13180535999999998</v>
      </c>
      <c r="AA252" s="54">
        <f>AVERAGE(201, 191, 197, 200)</f>
        <v>197.25</v>
      </c>
      <c r="AB252" s="4">
        <v>0.16800000000000001</v>
      </c>
      <c r="AC252" s="4">
        <f t="shared" si="128"/>
        <v>0.62009200968523004</v>
      </c>
      <c r="AD252" s="4">
        <f t="shared" si="118"/>
        <v>1.1038973696852299</v>
      </c>
      <c r="AE252" s="4">
        <v>0.1</v>
      </c>
      <c r="AF252" s="4">
        <f t="shared" si="119"/>
        <v>0.17631462923863328</v>
      </c>
      <c r="AG252" s="4">
        <f t="shared" si="139"/>
        <v>0.75479648187247816</v>
      </c>
      <c r="AH252" s="75">
        <v>1089147922</v>
      </c>
      <c r="AI252" s="32">
        <f t="shared" si="140"/>
        <v>35.133803935483868</v>
      </c>
      <c r="AJ252" s="32">
        <f t="shared" si="156"/>
        <v>34.155862057761709</v>
      </c>
      <c r="AK252" s="24">
        <f t="shared" si="141"/>
        <v>192032712.05345789</v>
      </c>
      <c r="AL252" s="2">
        <v>259.101</v>
      </c>
      <c r="AM252" s="95">
        <f t="shared" si="113"/>
        <v>0.84213656795733105</v>
      </c>
      <c r="AN252" s="4">
        <f t="shared" si="114"/>
        <v>0.20936583916109755</v>
      </c>
      <c r="AO252" s="1">
        <f t="shared" si="159"/>
        <v>0</v>
      </c>
      <c r="AP252" s="110">
        <f t="shared" si="160"/>
        <v>0</v>
      </c>
      <c r="AQ252" s="1">
        <f t="shared" si="151"/>
        <v>0.27867812442937162</v>
      </c>
      <c r="AR252" s="16">
        <f t="shared" si="142"/>
        <v>228.03036866009563</v>
      </c>
      <c r="AS252" s="7">
        <v>31</v>
      </c>
      <c r="AT252" s="1">
        <f t="shared" si="143"/>
        <v>7.355818343874053</v>
      </c>
      <c r="AU252" s="16">
        <f t="shared" si="157"/>
        <v>32628.420026672928</v>
      </c>
      <c r="AV252" s="4">
        <f t="shared" si="158"/>
        <v>32.628420026672927</v>
      </c>
      <c r="AW252" s="4">
        <f t="shared" si="115"/>
        <v>3.4881863443213268</v>
      </c>
      <c r="AY252" s="4">
        <f>(O252-P252-AG252-(SpotGasPrices!K250-(SpotGasPrices!L250+SpotGasPrices!M250)/2))*($AL$279/AL252)</f>
        <v>4.7519134579424929E-2</v>
      </c>
      <c r="AZ252" s="1">
        <f t="shared" si="154"/>
        <v>0.11331032352625492</v>
      </c>
    </row>
    <row r="253" spans="1:52">
      <c r="C253" s="28">
        <v>44063</v>
      </c>
      <c r="D253" s="2">
        <v>2020</v>
      </c>
      <c r="E253" s="2">
        <v>8</v>
      </c>
      <c r="F253" s="4">
        <v>1.195619</v>
      </c>
      <c r="G253" s="4">
        <f t="shared" si="155"/>
        <v>1.014085742802934</v>
      </c>
      <c r="H253" s="4">
        <f t="shared" si="129"/>
        <v>0.94540945901210283</v>
      </c>
      <c r="I253" s="4">
        <f t="shared" si="155"/>
        <v>0.7354076183735625</v>
      </c>
      <c r="J253" s="4">
        <f t="shared" si="130"/>
        <v>0.66313762960965117</v>
      </c>
      <c r="K253" s="2">
        <v>44.74</v>
      </c>
      <c r="L253" s="4">
        <v>2.1819999999999999</v>
      </c>
      <c r="O253" s="4">
        <v>3.0739999999999998</v>
      </c>
      <c r="P253" s="4">
        <f t="shared" si="107"/>
        <v>2.0828888888888888</v>
      </c>
      <c r="Q253" s="4">
        <f t="shared" si="108"/>
        <v>3.6387655106610541</v>
      </c>
      <c r="R253" s="4">
        <f t="shared" si="109"/>
        <v>2.4655641676733939</v>
      </c>
      <c r="S253" s="4">
        <v>0.29859999999999998</v>
      </c>
      <c r="T253" s="4">
        <f t="shared" si="116"/>
        <v>0.26491552327145546</v>
      </c>
      <c r="U253" s="4">
        <v>0.184</v>
      </c>
      <c r="V253" s="4">
        <v>0.505</v>
      </c>
      <c r="W253" s="4">
        <v>2.0000000000000007E-2</v>
      </c>
      <c r="X253" s="3">
        <v>3.249999999999998E-2</v>
      </c>
      <c r="Y253" s="4">
        <f t="shared" si="117"/>
        <v>9.6760290556900663E-2</v>
      </c>
      <c r="Z253" s="4">
        <f t="shared" si="161"/>
        <v>0.13180535999999998</v>
      </c>
      <c r="AA253" s="54">
        <f>AVERAGE(195,189,190.5,194.75,196.75)</f>
        <v>193.2</v>
      </c>
      <c r="AB253" s="4">
        <v>0.16400000000000001</v>
      </c>
      <c r="AC253" s="4">
        <f t="shared" si="128"/>
        <v>0.62176029055690063</v>
      </c>
      <c r="AD253" s="4">
        <f t="shared" si="118"/>
        <v>1.1015656505569007</v>
      </c>
      <c r="AE253" s="4">
        <v>0.1</v>
      </c>
      <c r="AF253" s="4">
        <f t="shared" si="119"/>
        <v>0.23846098382566594</v>
      </c>
      <c r="AG253" s="4">
        <f t="shared" si="139"/>
        <v>0.75265012728544511</v>
      </c>
      <c r="AH253" s="12">
        <v>1117990028</v>
      </c>
      <c r="AI253" s="32">
        <f t="shared" si="140"/>
        <v>36.064194451612906</v>
      </c>
      <c r="AJ253" s="32">
        <f t="shared" si="156"/>
        <v>34.155862057761709</v>
      </c>
      <c r="AK253" s="24">
        <f t="shared" si="141"/>
        <v>266597001.98416382</v>
      </c>
      <c r="AL253" s="2">
        <v>259.91800000000001</v>
      </c>
      <c r="AM253" s="95">
        <f t="shared" si="113"/>
        <v>0.8447920018461279</v>
      </c>
      <c r="AN253" s="4">
        <f t="shared" si="114"/>
        <v>0.28227182940245177</v>
      </c>
      <c r="AO253" s="1">
        <f t="shared" si="159"/>
        <v>0</v>
      </c>
      <c r="AP253" s="110">
        <f t="shared" si="160"/>
        <v>0</v>
      </c>
      <c r="AQ253" s="1">
        <f t="shared" si="151"/>
        <v>0.27867812442937162</v>
      </c>
      <c r="AR253" s="16">
        <f t="shared" si="142"/>
        <v>315.57709045725829</v>
      </c>
      <c r="AS253" s="7">
        <v>31</v>
      </c>
      <c r="AT253" s="1">
        <f t="shared" si="143"/>
        <v>10.179906143782526</v>
      </c>
      <c r="AU253" s="16">
        <f t="shared" si="157"/>
        <v>32943.997117130188</v>
      </c>
      <c r="AV253" s="4">
        <f t="shared" si="158"/>
        <v>32.943997117130188</v>
      </c>
      <c r="AW253" s="4">
        <f t="shared" si="115"/>
        <v>3.5382258250679057</v>
      </c>
      <c r="AY253" s="4">
        <f>(O253-P253-AG253-(SpotGasPrices!K251-(SpotGasPrices!L251+SpotGasPrices!M251)/2))*($AL$279/AL253)</f>
        <v>7.7348174085112784E-2</v>
      </c>
      <c r="AZ253" s="1">
        <f t="shared" si="154"/>
        <v>0.11331032352625492</v>
      </c>
    </row>
    <row r="254" spans="1:52">
      <c r="C254" s="28">
        <v>44094</v>
      </c>
      <c r="D254" s="2">
        <v>2020</v>
      </c>
      <c r="E254" s="2">
        <v>9</v>
      </c>
      <c r="F254" s="4">
        <v>1.310419</v>
      </c>
      <c r="G254" s="4">
        <f t="shared" si="155"/>
        <v>1.014085742802934</v>
      </c>
      <c r="H254" s="4">
        <f t="shared" ref="H254:H286" si="162">(O254-0.024*K254-AD254-AE254)/AM254</f>
        <v>1.0651213984133754</v>
      </c>
      <c r="I254" s="4">
        <f t="shared" si="155"/>
        <v>0.7354076183735625</v>
      </c>
      <c r="J254" s="4">
        <f t="shared" ref="J254:J285" si="163">(P254-K254*0.024-T254-U254)/AM254</f>
        <v>0.77002273752386574</v>
      </c>
      <c r="K254" s="2">
        <v>40.909999999999997</v>
      </c>
      <c r="L254" s="4">
        <v>2.1829999999999998</v>
      </c>
      <c r="O254" s="4">
        <v>3.0910000000000002</v>
      </c>
      <c r="P254" s="4">
        <f t="shared" si="107"/>
        <v>2.0821111111111108</v>
      </c>
      <c r="Q254" s="4">
        <f t="shared" si="108"/>
        <v>3.6537999884739518</v>
      </c>
      <c r="R254" s="4">
        <f t="shared" si="109"/>
        <v>2.4612156434096608</v>
      </c>
      <c r="S254" s="4">
        <v>0.29859999999999998</v>
      </c>
      <c r="T254" s="4">
        <f t="shared" si="116"/>
        <v>0.26485606672047346</v>
      </c>
      <c r="U254" s="4">
        <v>0.184</v>
      </c>
      <c r="V254" s="4">
        <v>0.505</v>
      </c>
      <c r="W254" s="4">
        <v>2.0000000000000007E-2</v>
      </c>
      <c r="X254" s="3">
        <v>3.249999999999998E-2</v>
      </c>
      <c r="Y254" s="4">
        <f t="shared" si="117"/>
        <v>9.7295399515738443E-2</v>
      </c>
      <c r="Z254" s="4">
        <f t="shared" si="161"/>
        <v>0.13180535999999998</v>
      </c>
      <c r="AA254" s="54">
        <v>198.5</v>
      </c>
      <c r="AB254" s="4">
        <v>0.17</v>
      </c>
      <c r="AC254" s="4">
        <f t="shared" si="128"/>
        <v>0.62229539951573842</v>
      </c>
      <c r="AD254" s="4">
        <f t="shared" si="118"/>
        <v>1.1081007595157384</v>
      </c>
      <c r="AE254" s="4">
        <v>0.1</v>
      </c>
      <c r="AF254" s="4">
        <f t="shared" si="119"/>
        <v>0.24964419609362443</v>
      </c>
      <c r="AG254" s="4">
        <f t="shared" si="139"/>
        <v>0.75924469279526496</v>
      </c>
      <c r="AH254" s="12">
        <v>997826694</v>
      </c>
      <c r="AI254" s="32">
        <f t="shared" si="140"/>
        <v>33.260889800000001</v>
      </c>
      <c r="AJ254" s="32">
        <f t="shared" si="156"/>
        <v>34.155862057761709</v>
      </c>
      <c r="AK254" s="24">
        <f t="shared" si="141"/>
        <v>249101642.86438897</v>
      </c>
      <c r="AL254" s="2">
        <v>260.27999999999997</v>
      </c>
      <c r="AM254" s="95">
        <f t="shared" si="113"/>
        <v>0.84596858332439517</v>
      </c>
      <c r="AN254" s="4">
        <f t="shared" si="114"/>
        <v>0.29509866088950948</v>
      </c>
      <c r="AO254" s="1">
        <f t="shared" si="159"/>
        <v>0</v>
      </c>
      <c r="AP254" s="110">
        <f t="shared" si="160"/>
        <v>0</v>
      </c>
      <c r="AQ254" s="1">
        <f t="shared" si="151"/>
        <v>0.27867812442937162</v>
      </c>
      <c r="AR254" s="16">
        <f t="shared" si="142"/>
        <v>294.45732119920638</v>
      </c>
      <c r="AS254" s="7">
        <v>30</v>
      </c>
      <c r="AT254" s="1">
        <f t="shared" si="143"/>
        <v>9.8152440399735461</v>
      </c>
      <c r="AU254" s="16">
        <f t="shared" si="157"/>
        <v>33238.454438329391</v>
      </c>
      <c r="AV254" s="4">
        <f t="shared" si="158"/>
        <v>33.238454438329391</v>
      </c>
      <c r="AW254" s="4">
        <f t="shared" si="115"/>
        <v>3.5528448978023675</v>
      </c>
      <c r="AY254" s="4">
        <f>(O254-P254-AG254-(SpotGasPrices!K252-(SpotGasPrices!L252+SpotGasPrices!M252)/2))*($AL$279/AL254)</f>
        <v>0.17420007747907343</v>
      </c>
      <c r="AZ254" s="1">
        <f t="shared" si="154"/>
        <v>0.11331032352625492</v>
      </c>
    </row>
    <row r="255" spans="1:52">
      <c r="C255" s="28">
        <v>44124</v>
      </c>
      <c r="D255" s="2">
        <v>2020</v>
      </c>
      <c r="E255" s="2">
        <v>10</v>
      </c>
      <c r="F255" s="4">
        <v>1.394236</v>
      </c>
      <c r="G255" s="4">
        <f t="shared" si="155"/>
        <v>1.014085742802934</v>
      </c>
      <c r="H255" s="4">
        <f t="shared" si="162"/>
        <v>1.0451924254289466</v>
      </c>
      <c r="I255" s="4">
        <f t="shared" si="155"/>
        <v>0.7354076183735625</v>
      </c>
      <c r="J255" s="4">
        <f t="shared" si="163"/>
        <v>0.76225836410401515</v>
      </c>
      <c r="K255" s="2">
        <v>40.19</v>
      </c>
      <c r="L255" s="4">
        <v>2.1579999999999999</v>
      </c>
      <c r="O255" s="4">
        <v>3.052</v>
      </c>
      <c r="P255" s="4">
        <f t="shared" si="107"/>
        <v>2.0586666666666664</v>
      </c>
      <c r="Q255" s="4">
        <f t="shared" si="108"/>
        <v>3.6062026360661785</v>
      </c>
      <c r="R255" s="4">
        <f t="shared" si="109"/>
        <v>2.4324931717283436</v>
      </c>
      <c r="S255" s="4">
        <v>0.29859999999999998</v>
      </c>
      <c r="T255" s="4">
        <f t="shared" si="116"/>
        <v>0.26499246704331447</v>
      </c>
      <c r="U255" s="4">
        <v>0.184</v>
      </c>
      <c r="V255" s="4">
        <v>0.505</v>
      </c>
      <c r="W255" s="4">
        <v>2.0000000000000007E-2</v>
      </c>
      <c r="X255" s="3">
        <v>3.249999999999998E-2</v>
      </c>
      <c r="Y255" s="4">
        <f t="shared" si="117"/>
        <v>9.606779661016944E-2</v>
      </c>
      <c r="Z255" s="4">
        <f t="shared" si="161"/>
        <v>0.13180535999999998</v>
      </c>
      <c r="AA255" s="54">
        <f>(194.5+195+195+195)/4</f>
        <v>194.875</v>
      </c>
      <c r="AB255" s="4">
        <v>0.16600000000000001</v>
      </c>
      <c r="AC255" s="4">
        <f t="shared" si="128"/>
        <v>0.62106779661016942</v>
      </c>
      <c r="AD255" s="4">
        <f t="shared" si="118"/>
        <v>1.1028731566101695</v>
      </c>
      <c r="AE255" s="4">
        <v>0.1</v>
      </c>
      <c r="AF255" s="4">
        <f t="shared" si="119"/>
        <v>0.23945264376647879</v>
      </c>
      <c r="AG255" s="4">
        <f t="shared" si="139"/>
        <v>0.75388068956685483</v>
      </c>
      <c r="AH255" s="12">
        <v>1123028967</v>
      </c>
      <c r="AI255" s="32">
        <f t="shared" si="140"/>
        <v>36.226740870967745</v>
      </c>
      <c r="AJ255" s="32">
        <f t="shared" si="156"/>
        <v>34.155862057761709</v>
      </c>
      <c r="AK255" s="24">
        <f t="shared" si="141"/>
        <v>268912255.17448765</v>
      </c>
      <c r="AL255" s="2">
        <v>260.38799999999998</v>
      </c>
      <c r="AM255" s="95">
        <f t="shared" si="113"/>
        <v>0.84631960763282854</v>
      </c>
      <c r="AN255" s="4">
        <f t="shared" si="114"/>
        <v>0.28293406132493165</v>
      </c>
      <c r="AO255" s="1">
        <f t="shared" si="159"/>
        <v>0</v>
      </c>
      <c r="AP255" s="110">
        <f t="shared" si="160"/>
        <v>0</v>
      </c>
      <c r="AQ255" s="1">
        <f t="shared" si="151"/>
        <v>0.27867812442937162</v>
      </c>
      <c r="AR255" s="16">
        <f t="shared" si="142"/>
        <v>317.74314661885262</v>
      </c>
      <c r="AS255" s="7">
        <v>31</v>
      </c>
      <c r="AT255" s="1">
        <f t="shared" si="143"/>
        <v>10.249778923188794</v>
      </c>
      <c r="AU255" s="16">
        <f t="shared" si="157"/>
        <v>33556.197584948241</v>
      </c>
      <c r="AV255" s="4">
        <f t="shared" si="158"/>
        <v>33.556197584948244</v>
      </c>
      <c r="AW255" s="4">
        <f t="shared" si="115"/>
        <v>3.5065626680184958</v>
      </c>
      <c r="AY255" s="4">
        <f>(O255-P255-AG255-(SpotGasPrices!K253-(SpotGasPrices!L253+SpotGasPrices!M253)/2))*($AL$279/AL255)</f>
        <v>0.18821474597191842</v>
      </c>
      <c r="AZ255" s="1">
        <f t="shared" si="154"/>
        <v>0.11331032352625492</v>
      </c>
    </row>
    <row r="256" spans="1:52">
      <c r="C256" s="28">
        <v>44155</v>
      </c>
      <c r="D256" s="2">
        <v>2020</v>
      </c>
      <c r="E256" s="2">
        <v>11</v>
      </c>
      <c r="F256" s="4">
        <v>1.3468</v>
      </c>
      <c r="G256" s="4">
        <f t="shared" si="155"/>
        <v>1.014085742802934</v>
      </c>
      <c r="H256" s="4">
        <f t="shared" si="162"/>
        <v>0.94149049136145191</v>
      </c>
      <c r="I256" s="4">
        <f t="shared" si="155"/>
        <v>0.7354076183735625</v>
      </c>
      <c r="J256" s="4">
        <f t="shared" si="163"/>
        <v>0.62902811939844505</v>
      </c>
      <c r="K256" s="2">
        <v>42.69</v>
      </c>
      <c r="L256" s="4">
        <v>2.1080000000000001</v>
      </c>
      <c r="O256" s="4">
        <v>3.0289999999999999</v>
      </c>
      <c r="P256" s="4">
        <f t="shared" si="107"/>
        <v>2.0056666666666669</v>
      </c>
      <c r="Q256" s="4">
        <f t="shared" si="108"/>
        <v>3.5812129278443217</v>
      </c>
      <c r="R256" s="4">
        <f t="shared" si="109"/>
        <v>2.371317066891085</v>
      </c>
      <c r="S256" s="4">
        <v>0.29859999999999998</v>
      </c>
      <c r="T256" s="4">
        <f t="shared" si="116"/>
        <v>0.26507290825934893</v>
      </c>
      <c r="U256" s="4">
        <v>0.184</v>
      </c>
      <c r="V256" s="4">
        <v>0.505</v>
      </c>
      <c r="W256" s="4">
        <v>2.0000000000000007E-2</v>
      </c>
      <c r="X256" s="3">
        <v>3.249999999999998E-2</v>
      </c>
      <c r="Y256" s="4">
        <f t="shared" si="117"/>
        <v>9.53438256658595E-2</v>
      </c>
      <c r="Z256" s="4">
        <f>16.93*0.007902</f>
        <v>0.13378085999999997</v>
      </c>
      <c r="AA256" s="54">
        <f>(201.5+200+201+194.5)/4</f>
        <v>199.25</v>
      </c>
      <c r="AB256" s="4">
        <v>0.17</v>
      </c>
      <c r="AC256" s="4">
        <f t="shared" si="128"/>
        <v>0.62034382566585955</v>
      </c>
      <c r="AD256" s="4">
        <f t="shared" si="118"/>
        <v>1.1081246856658595</v>
      </c>
      <c r="AE256" s="4">
        <v>0.1</v>
      </c>
      <c r="AF256" s="4">
        <f t="shared" si="119"/>
        <v>0.26428155592682279</v>
      </c>
      <c r="AG256" s="4">
        <f t="shared" si="139"/>
        <v>0.7590517774065102</v>
      </c>
      <c r="AH256" s="12">
        <v>1038517621</v>
      </c>
      <c r="AI256" s="32">
        <f t="shared" si="140"/>
        <v>34.617254033333332</v>
      </c>
      <c r="AJ256" s="32">
        <f t="shared" si="156"/>
        <v>34.155862057761709</v>
      </c>
      <c r="AK256" s="24">
        <f t="shared" si="141"/>
        <v>274461052.73530245</v>
      </c>
      <c r="AL256" s="2">
        <v>260.22899999999998</v>
      </c>
      <c r="AM256" s="95">
        <f t="shared" si="113"/>
        <v>0.84580282184541278</v>
      </c>
      <c r="AN256" s="4">
        <f t="shared" si="114"/>
        <v>0.31246237196300758</v>
      </c>
      <c r="AO256" s="1">
        <f t="shared" si="159"/>
        <v>0</v>
      </c>
      <c r="AP256" s="110">
        <f t="shared" si="160"/>
        <v>0</v>
      </c>
      <c r="AQ256" s="1">
        <f t="shared" si="151"/>
        <v>0.27867812442937162</v>
      </c>
      <c r="AR256" s="16">
        <f t="shared" si="142"/>
        <v>324.49767918303974</v>
      </c>
      <c r="AS256" s="7">
        <v>30</v>
      </c>
      <c r="AT256" s="1">
        <f t="shared" si="143"/>
        <v>10.816589306101324</v>
      </c>
      <c r="AU256" s="16">
        <f t="shared" si="157"/>
        <v>33880.695264131282</v>
      </c>
      <c r="AV256" s="4">
        <f t="shared" si="158"/>
        <v>33.880695264131283</v>
      </c>
      <c r="AW256" s="4">
        <f t="shared" si="115"/>
        <v>3.4822634295178481</v>
      </c>
      <c r="AY256" s="4">
        <f>(O256-P256-AG256-(SpotGasPrices!K254-(SpotGasPrices!L254+SpotGasPrices!M254)/2))*($AL$279/AL256)</f>
        <v>0.12743867533927519</v>
      </c>
      <c r="AZ256" s="1">
        <f t="shared" si="154"/>
        <v>0.11331032352625492</v>
      </c>
    </row>
    <row r="257" spans="1:52">
      <c r="B257" s="26" t="s">
        <v>33</v>
      </c>
      <c r="C257" s="28">
        <v>44185</v>
      </c>
      <c r="D257" s="2">
        <v>2020</v>
      </c>
      <c r="E257" s="2">
        <v>12</v>
      </c>
      <c r="F257" s="4">
        <v>1.2142729999999999</v>
      </c>
      <c r="G257" s="4">
        <f t="shared" si="155"/>
        <v>1.014085742802934</v>
      </c>
      <c r="H257" s="4">
        <f t="shared" si="162"/>
        <v>0.76569173973403226</v>
      </c>
      <c r="I257" s="4">
        <f t="shared" si="155"/>
        <v>0.7354076183735625</v>
      </c>
      <c r="J257" s="4">
        <f t="shared" si="163"/>
        <v>0.53211399355169464</v>
      </c>
      <c r="K257" s="2">
        <v>49.99</v>
      </c>
      <c r="L257" s="4">
        <v>2.1949999999999998</v>
      </c>
      <c r="O257" s="4">
        <v>3.0569999999999999</v>
      </c>
      <c r="P257" s="4">
        <f t="shared" si="107"/>
        <v>2.0992222222222221</v>
      </c>
      <c r="Q257" s="4">
        <f t="shared" si="108"/>
        <v>3.6109179687799937</v>
      </c>
      <c r="R257" s="4">
        <f t="shared" si="109"/>
        <v>2.4795941258372554</v>
      </c>
      <c r="S257" s="4">
        <v>0.29859999999999998</v>
      </c>
      <c r="T257" s="4">
        <f t="shared" si="116"/>
        <v>0.2649749798224374</v>
      </c>
      <c r="U257" s="4">
        <v>0.184</v>
      </c>
      <c r="V257" s="4">
        <v>0.505</v>
      </c>
      <c r="W257" s="4">
        <v>2.0000000000000007E-2</v>
      </c>
      <c r="X257" s="3">
        <v>3.249999999999998E-2</v>
      </c>
      <c r="Y257" s="4">
        <f t="shared" si="117"/>
        <v>9.6225181598062898E-2</v>
      </c>
      <c r="Z257" s="4">
        <f t="shared" ref="Z257:Z258" si="164">16.93*0.007902</f>
        <v>0.13378085999999997</v>
      </c>
      <c r="AA257" s="54">
        <f>(199.25+198.25+198.5)/3</f>
        <v>198.66666666666666</v>
      </c>
      <c r="AB257" s="4">
        <v>0.17</v>
      </c>
      <c r="AC257" s="4">
        <f t="shared" si="128"/>
        <v>0.62122518159806295</v>
      </c>
      <c r="AD257" s="4">
        <f t="shared" si="118"/>
        <v>1.1090060415980629</v>
      </c>
      <c r="AE257" s="4">
        <v>0.1</v>
      </c>
      <c r="AF257" s="4">
        <f t="shared" si="119"/>
        <v>0.19774671600215221</v>
      </c>
      <c r="AG257" s="4">
        <f t="shared" si="139"/>
        <v>0.76003106177562563</v>
      </c>
      <c r="AH257" s="12">
        <v>1028344721</v>
      </c>
      <c r="AI257" s="32">
        <f t="shared" si="140"/>
        <v>33.172410354838711</v>
      </c>
      <c r="AJ257" s="32">
        <f t="shared" si="156"/>
        <v>34.155862057761709</v>
      </c>
      <c r="AK257" s="24">
        <f t="shared" si="141"/>
        <v>203351791.49589944</v>
      </c>
      <c r="AL257" s="2">
        <v>260.47399999999999</v>
      </c>
      <c r="AM257" s="95">
        <f t="shared" si="113"/>
        <v>0.84659912698954398</v>
      </c>
      <c r="AN257" s="4">
        <f t="shared" si="114"/>
        <v>0.23357774618233748</v>
      </c>
      <c r="AO257" s="1">
        <f t="shared" si="159"/>
        <v>0</v>
      </c>
      <c r="AP257" s="110">
        <f t="shared" si="160"/>
        <v>0</v>
      </c>
      <c r="AQ257" s="1">
        <f t="shared" si="151"/>
        <v>0.27867812442937162</v>
      </c>
      <c r="AR257" s="16">
        <f t="shared" si="142"/>
        <v>240.19844222968464</v>
      </c>
      <c r="AS257" s="7">
        <v>31</v>
      </c>
      <c r="AT257" s="1">
        <f t="shared" si="143"/>
        <v>7.7483368461188595</v>
      </c>
      <c r="AU257" s="16">
        <f t="shared" si="157"/>
        <v>34120.89370636097</v>
      </c>
      <c r="AV257" s="4">
        <f t="shared" si="158"/>
        <v>34.120893706360967</v>
      </c>
      <c r="AW257" s="4">
        <f t="shared" si="115"/>
        <v>3.5111477153189954</v>
      </c>
      <c r="AY257" s="4">
        <f>(O257-P257-AG257-(SpotGasPrices!K255-(SpotGasPrices!L255+SpotGasPrices!M255)/2))*($AL$279/AL257)</f>
        <v>0.10782900531044713</v>
      </c>
      <c r="AZ257" s="1">
        <f t="shared" si="154"/>
        <v>0.11331032352625492</v>
      </c>
    </row>
    <row r="258" spans="1:52">
      <c r="A258" s="33" t="s">
        <v>39</v>
      </c>
      <c r="B258" s="26" t="s">
        <v>33</v>
      </c>
      <c r="C258" s="29">
        <v>44216</v>
      </c>
      <c r="D258" s="2">
        <v>2021</v>
      </c>
      <c r="E258" s="2">
        <v>1</v>
      </c>
      <c r="F258" s="4">
        <v>1.4434210000000001</v>
      </c>
      <c r="G258" s="4">
        <f>AVERAGE(H258:H269)</f>
        <v>1.1631692217442982</v>
      </c>
      <c r="H258" s="4">
        <f t="shared" si="162"/>
        <v>0.73014340258947619</v>
      </c>
      <c r="I258" s="4">
        <f>AVERAGE(J258:J269)</f>
        <v>0.83964443506537989</v>
      </c>
      <c r="J258" s="4">
        <f t="shared" si="163"/>
        <v>0.55760070251469029</v>
      </c>
      <c r="K258" s="2">
        <v>54.77</v>
      </c>
      <c r="L258" s="4">
        <v>2.3340000000000001</v>
      </c>
      <c r="O258" s="4">
        <v>3.1760000000000002</v>
      </c>
      <c r="P258" s="4">
        <f t="shared" si="107"/>
        <v>2.2404444444444445</v>
      </c>
      <c r="Q258" s="4">
        <f t="shared" si="108"/>
        <v>3.7355899717870495</v>
      </c>
      <c r="R258" s="4">
        <f t="shared" si="109"/>
        <v>2.6351957805455526</v>
      </c>
      <c r="S258" s="4">
        <v>0.30159999999999998</v>
      </c>
      <c r="T258" s="4">
        <f t="shared" si="116"/>
        <v>0.26789211729889695</v>
      </c>
      <c r="U258" s="4">
        <v>0.184</v>
      </c>
      <c r="V258" s="4">
        <v>0.505</v>
      </c>
      <c r="W258" s="4">
        <v>2.0000000000000007E-2</v>
      </c>
      <c r="X258" s="3">
        <v>3.249999999999998E-2</v>
      </c>
      <c r="Y258" s="4">
        <f t="shared" si="117"/>
        <v>9.9970944309927312E-2</v>
      </c>
      <c r="Z258" s="4">
        <f t="shared" si="164"/>
        <v>0.13378085999999997</v>
      </c>
      <c r="AA258" s="4">
        <f>(193.5+198+201+201)/4</f>
        <v>198.375</v>
      </c>
      <c r="AB258" s="4">
        <v>0.19800000000000001</v>
      </c>
      <c r="AC258" s="4">
        <f t="shared" si="128"/>
        <v>0.62497094430992739</v>
      </c>
      <c r="AD258" s="4">
        <f t="shared" si="118"/>
        <v>1.1407518043099274</v>
      </c>
      <c r="AE258" s="4">
        <v>0.1</v>
      </c>
      <c r="AF258" s="4">
        <f t="shared" si="119"/>
        <v>0.14669586854452543</v>
      </c>
      <c r="AG258" s="4">
        <f t="shared" si="139"/>
        <v>0.78885968701103026</v>
      </c>
      <c r="AH258" s="12">
        <v>994642014</v>
      </c>
      <c r="AI258" s="32">
        <f t="shared" si="140"/>
        <v>32.085226258064516</v>
      </c>
      <c r="AJ258" s="32">
        <f>AVERAGE(AI258:AI269)</f>
        <v>37.856345274039931</v>
      </c>
      <c r="AK258" s="24">
        <f t="shared" si="141"/>
        <v>145909874.13460603</v>
      </c>
      <c r="AL258" s="2">
        <v>261.58199999999999</v>
      </c>
      <c r="AM258" s="95">
        <f t="shared" si="113"/>
        <v>0.85020037637606405</v>
      </c>
      <c r="AN258" s="4">
        <f t="shared" si="114"/>
        <v>0.17254270007478606</v>
      </c>
      <c r="AO258" s="1">
        <f t="shared" si="159"/>
        <v>0</v>
      </c>
      <c r="AP258" s="110">
        <f t="shared" si="160"/>
        <v>0</v>
      </c>
      <c r="AQ258" s="1">
        <f>AVERAGE(AN$258:AN$269)</f>
        <v>0.32352478667891793</v>
      </c>
      <c r="AR258" s="16">
        <f t="shared" si="142"/>
        <v>171.61821870338315</v>
      </c>
      <c r="AS258" s="7">
        <v>31</v>
      </c>
      <c r="AT258" s="1">
        <f t="shared" si="143"/>
        <v>5.5360715710768762</v>
      </c>
      <c r="AU258" s="16">
        <f t="shared" si="157"/>
        <v>34292.511925064355</v>
      </c>
      <c r="AV258" s="4">
        <f t="shared" si="158"/>
        <v>34.292511925064353</v>
      </c>
      <c r="AW258" s="4">
        <f t="shared" si="115"/>
        <v>3.632375010512956</v>
      </c>
      <c r="AY258" s="4">
        <f>(O258-P258-AG258-(SpotGasPrices!K256-(SpotGasPrices!L256+SpotGasPrices!M256)/2))*($AL$279/AL258)</f>
        <v>2.7565578582207862E-2</v>
      </c>
      <c r="AZ258" s="1">
        <f>AVERAGE($AY258:$AY269)</f>
        <v>0.18107404046146969</v>
      </c>
    </row>
    <row r="259" spans="1:52">
      <c r="C259" s="28">
        <v>44247</v>
      </c>
      <c r="D259" s="2">
        <v>2021</v>
      </c>
      <c r="E259" s="2">
        <v>2</v>
      </c>
      <c r="F259" s="4">
        <v>1.5744739999999999</v>
      </c>
      <c r="G259" s="4">
        <f>G258</f>
        <v>1.1631692217442982</v>
      </c>
      <c r="H259" s="4">
        <f t="shared" si="162"/>
        <v>0.70803949493773155</v>
      </c>
      <c r="I259" s="4">
        <f>I258</f>
        <v>0.83964443506537989</v>
      </c>
      <c r="J259" s="4">
        <f t="shared" si="163"/>
        <v>0.53925649161508338</v>
      </c>
      <c r="K259" s="2">
        <v>62.28</v>
      </c>
      <c r="L259" s="4">
        <v>2.5009999999999999</v>
      </c>
      <c r="O259" s="4">
        <v>3.347</v>
      </c>
      <c r="P259" s="4">
        <f t="shared" si="107"/>
        <v>2.4069999999999996</v>
      </c>
      <c r="Q259" s="4">
        <f t="shared" si="108"/>
        <v>3.9152852585793907</v>
      </c>
      <c r="R259" s="4">
        <f t="shared" si="109"/>
        <v>2.8156831841651009</v>
      </c>
      <c r="S259" s="4">
        <v>0.30159999999999998</v>
      </c>
      <c r="T259" s="4">
        <f t="shared" si="116"/>
        <v>0.26729405434490178</v>
      </c>
      <c r="U259" s="4">
        <v>0.184</v>
      </c>
      <c r="V259" s="4">
        <v>0.505</v>
      </c>
      <c r="W259" s="4">
        <v>2.0000000000000007E-2</v>
      </c>
      <c r="X259" s="3">
        <v>3.249999999999998E-2</v>
      </c>
      <c r="Y259" s="4">
        <f t="shared" si="117"/>
        <v>0.10535351089588371</v>
      </c>
      <c r="Z259" s="4">
        <f>17.8*0.007902</f>
        <v>0.14065559999999999</v>
      </c>
      <c r="AA259" s="4">
        <f>(195+193+189+193.75)/4</f>
        <v>192.6875</v>
      </c>
      <c r="AB259" s="4">
        <v>0.192</v>
      </c>
      <c r="AC259" s="4">
        <f t="shared" si="128"/>
        <v>0.63035351089588376</v>
      </c>
      <c r="AD259" s="4">
        <f t="shared" si="118"/>
        <v>1.1470091108958838</v>
      </c>
      <c r="AE259" s="4">
        <v>0.1</v>
      </c>
      <c r="AF259" s="4">
        <f t="shared" si="119"/>
        <v>0.14428494344901788</v>
      </c>
      <c r="AG259" s="4">
        <f t="shared" si="139"/>
        <v>0.79571505655098251</v>
      </c>
      <c r="AH259" s="12">
        <v>975104220</v>
      </c>
      <c r="AI259" s="32">
        <f t="shared" si="140"/>
        <v>34.825150714285712</v>
      </c>
      <c r="AJ259" s="32">
        <f>AJ258</f>
        <v>37.856345274039931</v>
      </c>
      <c r="AK259" s="24">
        <f t="shared" si="141"/>
        <v>140692857.23959869</v>
      </c>
      <c r="AL259" s="2">
        <v>263.01400000000001</v>
      </c>
      <c r="AM259" s="95">
        <f t="shared" si="113"/>
        <v>0.85485469868788422</v>
      </c>
      <c r="AN259" s="4">
        <f t="shared" si="114"/>
        <v>0.16878300332264737</v>
      </c>
      <c r="AO259" s="1">
        <f t="shared" si="159"/>
        <v>0</v>
      </c>
      <c r="AP259" s="110">
        <f t="shared" si="160"/>
        <v>0</v>
      </c>
      <c r="AQ259" s="1">
        <f t="shared" ref="AQ259:AQ281" si="165">AQ258</f>
        <v>0.32352478667891793</v>
      </c>
      <c r="AR259" s="16">
        <f t="shared" si="142"/>
        <v>164.58101880418747</v>
      </c>
      <c r="AS259" s="7">
        <v>28</v>
      </c>
      <c r="AT259" s="1">
        <f t="shared" si="143"/>
        <v>5.877893528720981</v>
      </c>
      <c r="AU259" s="16">
        <f t="shared" si="157"/>
        <v>34457.092943868542</v>
      </c>
      <c r="AV259" s="4">
        <f t="shared" si="158"/>
        <v>34.457092943868538</v>
      </c>
      <c r="AW259" s="4">
        <f t="shared" si="115"/>
        <v>3.8071052871710247</v>
      </c>
      <c r="AY259" s="4">
        <f>(O259-P259-AG259-(SpotGasPrices!K257-(SpotGasPrices!L257+SpotGasPrices!M257)/2))*($AL$279/AL259)</f>
        <v>5.1877324276003202E-2</v>
      </c>
      <c r="AZ259" s="1">
        <f t="shared" ref="AZ259:AZ269" si="166">AZ258</f>
        <v>0.18107404046146969</v>
      </c>
    </row>
    <row r="260" spans="1:52">
      <c r="C260" s="28">
        <v>44275</v>
      </c>
      <c r="D260" s="2">
        <v>2021</v>
      </c>
      <c r="E260" s="2">
        <v>3</v>
      </c>
      <c r="F260" s="4">
        <v>1.754837</v>
      </c>
      <c r="G260" s="4">
        <f t="shared" ref="G260:I269" si="167">G259</f>
        <v>1.1631692217442982</v>
      </c>
      <c r="H260" s="4">
        <f t="shared" si="162"/>
        <v>1.006250894699996</v>
      </c>
      <c r="I260" s="4">
        <f t="shared" si="167"/>
        <v>0.83964443506537989</v>
      </c>
      <c r="J260" s="4">
        <f t="shared" si="163"/>
        <v>0.80388504025010721</v>
      </c>
      <c r="K260" s="2">
        <v>65.41</v>
      </c>
      <c r="L260" s="4">
        <v>2.81</v>
      </c>
      <c r="O260" s="4">
        <v>3.6920000000000002</v>
      </c>
      <c r="P260" s="4">
        <f t="shared" si="107"/>
        <v>2.7119999999999997</v>
      </c>
      <c r="Q260" s="4">
        <f t="shared" si="108"/>
        <v>4.2884860973206438</v>
      </c>
      <c r="R260" s="4">
        <f t="shared" si="109"/>
        <v>3.1501555514446324</v>
      </c>
      <c r="S260" s="4">
        <v>0.30159999999999998</v>
      </c>
      <c r="T260" s="4">
        <f t="shared" si="116"/>
        <v>0.26608743610438523</v>
      </c>
      <c r="U260" s="4">
        <v>0.184</v>
      </c>
      <c r="V260" s="4">
        <v>0.505</v>
      </c>
      <c r="W260" s="4">
        <v>2.0000000000000007E-2</v>
      </c>
      <c r="X260" s="3">
        <v>3.249999999999998E-2</v>
      </c>
      <c r="Y260" s="4">
        <f t="shared" si="117"/>
        <v>0.11621307506053262</v>
      </c>
      <c r="Z260" s="4">
        <f t="shared" ref="Z260:Z261" si="168">17.8*0.007902</f>
        <v>0.14065559999999999</v>
      </c>
      <c r="AA260" s="4">
        <f>(178+187+193+198.25+196.5)/5</f>
        <v>190.55</v>
      </c>
      <c r="AB260" s="4">
        <v>0.19</v>
      </c>
      <c r="AC260" s="4">
        <f t="shared" si="128"/>
        <v>0.6412130750605326</v>
      </c>
      <c r="AD260" s="4">
        <f t="shared" si="118"/>
        <v>1.1558686750605327</v>
      </c>
      <c r="AE260" s="4">
        <v>0.1</v>
      </c>
      <c r="AF260" s="4">
        <f t="shared" si="119"/>
        <v>0.17421876104385303</v>
      </c>
      <c r="AG260" s="4">
        <f t="shared" si="139"/>
        <v>0.80578123895614739</v>
      </c>
      <c r="AH260" s="76">
        <v>1138095720</v>
      </c>
      <c r="AI260" s="32">
        <f t="shared" si="140"/>
        <v>36.712765161290321</v>
      </c>
      <c r="AJ260" s="32">
        <f t="shared" ref="AJ260:AJ269" si="169">AJ259</f>
        <v>37.856345274039931</v>
      </c>
      <c r="AK260" s="24">
        <f t="shared" si="141"/>
        <v>198277626.28771186</v>
      </c>
      <c r="AL260" s="2">
        <v>264.87700000000001</v>
      </c>
      <c r="AM260" s="95">
        <f t="shared" si="113"/>
        <v>0.86090986800835967</v>
      </c>
      <c r="AN260" s="4">
        <f t="shared" si="114"/>
        <v>0.20236585444988919</v>
      </c>
      <c r="AO260" s="1">
        <f t="shared" si="159"/>
        <v>0</v>
      </c>
      <c r="AP260" s="110">
        <f t="shared" si="160"/>
        <v>0</v>
      </c>
      <c r="AQ260" s="1">
        <f t="shared" si="165"/>
        <v>0.32352478667891793</v>
      </c>
      <c r="AR260" s="16">
        <f t="shared" si="142"/>
        <v>230.31171282356183</v>
      </c>
      <c r="AS260" s="7">
        <v>31</v>
      </c>
      <c r="AT260" s="1">
        <f t="shared" si="143"/>
        <v>7.4294100910826399</v>
      </c>
      <c r="AU260" s="16">
        <f t="shared" si="157"/>
        <v>34687.404656692102</v>
      </c>
      <c r="AV260" s="4">
        <f t="shared" si="158"/>
        <v>34.687404656692102</v>
      </c>
      <c r="AW260" s="4">
        <f t="shared" si="115"/>
        <v>4.1699945257610134</v>
      </c>
      <c r="AY260" s="4">
        <f>(O260-P260-AG260-(SpotGasPrices!K258-(SpotGasPrices!L258+SpotGasPrices!M258)/2))*($AL$279/AL260)</f>
        <v>8.2940668371360229E-2</v>
      </c>
      <c r="AZ260" s="1">
        <f t="shared" si="166"/>
        <v>0.18107404046146969</v>
      </c>
    </row>
    <row r="261" spans="1:52">
      <c r="C261" s="28">
        <v>44306</v>
      </c>
      <c r="D261" s="2">
        <v>2021</v>
      </c>
      <c r="E261" s="2">
        <v>4</v>
      </c>
      <c r="F261" s="4">
        <v>2.0668449999999998</v>
      </c>
      <c r="G261" s="4">
        <f t="shared" si="167"/>
        <v>1.1631692217442982</v>
      </c>
      <c r="H261" s="4">
        <f t="shared" si="162"/>
        <v>1.1746730658353235</v>
      </c>
      <c r="I261" s="4">
        <f t="shared" si="167"/>
        <v>0.83964443506537989</v>
      </c>
      <c r="J261" s="4">
        <f t="shared" si="163"/>
        <v>0.8592494088040511</v>
      </c>
      <c r="K261" s="2">
        <v>64.81</v>
      </c>
      <c r="L261" s="4">
        <v>2.8580000000000001</v>
      </c>
      <c r="O261" s="4">
        <v>3.8220000000000001</v>
      </c>
      <c r="P261" s="4">
        <f t="shared" si="107"/>
        <v>2.7508888888888889</v>
      </c>
      <c r="Q261" s="4">
        <f t="shared" si="108"/>
        <v>4.4032988159698041</v>
      </c>
      <c r="R261" s="4">
        <f t="shared" si="109"/>
        <v>3.16927937920171</v>
      </c>
      <c r="S261" s="4">
        <v>0.30159999999999998</v>
      </c>
      <c r="T261" s="4">
        <f t="shared" si="116"/>
        <v>0.26563276836158189</v>
      </c>
      <c r="U261" s="4">
        <v>0.184</v>
      </c>
      <c r="V261" s="4">
        <v>0.505</v>
      </c>
      <c r="W261" s="4">
        <v>2.0000000000000007E-2</v>
      </c>
      <c r="X261" s="3">
        <v>3.249999999999998E-2</v>
      </c>
      <c r="Y261" s="4">
        <f t="shared" si="117"/>
        <v>0.12030508474576264</v>
      </c>
      <c r="Z261" s="4">
        <f t="shared" si="168"/>
        <v>0.14065559999999999</v>
      </c>
      <c r="AA261" s="4">
        <f>(179.5+172.75+176+182.5)/4</f>
        <v>177.6875</v>
      </c>
      <c r="AB261" s="4">
        <v>0.17699999999999999</v>
      </c>
      <c r="AC261" s="4">
        <f t="shared" si="128"/>
        <v>0.64530508474576265</v>
      </c>
      <c r="AD261" s="4">
        <f t="shared" si="118"/>
        <v>1.1469606847457627</v>
      </c>
      <c r="AE261" s="4">
        <v>0.1</v>
      </c>
      <c r="AF261" s="4">
        <f t="shared" si="119"/>
        <v>0.27378319472693002</v>
      </c>
      <c r="AG261" s="4">
        <f t="shared" si="139"/>
        <v>0.7973279163841811</v>
      </c>
      <c r="AH261" s="77">
        <v>1154736838</v>
      </c>
      <c r="AI261" s="32">
        <f t="shared" si="140"/>
        <v>38.491227933333334</v>
      </c>
      <c r="AJ261" s="32">
        <f t="shared" si="169"/>
        <v>37.856345274039931</v>
      </c>
      <c r="AK261" s="24">
        <f t="shared" si="141"/>
        <v>316147540.57651347</v>
      </c>
      <c r="AL261" s="2">
        <v>267.05399999999997</v>
      </c>
      <c r="AM261" s="95">
        <f t="shared" si="113"/>
        <v>0.86798560800335411</v>
      </c>
      <c r="AN261" s="4">
        <f t="shared" si="114"/>
        <v>0.31542365703127195</v>
      </c>
      <c r="AO261" s="1">
        <f t="shared" si="159"/>
        <v>0</v>
      </c>
      <c r="AP261" s="110">
        <f t="shared" si="160"/>
        <v>0</v>
      </c>
      <c r="AQ261" s="1">
        <f t="shared" si="165"/>
        <v>0.32352478667891793</v>
      </c>
      <c r="AR261" s="16">
        <f t="shared" si="142"/>
        <v>364.23131635068745</v>
      </c>
      <c r="AS261" s="7">
        <v>30</v>
      </c>
      <c r="AT261" s="1">
        <f t="shared" si="143"/>
        <v>12.141043878356248</v>
      </c>
      <c r="AU261" s="16">
        <f t="shared" si="157"/>
        <v>35051.635973042787</v>
      </c>
      <c r="AV261" s="4">
        <f t="shared" si="158"/>
        <v>35.051635973042785</v>
      </c>
      <c r="AW261" s="4">
        <f t="shared" si="115"/>
        <v>4.2816349502347846</v>
      </c>
      <c r="AY261" s="4">
        <f>(O261-P261-AG261-(SpotGasPrices!K259-(SpotGasPrices!L259+SpotGasPrices!M259)/2))*($AL$279/AL261)</f>
        <v>0.16491483155826828</v>
      </c>
      <c r="AZ261" s="1">
        <f t="shared" si="166"/>
        <v>0.18107404046146969</v>
      </c>
    </row>
    <row r="262" spans="1:52">
      <c r="C262" s="28">
        <v>44336</v>
      </c>
      <c r="D262" s="2">
        <v>2021</v>
      </c>
      <c r="E262" s="2">
        <v>5</v>
      </c>
      <c r="F262" s="4">
        <v>2.4500000000000002</v>
      </c>
      <c r="G262" s="4">
        <f t="shared" si="167"/>
        <v>1.1631692217442982</v>
      </c>
      <c r="H262" s="4">
        <f t="shared" si="162"/>
        <v>1.2176557376996642</v>
      </c>
      <c r="I262" s="4">
        <f t="shared" si="167"/>
        <v>0.83964443506537989</v>
      </c>
      <c r="J262" s="4">
        <f t="shared" si="163"/>
        <v>0.89197564844168675</v>
      </c>
      <c r="K262" s="2">
        <v>68.53</v>
      </c>
      <c r="L262" s="4">
        <v>2.9849999999999999</v>
      </c>
      <c r="O262" s="4">
        <v>3.9820000000000002</v>
      </c>
      <c r="P262" s="4">
        <f t="shared" si="107"/>
        <v>2.874222222222222</v>
      </c>
      <c r="Q262" s="4">
        <f t="shared" ref="Q262:Q290" si="170">O262*$AL$291/$AL262</f>
        <v>4.5511466483404224</v>
      </c>
      <c r="R262" s="4">
        <f t="shared" ref="R262:R291" si="171">P262*$AL$291/$AL262</f>
        <v>3.2850343629463152</v>
      </c>
      <c r="S262" s="4">
        <v>0.30159999999999998</v>
      </c>
      <c r="T262" s="4">
        <f t="shared" si="116"/>
        <v>0.26507317729351626</v>
      </c>
      <c r="U262" s="4">
        <v>0.184</v>
      </c>
      <c r="V262" s="4">
        <v>0.505</v>
      </c>
      <c r="W262" s="4">
        <v>2.0000000000000007E-2</v>
      </c>
      <c r="X262" s="3">
        <v>3.249999999999998E-2</v>
      </c>
      <c r="Y262" s="4">
        <f t="shared" si="117"/>
        <v>0.12534140435835345</v>
      </c>
      <c r="Z262" s="4">
        <f>18.8*0.007902</f>
        <v>0.14855759999999998</v>
      </c>
      <c r="AA262" s="4">
        <v>193.5</v>
      </c>
      <c r="AB262" s="4">
        <v>0.189</v>
      </c>
      <c r="AC262" s="4">
        <f t="shared" si="128"/>
        <v>0.65034140435835353</v>
      </c>
      <c r="AD262" s="4">
        <f t="shared" si="118"/>
        <v>1.1718990043583535</v>
      </c>
      <c r="AE262" s="4">
        <v>0.1</v>
      </c>
      <c r="AF262" s="4">
        <f t="shared" si="119"/>
        <v>0.28495195071294077</v>
      </c>
      <c r="AG262" s="4">
        <f t="shared" si="139"/>
        <v>0.82282582706483742</v>
      </c>
      <c r="AH262" s="78">
        <v>1207155882</v>
      </c>
      <c r="AI262" s="32">
        <f t="shared" ref="AI262:AI291" si="172">AH262/(1000000*AS262)</f>
        <v>38.940512322580645</v>
      </c>
      <c r="AJ262" s="32">
        <f t="shared" si="169"/>
        <v>37.856345274039931</v>
      </c>
      <c r="AK262" s="24">
        <f t="shared" ref="AK262:AK291" si="173">AF262*AH262</f>
        <v>343981423.39050055</v>
      </c>
      <c r="AL262" s="2">
        <v>269.19499999999999</v>
      </c>
      <c r="AM262" s="95">
        <f t="shared" ref="AM262:AM290" si="174">AL262/AL$291</f>
        <v>0.87494433989553777</v>
      </c>
      <c r="AN262" s="4">
        <f t="shared" ref="AN262:AN291" si="175">AF262/AM262</f>
        <v>0.32568008925797731</v>
      </c>
      <c r="AO262" s="1">
        <f t="shared" si="159"/>
        <v>0</v>
      </c>
      <c r="AP262" s="110">
        <f t="shared" si="160"/>
        <v>0</v>
      </c>
      <c r="AQ262" s="1">
        <f t="shared" si="165"/>
        <v>0.32352478667891793</v>
      </c>
      <c r="AR262" s="16">
        <f t="shared" si="142"/>
        <v>393.14663539805235</v>
      </c>
      <c r="AS262" s="7">
        <v>31</v>
      </c>
      <c r="AT262" s="1">
        <f t="shared" si="143"/>
        <v>12.682149528969431</v>
      </c>
      <c r="AU262" s="16">
        <f t="shared" si="157"/>
        <v>35444.782608440837</v>
      </c>
      <c r="AV262" s="4">
        <f t="shared" si="158"/>
        <v>35.444782608440839</v>
      </c>
      <c r="AW262" s="4">
        <f t="shared" ref="AW262:AW291" si="176">O262*(AM$282/AM262)</f>
        <v>4.4253977228403203</v>
      </c>
      <c r="AY262" s="4">
        <f>(O262-P262-AG262-(SpotGasPrices!K260-(SpotGasPrices!L260+SpotGasPrices!M260)/2))*($AL$279/AL262)</f>
        <v>0.13611380871065556</v>
      </c>
      <c r="AZ262" s="1">
        <f t="shared" si="166"/>
        <v>0.18107404046146969</v>
      </c>
    </row>
    <row r="263" spans="1:52">
      <c r="A263" s="2">
        <v>2021</v>
      </c>
      <c r="B263" s="2">
        <f>D259</f>
        <v>2021</v>
      </c>
      <c r="C263" s="28">
        <v>44367</v>
      </c>
      <c r="D263" s="2">
        <v>2021</v>
      </c>
      <c r="E263" s="2">
        <v>6</v>
      </c>
      <c r="F263" s="4">
        <v>2.2977270000000001</v>
      </c>
      <c r="G263" s="4">
        <f t="shared" si="167"/>
        <v>1.1631692217442982</v>
      </c>
      <c r="H263" s="4">
        <f t="shared" si="162"/>
        <v>1.2113782063261633</v>
      </c>
      <c r="I263" s="4">
        <f t="shared" si="167"/>
        <v>0.83964443506537989</v>
      </c>
      <c r="J263" s="4">
        <f t="shared" si="163"/>
        <v>0.83776963146081851</v>
      </c>
      <c r="K263" s="2">
        <v>73.16</v>
      </c>
      <c r="L263" s="4">
        <v>3.0640000000000001</v>
      </c>
      <c r="O263" s="4">
        <v>4.0940000000000003</v>
      </c>
      <c r="P263" s="4">
        <f t="shared" si="107"/>
        <v>2.9495555555555555</v>
      </c>
      <c r="Q263" s="4">
        <f t="shared" si="170"/>
        <v>4.6360825113361992</v>
      </c>
      <c r="R263" s="4">
        <f t="shared" si="171"/>
        <v>3.3401033041831063</v>
      </c>
      <c r="S263" s="4">
        <v>0.30630000000000002</v>
      </c>
      <c r="T263" s="4">
        <f t="shared" ref="T263:T291" si="177">(S263-0.1*(V263+Y263))/0.9</f>
        <v>0.26990368576809254</v>
      </c>
      <c r="U263" s="4">
        <v>0.184</v>
      </c>
      <c r="V263" s="4">
        <v>0.505</v>
      </c>
      <c r="W263" s="4">
        <v>2.0000000000000007E-2</v>
      </c>
      <c r="X263" s="3">
        <v>3.249999999999998E-2</v>
      </c>
      <c r="Y263" s="4">
        <f t="shared" si="117"/>
        <v>0.12886682808716701</v>
      </c>
      <c r="Z263" s="4">
        <f t="shared" ref="Z263:Z264" si="178">18.8*0.007902</f>
        <v>0.14855759999999998</v>
      </c>
      <c r="AA263" s="4">
        <v>182.5</v>
      </c>
      <c r="AB263" s="4">
        <v>0.182</v>
      </c>
      <c r="AC263" s="4">
        <f t="shared" si="128"/>
        <v>0.65386682808716701</v>
      </c>
      <c r="AD263" s="4">
        <f t="shared" si="118"/>
        <v>1.168424428087167</v>
      </c>
      <c r="AE263" s="4">
        <v>0.1</v>
      </c>
      <c r="AF263" s="4">
        <f t="shared" si="119"/>
        <v>0.32992370212536981</v>
      </c>
      <c r="AG263" s="4">
        <f t="shared" si="139"/>
        <v>0.81452074231907501</v>
      </c>
      <c r="AH263" s="79">
        <v>1195817148</v>
      </c>
      <c r="AI263" s="32">
        <f t="shared" si="172"/>
        <v>39.8605716</v>
      </c>
      <c r="AJ263" s="32">
        <f t="shared" si="169"/>
        <v>37.856345274039931</v>
      </c>
      <c r="AK263" s="24">
        <f t="shared" si="173"/>
        <v>394528420.53316128</v>
      </c>
      <c r="AL263" s="2">
        <v>271.69600000000003</v>
      </c>
      <c r="AM263" s="95">
        <f t="shared" si="174"/>
        <v>0.88307315281583265</v>
      </c>
      <c r="AN263" s="4">
        <f t="shared" si="175"/>
        <v>0.37360857486534449</v>
      </c>
      <c r="AO263" s="1">
        <f t="shared" si="159"/>
        <v>0</v>
      </c>
      <c r="AP263" s="110">
        <f t="shared" si="160"/>
        <v>0</v>
      </c>
      <c r="AQ263" s="1">
        <f t="shared" si="165"/>
        <v>0.32352478667891793</v>
      </c>
      <c r="AR263" s="16">
        <f t="shared" si="142"/>
        <v>446.76754046382075</v>
      </c>
      <c r="AS263" s="7">
        <v>30</v>
      </c>
      <c r="AT263" s="1">
        <f t="shared" si="143"/>
        <v>14.892251348794025</v>
      </c>
      <c r="AU263" s="16">
        <f t="shared" si="157"/>
        <v>35891.550148904658</v>
      </c>
      <c r="AV263" s="4">
        <f t="shared" si="158"/>
        <v>35.891550148904656</v>
      </c>
      <c r="AW263" s="4">
        <f t="shared" si="176"/>
        <v>4.5079867940639531</v>
      </c>
      <c r="AY263" s="4">
        <f>(O263-P263-AG263-(SpotGasPrices!K261-(SpotGasPrices!L261+SpotGasPrices!M261)/2))*($AL$279/AL263)</f>
        <v>0.17705891996122777</v>
      </c>
      <c r="AZ263" s="1">
        <f t="shared" si="166"/>
        <v>0.18107404046146969</v>
      </c>
    </row>
    <row r="264" spans="1:52">
      <c r="C264" s="28">
        <v>44397</v>
      </c>
      <c r="D264" s="2">
        <v>2021</v>
      </c>
      <c r="E264" s="2">
        <v>7</v>
      </c>
      <c r="F264" s="4">
        <v>2.160952</v>
      </c>
      <c r="G264" s="4">
        <f t="shared" si="167"/>
        <v>1.1631692217442982</v>
      </c>
      <c r="H264" s="4">
        <f t="shared" si="162"/>
        <v>1.2242023618573015</v>
      </c>
      <c r="I264" s="4">
        <f t="shared" si="167"/>
        <v>0.83964443506537989</v>
      </c>
      <c r="J264" s="4">
        <f t="shared" si="163"/>
        <v>0.86169243864893241</v>
      </c>
      <c r="K264" s="2">
        <v>75.17</v>
      </c>
      <c r="L264" s="4">
        <v>3.1360000000000001</v>
      </c>
      <c r="O264" s="4">
        <v>4.165</v>
      </c>
      <c r="P264" s="4">
        <f t="shared" si="107"/>
        <v>3.0216666666666665</v>
      </c>
      <c r="Q264" s="4">
        <f t="shared" si="170"/>
        <v>4.6939034186437514</v>
      </c>
      <c r="R264" s="4">
        <f t="shared" si="171"/>
        <v>3.4053809115650742</v>
      </c>
      <c r="S264" s="4">
        <v>0.30630000000000002</v>
      </c>
      <c r="T264" s="4">
        <f t="shared" si="177"/>
        <v>0.26898870056497176</v>
      </c>
      <c r="U264" s="4">
        <v>0.184</v>
      </c>
      <c r="V264" s="4">
        <v>0.51100000000000001</v>
      </c>
      <c r="W264" s="4">
        <v>2.0000000000000007E-2</v>
      </c>
      <c r="X264" s="3">
        <v>3.249999999999998E-2</v>
      </c>
      <c r="Y264" s="4">
        <f t="shared" ref="Y264:Y291" si="179">(X264/(1+X264))*O264</f>
        <v>0.13110169491525417</v>
      </c>
      <c r="Z264" s="4">
        <f t="shared" si="178"/>
        <v>0.14855759999999998</v>
      </c>
      <c r="AA264" s="4">
        <v>180.5</v>
      </c>
      <c r="AB264" s="4">
        <v>0.18</v>
      </c>
      <c r="AC264" s="4">
        <f t="shared" si="128"/>
        <v>0.66210169491525417</v>
      </c>
      <c r="AD264" s="4">
        <f t="shared" si="118"/>
        <v>1.1746592949152541</v>
      </c>
      <c r="AE264" s="4">
        <v>0.1</v>
      </c>
      <c r="AF264" s="4">
        <f t="shared" ref="AF264:AF272" si="180">(O264-Z264-AB264-AC264-AE264)-(P264-T264)</f>
        <v>0.32166273898305064</v>
      </c>
      <c r="AG264" s="4">
        <f t="shared" si="139"/>
        <v>0.82167059435028289</v>
      </c>
      <c r="AH264" s="80">
        <v>1231371893</v>
      </c>
      <c r="AI264" s="32">
        <f t="shared" si="172"/>
        <v>39.721673967741935</v>
      </c>
      <c r="AJ264" s="32">
        <f t="shared" si="169"/>
        <v>37.856345274039931</v>
      </c>
      <c r="AK264" s="24">
        <f t="shared" si="173"/>
        <v>396086455.80912399</v>
      </c>
      <c r="AL264" s="2">
        <v>273.00299999999999</v>
      </c>
      <c r="AM264" s="95">
        <f t="shared" si="174"/>
        <v>0.88732119699289169</v>
      </c>
      <c r="AN264" s="4">
        <f t="shared" si="175"/>
        <v>0.36250992320836833</v>
      </c>
      <c r="AO264" s="1">
        <f t="shared" si="159"/>
        <v>0</v>
      </c>
      <c r="AP264" s="110">
        <f t="shared" si="160"/>
        <v>0</v>
      </c>
      <c r="AQ264" s="1">
        <f t="shared" si="165"/>
        <v>0.32352478667891793</v>
      </c>
      <c r="AR264" s="16">
        <f t="shared" si="142"/>
        <v>446.38453037237315</v>
      </c>
      <c r="AS264" s="7">
        <v>31</v>
      </c>
      <c r="AT264" s="1">
        <f t="shared" si="143"/>
        <v>14.399500979753972</v>
      </c>
      <c r="AU264" s="16">
        <f t="shared" si="157"/>
        <v>36337.93467927703</v>
      </c>
      <c r="AV264" s="4">
        <f t="shared" si="158"/>
        <v>36.337934679277033</v>
      </c>
      <c r="AW264" s="4">
        <f t="shared" si="176"/>
        <v>4.564210100255309</v>
      </c>
      <c r="AY264" s="4">
        <f>(O264-P264-AG264-(SpotGasPrices!K262-(SpotGasPrices!L262+SpotGasPrices!M262)/2))*($AL$279/AL264)</f>
        <v>0.20922039746748863</v>
      </c>
      <c r="AZ264" s="1">
        <f t="shared" si="166"/>
        <v>0.18107404046146969</v>
      </c>
    </row>
    <row r="265" spans="1:52">
      <c r="C265" s="28">
        <v>44428</v>
      </c>
      <c r="D265" s="2">
        <v>2021</v>
      </c>
      <c r="E265" s="2">
        <v>8</v>
      </c>
      <c r="F265" s="4">
        <v>2.159545</v>
      </c>
      <c r="G265" s="4">
        <f t="shared" si="167"/>
        <v>1.1631692217442982</v>
      </c>
      <c r="H265" s="4">
        <f t="shared" si="162"/>
        <v>1.3773455442745381</v>
      </c>
      <c r="I265" s="4">
        <f t="shared" si="167"/>
        <v>0.83964443506537989</v>
      </c>
      <c r="J265" s="4">
        <f t="shared" si="163"/>
        <v>0.99860313441429827</v>
      </c>
      <c r="K265" s="2">
        <v>70.75</v>
      </c>
      <c r="L265" s="4">
        <v>3.1579999999999999</v>
      </c>
      <c r="O265" s="4">
        <v>4.2320000000000002</v>
      </c>
      <c r="P265" s="4">
        <f t="shared" si="107"/>
        <v>3.0386666666666664</v>
      </c>
      <c r="Q265" s="4">
        <f t="shared" si="170"/>
        <v>4.7595787211176788</v>
      </c>
      <c r="R265" s="4">
        <f t="shared" si="171"/>
        <v>3.4174794913129136</v>
      </c>
      <c r="S265" s="4">
        <v>0.30630000000000002</v>
      </c>
      <c r="T265" s="4">
        <f t="shared" si="177"/>
        <v>0.26875437180521927</v>
      </c>
      <c r="U265" s="4">
        <v>0.184</v>
      </c>
      <c r="V265" s="4">
        <v>0.51100000000000001</v>
      </c>
      <c r="W265" s="4">
        <v>2.0000000000000007E-2</v>
      </c>
      <c r="X265" s="3">
        <v>3.249999999999998E-2</v>
      </c>
      <c r="Y265" s="4">
        <f t="shared" si="179"/>
        <v>0.13321065375302657</v>
      </c>
      <c r="Z265" s="4">
        <f>23.3*0.007902</f>
        <v>0.18411659999999999</v>
      </c>
      <c r="AA265" s="4">
        <v>178</v>
      </c>
      <c r="AB265" s="4">
        <v>0.17699999999999999</v>
      </c>
      <c r="AC265" s="4">
        <f t="shared" si="128"/>
        <v>0.66421065375302657</v>
      </c>
      <c r="AD265" s="4">
        <f t="shared" si="118"/>
        <v>1.2093272537530266</v>
      </c>
      <c r="AE265" s="4">
        <v>0.1</v>
      </c>
      <c r="AF265" s="4">
        <f t="shared" si="180"/>
        <v>0.33676045138552624</v>
      </c>
      <c r="AG265" s="4">
        <f t="shared" si="139"/>
        <v>0.85657288194780756</v>
      </c>
      <c r="AH265" s="12">
        <v>1234142342</v>
      </c>
      <c r="AI265" s="32">
        <f t="shared" si="172"/>
        <v>39.81104329032258</v>
      </c>
      <c r="AJ265" s="32">
        <f t="shared" si="169"/>
        <v>37.856345274039931</v>
      </c>
      <c r="AK265" s="24">
        <f t="shared" si="173"/>
        <v>415610332.16591048</v>
      </c>
      <c r="AL265" s="2">
        <v>273.56700000000001</v>
      </c>
      <c r="AM265" s="95">
        <f t="shared" si="174"/>
        <v>0.88915432393693272</v>
      </c>
      <c r="AN265" s="4">
        <f t="shared" si="175"/>
        <v>0.37874240986023983</v>
      </c>
      <c r="AO265" s="1">
        <f t="shared" si="159"/>
        <v>0</v>
      </c>
      <c r="AP265" s="110">
        <f t="shared" si="160"/>
        <v>0</v>
      </c>
      <c r="AQ265" s="1">
        <f t="shared" si="165"/>
        <v>0.32352478667891793</v>
      </c>
      <c r="AR265" s="16">
        <f t="shared" si="142"/>
        <v>467.42204471964027</v>
      </c>
      <c r="AS265" s="7">
        <v>31</v>
      </c>
      <c r="AT265" s="1">
        <f t="shared" si="143"/>
        <v>15.078130474827105</v>
      </c>
      <c r="AU265" s="16">
        <f t="shared" si="157"/>
        <v>36805.356723996672</v>
      </c>
      <c r="AV265" s="4">
        <f t="shared" si="158"/>
        <v>36.805356723996674</v>
      </c>
      <c r="AW265" s="4">
        <f t="shared" si="176"/>
        <v>4.628070783391272</v>
      </c>
      <c r="AY265" s="4">
        <f>(O265-P265-AG265-(SpotGasPrices!K263-(SpotGasPrices!L263+SpotGasPrices!M263)/2))*($AL$279/AL265)</f>
        <v>0.24593362371303329</v>
      </c>
      <c r="AZ265" s="1">
        <f t="shared" si="166"/>
        <v>0.18107404046146969</v>
      </c>
    </row>
    <row r="266" spans="1:52">
      <c r="C266" s="28">
        <v>44459</v>
      </c>
      <c r="D266" s="2">
        <v>2021</v>
      </c>
      <c r="E266" s="2">
        <v>9</v>
      </c>
      <c r="F266" s="4">
        <v>2.3130950000000001</v>
      </c>
      <c r="G266" s="4">
        <f t="shared" si="167"/>
        <v>1.1631692217442982</v>
      </c>
      <c r="H266" s="4">
        <f t="shared" si="162"/>
        <v>1.283386038218705</v>
      </c>
      <c r="I266" s="4">
        <f t="shared" si="167"/>
        <v>0.83964443506537989</v>
      </c>
      <c r="J266" s="4">
        <f t="shared" si="163"/>
        <v>0.91761501254364553</v>
      </c>
      <c r="K266" s="2">
        <v>74.489999999999995</v>
      </c>
      <c r="L266" s="4">
        <v>3.1749999999999998</v>
      </c>
      <c r="O266" s="4">
        <v>4.2220000000000004</v>
      </c>
      <c r="P266" s="4">
        <f t="shared" si="107"/>
        <v>3.0586666666666664</v>
      </c>
      <c r="Q266" s="4">
        <f t="shared" si="170"/>
        <v>4.7354706791586167</v>
      </c>
      <c r="R266" s="4">
        <f t="shared" si="171"/>
        <v>3.4306552149028469</v>
      </c>
      <c r="S266" s="4">
        <v>0.30630000000000002</v>
      </c>
      <c r="T266" s="4">
        <f t="shared" si="177"/>
        <v>0.26878934624697337</v>
      </c>
      <c r="U266" s="4">
        <v>0.184</v>
      </c>
      <c r="V266" s="4">
        <v>0.51100000000000001</v>
      </c>
      <c r="W266" s="4">
        <v>2.0000000000000007E-2</v>
      </c>
      <c r="X266" s="3">
        <v>3.249999999999998E-2</v>
      </c>
      <c r="Y266" s="4">
        <f t="shared" si="179"/>
        <v>0.13289588377723965</v>
      </c>
      <c r="Z266" s="4">
        <f t="shared" ref="Z266:Z267" si="181">23.3*0.007902</f>
        <v>0.18411659999999999</v>
      </c>
      <c r="AA266" s="4">
        <v>158.75</v>
      </c>
      <c r="AB266" s="4">
        <v>0.158</v>
      </c>
      <c r="AC266" s="4">
        <f t="shared" si="128"/>
        <v>0.66389588377723974</v>
      </c>
      <c r="AD266" s="4">
        <f t="shared" si="118"/>
        <v>1.1900124837772397</v>
      </c>
      <c r="AE266" s="4">
        <v>0.1</v>
      </c>
      <c r="AF266" s="4">
        <f t="shared" si="180"/>
        <v>0.32611019580306744</v>
      </c>
      <c r="AG266" s="4">
        <f t="shared" si="139"/>
        <v>0.83722313753026656</v>
      </c>
      <c r="AH266" s="12">
        <v>1184231740</v>
      </c>
      <c r="AI266" s="32">
        <f t="shared" si="172"/>
        <v>39.474391333333337</v>
      </c>
      <c r="AJ266" s="32">
        <f t="shared" si="169"/>
        <v>37.856345274039931</v>
      </c>
      <c r="AK266" s="24">
        <f t="shared" si="173"/>
        <v>386190044.60760725</v>
      </c>
      <c r="AL266" s="2">
        <v>274.31</v>
      </c>
      <c r="AM266" s="95">
        <f t="shared" si="174"/>
        <v>0.89156924116995107</v>
      </c>
      <c r="AN266" s="4">
        <f t="shared" si="175"/>
        <v>0.36577102567505942</v>
      </c>
      <c r="AO266" s="1">
        <f t="shared" si="159"/>
        <v>0</v>
      </c>
      <c r="AP266" s="110">
        <f t="shared" si="160"/>
        <v>0</v>
      </c>
      <c r="AQ266" s="1">
        <f t="shared" si="165"/>
        <v>0.32352478667891793</v>
      </c>
      <c r="AR266" s="16">
        <f t="shared" si="142"/>
        <v>433.15765817676032</v>
      </c>
      <c r="AS266" s="7">
        <v>30</v>
      </c>
      <c r="AT266" s="1">
        <f t="shared" si="143"/>
        <v>14.438588605892011</v>
      </c>
      <c r="AU266" s="16">
        <f t="shared" si="157"/>
        <v>37238.514382173431</v>
      </c>
      <c r="AV266" s="4">
        <f t="shared" si="158"/>
        <v>37.238514382173427</v>
      </c>
      <c r="AW266" s="4">
        <f t="shared" si="176"/>
        <v>4.6046288505705224</v>
      </c>
      <c r="AY266" s="4">
        <f>(O266-P266-AG266-(SpotGasPrices!K264-(SpotGasPrices!L264+SpotGasPrices!M264)/2))*($AL$279/AL266)</f>
        <v>0.34505358780818668</v>
      </c>
      <c r="AZ266" s="1">
        <f t="shared" si="166"/>
        <v>0.18107404046146969</v>
      </c>
    </row>
    <row r="267" spans="1:52">
      <c r="C267" s="28">
        <v>44489</v>
      </c>
      <c r="D267" s="2">
        <v>2021</v>
      </c>
      <c r="E267" s="2">
        <v>10</v>
      </c>
      <c r="F267" s="4">
        <v>2.4649999999999999</v>
      </c>
      <c r="G267" s="4">
        <f t="shared" si="167"/>
        <v>1.1631692217442982</v>
      </c>
      <c r="H267" s="4">
        <f t="shared" si="162"/>
        <v>1.1115502305711136</v>
      </c>
      <c r="I267" s="4">
        <f t="shared" si="167"/>
        <v>0.83964443506537989</v>
      </c>
      <c r="J267" s="4">
        <f t="shared" si="163"/>
        <v>0.80128479811720843</v>
      </c>
      <c r="K267" s="2">
        <v>83.54</v>
      </c>
      <c r="L267" s="4">
        <v>3.2909999999999999</v>
      </c>
      <c r="O267" s="4">
        <v>4.3099999999999996</v>
      </c>
      <c r="P267" s="4">
        <f t="shared" si="107"/>
        <v>3.1777777777777776</v>
      </c>
      <c r="Q267" s="4">
        <f t="shared" si="170"/>
        <v>4.7943410981637014</v>
      </c>
      <c r="R267" s="4">
        <f t="shared" si="171"/>
        <v>3.5348841301232752</v>
      </c>
      <c r="S267" s="4">
        <v>0.30630000000000002</v>
      </c>
      <c r="T267" s="4">
        <f t="shared" si="177"/>
        <v>0.2684815711595373</v>
      </c>
      <c r="U267" s="4">
        <v>0.184</v>
      </c>
      <c r="V267" s="4">
        <v>0.51100000000000001</v>
      </c>
      <c r="W267" s="4">
        <v>2.0000000000000007E-2</v>
      </c>
      <c r="X267" s="3">
        <v>3.249999999999998E-2</v>
      </c>
      <c r="Y267" s="4">
        <f t="shared" si="179"/>
        <v>0.13566585956416455</v>
      </c>
      <c r="Z267" s="4">
        <f t="shared" si="181"/>
        <v>0.18411659999999999</v>
      </c>
      <c r="AA267" s="4">
        <f>(168+175)/2</f>
        <v>171.5</v>
      </c>
      <c r="AB267" s="4">
        <v>0.17100000000000001</v>
      </c>
      <c r="AC267" s="4">
        <f t="shared" si="128"/>
        <v>0.66666585956416458</v>
      </c>
      <c r="AD267" s="4">
        <f t="shared" si="118"/>
        <v>1.2057824595641646</v>
      </c>
      <c r="AE267" s="4">
        <v>0.1</v>
      </c>
      <c r="AF267" s="4">
        <f t="shared" si="180"/>
        <v>0.27892133381759487</v>
      </c>
      <c r="AG267" s="4">
        <f t="shared" si="139"/>
        <v>0.85330088840462714</v>
      </c>
      <c r="AH267" s="84">
        <v>1202071427</v>
      </c>
      <c r="AI267" s="32">
        <f t="shared" si="172"/>
        <v>38.776497645161292</v>
      </c>
      <c r="AJ267" s="32">
        <f t="shared" si="169"/>
        <v>37.856345274039931</v>
      </c>
      <c r="AK267" s="24">
        <f t="shared" si="173"/>
        <v>335283365.76285964</v>
      </c>
      <c r="AL267" s="2">
        <v>276.589</v>
      </c>
      <c r="AM267" s="95">
        <f t="shared" si="174"/>
        <v>0.89897650412291052</v>
      </c>
      <c r="AN267" s="4">
        <f t="shared" si="175"/>
        <v>0.31026543245390537</v>
      </c>
      <c r="AO267" s="1">
        <f t="shared" si="159"/>
        <v>0</v>
      </c>
      <c r="AP267" s="110">
        <f t="shared" si="160"/>
        <v>0</v>
      </c>
      <c r="AQ267" s="1">
        <f t="shared" si="165"/>
        <v>0.32352478667891793</v>
      </c>
      <c r="AR267" s="16">
        <f t="shared" si="142"/>
        <v>372.96121113863813</v>
      </c>
      <c r="AS267" s="7">
        <v>31</v>
      </c>
      <c r="AT267" s="1">
        <f t="shared" si="143"/>
        <v>12.031006810923811</v>
      </c>
      <c r="AU267" s="16">
        <f t="shared" si="157"/>
        <v>37611.475593312069</v>
      </c>
      <c r="AV267" s="4">
        <f t="shared" si="158"/>
        <v>37.611475593312072</v>
      </c>
      <c r="AW267" s="4">
        <f t="shared" si="176"/>
        <v>4.6618726702797293</v>
      </c>
      <c r="AY267" s="4">
        <f>(O267-P267-AG267-(SpotGasPrices!K265-(SpotGasPrices!L265+SpotGasPrices!M265)/2))*($AL$279/AL267)</f>
        <v>0.22240954822371467</v>
      </c>
      <c r="AZ267" s="1">
        <f t="shared" si="166"/>
        <v>0.18107404046146969</v>
      </c>
    </row>
    <row r="268" spans="1:52">
      <c r="C268" s="28">
        <v>44515</v>
      </c>
      <c r="D268" s="2">
        <v>2021</v>
      </c>
      <c r="E268" s="2">
        <v>11</v>
      </c>
      <c r="F268" s="4">
        <v>3.180714</v>
      </c>
      <c r="G268" s="4">
        <f t="shared" si="167"/>
        <v>1.1631692217442982</v>
      </c>
      <c r="H268" s="4">
        <f t="shared" si="162"/>
        <v>1.3687591717109211</v>
      </c>
      <c r="I268" s="4">
        <f t="shared" si="167"/>
        <v>0.83964443506537989</v>
      </c>
      <c r="J268" s="4">
        <f t="shared" si="163"/>
        <v>0.96760599974030803</v>
      </c>
      <c r="K268" s="2">
        <v>81.05</v>
      </c>
      <c r="L268" s="4">
        <v>3.395</v>
      </c>
      <c r="O268" s="4">
        <v>4.51</v>
      </c>
      <c r="P268" s="4">
        <f t="shared" si="107"/>
        <v>3.2711111111111109</v>
      </c>
      <c r="Q268" s="4">
        <f t="shared" si="170"/>
        <v>4.9922870824758592</v>
      </c>
      <c r="R268" s="4">
        <f t="shared" si="171"/>
        <v>3.620914799410921</v>
      </c>
      <c r="S268" s="4">
        <v>0.30630000000000002</v>
      </c>
      <c r="T268" s="4">
        <f t="shared" si="177"/>
        <v>0.26778208232445522</v>
      </c>
      <c r="U268" s="4">
        <v>0.184</v>
      </c>
      <c r="V268" s="4">
        <v>0.51100000000000001</v>
      </c>
      <c r="W268" s="4">
        <v>2.0000000000000007E-2</v>
      </c>
      <c r="X268" s="3">
        <v>3.249999999999998E-2</v>
      </c>
      <c r="Y268" s="4">
        <f t="shared" si="179"/>
        <v>0.14196125907990306</v>
      </c>
      <c r="Z268" s="4">
        <f>28.26*0.007902</f>
        <v>0.22331051999999998</v>
      </c>
      <c r="AA268" s="4">
        <f>(149.75+147+144+149.5+150.75)/5</f>
        <v>148.19999999999999</v>
      </c>
      <c r="AB268" s="4">
        <v>0.14799999999999999</v>
      </c>
      <c r="AC268" s="4">
        <f t="shared" si="128"/>
        <v>0.67296125907990312</v>
      </c>
      <c r="AD268" s="4">
        <f t="shared" si="118"/>
        <v>1.2282717790799031</v>
      </c>
      <c r="AE268" s="4">
        <v>0.1</v>
      </c>
      <c r="AF268" s="4">
        <f t="shared" si="180"/>
        <v>0.36239919213344107</v>
      </c>
      <c r="AG268" s="4">
        <f t="shared" si="139"/>
        <v>0.87648969675544786</v>
      </c>
      <c r="AH268" s="12">
        <v>1142181538</v>
      </c>
      <c r="AI268" s="32">
        <f t="shared" si="172"/>
        <v>38.072717933333337</v>
      </c>
      <c r="AJ268" s="32">
        <f t="shared" si="169"/>
        <v>37.856345274039931</v>
      </c>
      <c r="AK268" s="24">
        <f t="shared" si="173"/>
        <v>413925666.64093125</v>
      </c>
      <c r="AL268" s="2">
        <v>277.94799999999998</v>
      </c>
      <c r="AM268" s="95">
        <f t="shared" si="174"/>
        <v>0.90339356000403026</v>
      </c>
      <c r="AN268" s="4">
        <f t="shared" si="175"/>
        <v>0.40115317197061301</v>
      </c>
      <c r="AO268" s="1">
        <f t="shared" si="159"/>
        <v>1.1531719706129873E-3</v>
      </c>
      <c r="AP268" s="110">
        <f t="shared" si="160"/>
        <v>1317131.7349732325</v>
      </c>
      <c r="AQ268" s="1">
        <f t="shared" si="165"/>
        <v>0.32352478667891793</v>
      </c>
      <c r="AR268" s="16">
        <f t="shared" si="142"/>
        <v>458.1897469349733</v>
      </c>
      <c r="AS268" s="7">
        <v>30</v>
      </c>
      <c r="AT268" s="1">
        <f t="shared" si="143"/>
        <v>15.27299156449911</v>
      </c>
      <c r="AU268" s="16">
        <f t="shared" si="157"/>
        <v>38069.66534024704</v>
      </c>
      <c r="AV268" s="4">
        <f t="shared" si="158"/>
        <v>38.069665340247042</v>
      </c>
      <c r="AW268" s="4">
        <f t="shared" si="176"/>
        <v>4.8543493747031823</v>
      </c>
      <c r="AY268" s="4">
        <f>(O268-P268-AG268-(SpotGasPrices!K266-(SpotGasPrices!L266+SpotGasPrices!M266)/2))*($AL$279/AL268)</f>
        <v>0.17948309772357093</v>
      </c>
      <c r="AZ268" s="1">
        <f t="shared" si="166"/>
        <v>0.18107404046146969</v>
      </c>
    </row>
    <row r="269" spans="1:52">
      <c r="B269" s="26" t="s">
        <v>33</v>
      </c>
      <c r="C269" s="28">
        <v>44545</v>
      </c>
      <c r="D269" s="2">
        <v>2021</v>
      </c>
      <c r="E269" s="2">
        <v>12</v>
      </c>
      <c r="F269" s="4">
        <v>2.925227</v>
      </c>
      <c r="G269" s="4">
        <f t="shared" si="167"/>
        <v>1.1631692217442982</v>
      </c>
      <c r="H269" s="4">
        <f t="shared" si="162"/>
        <v>1.5446465122106412</v>
      </c>
      <c r="I269" s="4">
        <f t="shared" si="167"/>
        <v>0.83964443506537989</v>
      </c>
      <c r="J269" s="4">
        <f t="shared" si="163"/>
        <v>1.0391949142337285</v>
      </c>
      <c r="K269" s="2">
        <v>74.17</v>
      </c>
      <c r="L269" s="4">
        <v>3.3069999999999999</v>
      </c>
      <c r="O269" s="4">
        <v>4.508</v>
      </c>
      <c r="P269" s="4">
        <f t="shared" si="107"/>
        <v>3.1735555555555552</v>
      </c>
      <c r="Q269" s="4">
        <f t="shared" si="170"/>
        <v>4.9747880861686777</v>
      </c>
      <c r="R269" s="4">
        <f t="shared" si="171"/>
        <v>3.502166452655767</v>
      </c>
      <c r="S269" s="4">
        <v>0.30630000000000002</v>
      </c>
      <c r="T269" s="4">
        <f t="shared" si="177"/>
        <v>0.26778907721280604</v>
      </c>
      <c r="U269" s="4">
        <v>0.184</v>
      </c>
      <c r="V269" s="4">
        <v>0.51100000000000001</v>
      </c>
      <c r="W269" s="4">
        <v>2.0000000000000007E-2</v>
      </c>
      <c r="X269" s="3">
        <v>3.249999999999998E-2</v>
      </c>
      <c r="Y269" s="4">
        <f t="shared" si="179"/>
        <v>0.14189830508474569</v>
      </c>
      <c r="Z269" s="4">
        <f>28.26*0.007902</f>
        <v>0.22331051999999998</v>
      </c>
      <c r="AA269" s="4">
        <f>(143+142.25+147+152+159)/5</f>
        <v>148.65</v>
      </c>
      <c r="AB269" s="4">
        <v>0.14799999999999999</v>
      </c>
      <c r="AC269" s="4">
        <f t="shared" si="128"/>
        <v>0.67289830508474568</v>
      </c>
      <c r="AD269" s="4">
        <f t="shared" si="118"/>
        <v>1.2282088250847456</v>
      </c>
      <c r="AE269" s="4">
        <v>0.1</v>
      </c>
      <c r="AF269" s="4">
        <f t="shared" si="180"/>
        <v>0.458024696572505</v>
      </c>
      <c r="AG269" s="4">
        <f t="shared" si="139"/>
        <v>0.87641974787193977</v>
      </c>
      <c r="AH269" s="12">
        <v>1162635319</v>
      </c>
      <c r="AI269" s="32">
        <f t="shared" si="172"/>
        <v>37.504365129032259</v>
      </c>
      <c r="AJ269" s="32">
        <f t="shared" si="169"/>
        <v>37.856345274039931</v>
      </c>
      <c r="AK269" s="24">
        <f t="shared" si="173"/>
        <v>532515689.20945257</v>
      </c>
      <c r="AL269" s="2">
        <v>278.80200000000002</v>
      </c>
      <c r="AM269" s="95">
        <f t="shared" si="174"/>
        <v>0.90616925222071643</v>
      </c>
      <c r="AN269" s="4">
        <f t="shared" si="175"/>
        <v>0.50545159797691253</v>
      </c>
      <c r="AO269" s="1">
        <f t="shared" si="159"/>
        <v>0.1054515979769125</v>
      </c>
      <c r="AP269" s="110">
        <f t="shared" si="160"/>
        <v>122601752.25294742</v>
      </c>
      <c r="AQ269" s="1">
        <f t="shared" si="165"/>
        <v>0.32352478667891793</v>
      </c>
      <c r="AR269" s="16">
        <f t="shared" si="142"/>
        <v>587.65587985294746</v>
      </c>
      <c r="AS269" s="7">
        <v>31</v>
      </c>
      <c r="AT269" s="1">
        <f t="shared" si="143"/>
        <v>18.95664128557895</v>
      </c>
      <c r="AU269" s="16">
        <f t="shared" si="157"/>
        <v>38657.321220099984</v>
      </c>
      <c r="AV269" s="4">
        <f t="shared" si="158"/>
        <v>38.657321220099988</v>
      </c>
      <c r="AW269" s="4">
        <f t="shared" si="176"/>
        <v>4.8373338785231086</v>
      </c>
      <c r="AY269" s="4">
        <f>(O269-P269-AG269-(SpotGasPrices!K267-(SpotGasPrices!L267+SpotGasPrices!M267)/2))*($AL$279/AL269)</f>
        <v>0.33031709914191915</v>
      </c>
      <c r="AZ269" s="1">
        <f t="shared" si="166"/>
        <v>0.18107404046146969</v>
      </c>
    </row>
    <row r="270" spans="1:52">
      <c r="A270" s="33" t="s">
        <v>39</v>
      </c>
      <c r="B270" s="26" t="s">
        <v>33</v>
      </c>
      <c r="C270" s="29">
        <f>C258+365</f>
        <v>44581</v>
      </c>
      <c r="D270" s="2">
        <v>2022</v>
      </c>
      <c r="E270" s="2">
        <v>1</v>
      </c>
      <c r="F270" s="4">
        <v>2.1345000000000001</v>
      </c>
      <c r="G270" s="4">
        <f>AVERAGE(H270:H281)</f>
        <v>1.6315050124022326</v>
      </c>
      <c r="H270" s="4">
        <f t="shared" si="162"/>
        <v>1.1708985260735894</v>
      </c>
      <c r="I270" s="4">
        <f>AVERAGE(J270:J281)</f>
        <v>0.98067710903670235</v>
      </c>
      <c r="J270" s="4">
        <f t="shared" si="163"/>
        <v>0.71768269847298349</v>
      </c>
      <c r="K270" s="2">
        <v>86.51</v>
      </c>
      <c r="L270" s="4">
        <v>3.3149999999999999</v>
      </c>
      <c r="O270" s="4">
        <v>4.4950000000000001</v>
      </c>
      <c r="P270" s="4">
        <f t="shared" si="107"/>
        <v>3.1838888888888888</v>
      </c>
      <c r="Q270" s="4">
        <f t="shared" si="170"/>
        <v>4.9190502688975197</v>
      </c>
      <c r="R270" s="4">
        <f t="shared" si="171"/>
        <v>3.4842512780931507</v>
      </c>
      <c r="S270" s="4">
        <v>0.30630000000000002</v>
      </c>
      <c r="T270" s="4">
        <f t="shared" si="177"/>
        <v>0.26783454398708634</v>
      </c>
      <c r="U270" s="4">
        <v>0.184</v>
      </c>
      <c r="V270" s="4">
        <v>0.51100000000000001</v>
      </c>
      <c r="W270" s="4">
        <v>2.0000000000000007E-2</v>
      </c>
      <c r="X270" s="3">
        <v>3.249999999999998E-2</v>
      </c>
      <c r="Y270" s="4">
        <f t="shared" si="179"/>
        <v>0.14148910411622267</v>
      </c>
      <c r="Z270" s="4">
        <f>28.26*0.007902</f>
        <v>0.22331051999999998</v>
      </c>
      <c r="AA270" s="4">
        <f>(149.75+152+147+150+141)/5</f>
        <v>147.94999999999999</v>
      </c>
      <c r="AB270" s="4">
        <v>0.16900000000000001</v>
      </c>
      <c r="AC270" s="4">
        <f t="shared" si="128"/>
        <v>0.67248910411622265</v>
      </c>
      <c r="AD270" s="4">
        <f t="shared" si="118"/>
        <v>1.2487996241162229</v>
      </c>
      <c r="AE270" s="4">
        <v>0.1</v>
      </c>
      <c r="AF270" s="4">
        <f t="shared" si="180"/>
        <v>0.41414603098197489</v>
      </c>
      <c r="AG270" s="4">
        <f t="shared" si="139"/>
        <v>0.89696508012913645</v>
      </c>
      <c r="AH270" s="12">
        <v>1070623977</v>
      </c>
      <c r="AI270" s="32">
        <f t="shared" si="172"/>
        <v>34.536257322580646</v>
      </c>
      <c r="AJ270" s="32">
        <f>AVERAGE(AI270:AI281)</f>
        <v>37.351190031643625</v>
      </c>
      <c r="AK270" s="24">
        <f t="shared" si="173"/>
        <v>443394670.74868715</v>
      </c>
      <c r="AL270" s="83">
        <v>281.14800000000002</v>
      </c>
      <c r="AM270" s="95">
        <f t="shared" si="174"/>
        <v>0.91379428025390763</v>
      </c>
      <c r="AN270" s="4">
        <f t="shared" si="175"/>
        <v>0.45321582760060602</v>
      </c>
      <c r="AO270" s="1">
        <f t="shared" si="159"/>
        <v>5.3215827600606003E-2</v>
      </c>
      <c r="AP270" s="110">
        <f t="shared" si="160"/>
        <v>56974140.985107169</v>
      </c>
      <c r="AQ270" s="1">
        <f>AVERAGE($AN270:$AN281)</f>
        <v>0.65082790336553054</v>
      </c>
      <c r="AR270" s="16">
        <f t="shared" si="142"/>
        <v>485.22373178510719</v>
      </c>
      <c r="AS270" s="7">
        <v>31</v>
      </c>
      <c r="AT270" s="1">
        <f t="shared" si="143"/>
        <v>15.652378444680878</v>
      </c>
      <c r="AU270" s="16">
        <f t="shared" si="157"/>
        <v>39142.544951885095</v>
      </c>
      <c r="AV270" s="4">
        <f t="shared" si="158"/>
        <v>39.142544951885093</v>
      </c>
      <c r="AW270" s="4">
        <f t="shared" si="176"/>
        <v>4.7831361062500894</v>
      </c>
      <c r="AY270" s="4">
        <f>(O270-P270-AG270-(SpotGasPrices!K268-(SpotGasPrices!L268+SpotGasPrices!M268)/2))*($AL$279/AL270)</f>
        <v>0.30807974797971288</v>
      </c>
      <c r="AZ270" s="1">
        <f>AVERAGE($AY270:$AY281)</f>
        <v>0.33147936060190031</v>
      </c>
    </row>
    <row r="271" spans="1:52">
      <c r="C271" s="29">
        <f t="shared" ref="C271:C293" si="182">C259+365</f>
        <v>44612</v>
      </c>
      <c r="D271" s="2">
        <v>2022</v>
      </c>
      <c r="E271" s="2">
        <v>2</v>
      </c>
      <c r="F271" s="4">
        <v>2.06</v>
      </c>
      <c r="G271" s="4">
        <f>G270</f>
        <v>1.6315050124022326</v>
      </c>
      <c r="H271" s="4">
        <f t="shared" si="162"/>
        <v>0.96378960665823954</v>
      </c>
      <c r="I271" s="4">
        <f>I270</f>
        <v>0.98067710903670235</v>
      </c>
      <c r="J271" s="4">
        <f t="shared" si="163"/>
        <v>0.66966232558969419</v>
      </c>
      <c r="K271" s="2">
        <v>97.13</v>
      </c>
      <c r="L271" s="4">
        <v>3.5169999999999999</v>
      </c>
      <c r="O271" s="4">
        <v>4.5679999999999996</v>
      </c>
      <c r="P271" s="4">
        <f t="shared" si="107"/>
        <v>3.4002222222222223</v>
      </c>
      <c r="Q271" s="4">
        <f>V260</f>
        <v>0.505</v>
      </c>
      <c r="R271" s="4">
        <f t="shared" si="171"/>
        <v>3.6873132686677286</v>
      </c>
      <c r="S271" s="4">
        <v>0.30630000000000002</v>
      </c>
      <c r="T271" s="4">
        <f t="shared" si="177"/>
        <v>0.26757923056228144</v>
      </c>
      <c r="U271" s="4">
        <v>0.184</v>
      </c>
      <c r="V271" s="4">
        <v>0.51100000000000001</v>
      </c>
      <c r="W271" s="4">
        <v>2.0000000000000007E-2</v>
      </c>
      <c r="X271" s="3">
        <v>3.249999999999998E-2</v>
      </c>
      <c r="Y271" s="4">
        <f t="shared" si="179"/>
        <v>0.14378692493946721</v>
      </c>
      <c r="Z271" s="4">
        <f>29.15*0.007902</f>
        <v>0.23034329999999997</v>
      </c>
      <c r="AA271" s="4">
        <f>(140+140.5+140+137)/4</f>
        <v>139.375</v>
      </c>
      <c r="AB271" s="4">
        <v>0.159</v>
      </c>
      <c r="AC271" s="4">
        <f t="shared" si="128"/>
        <v>0.67478692493946724</v>
      </c>
      <c r="AD271" s="4">
        <f t="shared" si="118"/>
        <v>1.2481302249394672</v>
      </c>
      <c r="AE271" s="4">
        <v>0.1</v>
      </c>
      <c r="AF271" s="4">
        <f t="shared" si="180"/>
        <v>0.27122678340059103</v>
      </c>
      <c r="AG271" s="4">
        <f t="shared" si="139"/>
        <v>0.89655099437718633</v>
      </c>
      <c r="AH271" s="12">
        <v>1069476614</v>
      </c>
      <c r="AI271" s="32">
        <f t="shared" si="172"/>
        <v>38.195593357142855</v>
      </c>
      <c r="AJ271" s="32">
        <f>AJ270</f>
        <v>37.351190031643625</v>
      </c>
      <c r="AK271" s="24">
        <f t="shared" si="173"/>
        <v>290070701.93737549</v>
      </c>
      <c r="AL271" s="83">
        <v>283.71600000000001</v>
      </c>
      <c r="AM271" s="95">
        <f t="shared" si="174"/>
        <v>0.92214085825443415</v>
      </c>
      <c r="AN271" s="4">
        <f t="shared" si="175"/>
        <v>0.29412728106854474</v>
      </c>
      <c r="AO271" s="1">
        <f t="shared" si="159"/>
        <v>0</v>
      </c>
      <c r="AP271" s="110">
        <f t="shared" si="160"/>
        <v>0</v>
      </c>
      <c r="AQ271" s="1">
        <f t="shared" si="165"/>
        <v>0.65082790336553054</v>
      </c>
      <c r="AR271" s="16">
        <f t="shared" si="142"/>
        <v>314.56224864221355</v>
      </c>
      <c r="AS271" s="7">
        <v>28</v>
      </c>
      <c r="AT271" s="1">
        <f t="shared" si="143"/>
        <v>11.234366022936198</v>
      </c>
      <c r="AU271" s="16">
        <f t="shared" si="157"/>
        <v>39457.107200527309</v>
      </c>
      <c r="AV271" s="4">
        <f t="shared" si="158"/>
        <v>39.457107200527311</v>
      </c>
      <c r="AW271" s="4">
        <f t="shared" si="176"/>
        <v>4.8168187906216069</v>
      </c>
      <c r="AY271" s="4">
        <f>(O271-P271-AG271-(SpotGasPrices!K269-(SpotGasPrices!L269+SpotGasPrices!M269)/2))*($AL$279/AL271)</f>
        <v>0.15412011368684525</v>
      </c>
      <c r="AZ271" s="1">
        <f t="shared" ref="AZ271:AZ280" si="183">AZ270</f>
        <v>0.33147936060190031</v>
      </c>
    </row>
    <row r="272" spans="1:52">
      <c r="C272" s="29">
        <f t="shared" si="182"/>
        <v>44640</v>
      </c>
      <c r="D272" s="2">
        <v>2022</v>
      </c>
      <c r="E272" s="2">
        <v>3</v>
      </c>
      <c r="F272" s="4">
        <v>2.374565</v>
      </c>
      <c r="G272" s="4">
        <f t="shared" ref="G272:I281" si="184">G271</f>
        <v>1.6315050124022326</v>
      </c>
      <c r="H272" s="4">
        <f t="shared" si="162"/>
        <v>1.483843562512339</v>
      </c>
      <c r="I272" s="4">
        <f t="shared" si="184"/>
        <v>0.98067710903670235</v>
      </c>
      <c r="J272" s="4">
        <f t="shared" si="163"/>
        <v>0.86789661011446906</v>
      </c>
      <c r="K272" s="2">
        <v>117.25</v>
      </c>
      <c r="L272" s="4">
        <v>4.2220000000000004</v>
      </c>
      <c r="O272" s="4">
        <v>5.5620000000000003</v>
      </c>
      <c r="P272" s="4">
        <f t="shared" si="107"/>
        <v>4.0731111111111113</v>
      </c>
      <c r="Q272" s="4">
        <f t="shared" si="170"/>
        <v>5.9521471075185035</v>
      </c>
      <c r="R272" s="4">
        <f t="shared" si="171"/>
        <v>4.3588199422152973</v>
      </c>
      <c r="S272" s="4">
        <v>0.30630000000000002</v>
      </c>
      <c r="T272" s="4">
        <f t="shared" si="177"/>
        <v>0.26410277105192359</v>
      </c>
      <c r="U272" s="4">
        <v>0.184</v>
      </c>
      <c r="V272" s="4">
        <v>0.51100000000000001</v>
      </c>
      <c r="W272" s="4">
        <v>2.0000000000000007E-2</v>
      </c>
      <c r="X272" s="3">
        <v>3.249999999999998E-2</v>
      </c>
      <c r="Y272" s="4">
        <f t="shared" si="179"/>
        <v>0.17507506053268757</v>
      </c>
      <c r="Z272" s="4">
        <f>29.15*0.007902</f>
        <v>0.23034329999999997</v>
      </c>
      <c r="AA272" s="82">
        <f>(129.5+126+117.25+121.5)/4</f>
        <v>123.5625</v>
      </c>
      <c r="AB272" s="4">
        <v>0.14099999999999999</v>
      </c>
      <c r="AC272" s="4">
        <f t="shared" si="128"/>
        <v>0.70607506053268754</v>
      </c>
      <c r="AD272" s="4">
        <f t="shared" si="118"/>
        <v>1.2614183605326876</v>
      </c>
      <c r="AE272" s="4">
        <v>0.1</v>
      </c>
      <c r="AF272" s="4">
        <f t="shared" si="180"/>
        <v>0.57557329940812485</v>
      </c>
      <c r="AG272" s="4">
        <f t="shared" si="139"/>
        <v>0.91331558948076408</v>
      </c>
      <c r="AH272" s="12">
        <v>1179294561</v>
      </c>
      <c r="AI272" s="32">
        <f t="shared" si="172"/>
        <v>38.041760032258061</v>
      </c>
      <c r="AJ272" s="32">
        <f t="shared" ref="AJ272:AJ281" si="185">AJ271</f>
        <v>37.351190031643625</v>
      </c>
      <c r="AK272" s="24">
        <f t="shared" si="173"/>
        <v>678770461.44882619</v>
      </c>
      <c r="AL272" s="83">
        <v>287.50400000000002</v>
      </c>
      <c r="AM272" s="95">
        <f t="shared" si="174"/>
        <v>0.93445271085022641</v>
      </c>
      <c r="AN272" s="4">
        <f t="shared" si="175"/>
        <v>0.6159469523978699</v>
      </c>
      <c r="AO272" s="1">
        <f t="shared" si="159"/>
        <v>0.21594695239786987</v>
      </c>
      <c r="AP272" s="110">
        <f t="shared" si="160"/>
        <v>254665066.42733386</v>
      </c>
      <c r="AQ272" s="1">
        <f t="shared" si="165"/>
        <v>0.65082790336553054</v>
      </c>
      <c r="AR272" s="16">
        <f t="shared" si="142"/>
        <v>726.38289082733388</v>
      </c>
      <c r="AS272" s="7">
        <v>31</v>
      </c>
      <c r="AT272" s="1">
        <f t="shared" si="143"/>
        <v>23.431706155720448</v>
      </c>
      <c r="AU272" s="16">
        <f t="shared" si="157"/>
        <v>40183.490091354644</v>
      </c>
      <c r="AV272" s="4">
        <f t="shared" si="158"/>
        <v>40.183490091354642</v>
      </c>
      <c r="AW272" s="4">
        <f t="shared" si="176"/>
        <v>5.7876883104235066</v>
      </c>
      <c r="AY272" s="4">
        <f>(O272-P272-AG272-(SpotGasPrices!K270-(SpotGasPrices!L270+SpotGasPrices!M270)/2))*($AL$279/AL272)</f>
        <v>-1.8581904588408527E-2</v>
      </c>
      <c r="AZ272" s="1">
        <f t="shared" si="183"/>
        <v>0.33147936060190031</v>
      </c>
    </row>
    <row r="273" spans="1:52">
      <c r="C273" s="29">
        <f t="shared" si="182"/>
        <v>44671</v>
      </c>
      <c r="D273" s="2">
        <v>2022</v>
      </c>
      <c r="E273" s="2">
        <v>4</v>
      </c>
      <c r="F273" s="4">
        <v>2.5855000000000001</v>
      </c>
      <c r="G273" s="4">
        <f t="shared" si="184"/>
        <v>1.6315050124022326</v>
      </c>
      <c r="H273" s="4">
        <f t="shared" si="162"/>
        <v>1.8437639995328894</v>
      </c>
      <c r="I273" s="4">
        <f t="shared" si="184"/>
        <v>0.98067710903670235</v>
      </c>
      <c r="J273" s="4">
        <f t="shared" si="163"/>
        <v>1.0489420792099347</v>
      </c>
      <c r="K273" s="2">
        <v>104.58</v>
      </c>
      <c r="L273" s="82">
        <v>4.109</v>
      </c>
      <c r="O273" s="4">
        <v>5.5979999999999999</v>
      </c>
      <c r="P273" s="4">
        <f t="shared" si="107"/>
        <v>3.9435555555555553</v>
      </c>
      <c r="Q273" s="4">
        <f t="shared" si="170"/>
        <v>5.9574148781255509</v>
      </c>
      <c r="R273" s="4">
        <f t="shared" si="171"/>
        <v>4.1967482206826263</v>
      </c>
      <c r="S273" s="4">
        <v>0.30630000000000002</v>
      </c>
      <c r="T273" s="4">
        <f t="shared" si="177"/>
        <v>0.26397686306160889</v>
      </c>
      <c r="U273" s="4">
        <v>0.184</v>
      </c>
      <c r="V273" s="4">
        <v>0.51100000000000001</v>
      </c>
      <c r="W273" s="4">
        <v>2.0000000000000007E-2</v>
      </c>
      <c r="X273" s="3">
        <v>3.249999999999998E-2</v>
      </c>
      <c r="Y273" s="4">
        <f t="shared" si="179"/>
        <v>0.17620823244552047</v>
      </c>
      <c r="Z273" s="4">
        <f>29.15*0.007902</f>
        <v>0.23034329999999997</v>
      </c>
      <c r="AA273" s="4">
        <f>(122.5+115.25+115)/3</f>
        <v>117.58333333333333</v>
      </c>
      <c r="AB273" s="4">
        <v>0.13400000000000001</v>
      </c>
      <c r="AC273" s="4">
        <f t="shared" si="128"/>
        <v>0.70720823244552045</v>
      </c>
      <c r="AD273" s="4">
        <f t="shared" si="118"/>
        <v>1.2555515324455206</v>
      </c>
      <c r="AE273" s="4">
        <v>0.1</v>
      </c>
      <c r="AF273" s="4">
        <f t="shared" ref="AF273:AF291" si="186">(O273-Z273-AB273-AC273-AE273)-(P273-T273)</f>
        <v>0.74686977506053287</v>
      </c>
      <c r="AG273" s="4">
        <f t="shared" ref="AG273:AG291" si="187">(O273-P273-AF273)</f>
        <v>0.90757466938391174</v>
      </c>
      <c r="AH273" s="12">
        <v>1128788025</v>
      </c>
      <c r="AI273" s="32">
        <f t="shared" si="172"/>
        <v>37.626267499999997</v>
      </c>
      <c r="AJ273" s="32">
        <f t="shared" si="185"/>
        <v>37.351190031643625</v>
      </c>
      <c r="AK273" s="24">
        <f t="shared" si="173"/>
        <v>843057658.3227731</v>
      </c>
      <c r="AL273" s="2">
        <v>289.10899999999998</v>
      </c>
      <c r="AM273" s="95">
        <f t="shared" si="174"/>
        <v>0.93966932210055543</v>
      </c>
      <c r="AN273" s="4">
        <f t="shared" si="175"/>
        <v>0.79482192032295507</v>
      </c>
      <c r="AO273" s="1">
        <f t="shared" si="159"/>
        <v>0.39482192032295504</v>
      </c>
      <c r="AP273" s="110">
        <f t="shared" si="160"/>
        <v>445670255.66805577</v>
      </c>
      <c r="AQ273" s="1">
        <f t="shared" si="165"/>
        <v>0.65082790336553054</v>
      </c>
      <c r="AR273" s="16">
        <f t="shared" si="142"/>
        <v>897.18546566805583</v>
      </c>
      <c r="AS273" s="7">
        <v>30</v>
      </c>
      <c r="AT273" s="1">
        <f t="shared" si="143"/>
        <v>29.906182188935194</v>
      </c>
      <c r="AU273" s="16">
        <f t="shared" si="157"/>
        <v>41080.675557022703</v>
      </c>
      <c r="AV273" s="4">
        <f t="shared" si="158"/>
        <v>41.080675557022701</v>
      </c>
      <c r="AW273" s="4">
        <f t="shared" si="176"/>
        <v>5.7928105316679872</v>
      </c>
      <c r="AY273" s="4">
        <f>(O273-P273-AG273-(SpotGasPrices!K271-(SpotGasPrices!L271+SpotGasPrices!M271)/2))*($AL$279/AL273)</f>
        <v>0.54154833438370853</v>
      </c>
      <c r="AZ273" s="1">
        <f t="shared" si="183"/>
        <v>0.33147936060190031</v>
      </c>
    </row>
    <row r="274" spans="1:52">
      <c r="C274" s="29">
        <f t="shared" si="182"/>
        <v>44701</v>
      </c>
      <c r="D274" s="2">
        <v>2022</v>
      </c>
      <c r="E274" s="2">
        <v>5</v>
      </c>
      <c r="F274" s="4">
        <v>2.677381</v>
      </c>
      <c r="G274" s="4">
        <f t="shared" si="184"/>
        <v>1.6315050124022326</v>
      </c>
      <c r="H274" s="4">
        <f t="shared" si="162"/>
        <v>1.7781744226704306</v>
      </c>
      <c r="I274" s="4">
        <f t="shared" si="184"/>
        <v>0.98067710903670235</v>
      </c>
      <c r="J274" s="4">
        <f t="shared" si="163"/>
        <v>1.188071466856057</v>
      </c>
      <c r="K274" s="2">
        <v>113.34</v>
      </c>
      <c r="L274" s="4">
        <v>4.444</v>
      </c>
      <c r="O274" s="4">
        <v>5.774</v>
      </c>
      <c r="P274" s="4">
        <f t="shared" si="107"/>
        <v>4.2962222222222222</v>
      </c>
      <c r="Q274" s="4">
        <f t="shared" si="170"/>
        <v>6.0777169513096316</v>
      </c>
      <c r="R274" s="4">
        <f t="shared" si="171"/>
        <v>4.5222068975741481</v>
      </c>
      <c r="S274" s="4">
        <v>0.30630000000000002</v>
      </c>
      <c r="T274" s="4">
        <f t="shared" si="177"/>
        <v>0.26336131288673664</v>
      </c>
      <c r="U274" s="4">
        <v>0.184</v>
      </c>
      <c r="V274" s="4">
        <v>0.51100000000000001</v>
      </c>
      <c r="W274" s="4">
        <v>2.0000000000000007E-2</v>
      </c>
      <c r="X274" s="3">
        <v>3.249999999999998E-2</v>
      </c>
      <c r="Y274" s="4">
        <f t="shared" si="179"/>
        <v>0.18174818401937035</v>
      </c>
      <c r="Z274" s="4">
        <f>30.85*0.007902</f>
        <v>0.24377669999999999</v>
      </c>
      <c r="AA274" s="4">
        <f>(120.5+112.5+108+95.5)/4</f>
        <v>109.125</v>
      </c>
      <c r="AB274" s="4">
        <v>0.124</v>
      </c>
      <c r="AC274" s="4">
        <f t="shared" si="128"/>
        <v>0.71274818401937035</v>
      </c>
      <c r="AD274" s="4">
        <f t="shared" si="118"/>
        <v>1.2645248840193704</v>
      </c>
      <c r="AE274" s="4">
        <v>0.1</v>
      </c>
      <c r="AF274" s="4">
        <f t="shared" si="186"/>
        <v>0.56061420664514561</v>
      </c>
      <c r="AG274" s="4">
        <f t="shared" si="187"/>
        <v>0.91716357113263225</v>
      </c>
      <c r="AH274" s="12">
        <v>1184683727</v>
      </c>
      <c r="AI274" s="32">
        <f t="shared" si="172"/>
        <v>38.215604096774193</v>
      </c>
      <c r="AJ274" s="32">
        <f t="shared" si="185"/>
        <v>37.351190031643625</v>
      </c>
      <c r="AK274" s="24">
        <f t="shared" si="173"/>
        <v>664150527.73751926</v>
      </c>
      <c r="AL274" s="2">
        <v>292.29599999999999</v>
      </c>
      <c r="AM274" s="95">
        <f t="shared" si="174"/>
        <v>0.95002778942441768</v>
      </c>
      <c r="AN274" s="4">
        <f t="shared" si="175"/>
        <v>0.59010295581437511</v>
      </c>
      <c r="AO274" s="1">
        <f t="shared" si="159"/>
        <v>0.19010295581437509</v>
      </c>
      <c r="AP274" s="110">
        <f t="shared" si="160"/>
        <v>225211878.20789018</v>
      </c>
      <c r="AQ274" s="1">
        <f t="shared" si="165"/>
        <v>0.65082790336553054</v>
      </c>
      <c r="AR274" s="16">
        <f t="shared" si="142"/>
        <v>699.08536900789022</v>
      </c>
      <c r="AS274" s="7">
        <v>31</v>
      </c>
      <c r="AT274" s="1">
        <f t="shared" si="143"/>
        <v>22.551140935738395</v>
      </c>
      <c r="AU274" s="16">
        <f t="shared" si="157"/>
        <v>41779.760926030591</v>
      </c>
      <c r="AV274" s="4">
        <f t="shared" si="158"/>
        <v>41.77976092603059</v>
      </c>
      <c r="AW274" s="4">
        <f t="shared" si="176"/>
        <v>5.9097886389139775</v>
      </c>
      <c r="AY274" s="4">
        <f>(O274-P274-AG274-(SpotGasPrices!K272-(SpotGasPrices!L272+SpotGasPrices!M272)/2))*($AL$279/AL274)</f>
        <v>0.32178620627970655</v>
      </c>
      <c r="AZ274" s="1">
        <f t="shared" si="183"/>
        <v>0.33147936060190031</v>
      </c>
    </row>
    <row r="275" spans="1:52">
      <c r="A275" s="2">
        <v>2022</v>
      </c>
      <c r="B275" s="2">
        <v>2022</v>
      </c>
      <c r="C275" s="29">
        <f t="shared" si="182"/>
        <v>44732</v>
      </c>
      <c r="D275" s="2">
        <v>2022</v>
      </c>
      <c r="E275" s="2">
        <v>6</v>
      </c>
      <c r="F275" s="4">
        <v>2.7</v>
      </c>
      <c r="G275" s="4">
        <f t="shared" ref="G275" si="188">G274</f>
        <v>1.6315050124022326</v>
      </c>
      <c r="H275" s="4">
        <f t="shared" si="162"/>
        <v>1.9738749480726925</v>
      </c>
      <c r="I275" s="4">
        <f t="shared" si="184"/>
        <v>0.98067710903670235</v>
      </c>
      <c r="J275" s="4">
        <f t="shared" si="163"/>
        <v>1.445808370933068</v>
      </c>
      <c r="K275" s="2">
        <v>122.71</v>
      </c>
      <c r="L275" s="4">
        <v>4.9290000000000003</v>
      </c>
      <c r="O275" s="4">
        <v>6.2009999999999996</v>
      </c>
      <c r="P275" s="4">
        <f t="shared" si="107"/>
        <v>4.7876666666666674</v>
      </c>
      <c r="Q275" s="4">
        <f t="shared" si="170"/>
        <v>6.4387345424233322</v>
      </c>
      <c r="R275" s="4">
        <f t="shared" si="171"/>
        <v>4.971216697996363</v>
      </c>
      <c r="S275" s="4">
        <v>0.31019999999999998</v>
      </c>
      <c r="T275" s="4">
        <f t="shared" si="177"/>
        <v>0.26620123755716973</v>
      </c>
      <c r="U275" s="4">
        <v>0.184</v>
      </c>
      <c r="V275" s="4">
        <v>0.51100000000000001</v>
      </c>
      <c r="W275" s="4">
        <v>2.0000000000000007E-2</v>
      </c>
      <c r="X275" s="3">
        <v>3.249999999999998E-2</v>
      </c>
      <c r="Y275" s="4">
        <f t="shared" si="179"/>
        <v>0.19518886198547203</v>
      </c>
      <c r="Z275" s="4">
        <f>30.85*0.007902</f>
        <v>0.24377669999999999</v>
      </c>
      <c r="AA275" s="4">
        <f>(99+88.5+83.5+83)/4</f>
        <v>88.5</v>
      </c>
      <c r="AB275" s="4">
        <v>0.10100000000000001</v>
      </c>
      <c r="AC275" s="4">
        <f t="shared" si="128"/>
        <v>0.72618886198547206</v>
      </c>
      <c r="AD275" s="4">
        <f t="shared" si="118"/>
        <v>1.254965561985472</v>
      </c>
      <c r="AE275" s="4">
        <v>0.1</v>
      </c>
      <c r="AF275" s="4">
        <f t="shared" si="186"/>
        <v>0.50856900890503098</v>
      </c>
      <c r="AG275" s="4">
        <f t="shared" si="187"/>
        <v>0.90476432442830124</v>
      </c>
      <c r="AH275" s="12">
        <v>1130177672</v>
      </c>
      <c r="AI275" s="32">
        <f t="shared" si="172"/>
        <v>37.672589066666667</v>
      </c>
      <c r="AJ275" s="32">
        <f t="shared" si="185"/>
        <v>37.351190031643625</v>
      </c>
      <c r="AK275" s="24">
        <f t="shared" si="173"/>
        <v>574773338.53563523</v>
      </c>
      <c r="AL275" s="2">
        <v>296.31099999999998</v>
      </c>
      <c r="AM275" s="95">
        <f t="shared" si="174"/>
        <v>0.96307744311293553</v>
      </c>
      <c r="AN275" s="4">
        <f t="shared" si="175"/>
        <v>0.52806657713962624</v>
      </c>
      <c r="AO275" s="1">
        <f t="shared" si="159"/>
        <v>0.12806657713962621</v>
      </c>
      <c r="AP275" s="110">
        <f t="shared" si="160"/>
        <v>144737986.01267117</v>
      </c>
      <c r="AQ275" s="1">
        <f t="shared" si="165"/>
        <v>0.65082790336553054</v>
      </c>
      <c r="AR275" s="16">
        <f t="shared" si="142"/>
        <v>596.80905481267132</v>
      </c>
      <c r="AS275" s="7">
        <v>30</v>
      </c>
      <c r="AT275" s="1">
        <f t="shared" si="143"/>
        <v>19.893635160422377</v>
      </c>
      <c r="AU275" s="16">
        <f t="shared" si="157"/>
        <v>42376.569980843262</v>
      </c>
      <c r="AV275" s="4">
        <f t="shared" si="158"/>
        <v>42.376569980843264</v>
      </c>
      <c r="AW275" s="4">
        <f t="shared" si="176"/>
        <v>6.2608312549989709</v>
      </c>
      <c r="AY275" s="4">
        <f>(O275-P275-AG275-(SpotGasPrices!K273-(SpotGasPrices!L273+SpotGasPrices!M273)/2))*($AL$279/AL275)</f>
        <v>0.3058145444543276</v>
      </c>
      <c r="AZ275" s="1">
        <f t="shared" si="183"/>
        <v>0.33147936060190031</v>
      </c>
    </row>
    <row r="276" spans="1:52">
      <c r="C276" s="29">
        <f t="shared" si="182"/>
        <v>44762</v>
      </c>
      <c r="D276" s="2">
        <v>2022</v>
      </c>
      <c r="E276" s="2">
        <v>7</v>
      </c>
      <c r="F276" s="4">
        <v>2.4892500000000002</v>
      </c>
      <c r="G276" s="4">
        <f t="shared" ref="G276" si="189">G275</f>
        <v>1.6315050124022326</v>
      </c>
      <c r="H276" s="4">
        <f t="shared" si="162"/>
        <v>1.8122348763694969</v>
      </c>
      <c r="I276" s="4">
        <f t="shared" si="184"/>
        <v>0.98067710903670235</v>
      </c>
      <c r="J276" s="4">
        <f t="shared" si="163"/>
        <v>1.3349882592594025</v>
      </c>
      <c r="K276" s="2">
        <v>111.93</v>
      </c>
      <c r="L276" s="4">
        <v>4.5590000000000002</v>
      </c>
      <c r="O276" s="4">
        <v>5.8070000000000004</v>
      </c>
      <c r="P276" s="4">
        <f t="shared" si="107"/>
        <v>4.4203333333333328</v>
      </c>
      <c r="Q276" s="4">
        <f t="shared" si="170"/>
        <v>6.0303416307767082</v>
      </c>
      <c r="R276" s="4">
        <f t="shared" si="171"/>
        <v>4.5903427108506927</v>
      </c>
      <c r="S276" s="4">
        <v>0.31019999999999998</v>
      </c>
      <c r="T276" s="4">
        <f t="shared" si="177"/>
        <v>0.26446811945117027</v>
      </c>
      <c r="U276" s="4">
        <v>0.184</v>
      </c>
      <c r="V276" s="4">
        <v>0.53900000000000003</v>
      </c>
      <c r="W276" s="4">
        <v>2.0000000000000007E-2</v>
      </c>
      <c r="X276" s="3">
        <v>3.249999999999998E-2</v>
      </c>
      <c r="Y276" s="4">
        <f t="shared" si="179"/>
        <v>0.18278692493946722</v>
      </c>
      <c r="Z276" s="4">
        <f>30.85*0.007902</f>
        <v>0.24377669999999999</v>
      </c>
      <c r="AA276" s="4">
        <f>(90.5+94+95+92)/4</f>
        <v>92.875</v>
      </c>
      <c r="AB276" s="4">
        <v>0.106</v>
      </c>
      <c r="AC276" s="4">
        <f t="shared" si="128"/>
        <v>0.7417869249394673</v>
      </c>
      <c r="AD276" s="4">
        <f t="shared" ref="AD276:AD291" si="190">U276+V276+W276+Y276+Z276+AB276</f>
        <v>1.2755636249394675</v>
      </c>
      <c r="AE276" s="4">
        <v>0.1</v>
      </c>
      <c r="AF276" s="4">
        <f t="shared" si="186"/>
        <v>0.45957116117837149</v>
      </c>
      <c r="AG276" s="4">
        <f t="shared" si="187"/>
        <v>0.92709550548829611</v>
      </c>
      <c r="AH276" s="12">
        <v>1138767683</v>
      </c>
      <c r="AI276" s="32">
        <f t="shared" si="172"/>
        <v>36.734441387096773</v>
      </c>
      <c r="AJ276" s="32">
        <f t="shared" si="185"/>
        <v>37.351190031643625</v>
      </c>
      <c r="AK276" s="24">
        <f t="shared" si="173"/>
        <v>523344786.38871366</v>
      </c>
      <c r="AL276" s="2">
        <v>296.27600000000001</v>
      </c>
      <c r="AM276" s="95">
        <f t="shared" si="174"/>
        <v>0.96296368523520259</v>
      </c>
      <c r="AN276" s="4">
        <f t="shared" si="175"/>
        <v>0.47724661711009575</v>
      </c>
      <c r="AO276" s="1">
        <f t="shared" si="159"/>
        <v>7.7246617110095728E-2</v>
      </c>
      <c r="AP276" s="110">
        <f t="shared" si="160"/>
        <v>87965951.18605186</v>
      </c>
      <c r="AQ276" s="1">
        <f t="shared" si="165"/>
        <v>0.65082790336553054</v>
      </c>
      <c r="AR276" s="16">
        <f t="shared" si="142"/>
        <v>543.47302438605186</v>
      </c>
      <c r="AS276" s="7">
        <v>31</v>
      </c>
      <c r="AT276" s="1">
        <f t="shared" si="143"/>
        <v>17.531387883421029</v>
      </c>
      <c r="AU276" s="16">
        <f t="shared" si="157"/>
        <v>42920.043005229316</v>
      </c>
      <c r="AV276" s="4">
        <f t="shared" si="158"/>
        <v>42.920043005229317</v>
      </c>
      <c r="AW276" s="4">
        <f t="shared" si="176"/>
        <v>5.8637223062279764</v>
      </c>
      <c r="AY276" s="4">
        <f>(O276-P276-AG276-(SpotGasPrices!K274-(SpotGasPrices!L274+SpotGasPrices!M274)/2))*($AL$279/AL276)</f>
        <v>0.51607745104257086</v>
      </c>
      <c r="AZ276" s="1">
        <f t="shared" si="183"/>
        <v>0.33147936060190031</v>
      </c>
    </row>
    <row r="277" spans="1:52">
      <c r="C277" s="29">
        <f t="shared" si="182"/>
        <v>44793</v>
      </c>
      <c r="D277" s="2">
        <v>2022</v>
      </c>
      <c r="E277" s="2">
        <v>8</v>
      </c>
      <c r="F277" s="4">
        <v>2.4836960000000001</v>
      </c>
      <c r="G277" s="4">
        <f t="shared" ref="G277" si="191">G276</f>
        <v>1.6315050124022326</v>
      </c>
      <c r="H277" s="4">
        <f t="shared" si="162"/>
        <v>1.5664896136956836</v>
      </c>
      <c r="I277" s="4">
        <f t="shared" si="184"/>
        <v>0.98067710903670235</v>
      </c>
      <c r="J277" s="4">
        <f t="shared" si="163"/>
        <v>1.0035904565973848</v>
      </c>
      <c r="K277" s="2">
        <v>100.45</v>
      </c>
      <c r="L277" s="4">
        <v>3.9750000000000001</v>
      </c>
      <c r="O277" s="4">
        <v>5.2389999999999999</v>
      </c>
      <c r="P277" s="4">
        <f t="shared" si="107"/>
        <v>3.8345555555555557</v>
      </c>
      <c r="Q277" s="4">
        <f t="shared" si="170"/>
        <v>5.4424247107245476</v>
      </c>
      <c r="R277" s="4">
        <f t="shared" si="171"/>
        <v>3.9834472056120735</v>
      </c>
      <c r="S277" s="4">
        <v>0.31669999999999998</v>
      </c>
      <c r="T277" s="4">
        <f t="shared" si="177"/>
        <v>0.27367688996502554</v>
      </c>
      <c r="U277" s="4">
        <v>0.184</v>
      </c>
      <c r="V277" s="4">
        <v>0.53900000000000003</v>
      </c>
      <c r="W277" s="4">
        <v>2.0000000000000007E-2</v>
      </c>
      <c r="X277" s="3">
        <v>3.249999999999998E-2</v>
      </c>
      <c r="Y277" s="4">
        <f t="shared" si="179"/>
        <v>0.16490799031476988</v>
      </c>
      <c r="Z277" s="4">
        <f>27*0.007902</f>
        <v>0.21335399999999999</v>
      </c>
      <c r="AA277" s="4">
        <f>(84.5+88+89+88.25+86)/5</f>
        <v>87.15</v>
      </c>
      <c r="AB277" s="4">
        <v>9.9000000000000005E-2</v>
      </c>
      <c r="AC277" s="4">
        <f t="shared" si="128"/>
        <v>0.72390799031476993</v>
      </c>
      <c r="AD277" s="4">
        <f t="shared" si="190"/>
        <v>1.22026199031477</v>
      </c>
      <c r="AE277" s="4">
        <v>0.1</v>
      </c>
      <c r="AF277" s="4">
        <f t="shared" si="186"/>
        <v>0.54185934409469994</v>
      </c>
      <c r="AG277" s="4">
        <f t="shared" si="187"/>
        <v>0.86258510034974423</v>
      </c>
      <c r="AH277" s="12">
        <v>1194355124</v>
      </c>
      <c r="AI277" s="32">
        <f t="shared" si="172"/>
        <v>38.527584645161291</v>
      </c>
      <c r="AJ277" s="32">
        <f t="shared" si="185"/>
        <v>37.351190031643625</v>
      </c>
      <c r="AK277" s="24">
        <f t="shared" si="173"/>
        <v>647172484.10678399</v>
      </c>
      <c r="AL277" s="2">
        <v>296.17099999999999</v>
      </c>
      <c r="AM277" s="95">
        <f t="shared" si="174"/>
        <v>0.96262241160200346</v>
      </c>
      <c r="AN277" s="4">
        <f t="shared" si="175"/>
        <v>0.56289915709829941</v>
      </c>
      <c r="AO277" s="1">
        <f t="shared" si="159"/>
        <v>0.16289915709829939</v>
      </c>
      <c r="AP277" s="110">
        <f t="shared" si="160"/>
        <v>194559442.97563484</v>
      </c>
      <c r="AQ277" s="1">
        <f t="shared" si="165"/>
        <v>0.65082790336553054</v>
      </c>
      <c r="AR277" s="16">
        <f t="shared" si="142"/>
        <v>672.30149257563482</v>
      </c>
      <c r="AS277" s="7">
        <v>31</v>
      </c>
      <c r="AT277" s="1">
        <f t="shared" si="143"/>
        <v>21.687144921794673</v>
      </c>
      <c r="AU277" s="16">
        <f t="shared" si="157"/>
        <v>43592.344497804952</v>
      </c>
      <c r="AV277" s="4">
        <f t="shared" si="158"/>
        <v>43.592344497804952</v>
      </c>
      <c r="AW277" s="4">
        <f t="shared" si="176"/>
        <v>5.2920496267359054</v>
      </c>
      <c r="AY277" s="4">
        <f>(O277-P277-AG277-(SpotGasPrices!K275-(SpotGasPrices!L275+SpotGasPrices!M275)/2))*($AL$279/AL277)</f>
        <v>0.33090353495902602</v>
      </c>
      <c r="AZ277" s="1">
        <f t="shared" si="183"/>
        <v>0.33147936060190031</v>
      </c>
    </row>
    <row r="278" spans="1:52">
      <c r="C278" s="29">
        <f t="shared" si="182"/>
        <v>44824</v>
      </c>
      <c r="D278" s="2">
        <v>2022</v>
      </c>
      <c r="E278" s="2">
        <v>9</v>
      </c>
      <c r="F278" s="4">
        <v>2.4136839999999999</v>
      </c>
      <c r="G278" s="4">
        <f t="shared" ref="G278" si="192">G277</f>
        <v>1.6315050124022326</v>
      </c>
      <c r="H278" s="4">
        <f t="shared" si="162"/>
        <v>1.8787942227980285</v>
      </c>
      <c r="I278" s="4">
        <f t="shared" si="184"/>
        <v>0.98067710903670235</v>
      </c>
      <c r="J278" s="4">
        <f t="shared" si="163"/>
        <v>0.94696659321318166</v>
      </c>
      <c r="K278" s="2">
        <v>89.76</v>
      </c>
      <c r="L278" s="4">
        <v>3.7</v>
      </c>
      <c r="O278" s="4">
        <v>5.2720000000000002</v>
      </c>
      <c r="P278" s="4">
        <f t="shared" si="107"/>
        <v>3.5253333333333332</v>
      </c>
      <c r="Q278" s="4">
        <f t="shared" si="170"/>
        <v>5.4649521306703326</v>
      </c>
      <c r="R278" s="4">
        <f t="shared" si="171"/>
        <v>3.6543584809034799</v>
      </c>
      <c r="S278" s="4">
        <v>0.31669999999999998</v>
      </c>
      <c r="T278" s="4">
        <f t="shared" si="177"/>
        <v>0.27356147430723698</v>
      </c>
      <c r="U278" s="4">
        <v>0.184</v>
      </c>
      <c r="V278" s="4">
        <v>0.53900000000000003</v>
      </c>
      <c r="W278" s="4">
        <v>2.0000000000000007E-2</v>
      </c>
      <c r="X278" s="3">
        <v>3.249999999999998E-2</v>
      </c>
      <c r="Y278" s="4">
        <f t="shared" si="179"/>
        <v>0.16594673123486675</v>
      </c>
      <c r="Z278" s="4">
        <f>27*0.007902</f>
        <v>0.21335399999999999</v>
      </c>
      <c r="AA278" s="4">
        <f>(81.5+77+69.5+63.5)/4</f>
        <v>72.875</v>
      </c>
      <c r="AB278" s="4">
        <v>8.3000000000000004E-2</v>
      </c>
      <c r="AC278" s="4">
        <f t="shared" si="128"/>
        <v>0.72494673123486675</v>
      </c>
      <c r="AD278" s="4">
        <f t="shared" si="190"/>
        <v>1.2053007312348669</v>
      </c>
      <c r="AE278" s="4">
        <v>0.1</v>
      </c>
      <c r="AF278" s="4">
        <f t="shared" si="186"/>
        <v>0.89892740973903784</v>
      </c>
      <c r="AG278" s="4">
        <f t="shared" si="187"/>
        <v>0.84773925692762919</v>
      </c>
      <c r="AH278" s="12">
        <v>1140900135</v>
      </c>
      <c r="AI278" s="32">
        <f t="shared" si="172"/>
        <v>38.030004499999997</v>
      </c>
      <c r="AJ278" s="32">
        <f t="shared" si="185"/>
        <v>37.351190031643625</v>
      </c>
      <c r="AK278" s="24">
        <f t="shared" si="173"/>
        <v>1025586403.1264685</v>
      </c>
      <c r="AL278" s="2">
        <v>296.80799999999999</v>
      </c>
      <c r="AM278" s="95">
        <f t="shared" si="174"/>
        <v>0.96469280497674459</v>
      </c>
      <c r="AN278" s="4">
        <f t="shared" si="175"/>
        <v>0.93182762958484788</v>
      </c>
      <c r="AO278" s="1">
        <f t="shared" si="159"/>
        <v>0.53182762958484786</v>
      </c>
      <c r="AP278" s="110">
        <f t="shared" si="160"/>
        <v>606762214.39008296</v>
      </c>
      <c r="AQ278" s="1">
        <f t="shared" si="165"/>
        <v>0.65082790336553054</v>
      </c>
      <c r="AR278" s="16">
        <f t="shared" si="142"/>
        <v>1063.1222683900828</v>
      </c>
      <c r="AS278" s="7">
        <v>30</v>
      </c>
      <c r="AT278" s="1">
        <f t="shared" si="143"/>
        <v>35.437408946336092</v>
      </c>
      <c r="AU278" s="16">
        <f t="shared" si="157"/>
        <v>44655.466766195037</v>
      </c>
      <c r="AV278" s="4">
        <f t="shared" si="158"/>
        <v>44.65546676619504</v>
      </c>
      <c r="AW278" s="4">
        <f t="shared" si="176"/>
        <v>5.313954610387861</v>
      </c>
      <c r="AY278" s="4">
        <f>(O278-P278-AG278-(SpotGasPrices!K276-(SpotGasPrices!L276+SpotGasPrices!M276)/2))*($AL$279/AL278)</f>
        <v>-0.37659407013574386</v>
      </c>
      <c r="AZ278" s="1">
        <f t="shared" si="183"/>
        <v>0.33147936060190031</v>
      </c>
    </row>
    <row r="279" spans="1:52">
      <c r="C279" s="29">
        <f t="shared" si="182"/>
        <v>44854</v>
      </c>
      <c r="D279" s="2">
        <v>2022</v>
      </c>
      <c r="E279" s="2">
        <v>10</v>
      </c>
      <c r="F279" s="4">
        <v>2.367143</v>
      </c>
      <c r="G279" s="4">
        <f t="shared" ref="G279" si="193">G278</f>
        <v>1.6315050124022326</v>
      </c>
      <c r="H279" s="4">
        <f t="shared" si="162"/>
        <v>2.3239602609344359</v>
      </c>
      <c r="I279" s="4">
        <f t="shared" si="184"/>
        <v>0.98067710903670235</v>
      </c>
      <c r="J279" s="4">
        <f t="shared" si="163"/>
        <v>0.92738583270487429</v>
      </c>
      <c r="K279" s="2">
        <v>93.33</v>
      </c>
      <c r="L279" s="4">
        <v>3.8149999999999999</v>
      </c>
      <c r="O279" s="4">
        <v>5.8049999999999997</v>
      </c>
      <c r="P279" s="4">
        <f t="shared" si="107"/>
        <v>3.5938888888888885</v>
      </c>
      <c r="Q279" s="4">
        <f t="shared" si="170"/>
        <v>5.993148447042401</v>
      </c>
      <c r="R279" s="4">
        <f t="shared" si="171"/>
        <v>3.7103720264060951</v>
      </c>
      <c r="S279" s="4">
        <v>0.31669999999999998</v>
      </c>
      <c r="T279" s="4">
        <f t="shared" si="177"/>
        <v>0.27169733656174333</v>
      </c>
      <c r="U279" s="4">
        <v>0.184</v>
      </c>
      <c r="V279" s="4">
        <v>0.53900000000000003</v>
      </c>
      <c r="W279" s="4">
        <v>2.0000000000000007E-2</v>
      </c>
      <c r="X279" s="3">
        <v>3.249999999999998E-2</v>
      </c>
      <c r="Y279" s="4">
        <f t="shared" si="179"/>
        <v>0.18272397094430981</v>
      </c>
      <c r="Z279" s="4">
        <f>27*0.007902</f>
        <v>0.21335399999999999</v>
      </c>
      <c r="AA279" s="4">
        <f>(63.75+65+70.25+66.25+63.5)/5</f>
        <v>65.75</v>
      </c>
      <c r="AB279" s="4">
        <v>7.4999999999999997E-2</v>
      </c>
      <c r="AC279" s="4">
        <f t="shared" si="128"/>
        <v>0.74172397094430986</v>
      </c>
      <c r="AD279" s="4">
        <f t="shared" si="190"/>
        <v>1.2140779709443099</v>
      </c>
      <c r="AE279" s="4">
        <v>0.1</v>
      </c>
      <c r="AF279" s="4">
        <f t="shared" si="186"/>
        <v>1.3527304767285449</v>
      </c>
      <c r="AG279" s="4">
        <f t="shared" si="187"/>
        <v>0.8583806343825664</v>
      </c>
      <c r="AH279" s="12">
        <v>1172800353</v>
      </c>
      <c r="AI279" s="32">
        <f t="shared" si="172"/>
        <v>37.832269451612902</v>
      </c>
      <c r="AJ279" s="32">
        <f t="shared" si="185"/>
        <v>37.351190031643625</v>
      </c>
      <c r="AK279" s="24">
        <f t="shared" si="173"/>
        <v>1586482780.6210957</v>
      </c>
      <c r="AL279" s="2">
        <v>298.012</v>
      </c>
      <c r="AM279" s="95">
        <f t="shared" si="174"/>
        <v>0.96860607597076098</v>
      </c>
      <c r="AN279" s="4">
        <f t="shared" si="175"/>
        <v>1.3965744282295616</v>
      </c>
      <c r="AO279" s="1">
        <f t="shared" si="159"/>
        <v>0.99657442822956155</v>
      </c>
      <c r="AP279" s="110">
        <f t="shared" si="160"/>
        <v>1168782841.2184029</v>
      </c>
      <c r="AQ279" s="1">
        <f t="shared" si="165"/>
        <v>0.65082790336553054</v>
      </c>
      <c r="AR279" s="16">
        <f t="shared" si="142"/>
        <v>1637.9029824184029</v>
      </c>
      <c r="AS279" s="7">
        <v>31</v>
      </c>
      <c r="AT279" s="1">
        <f t="shared" si="143"/>
        <v>52.835580078012995</v>
      </c>
      <c r="AU279" s="16">
        <f t="shared" si="157"/>
        <v>46293.369748613441</v>
      </c>
      <c r="AV279" s="4">
        <f t="shared" si="158"/>
        <v>46.293369748613443</v>
      </c>
      <c r="AW279" s="4">
        <f t="shared" si="176"/>
        <v>5.8275567762371985</v>
      </c>
      <c r="AY279" s="4">
        <f>(O279-P279-AG279-(SpotGasPrices!K277-(SpotGasPrices!L277+SpotGasPrices!M277)/2))*($AL$279/AL279)</f>
        <v>1.0507304767285448</v>
      </c>
      <c r="AZ279" s="1">
        <f t="shared" si="183"/>
        <v>0.33147936060190031</v>
      </c>
    </row>
    <row r="280" spans="1:52">
      <c r="C280" s="29">
        <f t="shared" si="182"/>
        <v>44880</v>
      </c>
      <c r="D280" s="2">
        <v>2022</v>
      </c>
      <c r="E280" s="2">
        <v>11</v>
      </c>
      <c r="F280" s="4">
        <v>2.4216669999999998</v>
      </c>
      <c r="G280" s="4">
        <f t="shared" ref="G280:G281" si="194">G279</f>
        <v>1.6315050124022326</v>
      </c>
      <c r="H280" s="4">
        <f t="shared" si="162"/>
        <v>1.6437380302117355</v>
      </c>
      <c r="I280" s="4">
        <f t="shared" si="184"/>
        <v>0.98067710903670235</v>
      </c>
      <c r="J280" s="4">
        <f t="shared" si="163"/>
        <v>0.90805119215243213</v>
      </c>
      <c r="K280" s="2">
        <v>91.42</v>
      </c>
      <c r="L280" s="4">
        <v>3.6850000000000001</v>
      </c>
      <c r="O280" s="4">
        <v>5.0709999999999997</v>
      </c>
      <c r="P280" s="4">
        <f t="shared" si="107"/>
        <v>3.5310000000000001</v>
      </c>
      <c r="Q280" s="4">
        <f t="shared" si="170"/>
        <v>5.2406516420286779</v>
      </c>
      <c r="R280" s="4">
        <f t="shared" si="171"/>
        <v>3.6491305359896007</v>
      </c>
      <c r="S280" s="4">
        <v>0.31669999999999998</v>
      </c>
      <c r="T280" s="4">
        <f t="shared" si="177"/>
        <v>0.27426446058649445</v>
      </c>
      <c r="U280" s="4">
        <v>0.184</v>
      </c>
      <c r="V280" s="4">
        <v>0.53900000000000003</v>
      </c>
      <c r="W280" s="4">
        <v>2.0000000000000007E-2</v>
      </c>
      <c r="X280" s="3">
        <v>3.249999999999998E-2</v>
      </c>
      <c r="Y280" s="4">
        <f t="shared" si="179"/>
        <v>0.15961985472154955</v>
      </c>
      <c r="Z280" s="4">
        <f>26.8*0.007902</f>
        <v>0.21177359999999998</v>
      </c>
      <c r="AA280" s="4">
        <f>(63.5+63.5+63+61.5)/4</f>
        <v>62.875</v>
      </c>
      <c r="AB280" s="4">
        <v>7.1999999999999995E-2</v>
      </c>
      <c r="AC280" s="4">
        <f t="shared" si="128"/>
        <v>0.71861985472154966</v>
      </c>
      <c r="AD280" s="4">
        <f t="shared" si="190"/>
        <v>1.1863934547215496</v>
      </c>
      <c r="AE280" s="4">
        <v>0.1</v>
      </c>
      <c r="AF280" s="4">
        <f t="shared" si="186"/>
        <v>0.71187100586494401</v>
      </c>
      <c r="AG280" s="4">
        <f t="shared" si="187"/>
        <v>0.82812899413505558</v>
      </c>
      <c r="AH280" s="12">
        <v>1101859339</v>
      </c>
      <c r="AI280" s="32">
        <f t="shared" si="172"/>
        <v>36.728644633333332</v>
      </c>
      <c r="AJ280" s="32">
        <f t="shared" si="185"/>
        <v>37.351190031643625</v>
      </c>
      <c r="AK280" s="24">
        <f t="shared" si="173"/>
        <v>784381715.97561228</v>
      </c>
      <c r="AL280" s="2">
        <v>297.71100000000001</v>
      </c>
      <c r="AM280" s="95">
        <f t="shared" si="174"/>
        <v>0.967627758222257</v>
      </c>
      <c r="AN280" s="4">
        <f t="shared" si="175"/>
        <v>0.73568683805930302</v>
      </c>
      <c r="AO280" s="1">
        <f t="shared" si="159"/>
        <v>0.33568683805930299</v>
      </c>
      <c r="AP280" s="110">
        <f t="shared" si="160"/>
        <v>369879677.49502367</v>
      </c>
      <c r="AQ280" s="1">
        <f t="shared" si="165"/>
        <v>0.65082790336553054</v>
      </c>
      <c r="AR280" s="16">
        <f t="shared" si="142"/>
        <v>810.62341309502358</v>
      </c>
      <c r="AS280" s="7">
        <v>30</v>
      </c>
      <c r="AT280" s="1">
        <f t="shared" si="143"/>
        <v>27.020780436500786</v>
      </c>
      <c r="AU280" s="16">
        <f t="shared" si="157"/>
        <v>47103.993161708466</v>
      </c>
      <c r="AV280" s="4">
        <f t="shared" si="158"/>
        <v>47.103993161708466</v>
      </c>
      <c r="AW280" s="4">
        <f t="shared" si="176"/>
        <v>5.095851580895566</v>
      </c>
      <c r="AY280" s="4">
        <f>(O280-P280-AG280-(SpotGasPrices!K278-(SpotGasPrices!L278+SpotGasPrices!M278)/2))*($AL$279/AL280)</f>
        <v>0.51238853183061295</v>
      </c>
      <c r="AZ280" s="1">
        <f t="shared" si="183"/>
        <v>0.33147936060190031</v>
      </c>
    </row>
    <row r="281" spans="1:52">
      <c r="B281" s="26" t="s">
        <v>33</v>
      </c>
      <c r="C281" s="29">
        <f t="shared" si="182"/>
        <v>44910</v>
      </c>
      <c r="D281" s="2">
        <v>2022</v>
      </c>
      <c r="E281" s="2">
        <v>12</v>
      </c>
      <c r="F281" s="4">
        <v>2.0509520000000001</v>
      </c>
      <c r="G281" s="4">
        <f t="shared" si="194"/>
        <v>1.6315050124022326</v>
      </c>
      <c r="H281" s="4">
        <f t="shared" si="162"/>
        <v>1.138498079297229</v>
      </c>
      <c r="I281" s="4">
        <f t="shared" si="184"/>
        <v>0.98067710903670235</v>
      </c>
      <c r="J281" s="4">
        <f t="shared" si="163"/>
        <v>0.70907942333694585</v>
      </c>
      <c r="K281" s="2">
        <v>80.92</v>
      </c>
      <c r="L281" s="4">
        <v>3.21</v>
      </c>
      <c r="O281" s="4">
        <v>4.3170000000000002</v>
      </c>
      <c r="P281" s="4">
        <f t="shared" si="107"/>
        <v>3.0869999999999997</v>
      </c>
      <c r="Q281" s="4">
        <f t="shared" si="170"/>
        <v>4.4751655407568132</v>
      </c>
      <c r="R281" s="4">
        <f t="shared" si="171"/>
        <v>3.2001010016947604</v>
      </c>
      <c r="S281" s="4">
        <v>0.31669999999999998</v>
      </c>
      <c r="T281" s="4">
        <f t="shared" si="177"/>
        <v>0.27690153349475383</v>
      </c>
      <c r="U281" s="4">
        <v>0.184</v>
      </c>
      <c r="V281" s="4">
        <v>0.53900000000000003</v>
      </c>
      <c r="W281" s="4">
        <v>2.0000000000000007E-2</v>
      </c>
      <c r="X281" s="3">
        <v>3.249999999999998E-2</v>
      </c>
      <c r="Y281" s="4">
        <f t="shared" si="179"/>
        <v>0.13588619854721543</v>
      </c>
      <c r="Z281" s="4">
        <f>26.8*0.007902</f>
        <v>0.21177359999999998</v>
      </c>
      <c r="AA281" s="82">
        <f>(68+66+65.75+69.5)/4</f>
        <v>67.3125</v>
      </c>
      <c r="AB281" s="4">
        <v>8.5999999999999993E-2</v>
      </c>
      <c r="AC281" s="4">
        <f t="shared" si="128"/>
        <v>0.69488619854721545</v>
      </c>
      <c r="AD281" s="4">
        <f t="shared" si="190"/>
        <v>1.1766597985472156</v>
      </c>
      <c r="AE281" s="4">
        <v>0.1</v>
      </c>
      <c r="AF281" s="4">
        <f t="shared" si="186"/>
        <v>0.41424173494753846</v>
      </c>
      <c r="AG281" s="4">
        <f t="shared" si="187"/>
        <v>0.81575826505246196</v>
      </c>
      <c r="AH281" s="12">
        <v>1118271196</v>
      </c>
      <c r="AI281" s="32">
        <f t="shared" si="172"/>
        <v>36.073264387096778</v>
      </c>
      <c r="AJ281" s="32">
        <f t="shared" si="185"/>
        <v>37.351190031643625</v>
      </c>
      <c r="AK281" s="24">
        <f t="shared" si="173"/>
        <v>463234600.37289882</v>
      </c>
      <c r="AL281" s="2">
        <v>296.79700000000003</v>
      </c>
      <c r="AM281" s="95">
        <f t="shared" si="174"/>
        <v>0.96465705250088585</v>
      </c>
      <c r="AN281" s="4">
        <f t="shared" si="175"/>
        <v>0.42941865596028289</v>
      </c>
      <c r="AO281" s="1">
        <f t="shared" si="159"/>
        <v>2.9418655960282869E-2</v>
      </c>
      <c r="AP281" s="110">
        <f t="shared" si="160"/>
        <v>32898035.585418053</v>
      </c>
      <c r="AQ281" s="1">
        <f t="shared" si="165"/>
        <v>0.65082790336553054</v>
      </c>
      <c r="AR281" s="16">
        <f t="shared" si="142"/>
        <v>480.2065139854181</v>
      </c>
      <c r="AS281" s="7">
        <v>31</v>
      </c>
      <c r="AT281" s="1">
        <f t="shared" si="143"/>
        <v>15.490532709207036</v>
      </c>
      <c r="AU281" s="16">
        <f t="shared" si="157"/>
        <v>47584.199675693882</v>
      </c>
      <c r="AV281" s="4">
        <f t="shared" si="158"/>
        <v>47.584199675693881</v>
      </c>
      <c r="AW281" s="4">
        <f t="shared" si="176"/>
        <v>4.3515159856737098</v>
      </c>
    </row>
    <row r="282" spans="1:52">
      <c r="A282" s="33" t="s">
        <v>39</v>
      </c>
      <c r="B282" s="26" t="s">
        <v>33</v>
      </c>
      <c r="C282" s="29">
        <f>C270+365</f>
        <v>44946</v>
      </c>
      <c r="D282" s="2">
        <v>2022</v>
      </c>
      <c r="E282" s="2">
        <v>1</v>
      </c>
      <c r="G282" s="4"/>
      <c r="H282" s="4">
        <f t="shared" si="162"/>
        <v>1.0417610328773785</v>
      </c>
      <c r="I282" s="4"/>
      <c r="J282" s="4">
        <f t="shared" si="163"/>
        <v>0.81761864733483924</v>
      </c>
      <c r="K282" s="2">
        <v>82.5</v>
      </c>
      <c r="L282" s="4">
        <v>3.339</v>
      </c>
      <c r="O282" s="4">
        <v>4.2649999999999997</v>
      </c>
      <c r="P282" s="4">
        <f t="shared" si="107"/>
        <v>3.2361111111111112</v>
      </c>
      <c r="Q282" s="4">
        <f t="shared" si="170"/>
        <v>4.3861911789283674</v>
      </c>
      <c r="R282" s="4">
        <f t="shared" si="171"/>
        <v>3.3280661218259406</v>
      </c>
      <c r="S282" s="4">
        <v>0.31669999999999998</v>
      </c>
      <c r="T282" s="4">
        <f t="shared" si="177"/>
        <v>0.27708340059187514</v>
      </c>
      <c r="U282" s="4">
        <v>0.184</v>
      </c>
      <c r="V282" s="4">
        <v>0.53900000000000003</v>
      </c>
      <c r="W282" s="4">
        <v>2.0000000000000007E-2</v>
      </c>
      <c r="X282" s="3">
        <v>3.249999999999998E-2</v>
      </c>
      <c r="Y282" s="4">
        <f t="shared" si="179"/>
        <v>0.13424939467312338</v>
      </c>
      <c r="Z282" s="4">
        <f>26.8*0.007902</f>
        <v>0.21177359999999998</v>
      </c>
      <c r="AA282" s="82">
        <f>(67.5+67.5+62.75+61.75)/4</f>
        <v>64.875</v>
      </c>
      <c r="AB282" s="4">
        <v>8.3000000000000004E-2</v>
      </c>
      <c r="AC282" s="4">
        <f t="shared" si="128"/>
        <v>0.69324939467312341</v>
      </c>
      <c r="AD282" s="4">
        <f t="shared" si="190"/>
        <v>1.1720229946731233</v>
      </c>
      <c r="AE282" s="4">
        <v>0.1</v>
      </c>
      <c r="AF282" s="4">
        <f t="shared" si="186"/>
        <v>0.21794929480764003</v>
      </c>
      <c r="AG282" s="4">
        <f t="shared" si="187"/>
        <v>0.81093959408124849</v>
      </c>
      <c r="AH282" s="12">
        <v>1083879951</v>
      </c>
      <c r="AI282" s="32">
        <f t="shared" si="172"/>
        <v>34.963869387096771</v>
      </c>
      <c r="AJ282" s="32">
        <f>AVERAGE(AI282:AI293)</f>
        <v>37.701571177615165</v>
      </c>
      <c r="AK282" s="24">
        <f t="shared" si="173"/>
        <v>236230870.97658941</v>
      </c>
      <c r="AL282" s="2">
        <v>299.17</v>
      </c>
      <c r="AM282" s="95">
        <f t="shared" si="174"/>
        <v>0.97236983661118537</v>
      </c>
      <c r="AN282" s="4">
        <f t="shared" si="175"/>
        <v>0.22414238554253907</v>
      </c>
      <c r="AO282" s="1">
        <f t="shared" si="159"/>
        <v>0</v>
      </c>
      <c r="AP282" s="110">
        <f t="shared" si="160"/>
        <v>0</v>
      </c>
      <c r="AQ282" s="1">
        <f>AVERAGE($AN$282:$AN$293)</f>
        <v>0.48020591500618098</v>
      </c>
      <c r="AR282" s="16">
        <f t="shared" si="142"/>
        <v>242.94343785887034</v>
      </c>
      <c r="AS282" s="7">
        <v>31</v>
      </c>
      <c r="AT282" s="1">
        <f t="shared" si="143"/>
        <v>7.8368850922216238</v>
      </c>
      <c r="AU282" s="16">
        <f t="shared" si="157"/>
        <v>47827.143113552753</v>
      </c>
      <c r="AV282" s="4">
        <f t="shared" si="158"/>
        <v>47.827143113552751</v>
      </c>
      <c r="AW282" s="4">
        <f t="shared" si="176"/>
        <v>4.2649999999999997</v>
      </c>
    </row>
    <row r="283" spans="1:52">
      <c r="C283" s="29">
        <f t="shared" si="182"/>
        <v>44977</v>
      </c>
      <c r="D283" s="2">
        <v>2022</v>
      </c>
      <c r="E283" s="2">
        <v>2</v>
      </c>
      <c r="G283" s="4"/>
      <c r="H283" s="4">
        <f t="shared" si="162"/>
        <v>1.2451778075466486</v>
      </c>
      <c r="I283" s="4"/>
      <c r="J283" s="4">
        <f t="shared" si="163"/>
        <v>0.84370976319563162</v>
      </c>
      <c r="K283" s="2">
        <v>82.59</v>
      </c>
      <c r="L283" s="4">
        <v>3.3889999999999998</v>
      </c>
      <c r="O283" s="4">
        <v>4.4870000000000001</v>
      </c>
      <c r="P283" s="4">
        <f t="shared" si="107"/>
        <v>3.2669999999999995</v>
      </c>
      <c r="Q283" s="4">
        <f t="shared" si="170"/>
        <v>4.5888837155963307</v>
      </c>
      <c r="R283" s="4">
        <f t="shared" si="171"/>
        <v>3.3411818807339446</v>
      </c>
      <c r="S283" s="4">
        <v>0.31630000000000003</v>
      </c>
      <c r="T283" s="4">
        <f t="shared" si="177"/>
        <v>0.27586252354048962</v>
      </c>
      <c r="U283" s="4">
        <v>0.184</v>
      </c>
      <c r="V283" s="4">
        <v>0.53900000000000003</v>
      </c>
      <c r="W283" s="4">
        <v>2.0000000000000007E-2</v>
      </c>
      <c r="X283" s="3">
        <v>3.249999999999998E-2</v>
      </c>
      <c r="Y283" s="4">
        <f t="shared" si="179"/>
        <v>0.14123728813559314</v>
      </c>
      <c r="Z283" s="4">
        <f>27.85*0.007902</f>
        <v>0.22007069999999998</v>
      </c>
      <c r="AA283" s="82">
        <f>(60+63+68.5+66.25)/4</f>
        <v>64.4375</v>
      </c>
      <c r="AB283" s="4">
        <v>8.3000000000000004E-2</v>
      </c>
      <c r="AC283" s="4">
        <f t="shared" si="128"/>
        <v>0.70023728813559316</v>
      </c>
      <c r="AD283" s="4">
        <f t="shared" si="190"/>
        <v>1.1873079881355932</v>
      </c>
      <c r="AE283" s="4">
        <v>0.1</v>
      </c>
      <c r="AF283" s="4">
        <f t="shared" si="186"/>
        <v>0.39255453540489693</v>
      </c>
      <c r="AG283" s="4">
        <f t="shared" si="187"/>
        <v>0.82744546459510371</v>
      </c>
      <c r="AH283" s="12">
        <v>1034805346</v>
      </c>
      <c r="AI283" s="32">
        <f t="shared" si="172"/>
        <v>36.957333785714283</v>
      </c>
      <c r="AJ283" s="32">
        <f>AJ282</f>
        <v>37.701571177615165</v>
      </c>
      <c r="AK283" s="24">
        <f t="shared" si="173"/>
        <v>406217531.83353364</v>
      </c>
      <c r="AL283" s="2">
        <v>300.83999999999997</v>
      </c>
      <c r="AM283" s="95">
        <f t="shared" si="174"/>
        <v>0.97779771249158998</v>
      </c>
      <c r="AN283" s="4">
        <f t="shared" si="175"/>
        <v>0.40146804435101735</v>
      </c>
      <c r="AO283" s="1">
        <f t="shared" si="159"/>
        <v>1.468044351017328E-3</v>
      </c>
      <c r="AP283" s="110">
        <f t="shared" si="160"/>
        <v>1519140.1425978316</v>
      </c>
      <c r="AQ283" s="1">
        <f>AVERAGE($AN$282:$AN$293)</f>
        <v>0.48020591500618098</v>
      </c>
      <c r="AR283" s="16">
        <f t="shared" si="142"/>
        <v>415.44127854259784</v>
      </c>
      <c r="AS283" s="7">
        <v>28</v>
      </c>
      <c r="AT283" s="1">
        <f t="shared" si="143"/>
        <v>14.837188519378495</v>
      </c>
      <c r="AU283" s="16">
        <f t="shared" si="157"/>
        <v>48242.584392095348</v>
      </c>
      <c r="AV283" s="4">
        <f t="shared" si="158"/>
        <v>48.242584392095345</v>
      </c>
      <c r="AW283" s="4">
        <f t="shared" si="176"/>
        <v>4.4620921087621328</v>
      </c>
    </row>
    <row r="284" spans="1:52">
      <c r="C284" s="29">
        <f t="shared" si="182"/>
        <v>45005</v>
      </c>
      <c r="D284" s="2">
        <v>2022</v>
      </c>
      <c r="E284" s="2">
        <v>3</v>
      </c>
      <c r="G284" s="4"/>
      <c r="H284" s="4">
        <f t="shared" si="162"/>
        <v>1.5292360559858247</v>
      </c>
      <c r="I284" s="4"/>
      <c r="J284" s="4">
        <f t="shared" si="163"/>
        <v>0.95868092248246739</v>
      </c>
      <c r="K284" s="2">
        <v>78.430000000000007</v>
      </c>
      <c r="L284" s="4">
        <v>3.4220000000000002</v>
      </c>
      <c r="O284" s="4">
        <v>4.6820000000000004</v>
      </c>
      <c r="P284" s="4">
        <f t="shared" si="107"/>
        <v>3.282</v>
      </c>
      <c r="Q284" s="4">
        <f t="shared" si="170"/>
        <v>4.7725109728461819</v>
      </c>
      <c r="R284" s="4">
        <f t="shared" si="171"/>
        <v>3.345446606766588</v>
      </c>
      <c r="S284" s="4">
        <v>0.31630000000000003</v>
      </c>
      <c r="T284" s="4">
        <f t="shared" si="177"/>
        <v>0.27518052192628467</v>
      </c>
      <c r="U284" s="4">
        <v>0.184</v>
      </c>
      <c r="V284" s="4">
        <v>0.53900000000000003</v>
      </c>
      <c r="W284" s="4">
        <v>2.0000000000000007E-2</v>
      </c>
      <c r="X284" s="3">
        <v>3.249999999999998E-2</v>
      </c>
      <c r="Y284" s="4">
        <f t="shared" si="179"/>
        <v>0.14737530266343818</v>
      </c>
      <c r="Z284" s="4">
        <f>27.85*0.007902</f>
        <v>0.22007069999999998</v>
      </c>
      <c r="AA284" s="82">
        <f>(67+71.5+69.5+70.5)/4</f>
        <v>69.625</v>
      </c>
      <c r="AB284" s="4">
        <v>8.8999999999999996E-2</v>
      </c>
      <c r="AC284" s="4">
        <f t="shared" si="128"/>
        <v>0.70637530266343829</v>
      </c>
      <c r="AD284" s="4">
        <f t="shared" si="190"/>
        <v>1.1994460026634381</v>
      </c>
      <c r="AE284" s="4">
        <v>0.1</v>
      </c>
      <c r="AF284" s="4">
        <f t="shared" si="186"/>
        <v>0.55973451926284623</v>
      </c>
      <c r="AG284" s="4">
        <f t="shared" si="187"/>
        <v>0.84026548073715412</v>
      </c>
      <c r="AH284" s="12">
        <v>1139577873</v>
      </c>
      <c r="AI284" s="32">
        <f t="shared" si="172"/>
        <v>36.7605765483871</v>
      </c>
      <c r="AJ284" s="32">
        <f t="shared" ref="AJ284:AJ293" si="195">AJ283</f>
        <v>37.701571177615165</v>
      </c>
      <c r="AK284" s="24">
        <f t="shared" si="173"/>
        <v>637861072.90623188</v>
      </c>
      <c r="AL284" s="2">
        <v>301.83600000000001</v>
      </c>
      <c r="AM284" s="95">
        <f t="shared" si="174"/>
        <v>0.98103493666936437</v>
      </c>
      <c r="AN284" s="4">
        <f t="shared" si="175"/>
        <v>0.57055513350335663</v>
      </c>
      <c r="AO284" s="1">
        <f t="shared" si="159"/>
        <v>0.1705551335033566</v>
      </c>
      <c r="AP284" s="110">
        <f t="shared" si="160"/>
        <v>194360856.26698616</v>
      </c>
      <c r="AQ284" s="1">
        <f>AVERAGE($AN$282:$AN$293)</f>
        <v>0.48020591500618098</v>
      </c>
      <c r="AR284" s="16">
        <f t="shared" si="142"/>
        <v>650.1920054669863</v>
      </c>
      <c r="AS284" s="7">
        <v>31</v>
      </c>
      <c r="AT284" s="1">
        <f t="shared" si="143"/>
        <v>20.973935660225365</v>
      </c>
      <c r="AU284" s="16">
        <f t="shared" si="157"/>
        <v>48892.776397562338</v>
      </c>
      <c r="AV284" s="4">
        <f t="shared" si="158"/>
        <v>48.892776397562336</v>
      </c>
      <c r="AW284" s="4">
        <f t="shared" si="176"/>
        <v>4.640645714891531</v>
      </c>
    </row>
    <row r="285" spans="1:52">
      <c r="C285" s="29">
        <f t="shared" si="182"/>
        <v>45036</v>
      </c>
      <c r="D285" s="2">
        <v>2022</v>
      </c>
      <c r="E285" s="2">
        <v>4</v>
      </c>
      <c r="G285" s="4"/>
      <c r="H285" s="4">
        <f t="shared" si="162"/>
        <v>1.354154832179723</v>
      </c>
      <c r="I285" s="4"/>
      <c r="J285" s="4">
        <f t="shared" si="163"/>
        <v>1.0066658944732376</v>
      </c>
      <c r="K285" s="2">
        <v>84.64</v>
      </c>
      <c r="L285" s="4">
        <v>3.6030000000000002</v>
      </c>
      <c r="O285" s="4">
        <v>4.6820000000000004</v>
      </c>
      <c r="P285" s="4">
        <f t="shared" si="107"/>
        <v>3.4831111111111115</v>
      </c>
      <c r="Q285" s="4">
        <f t="shared" si="170"/>
        <v>4.7484881874190332</v>
      </c>
      <c r="R285" s="4">
        <f t="shared" si="171"/>
        <v>3.5325741064884864</v>
      </c>
      <c r="S285" s="4">
        <v>0.31630000000000003</v>
      </c>
      <c r="T285" s="4">
        <f t="shared" si="177"/>
        <v>0.27518052192628467</v>
      </c>
      <c r="U285" s="4">
        <v>0.184</v>
      </c>
      <c r="V285" s="4">
        <v>0.53900000000000003</v>
      </c>
      <c r="W285" s="4">
        <v>2.0000000000000007E-2</v>
      </c>
      <c r="X285" s="3">
        <v>3.249999999999998E-2</v>
      </c>
      <c r="Y285" s="4">
        <f t="shared" si="179"/>
        <v>0.14737530266343818</v>
      </c>
      <c r="Z285" s="4">
        <f>27.85*0.007902</f>
        <v>0.22007069999999998</v>
      </c>
      <c r="AA285" s="82">
        <v>81.5</v>
      </c>
      <c r="AB285" s="4">
        <v>0.105</v>
      </c>
      <c r="AC285" s="4">
        <f t="shared" si="128"/>
        <v>0.70637530266343829</v>
      </c>
      <c r="AD285" s="4">
        <f t="shared" si="190"/>
        <v>1.2154460026634382</v>
      </c>
      <c r="AE285" s="4">
        <v>0.1</v>
      </c>
      <c r="AF285" s="4">
        <f t="shared" si="186"/>
        <v>0.34262340815173475</v>
      </c>
      <c r="AG285" s="4">
        <f t="shared" si="187"/>
        <v>0.85626548073715414</v>
      </c>
      <c r="AH285" s="12">
        <v>1133411519</v>
      </c>
      <c r="AI285" s="32">
        <f t="shared" si="172"/>
        <v>37.780383966666669</v>
      </c>
      <c r="AJ285" s="32">
        <f t="shared" si="195"/>
        <v>37.701571177615165</v>
      </c>
      <c r="AK285" s="24">
        <f t="shared" si="173"/>
        <v>388333317.47821468</v>
      </c>
      <c r="AL285" s="2">
        <v>303.363</v>
      </c>
      <c r="AM285" s="95">
        <f t="shared" si="174"/>
        <v>0.98599803036360267</v>
      </c>
      <c r="AN285" s="4">
        <f t="shared" si="175"/>
        <v>0.34748893770648492</v>
      </c>
      <c r="AO285" s="1">
        <f t="shared" si="159"/>
        <v>0</v>
      </c>
      <c r="AP285" s="110">
        <f t="shared" si="160"/>
        <v>0</v>
      </c>
      <c r="AQ285" s="1">
        <f>AVERAGE($AN$282:$AN$293)</f>
        <v>0.48020591500618098</v>
      </c>
      <c r="AR285" s="16">
        <f t="shared" si="142"/>
        <v>393.84796472160343</v>
      </c>
      <c r="AS285" s="7">
        <v>30</v>
      </c>
      <c r="AT285" s="1">
        <f t="shared" si="143"/>
        <v>13.128265490720114</v>
      </c>
      <c r="AU285" s="16">
        <f t="shared" si="157"/>
        <v>49286.624362283939</v>
      </c>
      <c r="AV285" s="4">
        <f t="shared" si="158"/>
        <v>49.286624362283938</v>
      </c>
      <c r="AW285" s="4">
        <f t="shared" si="176"/>
        <v>4.6172866829507893</v>
      </c>
    </row>
    <row r="286" spans="1:52">
      <c r="C286" s="29">
        <f t="shared" si="182"/>
        <v>45066</v>
      </c>
      <c r="D286" s="2">
        <v>2022</v>
      </c>
      <c r="E286" s="2">
        <v>5</v>
      </c>
      <c r="G286" s="4"/>
      <c r="H286" s="4">
        <f t="shared" si="162"/>
        <v>1.50151505838402</v>
      </c>
      <c r="I286" s="4"/>
      <c r="J286" s="4">
        <f t="shared" ref="J286" si="196">(P286-K286*0.024-T286-U286)/AM286</f>
        <v>1.1781613274932961</v>
      </c>
      <c r="K286" s="2">
        <v>75.47</v>
      </c>
      <c r="L286" s="4">
        <v>3.5550000000000002</v>
      </c>
      <c r="O286" s="4">
        <v>4.633</v>
      </c>
      <c r="P286" s="4">
        <f t="shared" si="107"/>
        <v>3.4352222222222224</v>
      </c>
      <c r="Q286" s="4">
        <f t="shared" si="170"/>
        <v>4.6869884719212696</v>
      </c>
      <c r="R286" s="4">
        <f t="shared" si="171"/>
        <v>3.475252957919992</v>
      </c>
      <c r="S286" s="4">
        <v>0.31630000000000003</v>
      </c>
      <c r="T286" s="4">
        <f t="shared" si="177"/>
        <v>0.27535189669087978</v>
      </c>
      <c r="U286" s="4">
        <v>0.184</v>
      </c>
      <c r="V286" s="4">
        <v>0.53900000000000003</v>
      </c>
      <c r="W286" s="4">
        <v>2.0000000000000007E-2</v>
      </c>
      <c r="X286" s="3">
        <v>3.249999999999998E-2</v>
      </c>
      <c r="Y286" s="4">
        <f t="shared" si="179"/>
        <v>0.14583292978208223</v>
      </c>
      <c r="Z286" s="4">
        <f>30.33*0.007902</f>
        <v>0.23966765999999998</v>
      </c>
      <c r="AA286" s="82">
        <f>(86+84+86.25+83.5)/4</f>
        <v>84.9375</v>
      </c>
      <c r="AB286" s="4">
        <v>0.109</v>
      </c>
      <c r="AC286" s="4">
        <f t="shared" si="128"/>
        <v>0.70483292978208234</v>
      </c>
      <c r="AD286" s="4">
        <f t="shared" si="190"/>
        <v>1.2375005897820823</v>
      </c>
      <c r="AE286" s="4">
        <v>0.1</v>
      </c>
      <c r="AF286" s="4">
        <f t="shared" si="186"/>
        <v>0.31962908468657503</v>
      </c>
      <c r="AG286" s="4">
        <f t="shared" si="187"/>
        <v>0.87814869309120258</v>
      </c>
      <c r="AH286" s="12">
        <v>1190443333</v>
      </c>
      <c r="AI286" s="32">
        <f t="shared" si="172"/>
        <v>38.401397838709677</v>
      </c>
      <c r="AJ286" s="32">
        <f t="shared" si="195"/>
        <v>37.701571177615165</v>
      </c>
      <c r="AK286" s="24">
        <f t="shared" si="173"/>
        <v>380500312.89802563</v>
      </c>
      <c r="AL286" s="2">
        <v>304.12700000000001</v>
      </c>
      <c r="AM286" s="95">
        <f t="shared" si="174"/>
        <v>0.98848120232326098</v>
      </c>
      <c r="AN286" s="4">
        <f t="shared" si="175"/>
        <v>0.323353730890724</v>
      </c>
      <c r="AO286" s="1">
        <f t="shared" si="159"/>
        <v>0</v>
      </c>
      <c r="AP286" s="110">
        <f t="shared" si="160"/>
        <v>0</v>
      </c>
      <c r="AQ286" s="1">
        <f t="shared" ref="AQ286:AQ291" si="197">AVERAGE($AN$282:$AN$293)</f>
        <v>0.48020591500618098</v>
      </c>
      <c r="AR286" s="16">
        <f t="shared" si="142"/>
        <v>384.93429313953851</v>
      </c>
      <c r="AS286" s="7">
        <v>31</v>
      </c>
      <c r="AT286" s="1">
        <f t="shared" si="143"/>
        <v>12.417235262565759</v>
      </c>
      <c r="AU286" s="16">
        <f t="shared" si="157"/>
        <v>49671.558655423476</v>
      </c>
      <c r="AV286" s="4">
        <f t="shared" si="158"/>
        <v>49.671558655423475</v>
      </c>
      <c r="AW286" s="4">
        <f t="shared" si="176"/>
        <v>4.5574862146405941</v>
      </c>
    </row>
    <row r="287" spans="1:52">
      <c r="A287" s="2">
        <v>2023</v>
      </c>
      <c r="B287" s="2">
        <v>2023</v>
      </c>
      <c r="C287" s="29">
        <f t="shared" si="182"/>
        <v>45097</v>
      </c>
      <c r="D287" s="2">
        <v>2022</v>
      </c>
      <c r="E287" s="2">
        <v>6</v>
      </c>
      <c r="G287" s="4"/>
      <c r="I287" s="4"/>
      <c r="K287" s="2">
        <v>74.84</v>
      </c>
      <c r="L287" s="4">
        <v>3.5710000000000002</v>
      </c>
      <c r="O287" s="4">
        <v>4.6740000000000004</v>
      </c>
      <c r="P287" s="4">
        <f t="shared" si="107"/>
        <v>3.4484444444444446</v>
      </c>
      <c r="Q287" s="4">
        <f t="shared" si="170"/>
        <v>4.7132475738178821</v>
      </c>
      <c r="R287" s="4">
        <f t="shared" si="171"/>
        <v>3.4774010293589073</v>
      </c>
      <c r="S287" s="4">
        <v>0.31630000000000003</v>
      </c>
      <c r="T287" s="4">
        <f t="shared" si="177"/>
        <v>0.27520850147968795</v>
      </c>
      <c r="U287" s="4">
        <v>0.184</v>
      </c>
      <c r="V287" s="4">
        <v>0.53900000000000003</v>
      </c>
      <c r="W287" s="4">
        <v>2.0000000000000007E-2</v>
      </c>
      <c r="X287" s="3">
        <v>3.249999999999998E-2</v>
      </c>
      <c r="Y287" s="4">
        <f t="shared" si="179"/>
        <v>0.14712348668280864</v>
      </c>
      <c r="Z287" s="4">
        <f>30.33*0.007902</f>
        <v>0.23966765999999998</v>
      </c>
      <c r="AA287" s="82">
        <f>(82+82.25+78.5+77)/4</f>
        <v>79.9375</v>
      </c>
      <c r="AB287" s="4">
        <v>0.10299999999999999</v>
      </c>
      <c r="AC287" s="4">
        <f t="shared" ref="AC287:AC291" si="198">V287+W287+(X287/(1+X287))*O287</f>
        <v>0.70612348668280867</v>
      </c>
      <c r="AD287" s="4">
        <f t="shared" si="190"/>
        <v>1.2327911466828088</v>
      </c>
      <c r="AE287" s="4">
        <v>0.1</v>
      </c>
      <c r="AF287" s="4">
        <f t="shared" si="186"/>
        <v>0.35197291035243516</v>
      </c>
      <c r="AG287" s="4">
        <f t="shared" si="187"/>
        <v>0.87358264520312057</v>
      </c>
      <c r="AH287" s="12">
        <v>1135625787</v>
      </c>
      <c r="AI287" s="32">
        <f t="shared" si="172"/>
        <v>37.854192900000001</v>
      </c>
      <c r="AJ287" s="32">
        <f t="shared" si="195"/>
        <v>37.701571177615165</v>
      </c>
      <c r="AK287" s="24">
        <f t="shared" si="173"/>
        <v>399709513.32166463</v>
      </c>
      <c r="AL287" s="2">
        <v>305.10899999999998</v>
      </c>
      <c r="AM287" s="95">
        <f t="shared" si="174"/>
        <v>0.99167292334994195</v>
      </c>
      <c r="AN287" s="4">
        <f t="shared" si="175"/>
        <v>0.35492842656573254</v>
      </c>
      <c r="AO287" s="1">
        <f t="shared" si="159"/>
        <v>0</v>
      </c>
      <c r="AP287" s="110">
        <f t="shared" si="160"/>
        <v>0</v>
      </c>
      <c r="AQ287" s="1">
        <f t="shared" si="197"/>
        <v>0.48020591500618098</v>
      </c>
      <c r="AR287" s="16">
        <f t="shared" si="142"/>
        <v>403.06587374738172</v>
      </c>
      <c r="AS287" s="7">
        <v>30</v>
      </c>
      <c r="AT287" s="1">
        <f t="shared" si="143"/>
        <v>13.435529124912724</v>
      </c>
      <c r="AU287" s="16">
        <f t="shared" si="157"/>
        <v>50074.624529170855</v>
      </c>
      <c r="AV287" s="4">
        <f t="shared" si="158"/>
        <v>50.074624529170855</v>
      </c>
      <c r="AW287" s="4">
        <f t="shared" si="176"/>
        <v>4.58301977326136</v>
      </c>
    </row>
    <row r="288" spans="1:52">
      <c r="C288" s="29">
        <f t="shared" si="182"/>
        <v>45127</v>
      </c>
      <c r="D288" s="2">
        <v>2022</v>
      </c>
      <c r="E288" s="2">
        <v>7</v>
      </c>
      <c r="G288" s="4"/>
      <c r="I288" s="4"/>
      <c r="K288" s="2">
        <v>80.11</v>
      </c>
      <c r="L288" s="4">
        <v>3.597</v>
      </c>
      <c r="O288" s="4">
        <v>4.7169999999999996</v>
      </c>
      <c r="P288" s="4">
        <f t="shared" si="107"/>
        <v>3.4725555555555556</v>
      </c>
      <c r="Q288" s="4">
        <f t="shared" si="170"/>
        <v>4.7320726953187409</v>
      </c>
      <c r="R288" s="4">
        <f t="shared" si="171"/>
        <v>3.4836517548064125</v>
      </c>
      <c r="S288" s="4">
        <v>0.31630000000000003</v>
      </c>
      <c r="T288" s="4">
        <f t="shared" si="177"/>
        <v>0.27061366693570088</v>
      </c>
      <c r="U288" s="4">
        <v>0.184</v>
      </c>
      <c r="V288" s="4">
        <v>0.57899999999999996</v>
      </c>
      <c r="W288" s="4">
        <v>2.0000000000000007E-2</v>
      </c>
      <c r="X288" s="3">
        <v>3.249999999999998E-2</v>
      </c>
      <c r="Y288" s="4">
        <f t="shared" si="179"/>
        <v>0.1484769975786924</v>
      </c>
      <c r="Z288" s="4">
        <f>30.33*0.007902</f>
        <v>0.23966765999999998</v>
      </c>
      <c r="AA288" s="82">
        <f>AVERAGE(76,74,73.25,72.5,75)</f>
        <v>74.150000000000006</v>
      </c>
      <c r="AB288" s="4">
        <v>9.5000000000000001E-2</v>
      </c>
      <c r="AC288" s="4">
        <f t="shared" si="198"/>
        <v>0.74747699757869235</v>
      </c>
      <c r="AD288" s="4">
        <f t="shared" si="190"/>
        <v>1.2661446575786923</v>
      </c>
      <c r="AE288" s="4">
        <v>0.1</v>
      </c>
      <c r="AF288" s="4">
        <f t="shared" si="186"/>
        <v>0.33291345380145243</v>
      </c>
      <c r="AG288" s="4">
        <f t="shared" si="187"/>
        <v>0.91153099064299159</v>
      </c>
      <c r="AH288" s="12">
        <v>1162682159</v>
      </c>
      <c r="AI288" s="32">
        <f t="shared" si="172"/>
        <v>37.505876096774195</v>
      </c>
      <c r="AJ288" s="32">
        <f t="shared" si="195"/>
        <v>37.701571177615165</v>
      </c>
      <c r="AK288" s="24">
        <f t="shared" si="173"/>
        <v>387072533.22601944</v>
      </c>
      <c r="AL288" s="2">
        <v>306.69099999999997</v>
      </c>
      <c r="AM288" s="95">
        <f t="shared" si="174"/>
        <v>0.99681477942347496</v>
      </c>
      <c r="AN288" s="4">
        <f t="shared" si="175"/>
        <v>0.33397724499429943</v>
      </c>
      <c r="AO288" s="4">
        <f t="shared" si="159"/>
        <v>0</v>
      </c>
      <c r="AP288" s="54">
        <f t="shared" si="160"/>
        <v>0</v>
      </c>
      <c r="AQ288" s="1">
        <f t="shared" si="197"/>
        <v>0.48020591500618098</v>
      </c>
      <c r="AR288" s="16">
        <f t="shared" si="142"/>
        <v>388.30938426684395</v>
      </c>
      <c r="AS288" s="7">
        <v>31</v>
      </c>
      <c r="AT288" s="1">
        <f t="shared" si="143"/>
        <v>12.526109169898191</v>
      </c>
      <c r="AU288" s="16">
        <f t="shared" si="157"/>
        <v>50462.933913437701</v>
      </c>
      <c r="AV288" s="4">
        <f t="shared" si="158"/>
        <v>50.462933913437702</v>
      </c>
      <c r="AW288" s="4">
        <f t="shared" si="176"/>
        <v>4.6013247535793358</v>
      </c>
    </row>
    <row r="289" spans="1:49">
      <c r="C289" s="29">
        <f t="shared" si="182"/>
        <v>45158</v>
      </c>
      <c r="D289" s="2">
        <v>2022</v>
      </c>
      <c r="E289" s="2">
        <v>8</v>
      </c>
      <c r="G289" s="4"/>
      <c r="I289" s="4"/>
      <c r="K289" s="2">
        <v>86.15</v>
      </c>
      <c r="L289" s="4">
        <v>3.84</v>
      </c>
      <c r="O289" s="4">
        <v>5.0229999999999997</v>
      </c>
      <c r="P289" s="4">
        <f t="shared" si="107"/>
        <v>3.7085555555555554</v>
      </c>
      <c r="Q289" s="4">
        <f t="shared" si="170"/>
        <v>5.0335523147876726</v>
      </c>
      <c r="R289" s="4">
        <f t="shared" si="171"/>
        <v>3.7163464863996314</v>
      </c>
      <c r="S289" s="4">
        <v>0.3226</v>
      </c>
      <c r="T289" s="4">
        <f t="shared" si="177"/>
        <v>0.2765434490180253</v>
      </c>
      <c r="U289" s="4">
        <v>0.184</v>
      </c>
      <c r="V289" s="4">
        <v>0.57899999999999996</v>
      </c>
      <c r="W289" s="4">
        <v>2.0000000000000007E-2</v>
      </c>
      <c r="X289" s="3">
        <v>3.249999999999998E-2</v>
      </c>
      <c r="Y289" s="4">
        <f t="shared" si="179"/>
        <v>0.15810895883777229</v>
      </c>
      <c r="Z289" s="4">
        <f>30.33*0.007902</f>
        <v>0.23966765999999998</v>
      </c>
      <c r="AA289" s="82">
        <f>(82.25+79.75+79.75+78)/4</f>
        <v>79.9375</v>
      </c>
      <c r="AB289" s="4">
        <v>0.10299999999999999</v>
      </c>
      <c r="AC289" s="4">
        <f t="shared" si="198"/>
        <v>0.75710895883777229</v>
      </c>
      <c r="AD289" s="4">
        <f t="shared" si="190"/>
        <v>1.2837766188377722</v>
      </c>
      <c r="AE289" s="4">
        <v>0.1</v>
      </c>
      <c r="AF289" s="4">
        <f t="shared" si="186"/>
        <v>0.39121127462469696</v>
      </c>
      <c r="AG289" s="4">
        <f t="shared" si="187"/>
        <v>0.92323316981974735</v>
      </c>
      <c r="AH289" s="12">
        <f>(AH288/AH276)*AH277</f>
        <v>1219436953.5731132</v>
      </c>
      <c r="AI289" s="32">
        <f t="shared" si="172"/>
        <v>39.336675921713329</v>
      </c>
      <c r="AJ289" s="32">
        <f t="shared" si="195"/>
        <v>37.701571177615165</v>
      </c>
      <c r="AK289" s="24">
        <f t="shared" si="173"/>
        <v>477057484.931795</v>
      </c>
      <c r="AL289" s="2">
        <v>307.02600000000001</v>
      </c>
      <c r="AM289" s="95">
        <f t="shared" si="174"/>
        <v>0.99790360482463414</v>
      </c>
      <c r="AN289" s="4">
        <f t="shared" si="175"/>
        <v>0.39203313098908604</v>
      </c>
      <c r="AO289" s="4">
        <f t="shared" si="159"/>
        <v>0</v>
      </c>
      <c r="AP289" s="54">
        <f t="shared" si="160"/>
        <v>0</v>
      </c>
      <c r="AQ289" s="1">
        <f t="shared" si="197"/>
        <v>0.48020591500618098</v>
      </c>
      <c r="AR289" s="16">
        <f t="shared" si="142"/>
        <v>478.05968695306035</v>
      </c>
      <c r="AS289" s="7">
        <v>31</v>
      </c>
      <c r="AT289" s="1">
        <f t="shared" si="143"/>
        <v>15.42128022429227</v>
      </c>
      <c r="AU289" s="16">
        <f t="shared" si="157"/>
        <v>50940.993600390764</v>
      </c>
      <c r="AV289" s="4">
        <f t="shared" si="158"/>
        <v>50.940993600390762</v>
      </c>
      <c r="AW289" s="4">
        <f t="shared" si="176"/>
        <v>4.8944744419039425</v>
      </c>
    </row>
    <row r="290" spans="1:49">
      <c r="C290" s="29">
        <f t="shared" si="182"/>
        <v>45189</v>
      </c>
      <c r="D290" s="2">
        <v>2022</v>
      </c>
      <c r="E290" s="2">
        <v>9</v>
      </c>
      <c r="G290" s="4"/>
      <c r="I290" s="4"/>
      <c r="K290" s="2">
        <v>93.72</v>
      </c>
      <c r="L290" s="4">
        <v>3.8359999999999999</v>
      </c>
      <c r="O290" s="4">
        <v>5.4119999999999999</v>
      </c>
      <c r="P290" s="4">
        <f t="shared" si="107"/>
        <v>3.6608888888888886</v>
      </c>
      <c r="Q290" s="4">
        <f t="shared" si="170"/>
        <v>5.4099251500216061</v>
      </c>
      <c r="R290" s="4">
        <f t="shared" si="171"/>
        <v>3.659485379052966</v>
      </c>
      <c r="S290" s="4">
        <v>0.3226</v>
      </c>
      <c r="T290" s="4">
        <f t="shared" si="177"/>
        <v>0.27518294323379067</v>
      </c>
      <c r="U290" s="4">
        <v>0.184</v>
      </c>
      <c r="V290" s="4">
        <v>0.57899999999999996</v>
      </c>
      <c r="W290" s="4">
        <v>2.0000000000000007E-2</v>
      </c>
      <c r="X290" s="3">
        <v>3.249999999999998E-2</v>
      </c>
      <c r="Y290" s="4">
        <f t="shared" si="179"/>
        <v>0.17035351089588369</v>
      </c>
      <c r="Z290" s="4">
        <f>35.2*0.007902</f>
        <v>0.27815040000000002</v>
      </c>
      <c r="AA290" s="82">
        <f>(77+75+63.5+70)/4</f>
        <v>71.375</v>
      </c>
      <c r="AB290" s="4">
        <v>9.1999999999999998E-2</v>
      </c>
      <c r="AC290" s="4">
        <f t="shared" si="198"/>
        <v>0.76935351089588366</v>
      </c>
      <c r="AD290" s="4">
        <f t="shared" si="190"/>
        <v>1.3235039108958837</v>
      </c>
      <c r="AE290" s="4">
        <v>0.1</v>
      </c>
      <c r="AF290" s="4">
        <f t="shared" si="186"/>
        <v>0.78679014344901876</v>
      </c>
      <c r="AG290" s="4">
        <f t="shared" si="187"/>
        <v>0.96432096766209252</v>
      </c>
      <c r="AH290" s="12">
        <f>(AH288/AH276)*AH278</f>
        <v>1164859393.1561294</v>
      </c>
      <c r="AI290" s="32">
        <f t="shared" si="172"/>
        <v>38.828646438537646</v>
      </c>
      <c r="AJ290" s="32">
        <f t="shared" si="195"/>
        <v>37.701571177615165</v>
      </c>
      <c r="AK290" s="24">
        <f t="shared" si="173"/>
        <v>916499889.03924799</v>
      </c>
      <c r="AL290" s="2">
        <v>307.78899999999999</v>
      </c>
      <c r="AM290" s="95">
        <f t="shared" si="174"/>
        <v>1.0003835265592143</v>
      </c>
      <c r="AN290" s="4">
        <f t="shared" si="175"/>
        <v>0.78648850421913408</v>
      </c>
      <c r="AO290" s="4">
        <f t="shared" si="159"/>
        <v>0.38648850421913405</v>
      </c>
      <c r="AP290" s="54">
        <f t="shared" si="160"/>
        <v>450204764.48652065</v>
      </c>
      <c r="AQ290" s="1">
        <f t="shared" si="197"/>
        <v>0.48020591500618098</v>
      </c>
      <c r="AR290" s="16">
        <f t="shared" si="142"/>
        <v>916.14852174897237</v>
      </c>
      <c r="AS290" s="7">
        <v>30</v>
      </c>
      <c r="AT290" s="1">
        <f t="shared" si="143"/>
        <v>30.53828405829908</v>
      </c>
      <c r="AU290" s="16">
        <f t="shared" si="157"/>
        <v>51857.14212213974</v>
      </c>
      <c r="AV290" s="4">
        <f t="shared" si="158"/>
        <v>51.857142122139742</v>
      </c>
      <c r="AW290" s="4">
        <f t="shared" si="176"/>
        <v>5.2604480342052513</v>
      </c>
    </row>
    <row r="291" spans="1:49">
      <c r="C291" s="29">
        <f t="shared" si="182"/>
        <v>45219</v>
      </c>
      <c r="D291" s="2">
        <v>2022</v>
      </c>
      <c r="E291" s="2">
        <v>10</v>
      </c>
      <c r="G291" s="4"/>
      <c r="I291" s="4"/>
      <c r="K291" s="2">
        <v>90.6</v>
      </c>
      <c r="L291" s="4">
        <v>3.613</v>
      </c>
      <c r="O291" s="4">
        <v>5.4390000000000001</v>
      </c>
      <c r="P291" s="4">
        <f t="shared" si="107"/>
        <v>3.4101111111111106</v>
      </c>
      <c r="Q291" s="82">
        <f>O291*$AL$291/$AL291</f>
        <v>5.4390000000000001</v>
      </c>
      <c r="R291" s="4">
        <f t="shared" si="171"/>
        <v>3.4101111111111106</v>
      </c>
      <c r="S291" s="4">
        <v>0.3226</v>
      </c>
      <c r="T291" s="4">
        <f t="shared" si="177"/>
        <v>0.27508851224105463</v>
      </c>
      <c r="U291" s="4">
        <v>0.184</v>
      </c>
      <c r="V291" s="4">
        <v>0.57899999999999996</v>
      </c>
      <c r="W291" s="4">
        <v>2.0000000000000007E-2</v>
      </c>
      <c r="X291" s="3">
        <v>3.249999999999998E-2</v>
      </c>
      <c r="Y291" s="4">
        <f t="shared" si="179"/>
        <v>0.17120338983050837</v>
      </c>
      <c r="Z291" s="4">
        <f>35.2*0.007902</f>
        <v>0.27815040000000002</v>
      </c>
      <c r="AA291" s="82">
        <f>(67.75+69+67.25+70.9)/4</f>
        <v>68.724999999999994</v>
      </c>
      <c r="AB291" s="4">
        <v>8.7999999999999995E-2</v>
      </c>
      <c r="AC291" s="4">
        <f t="shared" si="198"/>
        <v>0.77020338983050829</v>
      </c>
      <c r="AD291" s="4">
        <f t="shared" si="190"/>
        <v>1.3203537898305084</v>
      </c>
      <c r="AE291" s="4">
        <v>0.1</v>
      </c>
      <c r="AF291" s="4">
        <f t="shared" si="186"/>
        <v>1.0676236112994362</v>
      </c>
      <c r="AG291" s="4">
        <f t="shared" si="187"/>
        <v>0.96126527758945324</v>
      </c>
      <c r="AH291" s="12">
        <f>AH279*(AH288/AH276)</f>
        <v>1197429525.6691105</v>
      </c>
      <c r="AI291" s="32">
        <f t="shared" si="172"/>
        <v>38.626758892551955</v>
      </c>
      <c r="AJ291" s="32">
        <f t="shared" si="195"/>
        <v>37.701571177615165</v>
      </c>
      <c r="AK291" s="24">
        <f t="shared" si="173"/>
        <v>1278404034.4714267</v>
      </c>
      <c r="AL291" s="2">
        <v>307.67099999999999</v>
      </c>
      <c r="AM291" s="95">
        <f>AL291/AL$291</f>
        <v>1</v>
      </c>
      <c r="AN291" s="4">
        <f t="shared" si="175"/>
        <v>1.0676236112994362</v>
      </c>
      <c r="AO291" s="4">
        <f t="shared" si="159"/>
        <v>0.66762361129943615</v>
      </c>
      <c r="AP291" s="54">
        <f t="shared" si="160"/>
        <v>799432224.20378244</v>
      </c>
      <c r="AQ291" s="1">
        <f t="shared" si="197"/>
        <v>0.48020591500618098</v>
      </c>
      <c r="AR291" s="16">
        <f t="shared" si="142"/>
        <v>1278.4040344714267</v>
      </c>
      <c r="AS291" s="7">
        <v>31</v>
      </c>
      <c r="AT291" s="1">
        <f t="shared" si="143"/>
        <v>41.238839821658928</v>
      </c>
      <c r="AU291" s="16">
        <f t="shared" si="157"/>
        <v>53135.546156611163</v>
      </c>
      <c r="AV291" s="4">
        <f t="shared" si="158"/>
        <v>53.135546156611163</v>
      </c>
      <c r="AW291" s="4">
        <f t="shared" si="176"/>
        <v>5.2887195413282369</v>
      </c>
    </row>
    <row r="292" spans="1:49">
      <c r="C292" s="29">
        <f t="shared" si="182"/>
        <v>45245</v>
      </c>
      <c r="D292" s="2">
        <v>2022</v>
      </c>
      <c r="E292" s="2">
        <v>11</v>
      </c>
      <c r="G292" s="4"/>
      <c r="I292" s="4"/>
      <c r="X292" s="3"/>
      <c r="AA292" s="82"/>
      <c r="AI292" s="32"/>
      <c r="AJ292" s="32">
        <f t="shared" si="195"/>
        <v>37.701571177615165</v>
      </c>
      <c r="AM292" s="95"/>
      <c r="AQ292" s="1"/>
      <c r="AS292" s="7">
        <v>30</v>
      </c>
      <c r="AT292" s="1"/>
      <c r="AU292" s="16"/>
      <c r="AV292" s="4"/>
    </row>
    <row r="293" spans="1:49">
      <c r="C293" s="29">
        <f t="shared" si="182"/>
        <v>45275</v>
      </c>
      <c r="D293" s="2">
        <v>2022</v>
      </c>
      <c r="E293" s="2">
        <v>12</v>
      </c>
      <c r="G293" s="4"/>
      <c r="I293" s="4"/>
      <c r="X293" s="3"/>
      <c r="AA293" s="82"/>
      <c r="AI293" s="32"/>
      <c r="AJ293" s="32">
        <f t="shared" si="195"/>
        <v>37.701571177615165</v>
      </c>
      <c r="AM293" s="95"/>
      <c r="AQ293" s="1"/>
      <c r="AS293" s="7">
        <v>31</v>
      </c>
      <c r="AT293" s="1"/>
      <c r="AU293" s="16"/>
      <c r="AV293" s="4"/>
    </row>
    <row r="294" spans="1:49">
      <c r="C294" s="29"/>
      <c r="G294" s="4"/>
      <c r="I294" s="4"/>
      <c r="X294" s="3"/>
      <c r="AA294" s="82"/>
      <c r="AI294" s="32"/>
      <c r="AJ294" s="32"/>
      <c r="AM294" s="95"/>
      <c r="AQ294" s="1"/>
      <c r="AS294" s="7"/>
      <c r="AT294" s="1"/>
      <c r="AU294" s="16"/>
      <c r="AV294" s="4"/>
    </row>
    <row r="295" spans="1:49">
      <c r="C295" s="29"/>
      <c r="G295" s="4"/>
      <c r="I295" s="4"/>
      <c r="X295" s="3"/>
      <c r="AA295" s="82"/>
      <c r="AI295" s="32"/>
      <c r="AJ295" s="32"/>
      <c r="AM295" s="95"/>
      <c r="AQ295" s="1"/>
      <c r="AS295" s="7"/>
      <c r="AT295" s="1"/>
      <c r="AU295" s="16"/>
      <c r="AV295" s="4"/>
    </row>
    <row r="296" spans="1:49">
      <c r="C296" s="29"/>
      <c r="G296" s="4"/>
      <c r="I296" s="4"/>
      <c r="X296" s="3"/>
      <c r="AA296" s="82"/>
      <c r="AI296" s="32"/>
      <c r="AJ296" s="32"/>
      <c r="AM296" s="95"/>
      <c r="AQ296" s="1"/>
      <c r="AS296" s="7"/>
      <c r="AT296" s="1"/>
      <c r="AU296" s="16"/>
      <c r="AV296" s="4"/>
    </row>
    <row r="297" spans="1:49">
      <c r="I297" s="4"/>
      <c r="X297" s="3"/>
      <c r="AI297" s="32"/>
      <c r="AJ297" s="32"/>
      <c r="AQ297" s="1"/>
      <c r="AS297" s="7">
        <v>31</v>
      </c>
      <c r="AU297" s="16"/>
      <c r="AV297" s="4"/>
    </row>
    <row r="298" spans="1:49">
      <c r="I298" s="4"/>
      <c r="X298" s="3"/>
      <c r="AI298" s="32"/>
      <c r="AJ298" s="32"/>
      <c r="AQ298" s="1"/>
      <c r="AS298" s="7">
        <v>28</v>
      </c>
      <c r="AU298" s="16"/>
      <c r="AV298" s="4"/>
    </row>
    <row r="299" spans="1:49">
      <c r="A299" s="86"/>
      <c r="B299" s="85"/>
      <c r="C299" s="85"/>
      <c r="D299" s="85"/>
      <c r="E299" s="85"/>
      <c r="F299" s="89"/>
      <c r="G299" s="85"/>
      <c r="H299" s="89"/>
      <c r="I299" s="85"/>
      <c r="J299" s="89"/>
      <c r="K299" s="85"/>
      <c r="L299" s="85"/>
      <c r="M299" s="85"/>
      <c r="N299" s="85"/>
      <c r="X299" s="3"/>
      <c r="AI299" s="32"/>
      <c r="AJ299" s="32"/>
      <c r="AQ299" s="1"/>
      <c r="AS299" s="7">
        <v>31</v>
      </c>
      <c r="AU299" s="16"/>
      <c r="AV299" s="4"/>
    </row>
    <row r="300" spans="1:49">
      <c r="A300" s="86"/>
      <c r="B300" s="85"/>
      <c r="C300" s="85"/>
      <c r="D300" s="85"/>
      <c r="E300" s="85"/>
      <c r="F300" s="89"/>
      <c r="G300" s="85"/>
      <c r="H300" s="89"/>
      <c r="I300" s="85"/>
      <c r="J300" s="89"/>
      <c r="K300" s="85"/>
      <c r="L300" s="85"/>
      <c r="M300" s="85"/>
      <c r="N300" s="85"/>
      <c r="X300" s="3"/>
      <c r="AI300" s="32"/>
      <c r="AJ300" s="32"/>
      <c r="AQ300" s="1"/>
      <c r="AS300" s="7">
        <v>30</v>
      </c>
      <c r="AU300" s="16"/>
      <c r="AV300" s="4"/>
    </row>
    <row r="301" spans="1:49">
      <c r="A301" s="86"/>
      <c r="B301" s="85"/>
      <c r="C301" s="85"/>
      <c r="D301" s="85"/>
      <c r="E301" s="85"/>
      <c r="F301" s="89"/>
      <c r="G301" s="85"/>
      <c r="H301" s="89"/>
      <c r="I301" s="85"/>
      <c r="J301" s="89"/>
      <c r="K301" s="85"/>
      <c r="L301" s="85"/>
      <c r="M301" s="85"/>
      <c r="N301" s="85"/>
      <c r="AS301" s="7">
        <v>31</v>
      </c>
    </row>
    <row r="302" spans="1:49">
      <c r="A302" s="86"/>
      <c r="B302" s="85"/>
      <c r="C302" s="85"/>
      <c r="D302" s="85"/>
      <c r="E302" s="85"/>
      <c r="F302" s="89"/>
      <c r="G302" s="85"/>
      <c r="H302" s="89"/>
      <c r="I302" s="85"/>
      <c r="J302" s="89"/>
      <c r="K302" s="85"/>
      <c r="L302" s="85"/>
      <c r="M302" s="85"/>
      <c r="N302" s="85"/>
      <c r="AS302" s="7">
        <v>30</v>
      </c>
    </row>
    <row r="303" spans="1:49">
      <c r="A303" s="86"/>
      <c r="B303" s="85"/>
      <c r="C303" s="85"/>
      <c r="D303" s="85"/>
      <c r="E303" s="85"/>
      <c r="F303" s="89"/>
      <c r="G303" s="85"/>
      <c r="H303" s="89"/>
      <c r="I303" s="85"/>
      <c r="J303" s="89"/>
      <c r="K303" s="85"/>
      <c r="L303" s="85"/>
      <c r="M303" s="85"/>
      <c r="N303" s="85"/>
      <c r="S303" s="4" t="s">
        <v>13</v>
      </c>
      <c r="AS303" s="7">
        <v>31</v>
      </c>
    </row>
    <row r="304" spans="1:49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S304" s="4" t="s">
        <v>31</v>
      </c>
      <c r="AB304" s="4" t="s">
        <v>42</v>
      </c>
      <c r="AS304" s="7">
        <v>31</v>
      </c>
    </row>
    <row r="305" spans="1:45">
      <c r="A305" s="86"/>
      <c r="B305" s="85"/>
      <c r="C305" s="85"/>
      <c r="D305" s="85"/>
      <c r="E305" s="85"/>
      <c r="F305" s="89"/>
      <c r="G305" s="85"/>
      <c r="H305" s="89"/>
      <c r="I305" s="85"/>
      <c r="J305" s="89"/>
      <c r="K305" s="85"/>
      <c r="L305" s="85"/>
      <c r="M305" s="85"/>
      <c r="N305" s="85"/>
      <c r="S305" s="4" t="s">
        <v>29</v>
      </c>
      <c r="AH305" s="85">
        <v>111.93</v>
      </c>
      <c r="AI305" s="85">
        <v>100.45</v>
      </c>
      <c r="AJ305" s="85"/>
      <c r="AK305" s="85">
        <v>89.77</v>
      </c>
      <c r="AS305" s="7">
        <v>30</v>
      </c>
    </row>
    <row r="306" spans="1:45">
      <c r="A306" s="86"/>
      <c r="B306" s="85"/>
      <c r="C306" s="85"/>
      <c r="D306" s="85"/>
      <c r="E306" s="85"/>
      <c r="F306" s="89"/>
      <c r="G306" s="85"/>
      <c r="H306" s="89"/>
      <c r="I306" s="85"/>
      <c r="J306" s="89"/>
      <c r="K306" s="85"/>
      <c r="L306" s="85"/>
      <c r="M306" s="85"/>
      <c r="N306" s="85"/>
      <c r="S306" s="111" t="s">
        <v>30</v>
      </c>
      <c r="AS306" s="7">
        <v>31</v>
      </c>
    </row>
    <row r="307" spans="1:45">
      <c r="A307" s="86"/>
      <c r="B307" s="85"/>
      <c r="C307" s="85"/>
      <c r="D307" s="85"/>
      <c r="E307" s="85"/>
      <c r="F307" s="89"/>
      <c r="G307" s="85"/>
      <c r="H307" s="89"/>
      <c r="I307" s="85"/>
      <c r="J307" s="89"/>
      <c r="K307" s="85"/>
      <c r="L307" s="85"/>
      <c r="M307" s="85"/>
      <c r="N307" s="85"/>
      <c r="AS307" s="7">
        <v>30</v>
      </c>
    </row>
    <row r="308" spans="1:45">
      <c r="A308" s="86"/>
      <c r="B308" s="85"/>
      <c r="C308" s="85"/>
      <c r="D308" s="85"/>
      <c r="E308" s="85"/>
      <c r="F308" s="89"/>
      <c r="G308" s="85"/>
      <c r="H308" s="89"/>
      <c r="I308" s="85"/>
      <c r="J308" s="89"/>
      <c r="K308" s="85"/>
      <c r="L308" s="85"/>
      <c r="M308" s="85"/>
      <c r="N308" s="85"/>
      <c r="AS308" s="7">
        <v>31</v>
      </c>
    </row>
    <row r="309" spans="1:45">
      <c r="A309" s="86"/>
      <c r="B309" s="85"/>
      <c r="C309" s="85"/>
      <c r="D309" s="85"/>
      <c r="E309" s="85"/>
      <c r="F309" s="89"/>
      <c r="G309" s="85"/>
      <c r="H309" s="89"/>
      <c r="I309" s="85"/>
      <c r="J309" s="89"/>
      <c r="K309" s="85"/>
      <c r="L309" s="85"/>
      <c r="M309" s="85"/>
      <c r="N309" s="85"/>
    </row>
    <row r="310" spans="1:45">
      <c r="I310" s="4"/>
    </row>
    <row r="311" spans="1:45">
      <c r="I311" s="4"/>
    </row>
    <row r="312" spans="1:45">
      <c r="A312" s="41"/>
      <c r="I312" s="4"/>
    </row>
    <row r="313" spans="1:45">
      <c r="I313" s="4"/>
      <c r="J313" s="1"/>
      <c r="K313"/>
      <c r="L313"/>
      <c r="M313"/>
      <c r="N313"/>
      <c r="O313"/>
    </row>
    <row r="314" spans="1:45">
      <c r="I314" s="4"/>
      <c r="J314" s="89">
        <v>108.15</v>
      </c>
      <c r="K314" s="85"/>
      <c r="L314" s="85"/>
      <c r="M314" s="85"/>
      <c r="N314" s="85"/>
      <c r="O314" s="85"/>
      <c r="T314" s="85"/>
      <c r="U314" s="85"/>
    </row>
    <row r="315" spans="1:45">
      <c r="I315" s="4"/>
      <c r="J315" s="89">
        <v>106.6</v>
      </c>
      <c r="K315" s="85"/>
      <c r="L315" s="85"/>
      <c r="M315" s="85">
        <v>108.49</v>
      </c>
      <c r="N315" s="85">
        <v>110.83</v>
      </c>
      <c r="O315" s="85"/>
    </row>
    <row r="316" spans="1:45">
      <c r="I316" s="4"/>
      <c r="J316" s="89">
        <v>100.81</v>
      </c>
      <c r="K316" s="85"/>
      <c r="L316"/>
      <c r="M316"/>
      <c r="N316"/>
      <c r="O316"/>
    </row>
    <row r="317" spans="1:45">
      <c r="I317" s="4"/>
      <c r="J317" s="89">
        <v>99.83</v>
      </c>
    </row>
    <row r="318" spans="1:45">
      <c r="I318" s="4"/>
      <c r="J318" s="89">
        <v>100.81</v>
      </c>
    </row>
    <row r="319" spans="1:45">
      <c r="I319" s="4"/>
      <c r="J319" s="4">
        <v>99.83</v>
      </c>
    </row>
    <row r="320" spans="1:45">
      <c r="I320" s="4"/>
      <c r="J320" s="4">
        <v>101.26</v>
      </c>
    </row>
    <row r="321" spans="9:10">
      <c r="I321" s="4"/>
      <c r="J321" s="89">
        <v>97.92</v>
      </c>
    </row>
    <row r="322" spans="9:10">
      <c r="I322" s="4"/>
      <c r="J322" s="89">
        <v>104.42</v>
      </c>
    </row>
    <row r="323" spans="9:10">
      <c r="I323" s="4"/>
      <c r="J323" s="4">
        <v>108.49</v>
      </c>
    </row>
    <row r="324" spans="9:10">
      <c r="I324" s="4"/>
      <c r="J324" s="4">
        <v>110.83</v>
      </c>
    </row>
    <row r="325" spans="9:10">
      <c r="I325" s="4"/>
      <c r="J325" s="4">
        <v>110.83</v>
      </c>
    </row>
    <row r="326" spans="9:10">
      <c r="I326" s="4"/>
      <c r="J326" s="4">
        <f>0.75*J$325+0.25*J$329</f>
        <v>109.9225</v>
      </c>
    </row>
    <row r="327" spans="9:10">
      <c r="I327" s="4"/>
      <c r="J327" s="4">
        <f>0.5*J$325+0.5*J$329</f>
        <v>109.015</v>
      </c>
    </row>
    <row r="328" spans="9:10">
      <c r="I328" s="4"/>
      <c r="J328" s="4">
        <f>0.25*J$325+0.75*J$329</f>
        <v>108.1075</v>
      </c>
    </row>
    <row r="329" spans="9:10">
      <c r="I329" s="4"/>
      <c r="J329" s="4">
        <v>107.2</v>
      </c>
    </row>
    <row r="330" spans="9:10">
      <c r="I330" s="4"/>
    </row>
    <row r="331" spans="9:10">
      <c r="I331" s="4"/>
    </row>
    <row r="332" spans="9:10">
      <c r="I332" s="4"/>
    </row>
  </sheetData>
  <mergeCells count="1">
    <mergeCell ref="A304:N304"/>
  </mergeCells>
  <hyperlinks>
    <hyperlink ref="U2" r:id="rId1" xr:uid="{00000000-0004-0000-0000-000000000000}"/>
    <hyperlink ref="V2" r:id="rId2" xr:uid="{00000000-0004-0000-0000-000001000000}"/>
    <hyperlink ref="W2" r:id="rId3" xr:uid="{00000000-0004-0000-0000-000002000000}"/>
    <hyperlink ref="X2" r:id="rId4" xr:uid="{00000000-0004-0000-0000-000003000000}"/>
    <hyperlink ref="S2" r:id="rId5" xr:uid="{00000000-0004-0000-0000-000004000000}"/>
    <hyperlink ref="L2" r:id="rId6" xr:uid="{00000000-0004-0000-0000-000005000000}"/>
    <hyperlink ref="M2" r:id="rId7" xr:uid="{00000000-0004-0000-0000-000006000000}"/>
    <hyperlink ref="N2" r:id="rId8" xr:uid="{00000000-0004-0000-0000-000007000000}"/>
    <hyperlink ref="O2" r:id="rId9" xr:uid="{00000000-0004-0000-0000-000008000000}"/>
    <hyperlink ref="O5" r:id="rId10" xr:uid="{00000000-0004-0000-0000-000009000000}"/>
    <hyperlink ref="S5" r:id="rId11" xr:uid="{00000000-0004-0000-0000-00000A000000}"/>
    <hyperlink ref="Z5" r:id="rId12" xr:uid="{00000000-0004-0000-0000-00000B000000}"/>
    <hyperlink ref="V5" r:id="rId13" xr:uid="{00000000-0004-0000-0000-00000C000000}"/>
    <hyperlink ref="X5" r:id="rId14" xr:uid="{00000000-0004-0000-0000-00000D000000}"/>
    <hyperlink ref="AA5" r:id="rId15" xr:uid="{00000000-0004-0000-0000-00000E000000}"/>
    <hyperlink ref="K5" r:id="rId16" xr:uid="{00000000-0004-0000-0000-00000F000000}"/>
    <hyperlink ref="L5" r:id="rId17" xr:uid="{00000000-0004-0000-0000-000010000000}"/>
    <hyperlink ref="S306" r:id="rId18" xr:uid="{E657858E-9E91-614D-AF9D-1CC65E226C0C}"/>
    <hyperlink ref="W5" r:id="rId19" xr:uid="{5312D205-76A8-4C40-97A4-600DE60CF410}"/>
  </hyperlinks>
  <pageMargins left="0.7" right="0.7" top="0.75" bottom="0.75" header="0.3" footer="0.3"/>
  <pageSetup orientation="portrait"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F193-CD5D-7E46-BF01-E440E3BE9AE7}">
  <dimension ref="A1:G295"/>
  <sheetViews>
    <sheetView topLeftCell="J20" workbookViewId="0">
      <selection activeCell="P64" sqref="P64"/>
    </sheetView>
  </sheetViews>
  <sheetFormatPr baseColWidth="10" defaultRowHeight="15"/>
  <cols>
    <col min="1" max="1" width="12.6640625" bestFit="1" customWidth="1"/>
  </cols>
  <sheetData>
    <row r="1" spans="1:7">
      <c r="D1" t="s">
        <v>106</v>
      </c>
      <c r="E1" t="s">
        <v>107</v>
      </c>
      <c r="F1" t="s">
        <v>108</v>
      </c>
      <c r="G1" t="s">
        <v>109</v>
      </c>
    </row>
    <row r="2" spans="1:7">
      <c r="A2" s="2">
        <v>2000</v>
      </c>
      <c r="B2" s="2">
        <v>1</v>
      </c>
      <c r="C2" s="114">
        <v>36526</v>
      </c>
      <c r="D2">
        <v>-0.10586169386169375</v>
      </c>
      <c r="E2">
        <v>-0.19295363277322972</v>
      </c>
    </row>
    <row r="3" spans="1:7">
      <c r="A3" s="2">
        <v>2000</v>
      </c>
      <c r="B3" s="2">
        <v>2</v>
      </c>
      <c r="C3" s="114">
        <v>36557</v>
      </c>
      <c r="D3">
        <v>-0.12075938875938874</v>
      </c>
      <c r="E3">
        <v>-0.21881131860418074</v>
      </c>
    </row>
    <row r="4" spans="1:7">
      <c r="A4" s="2">
        <v>2000</v>
      </c>
      <c r="B4" s="2">
        <v>3</v>
      </c>
      <c r="C4" s="114">
        <v>36586</v>
      </c>
      <c r="D4">
        <v>3.9740481740481837E-2</v>
      </c>
      <c r="E4">
        <v>7.1419356060606232E-2</v>
      </c>
    </row>
    <row r="5" spans="1:7">
      <c r="A5" s="2">
        <v>2000</v>
      </c>
      <c r="B5" s="2">
        <v>4</v>
      </c>
      <c r="C5" s="114">
        <v>36617</v>
      </c>
      <c r="D5">
        <v>9.433514633514628E-2</v>
      </c>
      <c r="E5">
        <v>0.16943484418027313</v>
      </c>
    </row>
    <row r="6" spans="1:7">
      <c r="A6" s="2">
        <v>2000</v>
      </c>
      <c r="B6" s="2">
        <v>5</v>
      </c>
      <c r="C6" s="114">
        <v>36647</v>
      </c>
      <c r="D6">
        <v>-3.2673400673400632E-2</v>
      </c>
      <c r="E6">
        <v>-5.8616080808080735E-2</v>
      </c>
    </row>
    <row r="7" spans="1:7">
      <c r="A7" s="2">
        <v>2000</v>
      </c>
      <c r="B7" s="2">
        <v>6</v>
      </c>
      <c r="C7" s="114">
        <v>36678</v>
      </c>
      <c r="D7">
        <v>-0.22493965293965301</v>
      </c>
      <c r="E7">
        <v>-0.40143508097213443</v>
      </c>
    </row>
    <row r="8" spans="1:7">
      <c r="A8" s="2">
        <v>2000</v>
      </c>
      <c r="B8" s="2">
        <v>7</v>
      </c>
      <c r="C8" s="114">
        <v>36708</v>
      </c>
      <c r="D8">
        <v>-4.2660450660450655E-2</v>
      </c>
      <c r="E8">
        <v>-7.5957080527497181E-2</v>
      </c>
    </row>
    <row r="9" spans="1:7">
      <c r="A9" s="2">
        <v>2000</v>
      </c>
      <c r="B9" s="2">
        <v>8</v>
      </c>
      <c r="C9" s="114">
        <v>36739</v>
      </c>
      <c r="D9">
        <v>1.767106967106935E-2</v>
      </c>
      <c r="E9">
        <v>3.1463400907219774E-2</v>
      </c>
    </row>
    <row r="10" spans="1:7">
      <c r="A10" s="2">
        <v>2000</v>
      </c>
      <c r="B10" s="2">
        <v>9</v>
      </c>
      <c r="C10" s="114">
        <v>36770</v>
      </c>
      <c r="D10">
        <v>7.8626780626780635E-2</v>
      </c>
      <c r="E10">
        <v>0.13926989189534958</v>
      </c>
    </row>
    <row r="11" spans="1:7">
      <c r="A11" s="2">
        <v>2000</v>
      </c>
      <c r="B11" s="2">
        <v>10</v>
      </c>
      <c r="C11" s="114">
        <v>36800</v>
      </c>
      <c r="D11">
        <v>8.4122766122766146E-2</v>
      </c>
      <c r="E11">
        <v>0.14874790560780218</v>
      </c>
    </row>
    <row r="12" spans="1:7">
      <c r="A12" s="2">
        <v>2000</v>
      </c>
      <c r="B12" s="2">
        <v>11</v>
      </c>
      <c r="C12" s="114">
        <v>36831</v>
      </c>
      <c r="D12">
        <v>5.313338513338528E-2</v>
      </c>
      <c r="E12">
        <v>9.389776988727043E-2</v>
      </c>
    </row>
    <row r="13" spans="1:7">
      <c r="A13" s="2">
        <v>2000</v>
      </c>
      <c r="B13" s="2">
        <v>12</v>
      </c>
      <c r="C13" s="114">
        <v>36861</v>
      </c>
      <c r="D13">
        <v>4.522351722351714E-2</v>
      </c>
      <c r="E13">
        <v>7.9965314756762884E-2</v>
      </c>
    </row>
    <row r="14" spans="1:7">
      <c r="A14" s="2">
        <v>2001</v>
      </c>
      <c r="B14" s="2">
        <v>1</v>
      </c>
      <c r="C14" s="114">
        <v>36892</v>
      </c>
      <c r="D14">
        <v>-1.0029008029008191E-2</v>
      </c>
      <c r="E14">
        <v>-1.7622129807498454E-2</v>
      </c>
    </row>
    <row r="15" spans="1:7">
      <c r="A15" s="2">
        <v>2001</v>
      </c>
      <c r="B15" s="2">
        <v>2</v>
      </c>
      <c r="C15" s="114">
        <v>36923</v>
      </c>
      <c r="D15">
        <v>2.3933695933695986E-2</v>
      </c>
      <c r="E15">
        <v>4.1886826857884966E-2</v>
      </c>
    </row>
    <row r="16" spans="1:7">
      <c r="A16" s="2">
        <v>2001</v>
      </c>
      <c r="B16" s="2">
        <v>3</v>
      </c>
      <c r="C16" s="114">
        <v>36951</v>
      </c>
      <c r="D16">
        <v>0.12750530950530958</v>
      </c>
      <c r="E16">
        <v>0.22264294029970549</v>
      </c>
    </row>
    <row r="17" spans="1:5">
      <c r="A17" s="2">
        <v>2001</v>
      </c>
      <c r="B17" s="2">
        <v>4</v>
      </c>
      <c r="C17" s="114">
        <v>36982</v>
      </c>
      <c r="D17">
        <v>7.2216524216524025E-2</v>
      </c>
      <c r="E17">
        <v>0.12560164060046447</v>
      </c>
    </row>
    <row r="18" spans="1:5">
      <c r="A18" s="2">
        <v>2001</v>
      </c>
      <c r="B18" s="2">
        <v>5</v>
      </c>
      <c r="C18" s="114">
        <v>37012</v>
      </c>
      <c r="D18">
        <v>6.6130018130018176E-2</v>
      </c>
      <c r="E18">
        <v>0.11449796740619483</v>
      </c>
    </row>
    <row r="19" spans="1:5">
      <c r="A19" s="2">
        <v>2001</v>
      </c>
      <c r="B19" s="2">
        <v>6</v>
      </c>
      <c r="C19" s="114">
        <v>37043</v>
      </c>
      <c r="D19">
        <v>0.13992955192955181</v>
      </c>
      <c r="E19">
        <v>0.2418666582680738</v>
      </c>
    </row>
    <row r="20" spans="1:5">
      <c r="A20" s="2">
        <v>2001</v>
      </c>
      <c r="B20" s="2">
        <v>7</v>
      </c>
      <c r="C20" s="114">
        <v>37073</v>
      </c>
      <c r="D20">
        <v>0.19394405594405573</v>
      </c>
      <c r="E20">
        <v>0.33617443175416095</v>
      </c>
    </row>
    <row r="21" spans="1:5">
      <c r="A21" s="2">
        <v>2001</v>
      </c>
      <c r="B21" s="2">
        <v>8</v>
      </c>
      <c r="C21" s="114">
        <v>37104</v>
      </c>
      <c r="D21">
        <v>-2.4652162652162968E-2</v>
      </c>
      <c r="E21">
        <v>-4.2731017100583843E-2</v>
      </c>
    </row>
    <row r="22" spans="1:5">
      <c r="A22" s="2">
        <v>2001</v>
      </c>
      <c r="B22" s="2">
        <v>9</v>
      </c>
      <c r="C22" s="114">
        <v>37135</v>
      </c>
      <c r="D22">
        <v>-2.9130277130277493E-2</v>
      </c>
      <c r="E22">
        <v>-5.0266637660962461E-2</v>
      </c>
    </row>
    <row r="23" spans="1:5">
      <c r="A23" s="2">
        <v>2001</v>
      </c>
      <c r="B23" s="2">
        <v>10</v>
      </c>
      <c r="C23" s="114">
        <v>37165</v>
      </c>
      <c r="D23">
        <v>7.9657601657601607E-2</v>
      </c>
      <c r="E23">
        <v>0.13791971839952699</v>
      </c>
    </row>
    <row r="24" spans="1:5">
      <c r="A24" s="2">
        <v>2001</v>
      </c>
      <c r="B24" s="2">
        <v>11</v>
      </c>
      <c r="C24" s="114">
        <v>37196</v>
      </c>
      <c r="D24">
        <v>4.3853405853405802E-2</v>
      </c>
      <c r="E24">
        <v>7.6056489471945973E-2</v>
      </c>
    </row>
    <row r="25" spans="1:5">
      <c r="A25" s="2">
        <v>2001</v>
      </c>
      <c r="B25" s="2">
        <v>12</v>
      </c>
      <c r="C25" s="114">
        <v>37226</v>
      </c>
      <c r="D25">
        <v>-6.7866355866355921E-2</v>
      </c>
      <c r="E25">
        <v>-0.11816926754814712</v>
      </c>
    </row>
    <row r="26" spans="1:5">
      <c r="A26" s="2">
        <v>2002</v>
      </c>
      <c r="B26" s="2">
        <v>1</v>
      </c>
      <c r="C26" s="114">
        <v>37257</v>
      </c>
      <c r="D26">
        <v>-9.5449883449883144E-2</v>
      </c>
      <c r="E26">
        <v>-0.16582247933884242</v>
      </c>
    </row>
    <row r="27" spans="1:5">
      <c r="A27" s="2">
        <v>2002</v>
      </c>
      <c r="B27" s="2">
        <v>2</v>
      </c>
      <c r="C27" s="114">
        <v>37288</v>
      </c>
      <c r="D27">
        <v>-1.1023569023569157E-2</v>
      </c>
      <c r="E27">
        <v>-1.907554839735965E-2</v>
      </c>
    </row>
    <row r="28" spans="1:5">
      <c r="A28" s="2">
        <v>2002</v>
      </c>
      <c r="B28" s="2">
        <v>3</v>
      </c>
      <c r="C28" s="114">
        <v>37316</v>
      </c>
      <c r="D28">
        <v>3.2708624708625011E-2</v>
      </c>
      <c r="E28">
        <v>5.6283530608094878E-2</v>
      </c>
    </row>
    <row r="29" spans="1:5">
      <c r="A29" s="2">
        <v>2002</v>
      </c>
      <c r="B29" s="2">
        <v>4</v>
      </c>
      <c r="C29" s="114">
        <v>37347</v>
      </c>
      <c r="D29">
        <v>2.262833462833469E-2</v>
      </c>
      <c r="E29">
        <v>3.8721258862260077E-2</v>
      </c>
    </row>
    <row r="30" spans="1:5">
      <c r="A30" s="2">
        <v>2002</v>
      </c>
      <c r="B30" s="2">
        <v>5</v>
      </c>
      <c r="C30" s="114">
        <v>37377</v>
      </c>
      <c r="D30">
        <v>-1.5328153328153293E-2</v>
      </c>
      <c r="E30">
        <v>-2.6229300682014747E-2</v>
      </c>
    </row>
    <row r="31" spans="1:5">
      <c r="A31" s="2">
        <v>2002</v>
      </c>
      <c r="B31" s="2">
        <v>6</v>
      </c>
      <c r="C31" s="114">
        <v>37408</v>
      </c>
      <c r="D31">
        <v>1.4430976430976683E-2</v>
      </c>
      <c r="E31">
        <v>2.4680338796525998E-2</v>
      </c>
    </row>
    <row r="32" spans="1:5">
      <c r="A32" s="2">
        <v>2002</v>
      </c>
      <c r="B32" s="2">
        <v>7</v>
      </c>
      <c r="C32" s="114">
        <v>37438</v>
      </c>
      <c r="D32">
        <v>1.3304325304325459E-2</v>
      </c>
      <c r="E32">
        <v>2.2728234706869063E-2</v>
      </c>
    </row>
    <row r="33" spans="1:5">
      <c r="A33" s="2">
        <v>2002</v>
      </c>
      <c r="B33" s="2">
        <v>8</v>
      </c>
      <c r="C33" s="114">
        <v>37469</v>
      </c>
      <c r="D33">
        <v>9.474229474231155E-4</v>
      </c>
      <c r="E33">
        <v>1.6131409278174731E-3</v>
      </c>
    </row>
    <row r="34" spans="1:5">
      <c r="A34" s="2">
        <v>2002</v>
      </c>
      <c r="B34" s="2">
        <v>9</v>
      </c>
      <c r="C34" s="114">
        <v>37500</v>
      </c>
      <c r="D34">
        <v>-1.2821030821031032E-2</v>
      </c>
      <c r="E34">
        <v>-2.1793698197444412E-2</v>
      </c>
    </row>
    <row r="35" spans="1:5">
      <c r="A35" s="2">
        <v>2002</v>
      </c>
      <c r="B35" s="2">
        <v>10</v>
      </c>
      <c r="C35" s="114">
        <v>37530</v>
      </c>
      <c r="D35">
        <v>-0.11254908054908075</v>
      </c>
      <c r="E35">
        <v>-0.19099883155883188</v>
      </c>
    </row>
    <row r="36" spans="1:5">
      <c r="A36" s="2">
        <v>2002</v>
      </c>
      <c r="B36" s="2">
        <v>11</v>
      </c>
      <c r="C36" s="114">
        <v>37561</v>
      </c>
      <c r="D36">
        <v>-3.496814296814299E-2</v>
      </c>
      <c r="E36">
        <v>-5.9341883701883737E-2</v>
      </c>
    </row>
    <row r="37" spans="1:5">
      <c r="A37" s="2">
        <v>2002</v>
      </c>
      <c r="B37" s="2">
        <v>12</v>
      </c>
      <c r="C37" s="114">
        <v>37591</v>
      </c>
      <c r="D37">
        <v>-4.1813519813519884E-2</v>
      </c>
      <c r="E37">
        <v>-7.1115574651992683E-2</v>
      </c>
    </row>
    <row r="38" spans="1:5">
      <c r="A38" s="2">
        <v>2003</v>
      </c>
      <c r="B38" s="2">
        <v>1</v>
      </c>
      <c r="C38" s="114">
        <v>37622</v>
      </c>
      <c r="D38">
        <v>-4.2041440041439948E-2</v>
      </c>
      <c r="E38">
        <v>-7.1188397903081291E-2</v>
      </c>
    </row>
    <row r="39" spans="1:5">
      <c r="A39" s="2">
        <v>2003</v>
      </c>
      <c r="B39" s="2">
        <v>2</v>
      </c>
      <c r="C39" s="114">
        <v>37653</v>
      </c>
      <c r="D39">
        <v>-7.5736855736858733E-3</v>
      </c>
      <c r="E39">
        <v>-1.272639767417535E-2</v>
      </c>
    </row>
    <row r="40" spans="1:5">
      <c r="A40" s="2">
        <v>2003</v>
      </c>
      <c r="B40" s="2">
        <v>3</v>
      </c>
      <c r="C40" s="114">
        <v>37681</v>
      </c>
      <c r="D40">
        <v>0.21226573426573436</v>
      </c>
      <c r="E40">
        <v>0.3545494610601127</v>
      </c>
    </row>
    <row r="41" spans="1:5">
      <c r="A41" s="2">
        <v>2003</v>
      </c>
      <c r="B41" s="2">
        <v>4</v>
      </c>
      <c r="C41" s="114">
        <v>37712</v>
      </c>
      <c r="D41">
        <v>0.26773322973322955</v>
      </c>
      <c r="E41">
        <v>0.44817056869016569</v>
      </c>
    </row>
    <row r="42" spans="1:5">
      <c r="A42" s="2">
        <v>2003</v>
      </c>
      <c r="B42" s="2">
        <v>5</v>
      </c>
      <c r="C42" s="114">
        <v>37742</v>
      </c>
      <c r="D42">
        <v>0.15964724164724142</v>
      </c>
      <c r="E42">
        <v>0.26767752852778426</v>
      </c>
    </row>
    <row r="43" spans="1:5">
      <c r="A43" s="2">
        <v>2003</v>
      </c>
      <c r="B43" s="2">
        <v>6</v>
      </c>
      <c r="C43" s="114">
        <v>37773</v>
      </c>
      <c r="D43">
        <v>8.3283605283605011E-2</v>
      </c>
      <c r="E43">
        <v>0.13948802461193271</v>
      </c>
    </row>
    <row r="44" spans="1:5">
      <c r="A44" s="2">
        <v>2003</v>
      </c>
      <c r="B44" s="2">
        <v>7</v>
      </c>
      <c r="C44" s="114">
        <v>37803</v>
      </c>
      <c r="D44">
        <v>4.0341362341362208E-2</v>
      </c>
      <c r="E44">
        <v>6.7492481201355356E-2</v>
      </c>
    </row>
    <row r="45" spans="1:5">
      <c r="A45" s="2">
        <v>2003</v>
      </c>
      <c r="B45" s="2">
        <v>8</v>
      </c>
      <c r="C45" s="114">
        <v>37834</v>
      </c>
      <c r="D45">
        <v>4.8880600880600644E-2</v>
      </c>
      <c r="E45">
        <v>8.1468815566279967E-2</v>
      </c>
    </row>
    <row r="46" spans="1:5">
      <c r="A46" s="2">
        <v>2003</v>
      </c>
      <c r="B46" s="2">
        <v>9</v>
      </c>
      <c r="C46" s="114">
        <v>37865</v>
      </c>
      <c r="D46">
        <v>0.14390520590520528</v>
      </c>
      <c r="E46">
        <v>0.23906835100464585</v>
      </c>
    </row>
    <row r="47" spans="1:5">
      <c r="A47" s="2">
        <v>2003</v>
      </c>
      <c r="B47" s="2">
        <v>10</v>
      </c>
      <c r="C47" s="114">
        <v>37895</v>
      </c>
      <c r="D47">
        <v>3.2366744366744138E-2</v>
      </c>
      <c r="E47">
        <v>5.3828695167894784E-2</v>
      </c>
    </row>
    <row r="48" spans="1:5">
      <c r="A48" s="2">
        <v>2003</v>
      </c>
      <c r="B48" s="2">
        <v>11</v>
      </c>
      <c r="C48" s="114">
        <v>37926</v>
      </c>
      <c r="D48">
        <v>-1.2419580419580578E-2</v>
      </c>
      <c r="E48">
        <v>-2.0710811529933745E-2</v>
      </c>
    </row>
    <row r="49" spans="1:5">
      <c r="A49" s="2">
        <v>2003</v>
      </c>
      <c r="B49" s="2">
        <v>12</v>
      </c>
      <c r="C49" s="114">
        <v>37956</v>
      </c>
      <c r="D49">
        <v>-3.6876974876975055E-2</v>
      </c>
      <c r="E49">
        <v>-6.1562537913042815E-2</v>
      </c>
    </row>
    <row r="50" spans="1:5">
      <c r="A50" s="2">
        <v>2004</v>
      </c>
      <c r="B50" s="2">
        <v>1</v>
      </c>
      <c r="C50" s="114">
        <v>37987</v>
      </c>
      <c r="D50">
        <v>-9.6698264698265035E-2</v>
      </c>
      <c r="E50">
        <v>-0.16064390819643576</v>
      </c>
    </row>
    <row r="51" spans="1:5">
      <c r="A51" s="2">
        <v>2004</v>
      </c>
      <c r="B51" s="2">
        <v>2</v>
      </c>
      <c r="C51" s="114">
        <v>38018</v>
      </c>
      <c r="D51">
        <v>2.2138824138824287E-2</v>
      </c>
      <c r="E51">
        <v>3.6581493886230977E-2</v>
      </c>
    </row>
    <row r="52" spans="1:5">
      <c r="A52" s="2">
        <v>2004</v>
      </c>
      <c r="B52" s="2">
        <v>3</v>
      </c>
      <c r="C52" s="114">
        <v>38047</v>
      </c>
      <c r="D52">
        <v>0.1605692825692826</v>
      </c>
      <c r="E52">
        <v>0.26362066028481185</v>
      </c>
    </row>
    <row r="53" spans="1:5">
      <c r="A53" s="2">
        <v>2004</v>
      </c>
      <c r="B53" s="2">
        <v>4</v>
      </c>
      <c r="C53" s="114">
        <v>38078</v>
      </c>
      <c r="D53">
        <v>0.136228438228438</v>
      </c>
      <c r="E53">
        <v>0.22294436073500931</v>
      </c>
    </row>
    <row r="54" spans="1:5">
      <c r="A54" s="2">
        <v>2004</v>
      </c>
      <c r="B54" s="2">
        <v>5</v>
      </c>
      <c r="C54" s="114">
        <v>38108</v>
      </c>
      <c r="D54">
        <v>4.7740999740999435E-2</v>
      </c>
      <c r="E54">
        <v>7.7675944639413214E-2</v>
      </c>
    </row>
    <row r="55" spans="1:5">
      <c r="A55" s="2">
        <v>2004</v>
      </c>
      <c r="B55" s="2">
        <v>6</v>
      </c>
      <c r="C55" s="114">
        <v>38139</v>
      </c>
      <c r="D55">
        <v>8.7124579124578938E-2</v>
      </c>
      <c r="E55">
        <v>0.14130577956688628</v>
      </c>
    </row>
    <row r="56" spans="1:5">
      <c r="A56" s="2">
        <v>2004</v>
      </c>
      <c r="B56" s="2">
        <v>7</v>
      </c>
      <c r="C56" s="114">
        <v>38169</v>
      </c>
      <c r="D56">
        <v>5.9364931364931151E-2</v>
      </c>
      <c r="E56">
        <v>9.6435416040019706E-2</v>
      </c>
    </row>
    <row r="57" spans="1:5">
      <c r="A57" s="2">
        <v>2004</v>
      </c>
      <c r="B57" s="2">
        <v>8</v>
      </c>
      <c r="C57" s="114">
        <v>38200</v>
      </c>
      <c r="D57">
        <v>-8.6045066045066232E-3</v>
      </c>
      <c r="E57">
        <v>-1.3970222435436186E-2</v>
      </c>
    </row>
    <row r="58" spans="1:5">
      <c r="A58" s="2">
        <v>2004</v>
      </c>
      <c r="B58" s="2">
        <v>9</v>
      </c>
      <c r="C58" s="114">
        <v>38231</v>
      </c>
      <c r="D58">
        <v>-1.6291634291634605E-2</v>
      </c>
      <c r="E58">
        <v>-2.6395278642135388E-2</v>
      </c>
    </row>
    <row r="59" spans="1:5">
      <c r="A59" s="2">
        <v>2004</v>
      </c>
      <c r="B59" s="2">
        <v>10</v>
      </c>
      <c r="C59" s="114">
        <v>38261</v>
      </c>
      <c r="D59">
        <v>0.10966019166019159</v>
      </c>
      <c r="E59">
        <v>0.17673787757088949</v>
      </c>
    </row>
    <row r="60" spans="1:5">
      <c r="A60" s="2">
        <v>2004</v>
      </c>
      <c r="B60" s="2">
        <v>11</v>
      </c>
      <c r="C60" s="114">
        <v>38292</v>
      </c>
      <c r="D60">
        <v>0.10605749805749753</v>
      </c>
      <c r="E60">
        <v>0.17084197112486035</v>
      </c>
    </row>
    <row r="61" spans="1:5">
      <c r="A61" s="2">
        <v>2004</v>
      </c>
      <c r="B61" s="2">
        <v>12</v>
      </c>
      <c r="C61" s="114">
        <v>38322</v>
      </c>
      <c r="D61">
        <v>4.4938616938616782E-2</v>
      </c>
      <c r="E61">
        <v>7.2655329543463806E-2</v>
      </c>
    </row>
    <row r="62" spans="1:5">
      <c r="A62" s="2">
        <v>2005</v>
      </c>
      <c r="B62" s="2">
        <v>1</v>
      </c>
      <c r="C62" s="114">
        <v>38353</v>
      </c>
      <c r="D62">
        <v>-7.8594405594405448E-2</v>
      </c>
      <c r="E62">
        <v>-0.12680240882871693</v>
      </c>
    </row>
    <row r="63" spans="1:5">
      <c r="A63" s="2">
        <v>2005</v>
      </c>
      <c r="B63" s="2">
        <v>2</v>
      </c>
      <c r="C63" s="114">
        <v>38384</v>
      </c>
      <c r="D63">
        <v>-7.6386946386948207E-3</v>
      </c>
      <c r="E63">
        <v>-1.2253414067684432E-2</v>
      </c>
    </row>
    <row r="64" spans="1:5">
      <c r="A64" s="2">
        <v>2005</v>
      </c>
      <c r="B64" s="2">
        <v>3</v>
      </c>
      <c r="C64" s="114">
        <v>38412</v>
      </c>
      <c r="D64">
        <v>-5.8282828282831822E-3</v>
      </c>
      <c r="E64">
        <v>-9.276738779413941E-3</v>
      </c>
    </row>
    <row r="65" spans="1:5">
      <c r="A65" s="2">
        <v>2005</v>
      </c>
      <c r="B65" s="2">
        <v>4</v>
      </c>
      <c r="C65" s="114">
        <v>38443</v>
      </c>
      <c r="D65">
        <v>7.0949753949754335E-2</v>
      </c>
      <c r="E65">
        <v>0.11217462357386877</v>
      </c>
    </row>
    <row r="66" spans="1:5">
      <c r="A66" s="2">
        <v>2005</v>
      </c>
      <c r="B66" s="2">
        <v>5</v>
      </c>
      <c r="C66" s="114">
        <v>38473</v>
      </c>
      <c r="D66">
        <v>8.3324786324786793E-2</v>
      </c>
      <c r="E66">
        <v>0.13187561899862901</v>
      </c>
    </row>
    <row r="67" spans="1:5">
      <c r="A67" s="2">
        <v>2005</v>
      </c>
      <c r="B67" s="2">
        <v>6</v>
      </c>
      <c r="C67" s="114">
        <v>38504</v>
      </c>
      <c r="D67">
        <v>-2.6115773115773511E-2</v>
      </c>
      <c r="E67">
        <v>-4.1311393471995632E-2</v>
      </c>
    </row>
    <row r="68" spans="1:5">
      <c r="A68" s="2">
        <v>2005</v>
      </c>
      <c r="B68" s="2">
        <v>7</v>
      </c>
      <c r="C68" s="114">
        <v>38534</v>
      </c>
      <c r="D68">
        <v>-1.8568505568505422E-2</v>
      </c>
      <c r="E68">
        <v>-2.9237413903621452E-2</v>
      </c>
    </row>
    <row r="69" spans="1:5">
      <c r="A69" s="2">
        <v>2005</v>
      </c>
      <c r="B69" s="2">
        <v>8</v>
      </c>
      <c r="C69" s="114">
        <v>38565</v>
      </c>
      <c r="D69">
        <v>-6.851411551411557E-2</v>
      </c>
      <c r="E69">
        <v>-0.10733098999156543</v>
      </c>
    </row>
    <row r="70" spans="1:5">
      <c r="A70" s="2">
        <v>2005</v>
      </c>
      <c r="B70" s="2">
        <v>9</v>
      </c>
      <c r="C70" s="114">
        <v>38596</v>
      </c>
      <c r="D70">
        <v>-0.20757912457912475</v>
      </c>
      <c r="E70">
        <v>-0.32125793178261514</v>
      </c>
    </row>
    <row r="71" spans="1:5">
      <c r="A71" s="2">
        <v>2005</v>
      </c>
      <c r="B71" s="2">
        <v>10</v>
      </c>
      <c r="C71" s="114">
        <v>38626</v>
      </c>
      <c r="D71">
        <v>-0.11176456876456875</v>
      </c>
      <c r="E71">
        <v>-0.17262407949981742</v>
      </c>
    </row>
    <row r="72" spans="1:5">
      <c r="A72" s="2">
        <v>2005</v>
      </c>
      <c r="B72" s="2">
        <v>11</v>
      </c>
      <c r="C72" s="114">
        <v>38657</v>
      </c>
      <c r="D72">
        <v>3.0530173530173066E-2</v>
      </c>
      <c r="E72">
        <v>4.753668532490829E-2</v>
      </c>
    </row>
    <row r="73" spans="1:5">
      <c r="A73" s="2">
        <v>2005</v>
      </c>
      <c r="B73" s="2">
        <v>12</v>
      </c>
      <c r="C73" s="114">
        <v>38687</v>
      </c>
      <c r="D73">
        <v>-0.15157808857808885</v>
      </c>
      <c r="E73">
        <v>-0.23697246997413196</v>
      </c>
    </row>
    <row r="74" spans="1:5">
      <c r="A74" s="2">
        <v>2006</v>
      </c>
      <c r="B74" s="2">
        <v>1</v>
      </c>
      <c r="C74" s="114">
        <v>38718</v>
      </c>
      <c r="D74">
        <v>-0.18935353535353538</v>
      </c>
      <c r="E74">
        <v>-0.29379017436085514</v>
      </c>
    </row>
    <row r="75" spans="1:5">
      <c r="A75" s="2">
        <v>2006</v>
      </c>
      <c r="B75" s="2">
        <v>2</v>
      </c>
      <c r="C75" s="114">
        <v>38749</v>
      </c>
      <c r="D75">
        <v>-4.0288526288526416E-2</v>
      </c>
      <c r="E75">
        <v>-6.2383548926609016E-2</v>
      </c>
    </row>
    <row r="76" spans="1:5">
      <c r="A76" s="2">
        <v>2006</v>
      </c>
      <c r="B76" s="2">
        <v>3</v>
      </c>
      <c r="C76" s="114">
        <v>38777</v>
      </c>
      <c r="D76">
        <v>-0.11437555037554992</v>
      </c>
      <c r="E76">
        <v>-0.17612632612410317</v>
      </c>
    </row>
    <row r="77" spans="1:5">
      <c r="A77" s="2">
        <v>2006</v>
      </c>
      <c r="B77" s="2">
        <v>4</v>
      </c>
      <c r="C77" s="114">
        <v>38808</v>
      </c>
      <c r="D77">
        <v>-0.15476146076146158</v>
      </c>
      <c r="E77">
        <v>-0.23630577366719427</v>
      </c>
    </row>
    <row r="78" spans="1:5">
      <c r="A78" s="2">
        <v>2006</v>
      </c>
      <c r="B78" s="2">
        <v>5</v>
      </c>
      <c r="C78" s="114">
        <v>38838</v>
      </c>
      <c r="D78">
        <v>8.7701631701631921E-2</v>
      </c>
      <c r="E78">
        <v>0.13325061099887797</v>
      </c>
    </row>
    <row r="79" spans="1:5">
      <c r="A79" s="2">
        <v>2006</v>
      </c>
      <c r="B79" s="2">
        <v>6</v>
      </c>
      <c r="C79" s="114">
        <v>38869</v>
      </c>
      <c r="D79">
        <v>3.2373996373996405E-2</v>
      </c>
      <c r="E79">
        <v>4.9090881411453166E-2</v>
      </c>
    </row>
    <row r="80" spans="1:5">
      <c r="A80" s="2">
        <v>2006</v>
      </c>
      <c r="B80" s="2">
        <v>7</v>
      </c>
      <c r="C80" s="114">
        <v>38899</v>
      </c>
      <c r="D80">
        <v>-7.429267029267006E-2</v>
      </c>
      <c r="E80">
        <v>-0.11232285091703238</v>
      </c>
    </row>
    <row r="81" spans="1:5">
      <c r="A81" s="2">
        <v>2006</v>
      </c>
      <c r="B81" s="2">
        <v>8</v>
      </c>
      <c r="C81" s="114">
        <v>38930</v>
      </c>
      <c r="D81">
        <v>-9.1798497798497358E-2</v>
      </c>
      <c r="E81">
        <v>-0.13851758516999255</v>
      </c>
    </row>
    <row r="82" spans="1:5">
      <c r="A82" s="2">
        <v>2006</v>
      </c>
      <c r="B82" s="2">
        <v>9</v>
      </c>
      <c r="C82" s="114">
        <v>38961</v>
      </c>
      <c r="D82">
        <v>6.5448329448329456E-2</v>
      </c>
      <c r="E82">
        <v>9.9243730752572548E-2</v>
      </c>
    </row>
    <row r="83" spans="1:5">
      <c r="A83" s="2">
        <v>2006</v>
      </c>
      <c r="B83" s="2">
        <v>10</v>
      </c>
      <c r="C83" s="114">
        <v>38991</v>
      </c>
      <c r="D83">
        <v>5.3508417508417505E-2</v>
      </c>
      <c r="E83">
        <v>8.1580715179545696E-2</v>
      </c>
    </row>
    <row r="84" spans="1:5">
      <c r="A84" s="2">
        <v>2006</v>
      </c>
      <c r="B84" s="2">
        <v>11</v>
      </c>
      <c r="C84" s="114">
        <v>39022</v>
      </c>
      <c r="D84">
        <v>-1.780989380989384E-2</v>
      </c>
      <c r="E84">
        <v>-2.7193984309597258E-2</v>
      </c>
    </row>
    <row r="85" spans="1:5">
      <c r="A85" s="2">
        <v>2006</v>
      </c>
      <c r="B85" s="2">
        <v>12</v>
      </c>
      <c r="C85" s="114">
        <v>39052</v>
      </c>
      <c r="D85">
        <v>-2.8263144263144468E-2</v>
      </c>
      <c r="E85">
        <v>-4.3090930914697331E-2</v>
      </c>
    </row>
    <row r="86" spans="1:5">
      <c r="A86" s="2">
        <v>2007</v>
      </c>
      <c r="B86" s="2">
        <v>1</v>
      </c>
      <c r="C86" s="114">
        <v>39083</v>
      </c>
      <c r="D86">
        <v>8.2891996891997E-2</v>
      </c>
      <c r="E86">
        <v>0.1259952947185875</v>
      </c>
    </row>
    <row r="87" spans="1:5">
      <c r="A87" s="2">
        <v>2007</v>
      </c>
      <c r="B87" s="2">
        <v>2</v>
      </c>
      <c r="C87" s="114">
        <v>39114</v>
      </c>
      <c r="D87">
        <v>0.14116187516187528</v>
      </c>
      <c r="E87">
        <v>0.21342323693447796</v>
      </c>
    </row>
    <row r="88" spans="1:5">
      <c r="A88" s="2">
        <v>2007</v>
      </c>
      <c r="B88" s="2">
        <v>3</v>
      </c>
      <c r="C88" s="114">
        <v>39142</v>
      </c>
      <c r="D88">
        <v>0.23060761460761503</v>
      </c>
      <c r="E88">
        <v>0.34551051557296508</v>
      </c>
    </row>
    <row r="89" spans="1:5">
      <c r="A89" s="2">
        <v>2007</v>
      </c>
      <c r="B89" s="2">
        <v>4</v>
      </c>
      <c r="C89" s="114">
        <v>39173</v>
      </c>
      <c r="D89">
        <v>0.15762652162652158</v>
      </c>
      <c r="E89">
        <v>0.23464148290330991</v>
      </c>
    </row>
    <row r="90" spans="1:5">
      <c r="A90" s="2">
        <v>2007</v>
      </c>
      <c r="B90" s="2">
        <v>5</v>
      </c>
      <c r="C90" s="114">
        <v>39203</v>
      </c>
      <c r="D90">
        <v>-2.4525770525770429E-2</v>
      </c>
      <c r="E90">
        <v>-3.6287110509953466E-2</v>
      </c>
    </row>
    <row r="91" spans="1:5">
      <c r="A91" s="2">
        <v>2007</v>
      </c>
      <c r="B91" s="2">
        <v>6</v>
      </c>
      <c r="C91" s="114">
        <v>39234</v>
      </c>
      <c r="D91">
        <v>-8.8213934213933864E-2</v>
      </c>
      <c r="E91">
        <v>-0.13026450119766186</v>
      </c>
    </row>
    <row r="92" spans="1:5">
      <c r="A92" s="2">
        <v>2007</v>
      </c>
      <c r="B92" s="2">
        <v>7</v>
      </c>
      <c r="C92" s="114">
        <v>39264</v>
      </c>
      <c r="D92">
        <v>-0.1476829836829836</v>
      </c>
      <c r="E92">
        <v>-0.21813725112807669</v>
      </c>
    </row>
    <row r="93" spans="1:5">
      <c r="A93" s="2">
        <v>2007</v>
      </c>
      <c r="B93" s="2">
        <v>8</v>
      </c>
      <c r="C93" s="114">
        <v>39295</v>
      </c>
      <c r="D93">
        <v>-0.18396632996633011</v>
      </c>
      <c r="E93">
        <v>-0.27222932567837527</v>
      </c>
    </row>
    <row r="94" spans="1:5">
      <c r="A94" s="2">
        <v>2007</v>
      </c>
      <c r="B94" s="2">
        <v>9</v>
      </c>
      <c r="C94" s="114">
        <v>39326</v>
      </c>
      <c r="D94">
        <v>-0.228755244755245</v>
      </c>
      <c r="E94">
        <v>-0.33757664592590042</v>
      </c>
    </row>
    <row r="95" spans="1:5">
      <c r="A95" s="2">
        <v>2007</v>
      </c>
      <c r="B95" s="2">
        <v>10</v>
      </c>
      <c r="C95" s="114">
        <v>39356</v>
      </c>
      <c r="D95">
        <v>-3.0879046879047412E-2</v>
      </c>
      <c r="E95">
        <v>-4.5471279398109452E-2</v>
      </c>
    </row>
    <row r="96" spans="1:5">
      <c r="A96" s="2">
        <v>2007</v>
      </c>
      <c r="B96" s="2">
        <v>11</v>
      </c>
      <c r="C96" s="114">
        <v>39387</v>
      </c>
      <c r="D96">
        <v>-4.546853146853147E-2</v>
      </c>
      <c r="E96">
        <v>-6.6559845013748148E-2</v>
      </c>
    </row>
    <row r="97" spans="1:5">
      <c r="A97" s="2">
        <v>2007</v>
      </c>
      <c r="B97" s="2">
        <v>12</v>
      </c>
      <c r="C97" s="114">
        <v>39417</v>
      </c>
      <c r="D97">
        <v>-1.905568505568489E-2</v>
      </c>
      <c r="E97">
        <v>-2.7913698969546295E-2</v>
      </c>
    </row>
    <row r="98" spans="1:5">
      <c r="A98" s="2">
        <v>2008</v>
      </c>
      <c r="B98" s="2">
        <v>1</v>
      </c>
      <c r="C98" s="114">
        <v>39448</v>
      </c>
      <c r="D98">
        <v>-0.10795752395752345</v>
      </c>
      <c r="E98">
        <v>-0.1573592919913549</v>
      </c>
    </row>
    <row r="99" spans="1:5">
      <c r="A99" s="2">
        <v>2008</v>
      </c>
      <c r="B99" s="2">
        <v>2</v>
      </c>
      <c r="C99" s="114">
        <v>39479</v>
      </c>
      <c r="D99">
        <v>-0.15759492359492322</v>
      </c>
      <c r="E99">
        <v>-0.2290457773160833</v>
      </c>
    </row>
    <row r="100" spans="1:5">
      <c r="A100" s="2">
        <v>2008</v>
      </c>
      <c r="B100" s="2">
        <v>3</v>
      </c>
      <c r="C100" s="114">
        <v>39508</v>
      </c>
      <c r="D100">
        <v>-5.9865319865326505E-3</v>
      </c>
      <c r="E100">
        <v>-8.6259520195407034E-3</v>
      </c>
    </row>
    <row r="101" spans="1:5">
      <c r="A101" s="2">
        <v>2008</v>
      </c>
      <c r="B101" s="2">
        <v>4</v>
      </c>
      <c r="C101" s="114">
        <v>39539</v>
      </c>
      <c r="D101">
        <v>1.7679357679361019E-3</v>
      </c>
      <c r="E101">
        <v>2.532049946498598E-3</v>
      </c>
    </row>
    <row r="102" spans="1:5">
      <c r="A102" s="2">
        <v>2008</v>
      </c>
      <c r="B102" s="2">
        <v>5</v>
      </c>
      <c r="C102" s="114">
        <v>39569</v>
      </c>
      <c r="D102">
        <v>-0.16537011137011159</v>
      </c>
      <c r="E102">
        <v>-0.23486644417885449</v>
      </c>
    </row>
    <row r="103" spans="1:5">
      <c r="A103" s="2">
        <v>2008</v>
      </c>
      <c r="B103" s="2">
        <v>6</v>
      </c>
      <c r="C103" s="114">
        <v>39600</v>
      </c>
      <c r="D103">
        <v>4.92064232064231E-2</v>
      </c>
      <c r="E103">
        <v>6.9188078670764819E-2</v>
      </c>
    </row>
    <row r="104" spans="1:5">
      <c r="A104" s="2">
        <v>2008</v>
      </c>
      <c r="B104" s="2">
        <v>7</v>
      </c>
      <c r="C104" s="114">
        <v>39630</v>
      </c>
      <c r="D104">
        <v>1.7525511525510851E-2</v>
      </c>
      <c r="E104">
        <v>2.4513518832924703E-2</v>
      </c>
    </row>
    <row r="105" spans="1:5">
      <c r="A105" s="2">
        <v>2008</v>
      </c>
      <c r="B105" s="2">
        <v>8</v>
      </c>
      <c r="C105" s="114">
        <v>39661</v>
      </c>
      <c r="D105">
        <v>-6.4818440818440681E-2</v>
      </c>
      <c r="E105">
        <v>-9.1027060172947899E-2</v>
      </c>
    </row>
    <row r="106" spans="1:5">
      <c r="A106" s="2">
        <v>2008</v>
      </c>
      <c r="B106" s="2">
        <v>9</v>
      </c>
      <c r="C106" s="114">
        <v>39692</v>
      </c>
      <c r="D106">
        <v>-0.27667029267029219</v>
      </c>
      <c r="E106">
        <v>-0.38907696492031585</v>
      </c>
    </row>
    <row r="107" spans="1:5">
      <c r="A107" s="2">
        <v>2008</v>
      </c>
      <c r="B107" s="2">
        <v>10</v>
      </c>
      <c r="C107" s="114">
        <v>39722</v>
      </c>
      <c r="D107">
        <v>2.9229733229732879E-2</v>
      </c>
      <c r="E107">
        <v>4.1524757252866903E-2</v>
      </c>
    </row>
    <row r="108" spans="1:5">
      <c r="A108" s="2">
        <v>2008</v>
      </c>
      <c r="B108" s="2">
        <v>11</v>
      </c>
      <c r="C108" s="114">
        <v>39753</v>
      </c>
      <c r="D108">
        <v>6.7085211085211371E-2</v>
      </c>
      <c r="E108">
        <v>9.7164523854527785E-2</v>
      </c>
    </row>
    <row r="109" spans="1:5">
      <c r="A109" s="2">
        <v>2008</v>
      </c>
      <c r="B109" s="2">
        <v>12</v>
      </c>
      <c r="C109" s="114">
        <v>39783</v>
      </c>
      <c r="D109">
        <v>-7.7592333592333862E-2</v>
      </c>
      <c r="E109">
        <v>-0.11355723723141994</v>
      </c>
    </row>
    <row r="110" spans="1:5">
      <c r="A110" s="2">
        <v>2009</v>
      </c>
      <c r="B110" s="2">
        <v>1</v>
      </c>
      <c r="C110" s="114">
        <v>39814</v>
      </c>
      <c r="D110">
        <v>-2.0451116243264122E-2</v>
      </c>
      <c r="E110">
        <v>-2.9800729295696826E-2</v>
      </c>
    </row>
    <row r="111" spans="1:5">
      <c r="A111" s="2">
        <v>2009</v>
      </c>
      <c r="B111" s="2">
        <v>2</v>
      </c>
      <c r="C111" s="114">
        <v>39845</v>
      </c>
      <c r="D111">
        <v>5.2453682319733241E-2</v>
      </c>
      <c r="E111">
        <v>7.605565166143391E-2</v>
      </c>
    </row>
    <row r="112" spans="1:5">
      <c r="A112" s="2">
        <v>2009</v>
      </c>
      <c r="B112" s="2">
        <v>3</v>
      </c>
      <c r="C112" s="114">
        <v>39873</v>
      </c>
      <c r="D112">
        <v>-1.8339235309212443E-2</v>
      </c>
      <c r="E112">
        <v>-2.65266202502983E-2</v>
      </c>
    </row>
    <row r="113" spans="1:5">
      <c r="A113" s="2">
        <v>2009</v>
      </c>
      <c r="B113" s="2">
        <v>4</v>
      </c>
      <c r="C113" s="114">
        <v>39904</v>
      </c>
      <c r="D113">
        <v>2.6387477546830906E-2</v>
      </c>
      <c r="E113">
        <v>3.8072883156588876E-2</v>
      </c>
    </row>
    <row r="114" spans="1:5">
      <c r="A114" s="2">
        <v>2009</v>
      </c>
      <c r="B114" s="2">
        <v>5</v>
      </c>
      <c r="C114" s="114">
        <v>39934</v>
      </c>
      <c r="D114">
        <v>-5.6653323069027817E-2</v>
      </c>
      <c r="E114">
        <v>-8.1506175005474982E-2</v>
      </c>
    </row>
    <row r="115" spans="1:5">
      <c r="A115" s="2">
        <v>2009</v>
      </c>
      <c r="B115" s="2">
        <v>6</v>
      </c>
      <c r="C115" s="114">
        <v>39965</v>
      </c>
      <c r="D115">
        <v>-1.2632281241980792E-2</v>
      </c>
      <c r="E115">
        <v>-1.8019066923829107E-2</v>
      </c>
    </row>
    <row r="116" spans="1:5">
      <c r="A116" s="2">
        <v>2009</v>
      </c>
      <c r="B116" s="2">
        <v>7</v>
      </c>
      <c r="C116" s="114">
        <v>39995</v>
      </c>
      <c r="D116">
        <v>5.1601744931998983E-2</v>
      </c>
      <c r="E116">
        <v>7.3723179669344746E-2</v>
      </c>
    </row>
    <row r="117" spans="1:5">
      <c r="A117" s="2">
        <v>2009</v>
      </c>
      <c r="B117" s="2">
        <v>8</v>
      </c>
      <c r="C117" s="114">
        <v>40026</v>
      </c>
      <c r="D117">
        <v>9.3333846548627086E-2</v>
      </c>
      <c r="E117">
        <v>0.13304723955198275</v>
      </c>
    </row>
    <row r="118" spans="1:5">
      <c r="A118" s="2">
        <v>2009</v>
      </c>
      <c r="B118" s="2">
        <v>9</v>
      </c>
      <c r="C118" s="114">
        <v>40057</v>
      </c>
      <c r="D118">
        <v>0.27820939183987736</v>
      </c>
      <c r="E118">
        <v>0.39633911254285065</v>
      </c>
    </row>
    <row r="119" spans="1:5">
      <c r="A119" s="2">
        <v>2009</v>
      </c>
      <c r="B119" s="2">
        <v>10</v>
      </c>
      <c r="C119" s="114">
        <v>40087</v>
      </c>
      <c r="D119">
        <v>0.16966179112137514</v>
      </c>
      <c r="E119">
        <v>0.24146885624328496</v>
      </c>
    </row>
    <row r="120" spans="1:5">
      <c r="A120" s="2">
        <v>2009</v>
      </c>
      <c r="B120" s="2">
        <v>11</v>
      </c>
      <c r="C120" s="114">
        <v>40118</v>
      </c>
      <c r="D120">
        <v>1.0705671029000996E-3</v>
      </c>
      <c r="E120">
        <v>1.5225925720721884E-3</v>
      </c>
    </row>
    <row r="121" spans="1:5">
      <c r="A121" s="2">
        <v>2009</v>
      </c>
      <c r="B121" s="2">
        <v>12</v>
      </c>
      <c r="C121" s="114">
        <v>40148</v>
      </c>
      <c r="D121">
        <v>5.8229407236334296E-3</v>
      </c>
      <c r="E121">
        <v>8.2961717599110019E-3</v>
      </c>
    </row>
    <row r="122" spans="1:5">
      <c r="A122" s="2">
        <v>2010</v>
      </c>
      <c r="B122" s="2">
        <v>1</v>
      </c>
      <c r="C122" s="114">
        <v>40179</v>
      </c>
      <c r="D122">
        <v>-1.3258917115730018E-2</v>
      </c>
      <c r="E122">
        <v>-1.8826160719903687E-2</v>
      </c>
    </row>
    <row r="123" spans="1:5">
      <c r="A123" s="2">
        <v>2010</v>
      </c>
      <c r="B123" s="2">
        <v>2</v>
      </c>
      <c r="C123" s="114">
        <v>40210</v>
      </c>
      <c r="D123">
        <v>-8.273030536310344E-3</v>
      </c>
      <c r="E123">
        <v>-1.174383978175398E-2</v>
      </c>
    </row>
    <row r="124" spans="1:5">
      <c r="A124" s="2">
        <v>2010</v>
      </c>
      <c r="B124" s="2">
        <v>3</v>
      </c>
      <c r="C124" s="114">
        <v>40238</v>
      </c>
      <c r="D124">
        <v>-3.5535026943803061E-2</v>
      </c>
      <c r="E124">
        <v>-5.0236856306439939E-2</v>
      </c>
    </row>
    <row r="125" spans="1:5">
      <c r="A125" s="2">
        <v>2010</v>
      </c>
      <c r="B125" s="2">
        <v>4</v>
      </c>
      <c r="C125" s="114">
        <v>40269</v>
      </c>
      <c r="D125">
        <v>-8.5080831408775648E-2</v>
      </c>
      <c r="E125">
        <v>-0.12007258636280801</v>
      </c>
    </row>
    <row r="126" spans="1:5">
      <c r="A126" s="2">
        <v>2010</v>
      </c>
      <c r="B126" s="2">
        <v>5</v>
      </c>
      <c r="C126" s="114">
        <v>40299</v>
      </c>
      <c r="D126">
        <v>-7.2773928663074194E-2</v>
      </c>
      <c r="E126">
        <v>-0.10262458820640348</v>
      </c>
    </row>
    <row r="127" spans="1:5">
      <c r="A127" s="2">
        <v>2010</v>
      </c>
      <c r="B127" s="2">
        <v>6</v>
      </c>
      <c r="C127" s="114">
        <v>40330</v>
      </c>
      <c r="D127">
        <v>3.9702335129586874E-2</v>
      </c>
      <c r="E127">
        <v>5.604228730142511E-2</v>
      </c>
    </row>
    <row r="128" spans="1:5">
      <c r="A128" s="2">
        <v>2010</v>
      </c>
      <c r="B128" s="2">
        <v>7</v>
      </c>
      <c r="C128" s="114">
        <v>40360</v>
      </c>
      <c r="D128">
        <v>4.4073177293516341E-2</v>
      </c>
      <c r="E128">
        <v>6.21988731351788E-2</v>
      </c>
    </row>
    <row r="129" spans="1:5">
      <c r="A129" s="2">
        <v>2010</v>
      </c>
      <c r="B129" s="2">
        <v>8</v>
      </c>
      <c r="C129" s="114">
        <v>40391</v>
      </c>
      <c r="D129">
        <v>6.018025289211737E-2</v>
      </c>
      <c r="E129">
        <v>8.4813105040358036E-2</v>
      </c>
    </row>
    <row r="130" spans="1:5">
      <c r="A130" s="2">
        <v>2010</v>
      </c>
      <c r="B130" s="2">
        <v>9</v>
      </c>
      <c r="C130" s="114">
        <v>40422</v>
      </c>
      <c r="D130">
        <v>-4.440677966101747E-2</v>
      </c>
      <c r="E130">
        <v>-6.2546881761429543E-2</v>
      </c>
    </row>
    <row r="131" spans="1:5">
      <c r="A131" s="2">
        <v>2010</v>
      </c>
      <c r="B131" s="2">
        <v>10</v>
      </c>
      <c r="C131" s="114">
        <v>40452</v>
      </c>
      <c r="D131">
        <v>-6.3906376109766683E-2</v>
      </c>
      <c r="E131">
        <v>-8.9900090274691369E-2</v>
      </c>
    </row>
    <row r="132" spans="1:5">
      <c r="A132" s="2">
        <v>2010</v>
      </c>
      <c r="B132" s="2">
        <v>11</v>
      </c>
      <c r="C132" s="114">
        <v>40483</v>
      </c>
      <c r="D132">
        <v>-6.4858757062146832E-2</v>
      </c>
      <c r="E132">
        <v>-9.1201485555809467E-2</v>
      </c>
    </row>
    <row r="133" spans="1:5">
      <c r="A133" s="2">
        <v>2010</v>
      </c>
      <c r="B133" s="2">
        <v>12</v>
      </c>
      <c r="C133" s="114">
        <v>40513</v>
      </c>
      <c r="D133">
        <v>-0.11366693570083397</v>
      </c>
      <c r="E133">
        <v>-0.15955917206489348</v>
      </c>
    </row>
    <row r="134" spans="1:5">
      <c r="A134" s="2">
        <v>2011</v>
      </c>
      <c r="B134" s="2">
        <v>1</v>
      </c>
      <c r="C134" s="114">
        <v>40544</v>
      </c>
      <c r="D134">
        <v>-0.12132902878665597</v>
      </c>
      <c r="E134">
        <v>-0.16950737941004904</v>
      </c>
    </row>
    <row r="135" spans="1:5">
      <c r="A135" s="2">
        <v>2011</v>
      </c>
      <c r="B135" s="2">
        <v>2</v>
      </c>
      <c r="C135" s="114">
        <v>40575</v>
      </c>
      <c r="D135">
        <v>-4.7904223836426674E-2</v>
      </c>
      <c r="E135">
        <v>-6.6598016583045566E-2</v>
      </c>
    </row>
    <row r="136" spans="1:5">
      <c r="A136" s="2">
        <v>2011</v>
      </c>
      <c r="B136" s="2">
        <v>3</v>
      </c>
      <c r="C136" s="114">
        <v>40603</v>
      </c>
      <c r="D136">
        <v>2.1641108420769939E-2</v>
      </c>
      <c r="E136">
        <v>2.9795636353138082E-2</v>
      </c>
    </row>
    <row r="137" spans="1:5">
      <c r="A137" s="2">
        <v>2011</v>
      </c>
      <c r="B137" s="2">
        <v>4</v>
      </c>
      <c r="C137" s="114">
        <v>40634</v>
      </c>
      <c r="D137">
        <v>-2.4382566585956056E-2</v>
      </c>
      <c r="E137">
        <v>-3.3355306857387912E-2</v>
      </c>
    </row>
    <row r="138" spans="1:5">
      <c r="A138" s="2">
        <v>2011</v>
      </c>
      <c r="B138" s="2">
        <v>5</v>
      </c>
      <c r="C138" s="114">
        <v>40664</v>
      </c>
      <c r="D138">
        <v>-0.11956147430723707</v>
      </c>
      <c r="E138">
        <v>-0.16279406614142933</v>
      </c>
    </row>
    <row r="139" spans="1:5">
      <c r="A139" s="2">
        <v>2011</v>
      </c>
      <c r="B139" s="2">
        <v>6</v>
      </c>
      <c r="C139" s="114">
        <v>40695</v>
      </c>
      <c r="D139">
        <v>-0.15147430723701927</v>
      </c>
      <c r="E139">
        <v>-0.20646747584161471</v>
      </c>
    </row>
    <row r="140" spans="1:5">
      <c r="A140" s="2">
        <v>2011</v>
      </c>
      <c r="B140" s="2">
        <v>7</v>
      </c>
      <c r="C140" s="114">
        <v>40725</v>
      </c>
      <c r="D140">
        <v>-0.25172181867097132</v>
      </c>
      <c r="E140">
        <v>-0.3428063830539585</v>
      </c>
    </row>
    <row r="141" spans="1:5">
      <c r="A141" s="2">
        <v>2011</v>
      </c>
      <c r="B141" s="2">
        <v>8</v>
      </c>
      <c r="C141" s="114">
        <v>40756</v>
      </c>
      <c r="D141">
        <v>-0.26209846650524593</v>
      </c>
      <c r="E141">
        <v>-0.35595619981961873</v>
      </c>
    </row>
    <row r="142" spans="1:5">
      <c r="A142" s="2">
        <v>2011</v>
      </c>
      <c r="B142" s="2">
        <v>9</v>
      </c>
      <c r="C142" s="114">
        <v>40787</v>
      </c>
      <c r="D142">
        <v>-7.1719128329297721E-2</v>
      </c>
      <c r="E142">
        <v>-9.7254146001804223E-2</v>
      </c>
    </row>
    <row r="143" spans="1:5">
      <c r="A143" s="2">
        <v>2011</v>
      </c>
      <c r="B143" s="2">
        <v>10</v>
      </c>
      <c r="C143" s="114">
        <v>40817</v>
      </c>
      <c r="D143">
        <v>2.2224912563895138E-2</v>
      </c>
      <c r="E143">
        <v>3.0200207018987554E-2</v>
      </c>
    </row>
    <row r="144" spans="1:5">
      <c r="A144" s="2">
        <v>2011</v>
      </c>
      <c r="B144" s="2">
        <v>11</v>
      </c>
      <c r="C144" s="114">
        <v>40848</v>
      </c>
      <c r="D144">
        <v>4.598601022329829E-2</v>
      </c>
      <c r="E144">
        <v>6.2540608015791047E-2</v>
      </c>
    </row>
    <row r="145" spans="1:7">
      <c r="A145" s="2">
        <v>2011</v>
      </c>
      <c r="B145" s="2">
        <v>12</v>
      </c>
      <c r="C145" s="114">
        <v>40878</v>
      </c>
      <c r="D145">
        <v>-3.8130212536992225E-2</v>
      </c>
      <c r="E145">
        <v>-5.1985007539565982E-2</v>
      </c>
    </row>
    <row r="146" spans="1:7">
      <c r="A146" s="2">
        <v>2012</v>
      </c>
      <c r="B146" s="2">
        <v>1</v>
      </c>
      <c r="C146" s="114">
        <v>40909</v>
      </c>
      <c r="D146">
        <v>-5.3814904492870408E-2</v>
      </c>
      <c r="E146">
        <v>-7.3047384820002781E-2</v>
      </c>
    </row>
    <row r="147" spans="1:7">
      <c r="A147" s="2">
        <v>2012</v>
      </c>
      <c r="B147" s="2">
        <v>2</v>
      </c>
      <c r="C147" s="114">
        <v>40940</v>
      </c>
      <c r="D147">
        <v>2.7468388485337947E-2</v>
      </c>
      <c r="E147">
        <v>3.7121651536140748E-2</v>
      </c>
    </row>
    <row r="148" spans="1:7">
      <c r="A148" s="2">
        <v>2012</v>
      </c>
      <c r="B148" s="2">
        <v>3</v>
      </c>
      <c r="C148" s="114">
        <v>40969</v>
      </c>
      <c r="D148">
        <v>0.14059994619316685</v>
      </c>
      <c r="E148">
        <v>0.18857905264873159</v>
      </c>
    </row>
    <row r="149" spans="1:7">
      <c r="A149" s="2">
        <v>2012</v>
      </c>
      <c r="B149" s="2">
        <v>4</v>
      </c>
      <c r="C149" s="114">
        <v>41000</v>
      </c>
      <c r="D149">
        <v>-4.4022060801721441E-2</v>
      </c>
      <c r="E149">
        <v>-5.8866555703007306E-2</v>
      </c>
    </row>
    <row r="150" spans="1:7">
      <c r="A150" s="2">
        <v>2012</v>
      </c>
      <c r="B150" s="2">
        <v>5</v>
      </c>
      <c r="C150" s="114">
        <v>41030</v>
      </c>
      <c r="D150">
        <v>0.20936507936507942</v>
      </c>
      <c r="E150">
        <v>0.28029311982826777</v>
      </c>
    </row>
    <row r="151" spans="1:7">
      <c r="A151" s="2">
        <v>2012</v>
      </c>
      <c r="B151" s="2">
        <v>6</v>
      </c>
      <c r="C151" s="114">
        <v>41061</v>
      </c>
      <c r="D151">
        <v>0.18490718321226796</v>
      </c>
      <c r="E151">
        <v>0.24791299369047007</v>
      </c>
    </row>
    <row r="152" spans="1:7">
      <c r="A152" s="2">
        <v>2012</v>
      </c>
      <c r="B152" s="2">
        <v>7</v>
      </c>
      <c r="C152" s="114">
        <v>41091</v>
      </c>
      <c r="D152">
        <v>-4.1993543179983384E-2</v>
      </c>
      <c r="E152">
        <v>-5.6394455896573902E-2</v>
      </c>
    </row>
    <row r="153" spans="1:7">
      <c r="A153" s="2">
        <v>2012</v>
      </c>
      <c r="B153" s="2">
        <v>8</v>
      </c>
      <c r="C153" s="114">
        <v>41122</v>
      </c>
      <c r="D153">
        <v>-4.5434490180253029E-2</v>
      </c>
      <c r="E153">
        <v>-6.0677731165812113E-2</v>
      </c>
    </row>
    <row r="154" spans="1:7">
      <c r="A154" s="2">
        <v>2012</v>
      </c>
      <c r="B154" s="2">
        <v>9</v>
      </c>
      <c r="C154" s="114">
        <v>41153</v>
      </c>
      <c r="D154">
        <v>-7.677966101694933E-2</v>
      </c>
      <c r="E154">
        <v>-0.10208366680673366</v>
      </c>
    </row>
    <row r="155" spans="1:7">
      <c r="A155" s="2">
        <v>2012</v>
      </c>
      <c r="B155" s="2">
        <v>10</v>
      </c>
      <c r="C155" s="114">
        <v>41183</v>
      </c>
      <c r="D155">
        <v>0.30347054075867641</v>
      </c>
      <c r="E155">
        <v>0.40364125743357693</v>
      </c>
    </row>
    <row r="156" spans="1:7">
      <c r="A156" s="2">
        <v>2012</v>
      </c>
      <c r="B156" s="2">
        <v>11</v>
      </c>
      <c r="C156" s="114">
        <v>41214</v>
      </c>
      <c r="D156">
        <v>2.1043852569276655E-2</v>
      </c>
      <c r="E156">
        <v>2.8123338721671429E-2</v>
      </c>
    </row>
    <row r="157" spans="1:7">
      <c r="A157" s="2">
        <v>2012</v>
      </c>
      <c r="B157" s="2">
        <v>12</v>
      </c>
      <c r="C157" s="114">
        <v>41244</v>
      </c>
      <c r="D157">
        <v>-0.10743072370190987</v>
      </c>
      <c r="E157">
        <v>-0.14395981808480934</v>
      </c>
      <c r="F157">
        <v>-0.105518294170642</v>
      </c>
    </row>
    <row r="158" spans="1:7">
      <c r="A158" s="2">
        <v>2013</v>
      </c>
      <c r="B158" s="2">
        <v>1</v>
      </c>
      <c r="C158" s="114">
        <v>41275</v>
      </c>
      <c r="D158">
        <v>-4.7027172450901045E-2</v>
      </c>
      <c r="E158">
        <v>-6.2831757752046094E-2</v>
      </c>
      <c r="F158">
        <v>-2.3153919140464801E-2</v>
      </c>
      <c r="G158">
        <v>-0.111713851125138</v>
      </c>
    </row>
    <row r="159" spans="1:7">
      <c r="A159" s="2">
        <v>2013</v>
      </c>
      <c r="B159" s="2">
        <v>2</v>
      </c>
      <c r="C159" s="114">
        <v>41306</v>
      </c>
      <c r="D159">
        <v>4.2929782082324675E-2</v>
      </c>
      <c r="E159">
        <v>5.6891400907328867E-2</v>
      </c>
      <c r="F159">
        <v>-1.15142349760999E-3</v>
      </c>
      <c r="G159">
        <v>-2.4314277888943501E-2</v>
      </c>
    </row>
    <row r="160" spans="1:7">
      <c r="A160" s="2">
        <v>2013</v>
      </c>
      <c r="B160" s="2">
        <v>3</v>
      </c>
      <c r="C160" s="114">
        <v>41334</v>
      </c>
      <c r="D160">
        <v>6.8399246704331951E-2</v>
      </c>
      <c r="E160">
        <v>9.0407670274338145E-2</v>
      </c>
      <c r="F160">
        <v>-2.1848418884020199E-2</v>
      </c>
      <c r="G160">
        <v>-1.20597406117038E-3</v>
      </c>
    </row>
    <row r="161" spans="1:7">
      <c r="A161" s="2">
        <v>2013</v>
      </c>
      <c r="B161" s="2">
        <v>4</v>
      </c>
      <c r="C161" s="114">
        <v>41365</v>
      </c>
      <c r="D161">
        <v>5.1807909604520308E-2</v>
      </c>
      <c r="E161">
        <v>6.8549102510772189E-2</v>
      </c>
      <c r="F161">
        <v>-4.5401493502091599E-2</v>
      </c>
      <c r="G161">
        <v>-2.2907338687499699E-2</v>
      </c>
    </row>
    <row r="162" spans="1:7">
      <c r="A162" s="2">
        <v>2013</v>
      </c>
      <c r="B162" s="2">
        <v>5</v>
      </c>
      <c r="C162" s="114">
        <v>41395</v>
      </c>
      <c r="D162">
        <v>2.5482916330373584E-2</v>
      </c>
      <c r="E162">
        <v>3.3657534397743549E-2</v>
      </c>
      <c r="F162">
        <v>-6.6584242421290796E-2</v>
      </c>
      <c r="G162">
        <v>-4.75173518096694E-2</v>
      </c>
    </row>
    <row r="163" spans="1:7">
      <c r="A163" s="2">
        <v>2013</v>
      </c>
      <c r="B163" s="2">
        <v>6</v>
      </c>
      <c r="C163" s="114">
        <v>41426</v>
      </c>
      <c r="D163">
        <v>1.1108420769438521E-2</v>
      </c>
      <c r="E163">
        <v>1.4636746807566119E-2</v>
      </c>
      <c r="F163">
        <v>-2.8207126569174699E-2</v>
      </c>
      <c r="G163">
        <v>-6.9520457407809294E-2</v>
      </c>
    </row>
    <row r="164" spans="1:7">
      <c r="A164" s="2">
        <v>2013</v>
      </c>
      <c r="B164" s="2">
        <v>7</v>
      </c>
      <c r="C164" s="114">
        <v>41456</v>
      </c>
      <c r="D164">
        <v>1.648910411622273E-2</v>
      </c>
      <c r="E164">
        <v>2.1717919624233136E-2</v>
      </c>
      <c r="F164">
        <v>-0.149691912104327</v>
      </c>
      <c r="G164">
        <v>-2.9439398211833102E-2</v>
      </c>
    </row>
    <row r="165" spans="1:7">
      <c r="A165" s="2">
        <v>2013</v>
      </c>
      <c r="B165" s="2">
        <v>8</v>
      </c>
      <c r="C165" s="114">
        <v>41487</v>
      </c>
      <c r="D165">
        <v>-0.112052730696798</v>
      </c>
      <c r="E165">
        <v>-0.14740814918189704</v>
      </c>
      <c r="F165">
        <v>-2.3857606617270599E-2</v>
      </c>
      <c r="G165">
        <v>-0.15604372325174001</v>
      </c>
    </row>
    <row r="166" spans="1:7">
      <c r="A166" s="2">
        <v>2013</v>
      </c>
      <c r="B166" s="2">
        <v>9</v>
      </c>
      <c r="C166" s="114">
        <v>41518</v>
      </c>
      <c r="D166">
        <v>1.1019639494215916E-2</v>
      </c>
      <c r="E166">
        <v>1.4479769304267389E-2</v>
      </c>
      <c r="F166">
        <v>3.0094502086721502E-3</v>
      </c>
      <c r="G166">
        <v>-2.4841055699136801E-2</v>
      </c>
    </row>
    <row r="167" spans="1:7">
      <c r="A167" s="2">
        <v>2013</v>
      </c>
      <c r="B167" s="2">
        <v>10</v>
      </c>
      <c r="C167" s="114">
        <v>41548</v>
      </c>
      <c r="D167">
        <v>4.6650524616626665E-2</v>
      </c>
      <c r="E167">
        <v>6.1456901678136826E-2</v>
      </c>
      <c r="F167">
        <v>-9.3492265021455301E-2</v>
      </c>
      <c r="G167">
        <v>3.1415951047094799E-3</v>
      </c>
    </row>
    <row r="168" spans="1:7">
      <c r="A168" s="2">
        <v>2013</v>
      </c>
      <c r="B168" s="2">
        <v>11</v>
      </c>
      <c r="C168" s="114">
        <v>41579</v>
      </c>
      <c r="D168">
        <v>-4.2364810330911773E-2</v>
      </c>
      <c r="E168">
        <v>-5.5925170483084222E-2</v>
      </c>
      <c r="F168">
        <v>-0.130896675191148</v>
      </c>
      <c r="G168">
        <v>-9.7797251906069999E-2</v>
      </c>
    </row>
    <row r="169" spans="1:7">
      <c r="A169" s="2">
        <v>2013</v>
      </c>
      <c r="B169" s="2">
        <v>12</v>
      </c>
      <c r="C169" s="114">
        <v>41609</v>
      </c>
      <c r="D169">
        <v>-7.9031476997578398E-2</v>
      </c>
      <c r="E169">
        <v>-0.10433725765535119</v>
      </c>
      <c r="F169">
        <v>-9.5197006907743006E-2</v>
      </c>
      <c r="G169">
        <v>-0.136935753031667</v>
      </c>
    </row>
    <row r="170" spans="1:7">
      <c r="A170" s="2">
        <v>2014</v>
      </c>
      <c r="B170" s="2">
        <v>1</v>
      </c>
      <c r="C170" s="114">
        <v>41640</v>
      </c>
      <c r="D170">
        <v>-8.1648641377454645E-2</v>
      </c>
      <c r="E170">
        <v>-0.10739290660426327</v>
      </c>
      <c r="F170">
        <v>-7.4256731834148895E-2</v>
      </c>
      <c r="G170">
        <v>-9.9219914332985507E-2</v>
      </c>
    </row>
    <row r="171" spans="1:7">
      <c r="A171" s="2">
        <v>2014</v>
      </c>
      <c r="B171" s="2">
        <v>2</v>
      </c>
      <c r="C171" s="114">
        <v>41671</v>
      </c>
      <c r="D171">
        <v>-6.5934355663168631E-2</v>
      </c>
      <c r="E171">
        <v>-8.6404305038494403E-2</v>
      </c>
      <c r="F171">
        <v>1.7177834125304998E-2</v>
      </c>
      <c r="G171">
        <v>-7.7109585008571097E-2</v>
      </c>
    </row>
    <row r="172" spans="1:7">
      <c r="A172" s="2">
        <v>2014</v>
      </c>
      <c r="B172" s="2">
        <v>3</v>
      </c>
      <c r="C172" s="114">
        <v>41699</v>
      </c>
      <c r="D172">
        <v>1.5042238364272986E-2</v>
      </c>
      <c r="E172">
        <v>1.9586109278625408E-2</v>
      </c>
      <c r="F172">
        <v>0.12642767740226499</v>
      </c>
      <c r="G172">
        <v>1.7723644532777E-2</v>
      </c>
    </row>
    <row r="173" spans="1:7">
      <c r="A173" s="2">
        <v>2014</v>
      </c>
      <c r="B173" s="2">
        <v>4</v>
      </c>
      <c r="C173" s="114">
        <v>41730</v>
      </c>
      <c r="D173">
        <v>0.11602690341673405</v>
      </c>
      <c r="E173">
        <v>0.15057920547820908</v>
      </c>
      <c r="F173">
        <v>0.123251402082273</v>
      </c>
      <c r="G173">
        <v>0.13001617305438701</v>
      </c>
    </row>
    <row r="174" spans="1:7">
      <c r="A174" s="2">
        <v>2014</v>
      </c>
      <c r="B174" s="2">
        <v>5</v>
      </c>
      <c r="C174" s="114">
        <v>41760</v>
      </c>
      <c r="D174">
        <v>0.11345493677697149</v>
      </c>
      <c r="E174">
        <v>0.14672885184156198</v>
      </c>
      <c r="F174">
        <v>3.6964352212244402E-2</v>
      </c>
      <c r="G174">
        <v>0.12630859638108499</v>
      </c>
    </row>
    <row r="175" spans="1:7">
      <c r="A175" s="2">
        <v>2014</v>
      </c>
      <c r="B175" s="2">
        <v>6</v>
      </c>
      <c r="C175" s="114">
        <v>41791</v>
      </c>
      <c r="D175">
        <v>3.1004035512510075E-2</v>
      </c>
      <c r="E175">
        <v>4.0022331724319522E-2</v>
      </c>
      <c r="F175">
        <v>6.9088911265705294E-2</v>
      </c>
      <c r="G175">
        <v>3.78108273945423E-2</v>
      </c>
    </row>
    <row r="176" spans="1:7">
      <c r="A176" s="2">
        <v>2014</v>
      </c>
      <c r="B176" s="2">
        <v>7</v>
      </c>
      <c r="C176" s="114">
        <v>41821</v>
      </c>
      <c r="D176">
        <v>0.10285768092547709</v>
      </c>
      <c r="E176">
        <v>0.13282822895287497</v>
      </c>
      <c r="F176">
        <v>4.4231658766545598E-2</v>
      </c>
      <c r="G176">
        <v>7.0698617651585402E-2</v>
      </c>
    </row>
    <row r="177" spans="1:7">
      <c r="A177" s="2">
        <v>2014</v>
      </c>
      <c r="B177" s="2">
        <v>8</v>
      </c>
      <c r="C177" s="114">
        <v>41852</v>
      </c>
      <c r="D177">
        <v>8.0291094969061394E-2</v>
      </c>
      <c r="E177">
        <v>0.10385971730414748</v>
      </c>
      <c r="F177">
        <v>-2.1375392202459698E-2</v>
      </c>
      <c r="G177">
        <v>4.5337952335664997E-2</v>
      </c>
    </row>
    <row r="178" spans="1:7">
      <c r="A178" s="2">
        <v>2014</v>
      </c>
      <c r="B178" s="2">
        <v>9</v>
      </c>
      <c r="C178" s="114">
        <v>41883</v>
      </c>
      <c r="D178">
        <v>2.0708097928437308E-2</v>
      </c>
      <c r="E178">
        <v>2.676660265990663E-2</v>
      </c>
      <c r="F178">
        <v>-2.6199991456727901E-2</v>
      </c>
      <c r="G178">
        <v>-2.1893543254247898E-2</v>
      </c>
    </row>
    <row r="179" spans="1:7">
      <c r="A179" s="2">
        <v>2014</v>
      </c>
      <c r="B179" s="2">
        <v>10</v>
      </c>
      <c r="C179" s="114">
        <v>41913</v>
      </c>
      <c r="D179">
        <v>2.6774818401937406E-2</v>
      </c>
      <c r="E179">
        <v>3.4695409452529698E-2</v>
      </c>
      <c r="F179">
        <v>-0.13263640629026599</v>
      </c>
      <c r="G179">
        <v>-2.690268040728E-2</v>
      </c>
    </row>
    <row r="180" spans="1:7">
      <c r="A180" s="2">
        <v>2014</v>
      </c>
      <c r="B180" s="2">
        <v>11</v>
      </c>
      <c r="C180" s="114">
        <v>41944</v>
      </c>
      <c r="D180">
        <v>-6.3171374764594557E-2</v>
      </c>
      <c r="E180">
        <v>-8.2303272250371887E-2</v>
      </c>
      <c r="F180">
        <v>-7.6151419900574099E-2</v>
      </c>
      <c r="G180">
        <v>-0.136933099965587</v>
      </c>
    </row>
    <row r="181" spans="1:7">
      <c r="A181" s="2">
        <v>2014</v>
      </c>
      <c r="B181" s="2">
        <v>12</v>
      </c>
      <c r="C181" s="114">
        <v>41974</v>
      </c>
      <c r="D181">
        <v>4.6171643798764705E-3</v>
      </c>
      <c r="E181">
        <v>6.0498082803305342E-3</v>
      </c>
      <c r="F181">
        <v>0.10502103877390601</v>
      </c>
      <c r="G181">
        <v>-7.9066624887909803E-2</v>
      </c>
    </row>
    <row r="182" spans="1:7">
      <c r="A182" s="2">
        <v>2015</v>
      </c>
      <c r="B182" s="2">
        <v>1</v>
      </c>
      <c r="C182" s="114">
        <v>42005</v>
      </c>
      <c r="D182">
        <v>4.4253430185634324E-2</v>
      </c>
      <c r="E182">
        <v>5.8258833148533411E-2</v>
      </c>
      <c r="F182">
        <v>0.17814472813569501</v>
      </c>
      <c r="G182">
        <v>0.10955698491751301</v>
      </c>
    </row>
    <row r="183" spans="1:7">
      <c r="A183" s="2">
        <v>2015</v>
      </c>
      <c r="B183" s="2">
        <v>2</v>
      </c>
      <c r="C183" s="114">
        <v>42036</v>
      </c>
      <c r="D183">
        <v>0.10424804950228683</v>
      </c>
      <c r="E183">
        <v>0.13664718960480096</v>
      </c>
      <c r="F183">
        <v>0.60806136433028302</v>
      </c>
      <c r="G183">
        <v>0.18503533057919899</v>
      </c>
    </row>
    <row r="184" spans="1:7">
      <c r="A184" s="2">
        <v>2015</v>
      </c>
      <c r="B184" s="2">
        <v>3</v>
      </c>
      <c r="C184" s="114">
        <v>42064</v>
      </c>
      <c r="D184">
        <v>0.50881086898036143</v>
      </c>
      <c r="E184">
        <v>0.66299767858603831</v>
      </c>
      <c r="F184">
        <v>0.45385204706903198</v>
      </c>
      <c r="G184">
        <v>0.627844301750758</v>
      </c>
    </row>
    <row r="185" spans="1:7">
      <c r="A185" s="2">
        <v>2015</v>
      </c>
      <c r="B185" s="2">
        <v>4</v>
      </c>
      <c r="C185" s="114">
        <v>42095</v>
      </c>
      <c r="D185">
        <v>0.36550981974710872</v>
      </c>
      <c r="E185">
        <v>0.47530535526951795</v>
      </c>
      <c r="F185">
        <v>0.77919570520724502</v>
      </c>
      <c r="G185">
        <v>0.467667162276582</v>
      </c>
    </row>
    <row r="186" spans="1:7">
      <c r="A186" s="2">
        <v>2015</v>
      </c>
      <c r="B186" s="2">
        <v>5</v>
      </c>
      <c r="C186" s="114">
        <v>42125</v>
      </c>
      <c r="D186">
        <v>0.67210922787193939</v>
      </c>
      <c r="E186">
        <v>0.86957178464955509</v>
      </c>
      <c r="F186">
        <v>0.44987150281911997</v>
      </c>
      <c r="G186">
        <v>0.79884229568441101</v>
      </c>
    </row>
    <row r="187" spans="1:7">
      <c r="A187" s="2">
        <v>2015</v>
      </c>
      <c r="B187" s="2">
        <v>6</v>
      </c>
      <c r="C187" s="114">
        <v>42156</v>
      </c>
      <c r="D187">
        <v>0.35601560398170617</v>
      </c>
      <c r="E187">
        <v>0.45900349857380429</v>
      </c>
      <c r="F187">
        <v>0.69079542354473999</v>
      </c>
      <c r="G187">
        <v>0.459604598843454</v>
      </c>
    </row>
    <row r="188" spans="1:7">
      <c r="A188" s="2">
        <v>2015</v>
      </c>
      <c r="B188" s="2">
        <v>7</v>
      </c>
      <c r="C188" s="114">
        <v>42186</v>
      </c>
      <c r="D188">
        <v>0.65755986010223344</v>
      </c>
      <c r="E188">
        <v>0.84772138626427485</v>
      </c>
      <c r="F188">
        <v>0.61981704330174603</v>
      </c>
      <c r="G188">
        <v>0.70569366134919598</v>
      </c>
    </row>
    <row r="189" spans="1:7">
      <c r="A189" s="2">
        <v>2015</v>
      </c>
      <c r="B189" s="2">
        <v>8</v>
      </c>
      <c r="C189" s="114">
        <v>42217</v>
      </c>
      <c r="D189">
        <v>0.60174603174603236</v>
      </c>
      <c r="E189">
        <v>0.77686686304458585</v>
      </c>
      <c r="F189">
        <v>0.45061385017696498</v>
      </c>
      <c r="G189">
        <v>0.63408254155830501</v>
      </c>
    </row>
    <row r="190" spans="1:7">
      <c r="A190" s="2">
        <v>2015</v>
      </c>
      <c r="B190" s="2">
        <v>9</v>
      </c>
      <c r="C190" s="114">
        <v>42248</v>
      </c>
      <c r="D190">
        <v>0.45303201506591328</v>
      </c>
      <c r="E190">
        <v>0.58578584591962257</v>
      </c>
      <c r="F190">
        <v>0.28043189311934102</v>
      </c>
      <c r="G190">
        <v>0.46170378569414899</v>
      </c>
    </row>
    <row r="191" spans="1:7">
      <c r="A191" s="2">
        <v>2015</v>
      </c>
      <c r="B191" s="2">
        <v>10</v>
      </c>
      <c r="C191" s="114">
        <v>42278</v>
      </c>
      <c r="D191">
        <v>0.28993005111649151</v>
      </c>
      <c r="E191">
        <v>0.37505810155257807</v>
      </c>
      <c r="F191">
        <v>0.27470844748354101</v>
      </c>
      <c r="G191">
        <v>0.28746279389495599</v>
      </c>
    </row>
    <row r="192" spans="1:7">
      <c r="A192" s="2">
        <v>2015</v>
      </c>
      <c r="B192" s="2">
        <v>11</v>
      </c>
      <c r="C192" s="114">
        <v>42309</v>
      </c>
      <c r="D192">
        <v>0.29992736077481852</v>
      </c>
      <c r="E192">
        <v>0.38881143617887376</v>
      </c>
      <c r="F192">
        <v>0.35466455258833102</v>
      </c>
      <c r="G192">
        <v>0.28219146781328902</v>
      </c>
    </row>
    <row r="193" spans="1:7">
      <c r="A193" s="2">
        <v>2015</v>
      </c>
      <c r="B193" s="2">
        <v>12</v>
      </c>
      <c r="C193" s="114">
        <v>42339</v>
      </c>
      <c r="D193">
        <v>0.38806295399515811</v>
      </c>
      <c r="E193">
        <v>0.50479110926390147</v>
      </c>
      <c r="F193">
        <v>0.50823295284289904</v>
      </c>
      <c r="G193">
        <v>0.36557477047072301</v>
      </c>
    </row>
    <row r="194" spans="1:7">
      <c r="A194" s="2">
        <v>2016</v>
      </c>
      <c r="B194" s="2">
        <v>1</v>
      </c>
      <c r="C194" s="114">
        <v>42370</v>
      </c>
      <c r="D194">
        <v>0.51796852300242069</v>
      </c>
      <c r="E194">
        <v>0.67265990241553031</v>
      </c>
      <c r="F194">
        <v>0.32882088825713202</v>
      </c>
      <c r="G194">
        <v>0.52300267662822097</v>
      </c>
    </row>
    <row r="195" spans="1:7">
      <c r="A195" s="2">
        <v>2016</v>
      </c>
      <c r="B195" s="2">
        <v>2</v>
      </c>
      <c r="C195" s="114">
        <v>42401</v>
      </c>
      <c r="D195">
        <v>0.34825692762980864</v>
      </c>
      <c r="E195">
        <v>0.4518919711898261</v>
      </c>
      <c r="F195">
        <v>0.33095364677932099</v>
      </c>
      <c r="G195">
        <v>0.33809844915662801</v>
      </c>
    </row>
    <row r="196" spans="1:7">
      <c r="A196" s="2">
        <v>2016</v>
      </c>
      <c r="B196" s="2">
        <v>3</v>
      </c>
      <c r="C196" s="114">
        <v>42430</v>
      </c>
      <c r="D196">
        <v>0.33985875706214674</v>
      </c>
      <c r="E196">
        <v>0.43910387366699033</v>
      </c>
      <c r="F196">
        <v>0.327058690050679</v>
      </c>
      <c r="G196">
        <v>0.33883237044347297</v>
      </c>
    </row>
    <row r="197" spans="1:7">
      <c r="A197" s="2">
        <v>2016</v>
      </c>
      <c r="B197" s="2">
        <v>4</v>
      </c>
      <c r="C197" s="114">
        <v>42461</v>
      </c>
      <c r="D197">
        <v>0.33274630078019873</v>
      </c>
      <c r="E197">
        <v>0.42788581134135745</v>
      </c>
      <c r="F197">
        <v>0.18948785166042301</v>
      </c>
      <c r="G197">
        <v>0.33326465948502099</v>
      </c>
    </row>
    <row r="198" spans="1:7">
      <c r="A198" s="2">
        <v>2016</v>
      </c>
      <c r="B198" s="2">
        <v>5</v>
      </c>
      <c r="C198" s="114">
        <v>42491</v>
      </c>
      <c r="D198">
        <v>0.19496045197740131</v>
      </c>
      <c r="E198">
        <v>0.24969373897547353</v>
      </c>
      <c r="F198">
        <v>0.16441491476351899</v>
      </c>
      <c r="G198">
        <v>0.192305374133276</v>
      </c>
    </row>
    <row r="199" spans="1:7">
      <c r="A199" s="2">
        <v>2016</v>
      </c>
      <c r="B199" s="2">
        <v>6</v>
      </c>
      <c r="C199" s="114">
        <v>42522</v>
      </c>
      <c r="D199">
        <v>0.16878181329028763</v>
      </c>
      <c r="E199">
        <v>0.2154580540741193</v>
      </c>
      <c r="F199">
        <v>0.28642967311804701</v>
      </c>
      <c r="G199">
        <v>0.166313390013445</v>
      </c>
    </row>
    <row r="200" spans="1:7">
      <c r="A200" s="2">
        <v>2016</v>
      </c>
      <c r="B200" s="2">
        <v>7</v>
      </c>
      <c r="C200" s="114">
        <v>42552</v>
      </c>
      <c r="D200">
        <v>0.31896690879741696</v>
      </c>
      <c r="E200">
        <v>0.40783644379128814</v>
      </c>
      <c r="F200">
        <v>0.17348329530142001</v>
      </c>
      <c r="G200">
        <v>0.29020662905336397</v>
      </c>
    </row>
    <row r="201" spans="1:7">
      <c r="A201" s="2">
        <v>2016</v>
      </c>
      <c r="B201" s="2">
        <v>8</v>
      </c>
      <c r="C201" s="114">
        <v>42583</v>
      </c>
      <c r="D201">
        <v>0.21318213613128867</v>
      </c>
      <c r="E201">
        <v>0.27232814338298983</v>
      </c>
      <c r="F201">
        <v>0.185012515960049</v>
      </c>
      <c r="G201">
        <v>0.17560961796719701</v>
      </c>
    </row>
    <row r="202" spans="1:7">
      <c r="A202" s="2">
        <v>2016</v>
      </c>
      <c r="B202" s="2">
        <v>9</v>
      </c>
      <c r="C202" s="114">
        <v>42614</v>
      </c>
      <c r="D202">
        <v>0.22181409739036839</v>
      </c>
      <c r="E202">
        <v>0.28267543598170897</v>
      </c>
      <c r="F202">
        <v>0.21837810267514701</v>
      </c>
      <c r="G202">
        <v>0.186831007188793</v>
      </c>
    </row>
    <row r="203" spans="1:7">
      <c r="A203" s="2">
        <v>2016</v>
      </c>
      <c r="B203" s="2">
        <v>10</v>
      </c>
      <c r="C203" s="114">
        <v>42644</v>
      </c>
      <c r="D203">
        <v>0.2550489642184548</v>
      </c>
      <c r="E203">
        <v>0.32462455836931525</v>
      </c>
      <c r="F203">
        <v>0.20396325060229301</v>
      </c>
      <c r="G203">
        <v>0.220249948538667</v>
      </c>
    </row>
    <row r="204" spans="1:7">
      <c r="A204" s="2">
        <v>2016</v>
      </c>
      <c r="B204" s="2">
        <v>11</v>
      </c>
      <c r="C204" s="114">
        <v>42675</v>
      </c>
      <c r="D204">
        <v>0.24578315846112475</v>
      </c>
      <c r="E204">
        <v>0.31331845946349418</v>
      </c>
      <c r="F204">
        <v>7.1856865339744599E-2</v>
      </c>
      <c r="G204">
        <v>0.20603201310979999</v>
      </c>
    </row>
    <row r="205" spans="1:7">
      <c r="A205" s="2">
        <v>2016</v>
      </c>
      <c r="B205" s="2">
        <v>12</v>
      </c>
      <c r="C205" s="114">
        <v>42705</v>
      </c>
      <c r="D205">
        <v>0.11390018832391657</v>
      </c>
      <c r="E205">
        <v>0.14514971023645473</v>
      </c>
      <c r="F205">
        <v>0.12060912993740699</v>
      </c>
      <c r="G205">
        <v>7.2561945503061206E-2</v>
      </c>
    </row>
    <row r="206" spans="1:7">
      <c r="A206" s="2">
        <v>2017</v>
      </c>
      <c r="B206" s="2">
        <v>1</v>
      </c>
      <c r="C206" s="114">
        <v>42736</v>
      </c>
      <c r="D206">
        <v>0.10853241861716389</v>
      </c>
      <c r="E206">
        <v>0.13750788698833974</v>
      </c>
      <c r="F206">
        <v>0.268530506471438</v>
      </c>
      <c r="G206">
        <v>0.121086919678758</v>
      </c>
    </row>
    <row r="207" spans="1:7">
      <c r="A207" s="2">
        <v>2017</v>
      </c>
      <c r="B207" s="2">
        <v>2</v>
      </c>
      <c r="C207" s="114">
        <v>42767</v>
      </c>
      <c r="D207">
        <v>0.26299381221415108</v>
      </c>
      <c r="E207">
        <v>0.33216162854209541</v>
      </c>
      <c r="F207">
        <v>0.37326225427978998</v>
      </c>
      <c r="G207">
        <v>0.26874876749565102</v>
      </c>
    </row>
    <row r="208" spans="1:7">
      <c r="A208" s="2">
        <v>2017</v>
      </c>
      <c r="B208" s="2">
        <v>3</v>
      </c>
      <c r="C208" s="114">
        <v>42795</v>
      </c>
      <c r="D208">
        <v>0.36126392251815931</v>
      </c>
      <c r="E208">
        <v>0.45590638391591742</v>
      </c>
      <c r="F208">
        <v>0.27924770549092598</v>
      </c>
      <c r="G208">
        <v>0.37326225427978998</v>
      </c>
    </row>
    <row r="209" spans="1:7">
      <c r="A209" s="2">
        <v>2017</v>
      </c>
      <c r="B209" s="2">
        <v>4</v>
      </c>
      <c r="C209" s="114">
        <v>42826</v>
      </c>
      <c r="D209">
        <v>0.26965079365079392</v>
      </c>
      <c r="E209">
        <v>0.33928665216229659</v>
      </c>
      <c r="F209">
        <v>0.344683263135527</v>
      </c>
      <c r="G209">
        <v>0.27842203565455098</v>
      </c>
    </row>
    <row r="210" spans="1:7">
      <c r="A210" s="2">
        <v>2017</v>
      </c>
      <c r="B210" s="2">
        <v>5</v>
      </c>
      <c r="C210" s="114">
        <v>42856</v>
      </c>
      <c r="D210">
        <v>0.33812832929782033</v>
      </c>
      <c r="E210">
        <v>0.42508481162487149</v>
      </c>
      <c r="F210">
        <v>0.36752614199711497</v>
      </c>
      <c r="G210">
        <v>0.34337062936222201</v>
      </c>
    </row>
    <row r="211" spans="1:7">
      <c r="A211" s="2">
        <v>2017</v>
      </c>
      <c r="B211" s="2">
        <v>6</v>
      </c>
      <c r="C211" s="114">
        <v>42887</v>
      </c>
      <c r="D211">
        <v>0.36649448479957014</v>
      </c>
      <c r="E211">
        <v>0.46032832411164715</v>
      </c>
      <c r="F211">
        <v>0.337946815160523</v>
      </c>
      <c r="G211">
        <v>0.36579470084316901</v>
      </c>
    </row>
    <row r="212" spans="1:7">
      <c r="A212" s="2">
        <v>2017</v>
      </c>
      <c r="B212" s="2">
        <v>7</v>
      </c>
      <c r="C212" s="114">
        <v>42917</v>
      </c>
      <c r="D212">
        <v>0.30904761904761968</v>
      </c>
      <c r="E212">
        <v>0.38844129157713347</v>
      </c>
      <c r="F212">
        <v>0.31248795805786</v>
      </c>
      <c r="G212">
        <v>0.33658694321958998</v>
      </c>
    </row>
    <row r="213" spans="1:7">
      <c r="A213" s="2">
        <v>2017</v>
      </c>
      <c r="B213" s="2">
        <v>8</v>
      </c>
      <c r="C213" s="114">
        <v>42948</v>
      </c>
      <c r="D213">
        <v>0.31193274145816519</v>
      </c>
      <c r="E213">
        <v>0.39089707312743671</v>
      </c>
      <c r="F213">
        <v>0.177476739252314</v>
      </c>
      <c r="G213">
        <v>0.31030134801161802</v>
      </c>
    </row>
    <row r="214" spans="1:7">
      <c r="A214" s="2">
        <v>2017</v>
      </c>
      <c r="B214" s="2">
        <v>9</v>
      </c>
      <c r="C214" s="114">
        <v>42979</v>
      </c>
      <c r="D214">
        <v>0.16714743072370286</v>
      </c>
      <c r="E214">
        <v>0.20835680056313485</v>
      </c>
      <c r="F214">
        <v>0.24414501876174</v>
      </c>
      <c r="G214">
        <v>0.17530662755482099</v>
      </c>
    </row>
    <row r="215" spans="1:7">
      <c r="A215" s="2">
        <v>2017</v>
      </c>
      <c r="B215" s="2">
        <v>10</v>
      </c>
      <c r="C215" s="114">
        <v>43009</v>
      </c>
      <c r="D215">
        <v>0.23561205273069641</v>
      </c>
      <c r="E215">
        <v>0.29388678429965615</v>
      </c>
      <c r="F215">
        <v>0.34790524184713201</v>
      </c>
      <c r="G215">
        <v>0.24131223458374701</v>
      </c>
    </row>
    <row r="216" spans="1:7">
      <c r="A216" s="2">
        <v>2017</v>
      </c>
      <c r="B216" s="2">
        <v>11</v>
      </c>
      <c r="C216" s="114">
        <v>43040</v>
      </c>
      <c r="D216">
        <v>0.20188806759214462</v>
      </c>
      <c r="E216">
        <v>0.25181560570701111</v>
      </c>
      <c r="F216">
        <v>0.32786375671425699</v>
      </c>
      <c r="G216">
        <v>0.343860176461463</v>
      </c>
    </row>
    <row r="217" spans="1:7">
      <c r="A217" s="2">
        <v>2017</v>
      </c>
      <c r="B217" s="2">
        <v>12</v>
      </c>
      <c r="C217" s="114">
        <v>43070</v>
      </c>
      <c r="D217">
        <v>0.18506176397632501</v>
      </c>
      <c r="E217">
        <v>0.23096387363648119</v>
      </c>
      <c r="F217">
        <v>0.18739181459406701</v>
      </c>
      <c r="G217">
        <v>0.32424231211035198</v>
      </c>
    </row>
    <row r="218" spans="1:7">
      <c r="A218" s="2">
        <v>2018</v>
      </c>
      <c r="B218" s="2">
        <v>1</v>
      </c>
      <c r="C218" s="114">
        <v>43101</v>
      </c>
      <c r="D218">
        <v>0.16728382196933023</v>
      </c>
      <c r="E218">
        <v>0.20764515158986796</v>
      </c>
      <c r="F218">
        <v>0.316351915122076</v>
      </c>
      <c r="G218">
        <v>0.184317847030254</v>
      </c>
    </row>
    <row r="219" spans="1:7">
      <c r="A219" s="2">
        <v>2018</v>
      </c>
      <c r="B219" s="2">
        <v>2</v>
      </c>
      <c r="C219" s="114">
        <v>43132</v>
      </c>
      <c r="D219">
        <v>0.27907263014796868</v>
      </c>
      <c r="E219">
        <v>0.34484200308547563</v>
      </c>
      <c r="F219">
        <v>0.37786652907240897</v>
      </c>
      <c r="G219">
        <v>0.30975783565943099</v>
      </c>
    </row>
    <row r="220" spans="1:7">
      <c r="A220" s="2">
        <v>2018</v>
      </c>
      <c r="B220" s="2">
        <v>3</v>
      </c>
      <c r="C220" s="114">
        <v>43160</v>
      </c>
      <c r="D220">
        <v>0.34604411252623013</v>
      </c>
      <c r="E220">
        <v>0.42663206418273303</v>
      </c>
      <c r="F220">
        <v>0.35271430288065703</v>
      </c>
      <c r="G220">
        <v>0.36915552407247498</v>
      </c>
    </row>
    <row r="221" spans="1:7">
      <c r="A221" s="2">
        <v>2018</v>
      </c>
      <c r="B221" s="2">
        <v>4</v>
      </c>
      <c r="C221" s="114">
        <v>43191</v>
      </c>
      <c r="D221">
        <v>0.30901885846112442</v>
      </c>
      <c r="E221">
        <v>0.37947578968170559</v>
      </c>
      <c r="F221">
        <v>0.29699002684338299</v>
      </c>
      <c r="G221">
        <v>0.343218809147251</v>
      </c>
    </row>
    <row r="222" spans="1:7">
      <c r="A222" s="2">
        <v>2018</v>
      </c>
      <c r="B222" s="2">
        <v>5</v>
      </c>
      <c r="C222" s="114">
        <v>43221</v>
      </c>
      <c r="D222">
        <v>0.21081546863061629</v>
      </c>
      <c r="E222">
        <v>0.2578096175058045</v>
      </c>
      <c r="F222">
        <v>0.29193051001916498</v>
      </c>
      <c r="G222">
        <v>0.28779777069829898</v>
      </c>
    </row>
    <row r="223" spans="1:7">
      <c r="A223" s="2">
        <v>2018</v>
      </c>
      <c r="B223" s="2">
        <v>6</v>
      </c>
      <c r="C223" s="114">
        <v>43252</v>
      </c>
      <c r="D223">
        <v>0.1924038463545874</v>
      </c>
      <c r="E223">
        <v>0.23491931715972625</v>
      </c>
      <c r="F223">
        <v>0.26241731899347398</v>
      </c>
      <c r="G223">
        <v>0.28244467128796302</v>
      </c>
    </row>
    <row r="224" spans="1:7">
      <c r="A224" s="2">
        <v>2018</v>
      </c>
      <c r="B224" s="2">
        <v>7</v>
      </c>
      <c r="C224" s="114">
        <v>43282</v>
      </c>
      <c r="D224">
        <v>0.13250400949690544</v>
      </c>
      <c r="E224">
        <v>0.16177250186869516</v>
      </c>
      <c r="F224">
        <v>0.22248000662574699</v>
      </c>
      <c r="G224">
        <v>0.25387333947575902</v>
      </c>
    </row>
    <row r="225" spans="1:7">
      <c r="A225" s="2">
        <v>2018</v>
      </c>
      <c r="B225" s="2">
        <v>8</v>
      </c>
      <c r="C225" s="114">
        <v>43313</v>
      </c>
      <c r="D225">
        <v>9.0662201587301539E-2</v>
      </c>
      <c r="E225">
        <v>0.11062689959216744</v>
      </c>
      <c r="F225">
        <v>0.25272024312338998</v>
      </c>
      <c r="G225">
        <v>0.21511682951688199</v>
      </c>
    </row>
    <row r="226" spans="1:7">
      <c r="A226" s="2">
        <v>2018</v>
      </c>
      <c r="B226" s="2">
        <v>9</v>
      </c>
      <c r="C226" s="114">
        <v>43344</v>
      </c>
      <c r="D226">
        <v>0.12625084834544076</v>
      </c>
      <c r="E226">
        <v>0.15387370715812576</v>
      </c>
      <c r="F226">
        <v>0.41526961345998697</v>
      </c>
      <c r="G226">
        <v>0.244072619499069</v>
      </c>
    </row>
    <row r="227" spans="1:7">
      <c r="A227" s="2">
        <v>2018</v>
      </c>
      <c r="B227" s="2">
        <v>10</v>
      </c>
      <c r="C227" s="114">
        <v>43374</v>
      </c>
      <c r="D227">
        <v>0.28360355213882249</v>
      </c>
      <c r="E227">
        <v>0.34504453996917039</v>
      </c>
      <c r="F227">
        <v>0.49503601740210801</v>
      </c>
      <c r="G227">
        <v>0.40035252004333299</v>
      </c>
    </row>
    <row r="228" spans="1:7">
      <c r="A228" s="2">
        <v>2018</v>
      </c>
      <c r="B228" s="2">
        <v>11</v>
      </c>
      <c r="C228" s="114">
        <v>43405</v>
      </c>
      <c r="D228">
        <v>0.37631216512779142</v>
      </c>
      <c r="E228">
        <v>0.45937652321091543</v>
      </c>
      <c r="F228">
        <v>0.52074441922833203</v>
      </c>
      <c r="G228">
        <v>0.478857458314426</v>
      </c>
    </row>
    <row r="229" spans="1:7">
      <c r="A229" s="2">
        <v>2018</v>
      </c>
      <c r="B229" s="2">
        <v>12</v>
      </c>
      <c r="C229" s="114">
        <v>43435</v>
      </c>
      <c r="D229">
        <v>0.39312123330104987</v>
      </c>
      <c r="E229">
        <v>0.48143358146010801</v>
      </c>
      <c r="F229">
        <v>0.45386256122805702</v>
      </c>
      <c r="G229">
        <v>0.50533970518318205</v>
      </c>
    </row>
    <row r="230" spans="1:7">
      <c r="A230" s="2">
        <v>2019</v>
      </c>
      <c r="B230" s="2">
        <v>1</v>
      </c>
      <c r="C230" s="114">
        <v>43466</v>
      </c>
      <c r="D230">
        <v>0.37041364404627397</v>
      </c>
      <c r="E230">
        <v>0.45276163344362275</v>
      </c>
      <c r="F230">
        <v>0.39553324930328998</v>
      </c>
      <c r="G230">
        <v>0.439598216572756</v>
      </c>
    </row>
    <row r="231" spans="1:7">
      <c r="A231" s="2">
        <v>2019</v>
      </c>
      <c r="B231" s="2">
        <v>2</v>
      </c>
      <c r="C231" s="114">
        <v>43497</v>
      </c>
      <c r="D231">
        <v>0.30391891960720985</v>
      </c>
      <c r="E231">
        <v>0.36992055382817141</v>
      </c>
      <c r="F231">
        <v>0.28781429902715</v>
      </c>
      <c r="G231">
        <v>0.38148954692451598</v>
      </c>
    </row>
    <row r="232" spans="1:7">
      <c r="A232" s="2">
        <v>2019</v>
      </c>
      <c r="B232" s="2">
        <v>3</v>
      </c>
      <c r="C232" s="114">
        <v>43525</v>
      </c>
      <c r="D232">
        <v>0.19229395323648069</v>
      </c>
      <c r="E232">
        <v>0.23274117782795278</v>
      </c>
      <c r="F232">
        <v>0.57594647688275402</v>
      </c>
      <c r="G232">
        <v>0.27603800881628898</v>
      </c>
    </row>
    <row r="233" spans="1:7">
      <c r="A233" s="2">
        <v>2019</v>
      </c>
      <c r="B233" s="2">
        <v>4</v>
      </c>
      <c r="C233" s="114">
        <v>43556</v>
      </c>
      <c r="D233">
        <v>0.48298806138821604</v>
      </c>
      <c r="E233">
        <v>0.58150100895085777</v>
      </c>
      <c r="F233">
        <v>0.62705490365498795</v>
      </c>
      <c r="G233">
        <v>0.54947143789226405</v>
      </c>
    </row>
    <row r="234" spans="1:7">
      <c r="A234" s="2">
        <v>2019</v>
      </c>
      <c r="B234" s="2">
        <v>5</v>
      </c>
      <c r="C234" s="114">
        <v>43586</v>
      </c>
      <c r="D234">
        <v>0.53728820061877913</v>
      </c>
      <c r="E234">
        <v>0.64550238965910844</v>
      </c>
      <c r="F234">
        <v>0.52744236530063104</v>
      </c>
      <c r="G234">
        <v>0.59695973543097602</v>
      </c>
    </row>
    <row r="235" spans="1:7">
      <c r="A235" s="2">
        <v>2019</v>
      </c>
      <c r="B235" s="2">
        <v>6</v>
      </c>
      <c r="C235" s="114">
        <v>43617</v>
      </c>
      <c r="D235">
        <v>0.44866565555555571</v>
      </c>
      <c r="E235">
        <v>0.5389232222252156</v>
      </c>
      <c r="F235">
        <v>0.38903161175790602</v>
      </c>
      <c r="G235">
        <v>0.50202807065841804</v>
      </c>
    </row>
    <row r="236" spans="1:7">
      <c r="A236" s="2">
        <v>2019</v>
      </c>
      <c r="B236" s="2">
        <v>7</v>
      </c>
      <c r="C236" s="114">
        <v>43647</v>
      </c>
      <c r="D236">
        <v>0.22348809300511219</v>
      </c>
      <c r="E236">
        <v>0.26799913109032536</v>
      </c>
      <c r="F236">
        <v>0.38257336858790397</v>
      </c>
      <c r="G236">
        <v>0.36966880893861398</v>
      </c>
    </row>
    <row r="237" spans="1:7">
      <c r="A237" s="2">
        <v>2019</v>
      </c>
      <c r="B237" s="2">
        <v>8</v>
      </c>
      <c r="C237" s="114">
        <v>43678</v>
      </c>
      <c r="D237">
        <v>0.23439845158999217</v>
      </c>
      <c r="E237">
        <v>0.28109669548072747</v>
      </c>
      <c r="F237">
        <v>0.55873133741824499</v>
      </c>
      <c r="G237">
        <v>0.36355042460223302</v>
      </c>
    </row>
    <row r="238" spans="1:7">
      <c r="A238" s="2">
        <v>2019</v>
      </c>
      <c r="B238" s="2">
        <v>9</v>
      </c>
      <c r="C238" s="114">
        <v>43709</v>
      </c>
      <c r="D238">
        <v>0.40329003082055426</v>
      </c>
      <c r="E238">
        <v>0.48325724540363041</v>
      </c>
      <c r="F238">
        <v>0.98494253623086903</v>
      </c>
      <c r="G238">
        <v>0.53053353064120701</v>
      </c>
    </row>
    <row r="239" spans="1:7">
      <c r="A239" s="2">
        <v>2019</v>
      </c>
      <c r="B239" s="2">
        <v>10</v>
      </c>
      <c r="C239" s="114">
        <v>43739</v>
      </c>
      <c r="D239">
        <v>0.83710493531342456</v>
      </c>
      <c r="E239">
        <v>1.0008040247480694</v>
      </c>
      <c r="F239">
        <v>0.82868892466078603</v>
      </c>
      <c r="G239">
        <v>0.93310164244100202</v>
      </c>
    </row>
    <row r="240" spans="1:7">
      <c r="A240" s="2">
        <v>2019</v>
      </c>
      <c r="B240" s="2">
        <v>11</v>
      </c>
      <c r="C240" s="114">
        <v>43770</v>
      </c>
      <c r="D240">
        <v>0.68457210707559879</v>
      </c>
      <c r="E240">
        <v>0.81888193507222373</v>
      </c>
      <c r="F240">
        <v>0.51156320418861301</v>
      </c>
      <c r="G240">
        <v>0.78549340814136503</v>
      </c>
    </row>
    <row r="241" spans="1:7">
      <c r="A241" s="2">
        <v>2019</v>
      </c>
      <c r="B241" s="2">
        <v>12</v>
      </c>
      <c r="C241" s="114">
        <v>43800</v>
      </c>
      <c r="D241">
        <v>0.3666156906107072</v>
      </c>
      <c r="E241">
        <v>0.43894330222468769</v>
      </c>
      <c r="F241">
        <v>0.35811411229451501</v>
      </c>
      <c r="G241">
        <v>0.48533945358047198</v>
      </c>
    </row>
    <row r="242" spans="1:7">
      <c r="A242" s="2">
        <v>2020</v>
      </c>
      <c r="B242" s="2">
        <v>1</v>
      </c>
      <c r="C242" s="114">
        <v>43831</v>
      </c>
      <c r="D242">
        <v>0.21136817917675499</v>
      </c>
      <c r="E242">
        <v>0.25208980488307359</v>
      </c>
      <c r="F242">
        <v>0.42158745964577199</v>
      </c>
      <c r="G242">
        <v>0.33844338585156902</v>
      </c>
    </row>
    <row r="243" spans="1:7">
      <c r="A243" s="2">
        <v>2020</v>
      </c>
      <c r="B243" s="2">
        <v>2</v>
      </c>
      <c r="C243" s="114">
        <v>43862</v>
      </c>
      <c r="D243">
        <v>0.27169279349475373</v>
      </c>
      <c r="E243">
        <v>0.32315076453090086</v>
      </c>
      <c r="F243">
        <v>0.434543989646553</v>
      </c>
      <c r="G243">
        <v>0.39734126693842903</v>
      </c>
    </row>
    <row r="244" spans="1:7">
      <c r="A244" s="2">
        <v>2020</v>
      </c>
      <c r="B244" s="2">
        <v>3</v>
      </c>
      <c r="C244" s="114">
        <v>43891</v>
      </c>
      <c r="D244">
        <v>0.32009930412160315</v>
      </c>
      <c r="E244">
        <v>0.38155579101717357</v>
      </c>
      <c r="F244">
        <v>0.38212522484121703</v>
      </c>
      <c r="G244">
        <v>0.41044596098568098</v>
      </c>
    </row>
    <row r="245" spans="1:7">
      <c r="A245" s="2">
        <v>2020</v>
      </c>
      <c r="B245" s="2">
        <v>4</v>
      </c>
      <c r="C245" s="114">
        <v>43922</v>
      </c>
      <c r="D245">
        <v>0.28726583627118663</v>
      </c>
      <c r="E245">
        <v>0.34472370932993324</v>
      </c>
      <c r="F245">
        <v>0.31603039299039098</v>
      </c>
      <c r="G245">
        <v>0.36336391944082402</v>
      </c>
    </row>
    <row r="246" spans="1:7">
      <c r="A246" s="2">
        <v>2020</v>
      </c>
      <c r="B246" s="2">
        <v>5</v>
      </c>
      <c r="C246" s="114">
        <v>43952</v>
      </c>
      <c r="D246">
        <v>0.18266266166801159</v>
      </c>
      <c r="E246">
        <v>0.21919391162842652</v>
      </c>
      <c r="F246">
        <v>0.29781211925669698</v>
      </c>
      <c r="G246">
        <v>0.30050830300806702</v>
      </c>
    </row>
    <row r="247" spans="1:7">
      <c r="A247" s="2">
        <v>2020</v>
      </c>
      <c r="B247" s="2">
        <v>6</v>
      </c>
      <c r="C247" s="114">
        <v>43983</v>
      </c>
      <c r="D247">
        <v>0.17404236666128559</v>
      </c>
      <c r="E247">
        <v>0.20771300283961563</v>
      </c>
      <c r="F247">
        <v>0.33248059866684798</v>
      </c>
      <c r="G247">
        <v>0.28164366725331103</v>
      </c>
    </row>
    <row r="248" spans="1:7">
      <c r="A248" s="2">
        <v>2020</v>
      </c>
      <c r="B248" s="2">
        <v>7</v>
      </c>
      <c r="C248" s="114">
        <v>44013</v>
      </c>
      <c r="D248">
        <v>0.17631462923863328</v>
      </c>
      <c r="E248">
        <v>0.20936583916109755</v>
      </c>
      <c r="F248">
        <v>0.38981772429203998</v>
      </c>
      <c r="G248">
        <v>0.31284750902380198</v>
      </c>
    </row>
    <row r="249" spans="1:7">
      <c r="A249" s="2">
        <v>2020</v>
      </c>
      <c r="B249" s="2">
        <v>8</v>
      </c>
      <c r="C249" s="114">
        <v>44044</v>
      </c>
      <c r="D249">
        <v>0.23846098382566594</v>
      </c>
      <c r="E249">
        <v>0.28227182940245177</v>
      </c>
      <c r="F249">
        <v>0.40029115025338502</v>
      </c>
      <c r="G249">
        <v>0.3656458998612</v>
      </c>
    </row>
    <row r="250" spans="1:7">
      <c r="A250" s="2">
        <v>2020</v>
      </c>
      <c r="B250" s="2">
        <v>9</v>
      </c>
      <c r="C250" s="114">
        <v>44075</v>
      </c>
      <c r="D250">
        <v>0.24964419609362443</v>
      </c>
      <c r="E250">
        <v>0.29509866088950948</v>
      </c>
      <c r="F250">
        <v>0.400130419342558</v>
      </c>
      <c r="G250">
        <v>0.37494768219965302</v>
      </c>
    </row>
    <row r="251" spans="1:7">
      <c r="A251" s="2">
        <v>2020</v>
      </c>
      <c r="B251" s="2">
        <v>10</v>
      </c>
      <c r="C251" s="114">
        <v>44105</v>
      </c>
      <c r="D251">
        <v>0.23945264376647879</v>
      </c>
      <c r="E251">
        <v>0.28293406132493165</v>
      </c>
      <c r="F251">
        <v>0.42300371892468702</v>
      </c>
      <c r="G251">
        <v>0.374641674601498</v>
      </c>
    </row>
    <row r="252" spans="1:7">
      <c r="A252" s="2">
        <v>2020</v>
      </c>
      <c r="B252" s="2">
        <v>11</v>
      </c>
      <c r="C252" s="114">
        <v>44136</v>
      </c>
      <c r="D252">
        <v>0.26428155592682279</v>
      </c>
      <c r="E252">
        <v>0.31246237196300758</v>
      </c>
      <c r="F252">
        <v>0.360575075886642</v>
      </c>
      <c r="G252">
        <v>0.396299911530066</v>
      </c>
    </row>
    <row r="253" spans="1:7">
      <c r="A253" s="2">
        <v>2020</v>
      </c>
      <c r="B253" s="2">
        <v>12</v>
      </c>
      <c r="C253" s="114">
        <v>44166</v>
      </c>
      <c r="D253">
        <v>0.19774671600215221</v>
      </c>
      <c r="E253">
        <v>0.23357774618233748</v>
      </c>
      <c r="F253">
        <v>0.33554159660146698</v>
      </c>
      <c r="G253">
        <v>0.33749458324531201</v>
      </c>
    </row>
    <row r="254" spans="1:7">
      <c r="A254" s="2">
        <v>2021</v>
      </c>
      <c r="B254" s="2">
        <v>1</v>
      </c>
      <c r="C254" s="114">
        <v>44197</v>
      </c>
      <c r="D254">
        <v>0.14669586854452543</v>
      </c>
      <c r="E254">
        <v>0.17254270007478606</v>
      </c>
      <c r="F254">
        <v>0.33997392370405299</v>
      </c>
      <c r="G254">
        <v>0.31273320332834198</v>
      </c>
    </row>
    <row r="255" spans="1:7">
      <c r="A255" s="2">
        <v>2021</v>
      </c>
      <c r="B255" s="2">
        <v>2</v>
      </c>
      <c r="C255" s="114">
        <v>44228</v>
      </c>
      <c r="D255">
        <v>0.14428494344901788</v>
      </c>
      <c r="E255">
        <v>0.16878300332264737</v>
      </c>
      <c r="F255">
        <v>0.37192666444495098</v>
      </c>
      <c r="G255">
        <v>0.31513905181082302</v>
      </c>
    </row>
    <row r="256" spans="1:7">
      <c r="A256" s="2">
        <v>2021</v>
      </c>
      <c r="B256" s="2">
        <v>3</v>
      </c>
      <c r="C256" s="114">
        <v>44256</v>
      </c>
      <c r="D256">
        <v>0.17421876104385303</v>
      </c>
      <c r="E256">
        <v>0.20236585444988919</v>
      </c>
      <c r="F256">
        <v>0.45646057195471601</v>
      </c>
      <c r="G256">
        <v>0.34233282889168798</v>
      </c>
    </row>
    <row r="257" spans="1:7">
      <c r="A257" s="2">
        <v>2021</v>
      </c>
      <c r="B257" s="2">
        <v>4</v>
      </c>
      <c r="C257" s="114">
        <v>44287</v>
      </c>
      <c r="D257">
        <v>0.27378319472693002</v>
      </c>
      <c r="E257">
        <v>0.31542365703127195</v>
      </c>
      <c r="F257">
        <v>0.48737106359253102</v>
      </c>
      <c r="G257">
        <v>0.41671551035794901</v>
      </c>
    </row>
    <row r="258" spans="1:7">
      <c r="A258" s="2">
        <v>2021</v>
      </c>
      <c r="B258" s="2">
        <v>5</v>
      </c>
      <c r="C258" s="114">
        <v>44317</v>
      </c>
      <c r="D258">
        <v>0.28495195071294077</v>
      </c>
      <c r="E258">
        <v>0.32568008925797731</v>
      </c>
      <c r="F258">
        <v>0.51630419373605196</v>
      </c>
      <c r="G258">
        <v>0.44139583823965001</v>
      </c>
    </row>
    <row r="259" spans="1:7">
      <c r="A259" s="2">
        <v>2021</v>
      </c>
      <c r="B259" s="2">
        <v>6</v>
      </c>
      <c r="C259" s="114">
        <v>44348</v>
      </c>
      <c r="D259">
        <v>0.32992370212536981</v>
      </c>
      <c r="E259">
        <v>0.37360857486534449</v>
      </c>
      <c r="F259">
        <v>0.51367737338742003</v>
      </c>
      <c r="G259">
        <v>0.463295295981697</v>
      </c>
    </row>
    <row r="260" spans="1:7">
      <c r="A260" s="2">
        <v>2021</v>
      </c>
      <c r="B260" s="2">
        <v>7</v>
      </c>
      <c r="C260" s="114">
        <v>44378</v>
      </c>
      <c r="D260">
        <v>0.32166273898305064</v>
      </c>
      <c r="E260">
        <v>0.36250992320836833</v>
      </c>
      <c r="F260">
        <v>0.52717302747595995</v>
      </c>
      <c r="G260">
        <v>0.45873143265541499</v>
      </c>
    </row>
    <row r="261" spans="1:7">
      <c r="A261" s="2">
        <v>2021</v>
      </c>
      <c r="B261" s="2">
        <v>8</v>
      </c>
      <c r="C261" s="114">
        <v>44409</v>
      </c>
      <c r="D261">
        <v>0.33676045138552624</v>
      </c>
      <c r="E261">
        <v>0.37874240986023983</v>
      </c>
      <c r="F261">
        <v>0.49641818273842397</v>
      </c>
      <c r="G261">
        <v>0.46981292068000302</v>
      </c>
    </row>
    <row r="262" spans="1:7">
      <c r="A262" s="2">
        <v>2021</v>
      </c>
      <c r="B262" s="2">
        <v>9</v>
      </c>
      <c r="C262" s="114">
        <v>44440</v>
      </c>
      <c r="D262">
        <v>0.32611019580306744</v>
      </c>
      <c r="E262">
        <v>0.36577102567505942</v>
      </c>
      <c r="F262">
        <v>0.47181862154633802</v>
      </c>
      <c r="G262">
        <v>0.44120611486934602</v>
      </c>
    </row>
    <row r="263" spans="1:7">
      <c r="A263" s="2">
        <v>2021</v>
      </c>
      <c r="B263" s="2">
        <v>10</v>
      </c>
      <c r="C263" s="114">
        <v>44470</v>
      </c>
      <c r="D263">
        <v>0.27892133381759487</v>
      </c>
      <c r="E263">
        <v>0.31026543245390537</v>
      </c>
      <c r="F263">
        <v>0.53243533182805802</v>
      </c>
      <c r="G263">
        <v>0.41588729758456999</v>
      </c>
    </row>
    <row r="264" spans="1:7">
      <c r="A264" s="2">
        <v>2021</v>
      </c>
      <c r="B264" s="2">
        <v>11</v>
      </c>
      <c r="C264" s="114">
        <v>44501</v>
      </c>
      <c r="D264">
        <v>0.36239919213344107</v>
      </c>
      <c r="E264">
        <v>0.40115317197061301</v>
      </c>
      <c r="F264">
        <v>0.62683669242998896</v>
      </c>
      <c r="G264">
        <v>0.46702356676433099</v>
      </c>
    </row>
    <row r="265" spans="1:7">
      <c r="A265" s="2">
        <v>2021</v>
      </c>
      <c r="B265" s="2">
        <v>12</v>
      </c>
      <c r="C265" s="114">
        <v>44531</v>
      </c>
      <c r="D265">
        <v>0.458024696572505</v>
      </c>
      <c r="E265">
        <v>0.50545159797691253</v>
      </c>
      <c r="F265">
        <v>0.58108497897963096</v>
      </c>
      <c r="G265">
        <v>0.54814317132274404</v>
      </c>
    </row>
    <row r="266" spans="1:7">
      <c r="A266" s="2">
        <v>2022</v>
      </c>
      <c r="B266" s="2">
        <v>1</v>
      </c>
      <c r="C266" s="114">
        <v>44562</v>
      </c>
      <c r="D266">
        <v>0.41414603098197489</v>
      </c>
      <c r="E266">
        <v>0.45321582760060602</v>
      </c>
      <c r="F266">
        <v>0.443688668670631</v>
      </c>
      <c r="G266">
        <v>0.50389509781400899</v>
      </c>
    </row>
    <row r="267" spans="1:7">
      <c r="A267" s="2">
        <v>2022</v>
      </c>
      <c r="B267" s="2">
        <v>2</v>
      </c>
      <c r="C267" s="114">
        <v>44593</v>
      </c>
      <c r="D267">
        <v>0.27122678340059103</v>
      </c>
      <c r="E267">
        <v>0.29412728106854474</v>
      </c>
      <c r="F267">
        <v>0.75112896347975799</v>
      </c>
      <c r="G267">
        <v>0.38126768004119799</v>
      </c>
    </row>
    <row r="268" spans="1:7">
      <c r="A268" s="2">
        <v>2022</v>
      </c>
      <c r="B268" s="2">
        <v>3</v>
      </c>
      <c r="C268" s="114">
        <v>44621</v>
      </c>
      <c r="D268">
        <v>0.57557329940812485</v>
      </c>
      <c r="E268">
        <v>0.6159469523978699</v>
      </c>
      <c r="F268">
        <v>0.90153444611192601</v>
      </c>
      <c r="G268">
        <v>0.63695111172480501</v>
      </c>
    </row>
    <row r="269" spans="1:7">
      <c r="A269" s="2">
        <v>2022</v>
      </c>
      <c r="B269" s="2">
        <v>4</v>
      </c>
      <c r="C269" s="114">
        <v>44652</v>
      </c>
      <c r="D269">
        <v>0.74686977506053287</v>
      </c>
      <c r="E269">
        <v>0.79482192032295507</v>
      </c>
      <c r="F269">
        <v>0.72946136970173903</v>
      </c>
      <c r="G269">
        <v>0.76024959270217696</v>
      </c>
    </row>
    <row r="270" spans="1:7">
      <c r="A270" s="2">
        <v>2022</v>
      </c>
      <c r="B270" s="2">
        <v>5</v>
      </c>
      <c r="C270" s="114">
        <v>44682</v>
      </c>
      <c r="D270">
        <v>0.56061420664514561</v>
      </c>
      <c r="E270">
        <v>0.59010295581437511</v>
      </c>
      <c r="F270">
        <v>0.65135131243479305</v>
      </c>
      <c r="G270">
        <v>0.60843600800097697</v>
      </c>
    </row>
    <row r="271" spans="1:7">
      <c r="A271" s="2">
        <v>2022</v>
      </c>
      <c r="B271" s="2">
        <v>6</v>
      </c>
      <c r="C271" s="114">
        <v>44713</v>
      </c>
      <c r="D271">
        <v>0.50856900890503098</v>
      </c>
      <c r="E271">
        <v>0.52806657713962624</v>
      </c>
      <c r="F271">
        <v>0.61767055309181895</v>
      </c>
      <c r="G271">
        <v>0.53592374674890597</v>
      </c>
    </row>
    <row r="272" spans="1:7">
      <c r="A272" s="2">
        <v>2022</v>
      </c>
      <c r="B272" s="2">
        <v>7</v>
      </c>
      <c r="C272" s="114">
        <v>44743</v>
      </c>
      <c r="D272">
        <v>0.45957116117837149</v>
      </c>
      <c r="E272">
        <v>0.47724661711009575</v>
      </c>
      <c r="F272">
        <v>0.68105654351754996</v>
      </c>
      <c r="G272">
        <v>0.50827167409556795</v>
      </c>
    </row>
    <row r="273" spans="1:7">
      <c r="A273" s="2">
        <v>2022</v>
      </c>
      <c r="B273" s="2">
        <v>8</v>
      </c>
      <c r="C273" s="114">
        <v>44774</v>
      </c>
      <c r="D273">
        <v>0.54185934409469994</v>
      </c>
      <c r="E273">
        <v>0.56289915709829941</v>
      </c>
      <c r="F273">
        <v>1.02147489129748</v>
      </c>
      <c r="G273">
        <v>0.56062972528073995</v>
      </c>
    </row>
    <row r="274" spans="1:7">
      <c r="A274" s="2">
        <v>2022</v>
      </c>
      <c r="B274" s="2">
        <v>9</v>
      </c>
      <c r="C274" s="114">
        <v>44805</v>
      </c>
      <c r="D274">
        <v>0.89892740973903784</v>
      </c>
      <c r="E274">
        <v>0.93182762958484788</v>
      </c>
      <c r="F274">
        <v>1.47407583070123</v>
      </c>
      <c r="G274">
        <v>0.839049486446515</v>
      </c>
    </row>
    <row r="275" spans="1:7">
      <c r="A275" s="2">
        <v>2022</v>
      </c>
      <c r="B275" s="2">
        <v>10</v>
      </c>
      <c r="C275" s="114">
        <v>44835</v>
      </c>
      <c r="D275">
        <v>1.3527304767285449</v>
      </c>
      <c r="E275">
        <v>1.3965744282295616</v>
      </c>
      <c r="F275">
        <v>0.82378948604757196</v>
      </c>
      <c r="G275">
        <v>1.2059284914727899</v>
      </c>
    </row>
    <row r="276" spans="1:7">
      <c r="A276" s="2">
        <v>2022</v>
      </c>
      <c r="B276" s="2">
        <v>11</v>
      </c>
      <c r="C276" s="114">
        <v>44866</v>
      </c>
      <c r="D276">
        <v>0.71187100586494401</v>
      </c>
      <c r="E276">
        <v>0.73568683805930302</v>
      </c>
      <c r="F276">
        <v>0.52365219850327904</v>
      </c>
      <c r="G276">
        <v>0.67461632417977202</v>
      </c>
    </row>
    <row r="277" spans="1:7">
      <c r="A277" s="2">
        <v>2022</v>
      </c>
      <c r="B277" s="2">
        <v>12</v>
      </c>
      <c r="C277" s="114">
        <v>44896</v>
      </c>
      <c r="D277">
        <v>0.41424173494753846</v>
      </c>
      <c r="E277">
        <v>0.42941865596028289</v>
      </c>
      <c r="G277">
        <v>0.430148989535938</v>
      </c>
    </row>
    <row r="278" spans="1:7">
      <c r="A278" s="2">
        <v>2022</v>
      </c>
      <c r="B278" s="2">
        <v>1</v>
      </c>
      <c r="C278" s="114">
        <v>44927</v>
      </c>
      <c r="D278">
        <v>0.21794929480764003</v>
      </c>
      <c r="E278">
        <v>0.22414238554253907</v>
      </c>
    </row>
    <row r="279" spans="1:7">
      <c r="A279" s="2">
        <v>2022</v>
      </c>
      <c r="B279" s="2">
        <v>2</v>
      </c>
      <c r="C279" s="114">
        <v>44958</v>
      </c>
      <c r="D279">
        <v>0.39255453540489693</v>
      </c>
      <c r="E279">
        <v>0.40146804435101735</v>
      </c>
    </row>
    <row r="280" spans="1:7">
      <c r="A280" s="2">
        <v>2022</v>
      </c>
      <c r="B280" s="2">
        <v>3</v>
      </c>
      <c r="C280" s="114">
        <v>44986</v>
      </c>
      <c r="D280">
        <v>0.55973451926284623</v>
      </c>
      <c r="E280">
        <v>0.57055513350335663</v>
      </c>
    </row>
    <row r="281" spans="1:7">
      <c r="A281" s="2">
        <v>2022</v>
      </c>
      <c r="B281" s="2">
        <v>4</v>
      </c>
      <c r="C281" s="114">
        <v>45017</v>
      </c>
      <c r="D281">
        <v>0.34262340815173475</v>
      </c>
      <c r="E281">
        <v>0.34748893770648492</v>
      </c>
    </row>
    <row r="282" spans="1:7">
      <c r="A282" s="2">
        <v>2022</v>
      </c>
      <c r="B282" s="2">
        <v>5</v>
      </c>
      <c r="C282" s="114">
        <v>45047</v>
      </c>
      <c r="D282">
        <v>0.31962908468657503</v>
      </c>
      <c r="E282">
        <v>0.323353730890724</v>
      </c>
    </row>
    <row r="283" spans="1:7">
      <c r="A283" s="2">
        <v>2022</v>
      </c>
      <c r="B283" s="2">
        <v>6</v>
      </c>
      <c r="C283" s="114">
        <v>45078</v>
      </c>
      <c r="D283">
        <v>0.35197291035243516</v>
      </c>
      <c r="E283">
        <v>0.35492842656573254</v>
      </c>
    </row>
    <row r="284" spans="1:7">
      <c r="A284" s="2">
        <v>2022</v>
      </c>
      <c r="B284" s="2">
        <v>7</v>
      </c>
      <c r="C284" s="114">
        <v>45108</v>
      </c>
      <c r="D284">
        <v>0.33291345380145243</v>
      </c>
      <c r="E284">
        <v>0.33397724499429943</v>
      </c>
    </row>
    <row r="285" spans="1:7">
      <c r="A285" s="2">
        <v>2022</v>
      </c>
      <c r="B285" s="2">
        <v>8</v>
      </c>
      <c r="C285" s="114">
        <v>45139</v>
      </c>
      <c r="D285">
        <v>0.39121127462469696</v>
      </c>
      <c r="E285">
        <v>0.39203313098908604</v>
      </c>
    </row>
    <row r="286" spans="1:7">
      <c r="A286" s="2">
        <v>2022</v>
      </c>
      <c r="B286" s="2">
        <v>9</v>
      </c>
      <c r="C286" s="114">
        <v>45170</v>
      </c>
      <c r="D286">
        <v>0.78679014344901876</v>
      </c>
      <c r="E286">
        <v>0.78648850421913408</v>
      </c>
    </row>
    <row r="287" spans="1:7">
      <c r="A287" s="2">
        <v>2022</v>
      </c>
      <c r="B287" s="2">
        <v>10</v>
      </c>
      <c r="C287" s="114">
        <v>45200</v>
      </c>
      <c r="D287">
        <v>1.0676236112994362</v>
      </c>
      <c r="E287">
        <v>1.0676236112994362</v>
      </c>
    </row>
    <row r="288" spans="1:7">
      <c r="A288" s="2">
        <v>2022</v>
      </c>
      <c r="B288" s="2">
        <v>11</v>
      </c>
      <c r="C288" s="114">
        <v>45231</v>
      </c>
    </row>
    <row r="289" spans="1:3">
      <c r="A289" s="2">
        <v>2022</v>
      </c>
      <c r="B289" s="2">
        <v>12</v>
      </c>
      <c r="C289" s="114">
        <v>45261</v>
      </c>
    </row>
    <row r="290" spans="1:3">
      <c r="C290" s="114">
        <v>45292</v>
      </c>
    </row>
    <row r="291" spans="1:3">
      <c r="C291" s="114">
        <v>45323</v>
      </c>
    </row>
    <row r="292" spans="1:3">
      <c r="C292" s="114">
        <v>45352</v>
      </c>
    </row>
    <row r="293" spans="1:3">
      <c r="C293" s="114">
        <v>45383</v>
      </c>
    </row>
    <row r="294" spans="1:3">
      <c r="C294" s="114">
        <v>45413</v>
      </c>
    </row>
    <row r="295" spans="1:3">
      <c r="C295" s="114">
        <v>45444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6012-358E-D346-8ADF-B6BECB2BE4F5}">
  <dimension ref="A1:E151"/>
  <sheetViews>
    <sheetView workbookViewId="0">
      <selection activeCell="E29" sqref="E29"/>
    </sheetView>
  </sheetViews>
  <sheetFormatPr baseColWidth="10" defaultRowHeight="15"/>
  <cols>
    <col min="2" max="2" width="21.6640625" bestFit="1" customWidth="1"/>
    <col min="3" max="3" width="13.6640625" bestFit="1" customWidth="1"/>
    <col min="4" max="4" width="24.1640625" bestFit="1" customWidth="1"/>
  </cols>
  <sheetData>
    <row r="1" spans="1:5">
      <c r="B1" t="s">
        <v>110</v>
      </c>
      <c r="C1" t="s">
        <v>111</v>
      </c>
      <c r="D1" t="s">
        <v>112</v>
      </c>
    </row>
    <row r="2" spans="1:5">
      <c r="A2" s="114">
        <v>40909</v>
      </c>
      <c r="B2">
        <v>0.23478728920036901</v>
      </c>
      <c r="D2" s="4">
        <v>0.19517406510626845</v>
      </c>
      <c r="E2">
        <v>0.35699999999999998</v>
      </c>
    </row>
    <row r="3" spans="1:5">
      <c r="A3" s="114">
        <v>40940</v>
      </c>
      <c r="B3">
        <v>0.234567905602628</v>
      </c>
      <c r="D3" s="4">
        <v>0.19419128329297819</v>
      </c>
      <c r="E3">
        <v>0.35699999999999998</v>
      </c>
    </row>
    <row r="4" spans="1:5">
      <c r="A4" s="114">
        <v>40969</v>
      </c>
      <c r="B4">
        <v>0.23513926523411</v>
      </c>
      <c r="D4" s="4">
        <v>0.19283777239709438</v>
      </c>
      <c r="E4">
        <v>0.35699999999999998</v>
      </c>
    </row>
    <row r="5" spans="1:5">
      <c r="A5" s="114">
        <v>41000</v>
      </c>
      <c r="B5">
        <v>0.235008757950497</v>
      </c>
      <c r="D5" s="4">
        <v>0.19326446058649446</v>
      </c>
      <c r="E5">
        <v>0.35699999999999998</v>
      </c>
    </row>
    <row r="6" spans="1:5">
      <c r="A6" s="114">
        <v>41030</v>
      </c>
      <c r="B6">
        <v>0.23505203529298099</v>
      </c>
      <c r="D6" s="4">
        <v>0.19304761904761902</v>
      </c>
      <c r="E6">
        <v>0.35699999999999998</v>
      </c>
    </row>
    <row r="7" spans="1:5">
      <c r="A7" s="114">
        <v>41061</v>
      </c>
      <c r="B7">
        <v>0.23524824807335501</v>
      </c>
      <c r="D7" s="4">
        <v>0.1938240516545601</v>
      </c>
      <c r="E7">
        <v>0.35699999999999998</v>
      </c>
    </row>
    <row r="8" spans="1:5">
      <c r="A8" s="114">
        <v>41091</v>
      </c>
      <c r="B8">
        <v>0.23549261341421299</v>
      </c>
      <c r="D8" s="4">
        <v>0.19457842345977938</v>
      </c>
      <c r="E8">
        <v>0.36</v>
      </c>
    </row>
    <row r="9" spans="1:5">
      <c r="A9" s="114">
        <v>41122</v>
      </c>
      <c r="B9">
        <v>0.23482669121808</v>
      </c>
      <c r="D9" s="4">
        <v>0.19356766209308579</v>
      </c>
      <c r="E9">
        <v>0.36</v>
      </c>
    </row>
    <row r="10" spans="1:5">
      <c r="A10" s="114">
        <v>41153</v>
      </c>
      <c r="B10">
        <v>0.23488060886339901</v>
      </c>
      <c r="D10" s="4">
        <v>0.19321092278719396</v>
      </c>
      <c r="E10">
        <v>0.36</v>
      </c>
    </row>
    <row r="11" spans="1:5">
      <c r="A11" s="114">
        <v>41183</v>
      </c>
      <c r="B11">
        <v>0.235005674433583</v>
      </c>
      <c r="D11" s="4">
        <v>0.19234705407586761</v>
      </c>
      <c r="E11">
        <v>0.36</v>
      </c>
    </row>
    <row r="12" spans="1:5">
      <c r="A12" s="114">
        <v>41214</v>
      </c>
      <c r="B12">
        <v>0.235103280397984</v>
      </c>
      <c r="D12" s="4">
        <v>0.19432660747914982</v>
      </c>
      <c r="E12">
        <v>0.36</v>
      </c>
    </row>
    <row r="13" spans="1:5">
      <c r="A13" s="114">
        <v>41244</v>
      </c>
      <c r="B13">
        <v>0.23517376132227699</v>
      </c>
      <c r="D13" s="4">
        <v>0.19525692762980895</v>
      </c>
      <c r="E13">
        <v>0.36</v>
      </c>
    </row>
    <row r="14" spans="1:5">
      <c r="A14" s="114">
        <v>41275</v>
      </c>
      <c r="B14">
        <v>0.20858299086925799</v>
      </c>
      <c r="C14">
        <v>0.39500000000000002</v>
      </c>
      <c r="D14" s="4">
        <v>0.20951950497713207</v>
      </c>
      <c r="E14">
        <v>0.36</v>
      </c>
    </row>
    <row r="15" spans="1:5">
      <c r="A15" s="114">
        <v>41306</v>
      </c>
      <c r="B15">
        <v>0.207844476551277</v>
      </c>
      <c r="C15">
        <v>0.39500000000000002</v>
      </c>
      <c r="D15" s="4">
        <v>0.2079596448748991</v>
      </c>
      <c r="E15">
        <v>0.36</v>
      </c>
    </row>
    <row r="16" spans="1:5">
      <c r="A16" s="114">
        <v>41334</v>
      </c>
      <c r="B16">
        <v>0.20700800850335199</v>
      </c>
      <c r="C16">
        <v>0.39500000000000002</v>
      </c>
      <c r="D16" s="4">
        <v>0.20772881355932202</v>
      </c>
      <c r="E16">
        <v>0.36</v>
      </c>
    </row>
    <row r="17" spans="1:5">
      <c r="A17" s="114">
        <v>41365</v>
      </c>
      <c r="B17">
        <v>0.20820016888689599</v>
      </c>
      <c r="C17">
        <v>0.39500000000000002</v>
      </c>
      <c r="D17" s="4">
        <v>0.20829190207156306</v>
      </c>
      <c r="E17">
        <v>0.36</v>
      </c>
    </row>
    <row r="18" spans="1:5">
      <c r="A18" s="114">
        <v>41395</v>
      </c>
      <c r="B18">
        <v>0.20842286301363699</v>
      </c>
      <c r="C18">
        <v>0.39500000000000002</v>
      </c>
      <c r="D18" s="4">
        <v>0.20821495829970404</v>
      </c>
      <c r="E18">
        <v>0.36</v>
      </c>
    </row>
    <row r="19" spans="1:5">
      <c r="A19" s="114">
        <v>41426</v>
      </c>
      <c r="B19">
        <v>0.208418286817936</v>
      </c>
      <c r="C19">
        <v>0.39500000000000002</v>
      </c>
      <c r="D19" s="4">
        <v>0.20822195318805486</v>
      </c>
      <c r="E19">
        <v>0.36</v>
      </c>
    </row>
    <row r="20" spans="1:5">
      <c r="A20" s="114">
        <v>41456</v>
      </c>
      <c r="B20">
        <v>0.20829328281435999</v>
      </c>
      <c r="C20">
        <v>0.39500000000000002</v>
      </c>
      <c r="D20" s="4">
        <v>0.20431557707828893</v>
      </c>
      <c r="E20">
        <v>0.39500000000000002</v>
      </c>
    </row>
    <row r="21" spans="1:5">
      <c r="A21" s="114">
        <v>41487</v>
      </c>
      <c r="B21">
        <v>0.20868777432017299</v>
      </c>
      <c r="C21">
        <v>0.39500000000000002</v>
      </c>
      <c r="D21" s="4">
        <v>0.20479472693032014</v>
      </c>
      <c r="E21">
        <v>0.39500000000000002</v>
      </c>
    </row>
    <row r="22" spans="1:5">
      <c r="A22" s="114">
        <v>41518</v>
      </c>
      <c r="B22">
        <v>0.20865754239622999</v>
      </c>
      <c r="C22">
        <v>0.39500000000000002</v>
      </c>
      <c r="D22" s="4">
        <v>0.20454640839386598</v>
      </c>
      <c r="E22">
        <v>0.39500000000000002</v>
      </c>
    </row>
    <row r="23" spans="1:5">
      <c r="A23" s="114">
        <v>41548</v>
      </c>
      <c r="B23">
        <v>0.208299647711433</v>
      </c>
      <c r="C23">
        <v>0.39500000000000002</v>
      </c>
      <c r="D23" s="4">
        <v>0.20510949690610705</v>
      </c>
      <c r="E23">
        <v>0.39500000000000002</v>
      </c>
    </row>
    <row r="24" spans="1:5">
      <c r="A24" s="114">
        <v>41579</v>
      </c>
      <c r="B24">
        <v>0.208157241823022</v>
      </c>
      <c r="C24">
        <v>0.39500000000000002</v>
      </c>
      <c r="D24" s="4">
        <v>0.20576351896690878</v>
      </c>
      <c r="E24">
        <v>0.39500000000000002</v>
      </c>
    </row>
    <row r="25" spans="1:5">
      <c r="A25" s="114">
        <v>41609</v>
      </c>
      <c r="B25">
        <v>0.20887022335039801</v>
      </c>
      <c r="C25">
        <v>0.39500000000000002</v>
      </c>
      <c r="D25" s="4">
        <v>0.20576351896690878</v>
      </c>
      <c r="E25">
        <v>0.39500000000000002</v>
      </c>
    </row>
    <row r="26" spans="1:5">
      <c r="A26" s="114">
        <v>41640</v>
      </c>
      <c r="B26">
        <v>0.209981298387306</v>
      </c>
      <c r="C26">
        <v>0.36</v>
      </c>
      <c r="D26" s="4">
        <v>0.21234624697336563</v>
      </c>
      <c r="E26">
        <v>0.39499999999999974</v>
      </c>
    </row>
    <row r="27" spans="1:5">
      <c r="A27" s="114">
        <v>41671</v>
      </c>
      <c r="B27">
        <v>0.21014890374932099</v>
      </c>
      <c r="C27">
        <v>0.36</v>
      </c>
      <c r="D27" s="4">
        <v>0.21213989776701642</v>
      </c>
      <c r="E27">
        <v>0.39499999999999974</v>
      </c>
    </row>
    <row r="28" spans="1:5">
      <c r="A28" s="114">
        <v>41699</v>
      </c>
      <c r="B28">
        <v>0.20928105081328399</v>
      </c>
      <c r="C28">
        <v>0.36</v>
      </c>
      <c r="D28" s="4">
        <v>0.21123755716976059</v>
      </c>
      <c r="E28">
        <v>0.39499999999999974</v>
      </c>
    </row>
    <row r="29" spans="1:5">
      <c r="A29" s="114">
        <v>41730</v>
      </c>
      <c r="B29">
        <v>0.21017270236067201</v>
      </c>
      <c r="C29">
        <v>0.36</v>
      </c>
      <c r="D29" s="4">
        <v>0.21044713478611787</v>
      </c>
      <c r="E29">
        <v>0.39499999999999974</v>
      </c>
    </row>
    <row r="30" spans="1:5">
      <c r="A30" s="114">
        <v>41760</v>
      </c>
      <c r="B30">
        <v>0.21089224390839101</v>
      </c>
      <c r="C30">
        <v>0.36</v>
      </c>
      <c r="D30" s="4">
        <v>0.21041216034436375</v>
      </c>
      <c r="E30">
        <v>0.39499999999999974</v>
      </c>
    </row>
    <row r="31" spans="1:5">
      <c r="A31" s="114">
        <v>41791</v>
      </c>
      <c r="B31">
        <v>0.210549456434349</v>
      </c>
      <c r="C31">
        <v>0.36</v>
      </c>
      <c r="D31" s="4">
        <v>0.21061151466236216</v>
      </c>
      <c r="E31">
        <v>0.39499999999999974</v>
      </c>
    </row>
    <row r="32" spans="1:5">
      <c r="A32" s="114">
        <v>41821</v>
      </c>
      <c r="B32">
        <v>0.210184029309812</v>
      </c>
      <c r="C32">
        <v>0.36</v>
      </c>
      <c r="D32" s="4">
        <v>0.21468576809254775</v>
      </c>
      <c r="E32">
        <v>0.35999999999999993</v>
      </c>
    </row>
    <row r="33" spans="1:5">
      <c r="A33" s="114">
        <v>41852</v>
      </c>
      <c r="B33">
        <v>0.211410263581812</v>
      </c>
      <c r="C33">
        <v>0.36</v>
      </c>
      <c r="D33" s="4">
        <v>0.21520688727468387</v>
      </c>
      <c r="E33">
        <v>0.35999999999999993</v>
      </c>
    </row>
    <row r="34" spans="1:5">
      <c r="A34" s="114">
        <v>41883</v>
      </c>
      <c r="B34">
        <v>0.21024863087992399</v>
      </c>
      <c r="C34">
        <v>0.36</v>
      </c>
      <c r="D34" s="4">
        <v>0.2156930320150659</v>
      </c>
      <c r="E34">
        <v>0.36</v>
      </c>
    </row>
    <row r="35" spans="1:5">
      <c r="A35" s="114">
        <v>41913</v>
      </c>
      <c r="B35">
        <v>0.21019447628087301</v>
      </c>
      <c r="C35">
        <v>0.36</v>
      </c>
      <c r="D35" s="4">
        <v>0.21652192628463812</v>
      </c>
      <c r="E35">
        <v>0.35999999999999993</v>
      </c>
    </row>
    <row r="36" spans="1:5">
      <c r="A36" s="114">
        <v>41944</v>
      </c>
      <c r="B36">
        <v>0.21030588023278801</v>
      </c>
      <c r="C36">
        <v>0.36</v>
      </c>
      <c r="D36" s="4">
        <v>0.21774952919020715</v>
      </c>
      <c r="E36">
        <v>0.36</v>
      </c>
    </row>
    <row r="37" spans="1:5">
      <c r="A37" s="114">
        <v>41974</v>
      </c>
      <c r="B37">
        <v>0.21059018832454901</v>
      </c>
      <c r="C37">
        <v>0.36</v>
      </c>
      <c r="D37" s="4">
        <v>0.2188617164379876</v>
      </c>
      <c r="E37">
        <v>0.35999999999999993</v>
      </c>
    </row>
    <row r="38" spans="1:5">
      <c r="A38" s="114">
        <v>42005</v>
      </c>
      <c r="B38">
        <v>0.21672417225944701</v>
      </c>
      <c r="C38">
        <v>0.3</v>
      </c>
      <c r="D38" s="4">
        <v>0.22553645412967449</v>
      </c>
      <c r="E38">
        <v>0.35999999999999993</v>
      </c>
    </row>
    <row r="39" spans="1:5">
      <c r="A39" s="114">
        <v>42036</v>
      </c>
      <c r="B39">
        <v>0.216338408203883</v>
      </c>
      <c r="C39">
        <v>0.3</v>
      </c>
      <c r="D39" s="4">
        <v>0.22498036050578424</v>
      </c>
      <c r="E39">
        <v>0.36</v>
      </c>
    </row>
    <row r="40" spans="1:5">
      <c r="A40" s="114">
        <v>42064</v>
      </c>
      <c r="B40">
        <v>0.21651351953651601</v>
      </c>
      <c r="C40">
        <v>0.3</v>
      </c>
      <c r="D40" s="4">
        <v>0.22276997578692492</v>
      </c>
      <c r="E40">
        <v>0.35999999999999993</v>
      </c>
    </row>
    <row r="41" spans="1:5">
      <c r="A41" s="114">
        <v>42095</v>
      </c>
      <c r="B41">
        <v>0.21641546166473699</v>
      </c>
      <c r="C41">
        <v>0.3</v>
      </c>
      <c r="D41" s="4">
        <v>0.22321764864137744</v>
      </c>
      <c r="E41">
        <v>0.36</v>
      </c>
    </row>
    <row r="42" spans="1:5">
      <c r="A42" s="114">
        <v>42125</v>
      </c>
      <c r="B42">
        <v>0.217175642353551</v>
      </c>
      <c r="C42">
        <v>0.3</v>
      </c>
      <c r="D42" s="4">
        <v>0.22132203389830507</v>
      </c>
      <c r="E42">
        <v>0.35999999999999993</v>
      </c>
    </row>
    <row r="43" spans="1:5">
      <c r="A43" s="114">
        <v>42156</v>
      </c>
      <c r="B43">
        <v>0.216269620091422</v>
      </c>
      <c r="C43">
        <v>0.3</v>
      </c>
      <c r="D43" s="4">
        <v>0.222046004842615</v>
      </c>
      <c r="E43">
        <v>0.36</v>
      </c>
    </row>
    <row r="44" spans="1:5">
      <c r="A44" s="114">
        <v>42186</v>
      </c>
      <c r="B44">
        <v>0.21688621301532399</v>
      </c>
      <c r="C44">
        <v>0.3</v>
      </c>
      <c r="D44" s="4">
        <v>0.22797820823244552</v>
      </c>
      <c r="E44">
        <v>0.30000000000000004</v>
      </c>
    </row>
    <row r="45" spans="1:5">
      <c r="A45" s="114">
        <v>42217</v>
      </c>
      <c r="B45">
        <v>0.217089412629275</v>
      </c>
      <c r="C45">
        <v>0.3</v>
      </c>
      <c r="D45" s="4">
        <v>0.22873015873015873</v>
      </c>
      <c r="E45">
        <v>0.30000000000000004</v>
      </c>
    </row>
    <row r="46" spans="1:5">
      <c r="A46" s="114">
        <v>42248</v>
      </c>
      <c r="B46">
        <v>0.21691771458913101</v>
      </c>
      <c r="C46">
        <v>0.3</v>
      </c>
      <c r="D46" s="4">
        <v>0.23019209039548022</v>
      </c>
      <c r="E46">
        <v>0.3</v>
      </c>
    </row>
    <row r="47" spans="1:5">
      <c r="A47" s="114">
        <v>42278</v>
      </c>
      <c r="B47">
        <v>0.21709376002196801</v>
      </c>
      <c r="C47">
        <v>0.3</v>
      </c>
      <c r="D47" s="4">
        <v>0.23099300511164916</v>
      </c>
      <c r="E47">
        <v>0.30000000000000004</v>
      </c>
    </row>
    <row r="48" spans="1:5">
      <c r="A48" s="114">
        <v>42309</v>
      </c>
      <c r="B48">
        <v>0.215894004207309</v>
      </c>
      <c r="C48">
        <v>0.3</v>
      </c>
      <c r="D48" s="4">
        <v>0.23143718052192627</v>
      </c>
      <c r="E48">
        <v>0.3</v>
      </c>
    </row>
    <row r="49" spans="1:5">
      <c r="A49" s="114">
        <v>42339</v>
      </c>
      <c r="B49">
        <v>0.21622519742064999</v>
      </c>
      <c r="C49">
        <v>0.3</v>
      </c>
      <c r="D49" s="4">
        <v>0.23158407317729349</v>
      </c>
      <c r="E49">
        <v>0.30000000000000004</v>
      </c>
    </row>
    <row r="50" spans="1:5">
      <c r="A50" s="114">
        <v>42370</v>
      </c>
      <c r="B50">
        <v>0.221737988917554</v>
      </c>
      <c r="C50">
        <v>0.3</v>
      </c>
      <c r="D50" s="4">
        <v>0.23809685230024213</v>
      </c>
      <c r="E50">
        <v>0.30000000000000004</v>
      </c>
    </row>
    <row r="51" spans="1:5">
      <c r="A51" s="114">
        <v>42401</v>
      </c>
      <c r="B51">
        <v>0.221489197585829</v>
      </c>
      <c r="C51">
        <v>0.3</v>
      </c>
      <c r="D51" s="4">
        <v>0.23930347054075868</v>
      </c>
      <c r="E51">
        <v>0.3</v>
      </c>
    </row>
    <row r="52" spans="1:5">
      <c r="A52" s="114">
        <v>42430</v>
      </c>
      <c r="B52">
        <v>0.22169816691859301</v>
      </c>
      <c r="C52">
        <v>0.3</v>
      </c>
      <c r="D52" s="4">
        <v>0.2385969868173258</v>
      </c>
      <c r="E52">
        <v>0.30000000000000004</v>
      </c>
    </row>
    <row r="53" spans="1:5">
      <c r="A53" s="114">
        <v>42461</v>
      </c>
      <c r="B53">
        <v>0.22244253187381299</v>
      </c>
      <c r="C53">
        <v>0.3</v>
      </c>
      <c r="D53" s="4">
        <v>0.23809685230024213</v>
      </c>
      <c r="E53">
        <v>0.3</v>
      </c>
    </row>
    <row r="54" spans="1:5">
      <c r="A54" s="114">
        <v>42491</v>
      </c>
      <c r="B54">
        <v>0.222543435114957</v>
      </c>
      <c r="C54">
        <v>0.3</v>
      </c>
      <c r="D54" s="4">
        <v>0.23798493408662899</v>
      </c>
      <c r="E54">
        <v>0.30000000000000004</v>
      </c>
    </row>
    <row r="55" spans="1:5">
      <c r="A55" s="114">
        <v>42522</v>
      </c>
      <c r="B55">
        <v>0.222140043061481</v>
      </c>
      <c r="C55">
        <v>0.3</v>
      </c>
      <c r="D55" s="4">
        <v>0.23772262577347325</v>
      </c>
      <c r="E55">
        <v>0.3</v>
      </c>
    </row>
    <row r="56" spans="1:5">
      <c r="A56" s="114">
        <v>42552</v>
      </c>
      <c r="B56">
        <v>0.221367210530555</v>
      </c>
      <c r="C56">
        <v>0.3</v>
      </c>
      <c r="D56" s="4">
        <v>0.24023002421307504</v>
      </c>
      <c r="E56">
        <v>0.27800000000000025</v>
      </c>
    </row>
    <row r="57" spans="1:5">
      <c r="A57" s="114">
        <v>42583</v>
      </c>
      <c r="B57">
        <v>0.22099318814233099</v>
      </c>
      <c r="C57">
        <v>0.3</v>
      </c>
      <c r="D57" s="4">
        <v>0.2408071025020177</v>
      </c>
      <c r="E57">
        <v>0.27800000000000025</v>
      </c>
    </row>
    <row r="58" spans="1:5">
      <c r="A58" s="114">
        <v>42614</v>
      </c>
      <c r="B58">
        <v>0.22222306831736699</v>
      </c>
      <c r="C58">
        <v>0.3</v>
      </c>
      <c r="D58" s="4">
        <v>0.24061474307237016</v>
      </c>
      <c r="E58">
        <v>0.27800000000000025</v>
      </c>
    </row>
    <row r="59" spans="1:5">
      <c r="A59" s="114">
        <v>42644</v>
      </c>
      <c r="B59">
        <v>0.224018460780506</v>
      </c>
      <c r="C59">
        <v>0.3</v>
      </c>
      <c r="D59" s="4">
        <v>0.24040489642184557</v>
      </c>
      <c r="E59">
        <v>0.27800000000000025</v>
      </c>
    </row>
    <row r="60" spans="1:5">
      <c r="A60" s="114">
        <v>42675</v>
      </c>
      <c r="B60">
        <v>0.22366910607901899</v>
      </c>
      <c r="C60">
        <v>0.3</v>
      </c>
      <c r="D60" s="4">
        <v>0.24066720473500131</v>
      </c>
      <c r="E60">
        <v>0.27800000000000025</v>
      </c>
    </row>
    <row r="61" spans="1:5">
      <c r="A61" s="114">
        <v>42705</v>
      </c>
      <c r="B61">
        <v>0.22261753312001001</v>
      </c>
      <c r="C61">
        <v>0.3</v>
      </c>
      <c r="D61" s="4">
        <v>0.24084557438794724</v>
      </c>
      <c r="E61">
        <v>0.27800000000000025</v>
      </c>
    </row>
    <row r="62" spans="1:5">
      <c r="A62" s="114">
        <v>42736</v>
      </c>
      <c r="B62">
        <v>0.22975984945452901</v>
      </c>
      <c r="C62">
        <v>0.27800000000000002</v>
      </c>
      <c r="D62" s="4">
        <v>0.24935324186171642</v>
      </c>
      <c r="E62">
        <v>0.27800000000000025</v>
      </c>
    </row>
    <row r="63" spans="1:5">
      <c r="A63" s="114">
        <v>42767</v>
      </c>
      <c r="B63">
        <v>0.229539493812459</v>
      </c>
      <c r="C63">
        <v>0.27800000000000002</v>
      </c>
      <c r="D63" s="4">
        <v>0.24901049233252623</v>
      </c>
      <c r="E63">
        <v>0.27800000000000025</v>
      </c>
    </row>
    <row r="64" spans="1:5">
      <c r="A64" s="114">
        <v>42795</v>
      </c>
      <c r="B64">
        <v>0.229702810754635</v>
      </c>
      <c r="C64">
        <v>0.27800000000000002</v>
      </c>
      <c r="D64" s="4">
        <v>0.24861528114070483</v>
      </c>
      <c r="E64">
        <v>0.27800000000000025</v>
      </c>
    </row>
    <row r="65" spans="1:5">
      <c r="A65" s="114">
        <v>42826</v>
      </c>
      <c r="B65">
        <v>0.23044620717994899</v>
      </c>
      <c r="C65">
        <v>0.27800000000000002</v>
      </c>
      <c r="D65" s="4">
        <v>0.24858730158730158</v>
      </c>
      <c r="E65">
        <v>0.27800000000000025</v>
      </c>
    </row>
    <row r="66" spans="1:5">
      <c r="A66" s="114">
        <v>42856</v>
      </c>
      <c r="B66">
        <v>0.22977880365290199</v>
      </c>
      <c r="C66">
        <v>0.27800000000000002</v>
      </c>
      <c r="D66" s="4">
        <v>0.24846838848533762</v>
      </c>
      <c r="E66">
        <v>0.27800000000000025</v>
      </c>
    </row>
    <row r="67" spans="1:5">
      <c r="A67" s="114">
        <v>42887</v>
      </c>
      <c r="B67">
        <v>0.22994332528536399</v>
      </c>
      <c r="C67">
        <v>0.27800000000000002</v>
      </c>
      <c r="D67" s="4">
        <v>0.24853833736884581</v>
      </c>
      <c r="E67">
        <v>0.27800000000000025</v>
      </c>
    </row>
    <row r="68" spans="1:5">
      <c r="A68" s="114">
        <v>42917</v>
      </c>
      <c r="B68">
        <v>0.23018389927135899</v>
      </c>
      <c r="C68">
        <v>0.27800000000000002</v>
      </c>
      <c r="D68" s="4">
        <v>0.24668253968253967</v>
      </c>
      <c r="E68">
        <v>0.29699999999999999</v>
      </c>
    </row>
    <row r="69" spans="1:5">
      <c r="A69" s="114">
        <v>42948</v>
      </c>
      <c r="B69">
        <v>0.23097695178793501</v>
      </c>
      <c r="C69">
        <v>0.27800000000000002</v>
      </c>
      <c r="D69" s="4">
        <v>0.26588216303470541</v>
      </c>
      <c r="E69">
        <v>0.29699999999999999</v>
      </c>
    </row>
    <row r="70" spans="1:5">
      <c r="A70" s="114">
        <v>42979</v>
      </c>
      <c r="B70">
        <v>0.22971821399811401</v>
      </c>
      <c r="C70">
        <v>0.27800000000000002</v>
      </c>
      <c r="D70" s="4">
        <v>0.26539252085014797</v>
      </c>
      <c r="E70">
        <v>0.29699999999999999</v>
      </c>
    </row>
    <row r="71" spans="1:5">
      <c r="A71" s="114">
        <v>43009</v>
      </c>
      <c r="B71">
        <v>0.23063121423629099</v>
      </c>
      <c r="C71">
        <v>0.27800000000000002</v>
      </c>
      <c r="D71" s="4">
        <v>0.26567231638418082</v>
      </c>
      <c r="E71">
        <v>0.29699999999999999</v>
      </c>
    </row>
    <row r="72" spans="1:5">
      <c r="A72" s="114">
        <v>43040</v>
      </c>
      <c r="B72">
        <v>0.23022041048295699</v>
      </c>
      <c r="C72">
        <v>0.27800000000000002</v>
      </c>
      <c r="D72" s="4">
        <v>0.2517968792036589</v>
      </c>
      <c r="E72">
        <v>0.41699999999999998</v>
      </c>
    </row>
    <row r="73" spans="1:5">
      <c r="A73" s="114">
        <v>43070</v>
      </c>
      <c r="B73">
        <v>0.230210240482385</v>
      </c>
      <c r="C73">
        <v>0.27800000000000002</v>
      </c>
      <c r="D73" s="4">
        <v>0.25216411084207696</v>
      </c>
      <c r="E73">
        <v>0.41699999999999998</v>
      </c>
    </row>
    <row r="74" spans="1:5">
      <c r="A74" s="114">
        <v>43101</v>
      </c>
      <c r="B74">
        <v>0.231471633512953</v>
      </c>
      <c r="C74">
        <v>0.41699999999999998</v>
      </c>
      <c r="D74" s="4">
        <v>0.25699542641915524</v>
      </c>
      <c r="E74">
        <v>0.41699999999999998</v>
      </c>
    </row>
    <row r="75" spans="1:5">
      <c r="A75" s="114">
        <v>43132</v>
      </c>
      <c r="B75">
        <v>0.23159555206250201</v>
      </c>
      <c r="C75">
        <v>0.41699999999999998</v>
      </c>
      <c r="D75" s="4">
        <v>0.25647430723701914</v>
      </c>
      <c r="E75">
        <v>0.41699999999999998</v>
      </c>
    </row>
    <row r="76" spans="1:5">
      <c r="A76" s="114">
        <v>43160</v>
      </c>
      <c r="B76">
        <v>0.231697025754904</v>
      </c>
      <c r="C76">
        <v>0.41699999999999998</v>
      </c>
      <c r="D76" s="4">
        <v>0.25627145547484531</v>
      </c>
      <c r="E76">
        <v>0.41699999999999998</v>
      </c>
    </row>
    <row r="77" spans="1:5">
      <c r="A77" s="114">
        <v>43191</v>
      </c>
      <c r="B77">
        <v>0.23110321165307901</v>
      </c>
      <c r="C77">
        <v>0.41699999999999998</v>
      </c>
      <c r="D77" s="4">
        <v>0.25577831584611249</v>
      </c>
      <c r="E77">
        <v>0.41699999999999998</v>
      </c>
    </row>
    <row r="78" spans="1:5">
      <c r="A78" s="114">
        <v>43221</v>
      </c>
      <c r="B78">
        <v>0.23200398883864401</v>
      </c>
      <c r="C78">
        <v>0.41699999999999998</v>
      </c>
      <c r="D78" s="4">
        <v>0.25555797686306164</v>
      </c>
      <c r="E78">
        <v>0.41699999999999998</v>
      </c>
    </row>
    <row r="79" spans="1:5">
      <c r="A79" s="114">
        <v>43252</v>
      </c>
      <c r="B79">
        <v>0.23109315420476301</v>
      </c>
      <c r="C79">
        <v>0.41699999999999998</v>
      </c>
      <c r="D79" s="4">
        <v>0.25562792574656984</v>
      </c>
      <c r="E79">
        <v>0.41699999999999998</v>
      </c>
    </row>
    <row r="80" spans="1:5">
      <c r="A80" s="114">
        <v>43282</v>
      </c>
      <c r="B80">
        <v>0.23221095615834</v>
      </c>
      <c r="C80">
        <v>0.41699999999999998</v>
      </c>
      <c r="D80" s="4">
        <v>0.25587624428302397</v>
      </c>
      <c r="E80">
        <v>0.41699999999999998</v>
      </c>
    </row>
    <row r="81" spans="1:5">
      <c r="A81" s="114">
        <v>43313</v>
      </c>
      <c r="B81">
        <v>0.232817753276856</v>
      </c>
      <c r="C81">
        <v>0.41699999999999998</v>
      </c>
      <c r="D81" s="4">
        <v>0.2594920634920635</v>
      </c>
      <c r="E81">
        <v>0.41699999999999998</v>
      </c>
    </row>
    <row r="82" spans="1:5">
      <c r="A82" s="114">
        <v>43344</v>
      </c>
      <c r="B82">
        <v>0.23060305350753901</v>
      </c>
      <c r="C82">
        <v>0.41699999999999998</v>
      </c>
      <c r="D82" s="4">
        <v>0.25937315039009956</v>
      </c>
      <c r="E82">
        <v>0.41699999999999998</v>
      </c>
    </row>
    <row r="83" spans="1:5">
      <c r="A83" s="114">
        <v>43374</v>
      </c>
      <c r="B83">
        <v>0.232059936021244</v>
      </c>
      <c r="C83">
        <v>0.41699999999999998</v>
      </c>
      <c r="D83" s="4">
        <v>0.25877508743610439</v>
      </c>
      <c r="E83">
        <v>0.41699999999999998</v>
      </c>
    </row>
    <row r="84" spans="1:5">
      <c r="A84" s="114">
        <v>43405</v>
      </c>
      <c r="B84">
        <v>0.23062607004073901</v>
      </c>
      <c r="C84">
        <v>0.41699999999999998</v>
      </c>
      <c r="D84" s="4">
        <v>0.25922276029055691</v>
      </c>
      <c r="E84">
        <v>0.41699999999999998</v>
      </c>
    </row>
    <row r="85" spans="1:5">
      <c r="A85" s="114">
        <v>43435</v>
      </c>
      <c r="B85">
        <v>0.23250804028149699</v>
      </c>
      <c r="C85">
        <v>0.41699999999999998</v>
      </c>
      <c r="D85" s="4">
        <v>0.26015308044121604</v>
      </c>
      <c r="E85">
        <v>0.41699999999999998</v>
      </c>
    </row>
    <row r="86" spans="1:5">
      <c r="A86" s="114">
        <v>43466</v>
      </c>
      <c r="B86">
        <v>0.24178940979329699</v>
      </c>
      <c r="C86">
        <v>0.47299999999999998</v>
      </c>
      <c r="D86" s="4">
        <v>0.26129539951573849</v>
      </c>
      <c r="E86">
        <v>0.41699999999999998</v>
      </c>
    </row>
    <row r="87" spans="1:5">
      <c r="A87" s="114">
        <v>43497</v>
      </c>
      <c r="B87">
        <v>0.24272259411732</v>
      </c>
      <c r="C87">
        <v>0.47299999999999998</v>
      </c>
      <c r="D87" s="4">
        <v>0.26128840462738767</v>
      </c>
      <c r="E87">
        <v>0.41699999999999998</v>
      </c>
    </row>
    <row r="88" spans="1:5">
      <c r="A88" s="114">
        <v>43525</v>
      </c>
      <c r="B88">
        <v>0.24222398550037999</v>
      </c>
      <c r="C88">
        <v>0.47299999999999998</v>
      </c>
      <c r="D88" s="4">
        <v>0.26090368576809253</v>
      </c>
      <c r="E88">
        <v>0.41699999999999998</v>
      </c>
    </row>
    <row r="89" spans="1:5">
      <c r="A89" s="114">
        <v>43556</v>
      </c>
      <c r="B89">
        <v>0.24154992637332001</v>
      </c>
      <c r="C89">
        <v>0.47299999999999998</v>
      </c>
      <c r="D89" s="4">
        <v>0.25897309658326606</v>
      </c>
      <c r="E89">
        <v>0.41699999999999998</v>
      </c>
    </row>
    <row r="90" spans="1:5">
      <c r="A90" s="114">
        <v>43586</v>
      </c>
      <c r="B90">
        <v>0.24327536455829901</v>
      </c>
      <c r="C90">
        <v>0.47299999999999998</v>
      </c>
      <c r="D90" s="4">
        <v>0.25852892117298898</v>
      </c>
      <c r="E90">
        <v>0.41699999999999998</v>
      </c>
    </row>
    <row r="91" spans="1:5">
      <c r="A91" s="114">
        <v>43617</v>
      </c>
      <c r="B91">
        <v>0.24235658930755399</v>
      </c>
      <c r="C91">
        <v>0.47299999999999998</v>
      </c>
      <c r="D91" s="4">
        <v>0.2593333333333333</v>
      </c>
      <c r="E91">
        <v>0.41699999999999998</v>
      </c>
    </row>
    <row r="92" spans="1:5">
      <c r="A92" s="114">
        <v>43647</v>
      </c>
      <c r="B92">
        <v>0.24216055416059201</v>
      </c>
      <c r="C92">
        <v>0.47299999999999998</v>
      </c>
      <c r="D92" s="4">
        <v>0.25353779930051118</v>
      </c>
      <c r="E92">
        <v>0.47299999999999998</v>
      </c>
    </row>
    <row r="93" spans="1:5">
      <c r="A93" s="114">
        <v>43678</v>
      </c>
      <c r="B93">
        <v>0.24254877032401201</v>
      </c>
      <c r="C93">
        <v>0.47299999999999998</v>
      </c>
      <c r="D93" s="4">
        <v>0.25393301049233252</v>
      </c>
      <c r="E93">
        <v>0.47299999999999998</v>
      </c>
    </row>
    <row r="94" spans="1:5">
      <c r="A94" s="114">
        <v>43709</v>
      </c>
      <c r="B94">
        <v>0.243270840483649</v>
      </c>
      <c r="C94">
        <v>0.47299999999999998</v>
      </c>
      <c r="D94" s="4">
        <v>0.25348883508205544</v>
      </c>
      <c r="E94">
        <v>0.47299999999999998</v>
      </c>
    </row>
    <row r="95" spans="1:5">
      <c r="A95" s="114">
        <v>43739</v>
      </c>
      <c r="B95">
        <v>0.24295969967561201</v>
      </c>
      <c r="C95">
        <v>0.47299999999999998</v>
      </c>
      <c r="D95" s="4">
        <v>0.26287032553134243</v>
      </c>
      <c r="E95">
        <v>0.47299999999999998</v>
      </c>
    </row>
    <row r="96" spans="1:5">
      <c r="A96" s="114">
        <v>43770</v>
      </c>
      <c r="B96">
        <v>0.24308899489824701</v>
      </c>
      <c r="C96">
        <v>0.47299999999999998</v>
      </c>
      <c r="D96" s="4">
        <v>0.2634683884853376</v>
      </c>
      <c r="E96">
        <v>0.47299999999999998</v>
      </c>
    </row>
    <row r="97" spans="1:5">
      <c r="A97" s="114">
        <v>43800</v>
      </c>
      <c r="B97">
        <v>0.242468367041967</v>
      </c>
      <c r="C97">
        <v>0.47299999999999998</v>
      </c>
      <c r="D97" s="4">
        <v>0.2646505246166263</v>
      </c>
      <c r="E97">
        <v>0.47299999999999998</v>
      </c>
    </row>
    <row r="98" spans="1:5">
      <c r="A98" s="114">
        <v>43831</v>
      </c>
      <c r="B98">
        <v>0.24305628635451301</v>
      </c>
      <c r="C98">
        <v>0.505</v>
      </c>
      <c r="D98" s="4">
        <v>0.26618132902878666</v>
      </c>
      <c r="E98">
        <v>0.47299999999999998</v>
      </c>
    </row>
    <row r="99" spans="1:5">
      <c r="A99" s="114">
        <v>43862</v>
      </c>
      <c r="B99">
        <v>0.24329609108973699</v>
      </c>
      <c r="C99">
        <v>0.505</v>
      </c>
      <c r="D99" s="4">
        <v>0.26634570890503095</v>
      </c>
      <c r="E99">
        <v>0.47299999999999998</v>
      </c>
    </row>
    <row r="100" spans="1:5">
      <c r="A100" s="114">
        <v>43891</v>
      </c>
      <c r="B100">
        <v>0.242136697868437</v>
      </c>
      <c r="C100">
        <v>0.505</v>
      </c>
      <c r="D100" s="4">
        <v>0.26697524885660479</v>
      </c>
      <c r="E100">
        <v>0.47299999999999998</v>
      </c>
    </row>
    <row r="101" spans="1:5">
      <c r="A101" s="114">
        <v>43922</v>
      </c>
      <c r="B101">
        <v>0.241978055897143</v>
      </c>
      <c r="C101">
        <v>0.505</v>
      </c>
      <c r="D101" s="4">
        <v>0.26851412429378529</v>
      </c>
      <c r="E101">
        <v>0.47299999999999998</v>
      </c>
    </row>
    <row r="102" spans="1:5">
      <c r="A102" s="114">
        <v>43952</v>
      </c>
      <c r="B102">
        <v>0.24195257668827</v>
      </c>
      <c r="C102">
        <v>0.505</v>
      </c>
      <c r="D102" s="4">
        <v>0.26983158461124562</v>
      </c>
      <c r="E102">
        <v>0.47299999999999998</v>
      </c>
    </row>
    <row r="103" spans="1:5">
      <c r="A103" s="114">
        <v>43983</v>
      </c>
      <c r="B103">
        <v>0.243053305499351</v>
      </c>
      <c r="C103">
        <v>0.505</v>
      </c>
      <c r="D103" s="4">
        <v>0.2691181059994619</v>
      </c>
      <c r="E103">
        <v>0.47299999999999998</v>
      </c>
    </row>
    <row r="104" spans="1:5">
      <c r="A104" s="114">
        <v>44013</v>
      </c>
      <c r="B104">
        <v>0.24411682516729</v>
      </c>
      <c r="C104">
        <v>0.505</v>
      </c>
      <c r="D104" s="4">
        <v>0.26510088781275221</v>
      </c>
      <c r="E104">
        <v>0.505</v>
      </c>
    </row>
    <row r="105" spans="1:5">
      <c r="A105" s="114">
        <v>44044</v>
      </c>
      <c r="B105">
        <v>0.24324174128140599</v>
      </c>
      <c r="C105">
        <v>0.505</v>
      </c>
      <c r="D105" s="4">
        <v>0.26491552327145546</v>
      </c>
      <c r="E105">
        <v>0.505</v>
      </c>
    </row>
    <row r="106" spans="1:5">
      <c r="A106" s="114">
        <v>44075</v>
      </c>
      <c r="B106">
        <v>0.24253483385982799</v>
      </c>
      <c r="C106">
        <v>0.505</v>
      </c>
      <c r="D106" s="4">
        <v>0.26485606672047346</v>
      </c>
      <c r="E106">
        <v>0.505</v>
      </c>
    </row>
    <row r="107" spans="1:5">
      <c r="A107" s="114">
        <v>44105</v>
      </c>
      <c r="B107">
        <v>0.24358198091939501</v>
      </c>
      <c r="C107">
        <v>0.505</v>
      </c>
      <c r="D107" s="4">
        <v>0.26499246704331447</v>
      </c>
      <c r="E107">
        <v>0.505</v>
      </c>
    </row>
    <row r="108" spans="1:5">
      <c r="A108" s="114">
        <v>44136</v>
      </c>
      <c r="B108">
        <v>0.24233166886565999</v>
      </c>
      <c r="C108">
        <v>0.505</v>
      </c>
      <c r="D108" s="4">
        <v>0.26507290825934893</v>
      </c>
      <c r="E108">
        <v>0.505</v>
      </c>
    </row>
    <row r="109" spans="1:5">
      <c r="A109" s="114">
        <v>44166</v>
      </c>
      <c r="B109">
        <v>0.24282242581748101</v>
      </c>
      <c r="C109">
        <v>0.505</v>
      </c>
      <c r="D109" s="4">
        <v>0.2649749798224374</v>
      </c>
      <c r="E109">
        <v>0.505</v>
      </c>
    </row>
    <row r="110" spans="1:5">
      <c r="A110" s="114">
        <v>44197</v>
      </c>
      <c r="B110">
        <v>0.24375147817929599</v>
      </c>
      <c r="C110">
        <v>0.51100000000000001</v>
      </c>
      <c r="D110" s="4">
        <v>0.26789211729889695</v>
      </c>
      <c r="E110">
        <v>0.505</v>
      </c>
    </row>
    <row r="111" spans="1:5">
      <c r="A111" s="114">
        <v>44228</v>
      </c>
      <c r="B111">
        <v>0.24371322795241501</v>
      </c>
      <c r="C111">
        <v>0.51100000000000001</v>
      </c>
      <c r="D111" s="4">
        <v>0.26729405434490178</v>
      </c>
      <c r="E111">
        <v>0.505</v>
      </c>
    </row>
    <row r="112" spans="1:5">
      <c r="A112" s="114">
        <v>44256</v>
      </c>
      <c r="B112">
        <v>0.24344210486700099</v>
      </c>
      <c r="C112">
        <v>0.51100000000000001</v>
      </c>
      <c r="D112" s="4">
        <v>0.26608743610438523</v>
      </c>
      <c r="E112">
        <v>0.505</v>
      </c>
    </row>
    <row r="113" spans="1:5">
      <c r="A113" s="114">
        <v>44287</v>
      </c>
      <c r="B113">
        <v>0.24304606130127401</v>
      </c>
      <c r="C113">
        <v>0.51100000000000001</v>
      </c>
      <c r="D113" s="4">
        <v>0.26563276836158189</v>
      </c>
      <c r="E113">
        <v>0.505</v>
      </c>
    </row>
    <row r="114" spans="1:5">
      <c r="A114" s="114">
        <v>44317</v>
      </c>
      <c r="B114">
        <v>0.24415731299061599</v>
      </c>
      <c r="C114">
        <v>0.51100000000000001</v>
      </c>
      <c r="D114" s="4">
        <v>0.26507317729351626</v>
      </c>
      <c r="E114">
        <v>0.505</v>
      </c>
    </row>
    <row r="115" spans="1:5">
      <c r="A115" s="114">
        <v>44348</v>
      </c>
      <c r="B115">
        <v>0.24377290310039901</v>
      </c>
      <c r="C115">
        <v>0.51100000000000001</v>
      </c>
      <c r="D115" s="4">
        <v>0.26990368576809254</v>
      </c>
      <c r="E115">
        <v>0.505</v>
      </c>
    </row>
    <row r="116" spans="1:5">
      <c r="A116" s="114">
        <v>44378</v>
      </c>
      <c r="B116">
        <v>0.243644662300467</v>
      </c>
      <c r="C116">
        <v>0.51100000000000001</v>
      </c>
      <c r="D116" s="4">
        <v>0.26898870056497176</v>
      </c>
      <c r="E116">
        <v>0.51100000000000001</v>
      </c>
    </row>
    <row r="117" spans="1:5">
      <c r="A117" s="114">
        <v>44409</v>
      </c>
      <c r="B117">
        <v>0.24404665935250899</v>
      </c>
      <c r="C117">
        <v>0.51100000000000001</v>
      </c>
      <c r="D117" s="4">
        <v>0.26875437180521927</v>
      </c>
      <c r="E117">
        <v>0.51100000000000001</v>
      </c>
    </row>
    <row r="118" spans="1:5">
      <c r="A118" s="114">
        <v>44440</v>
      </c>
      <c r="B118">
        <v>0.243802953631956</v>
      </c>
      <c r="C118">
        <v>0.51100000000000001</v>
      </c>
      <c r="D118" s="4">
        <v>0.26878934624697337</v>
      </c>
      <c r="E118">
        <v>0.51100000000000001</v>
      </c>
    </row>
    <row r="119" spans="1:5">
      <c r="A119" s="114">
        <v>44470</v>
      </c>
      <c r="B119">
        <v>0.24319035433651401</v>
      </c>
      <c r="C119">
        <v>0.51100000000000001</v>
      </c>
      <c r="D119" s="4">
        <v>0.2684815711595373</v>
      </c>
      <c r="E119">
        <v>0.51100000000000001</v>
      </c>
    </row>
    <row r="120" spans="1:5">
      <c r="A120" s="114">
        <v>44501</v>
      </c>
      <c r="B120">
        <v>0.243937341184954</v>
      </c>
      <c r="C120">
        <v>0.51100000000000001</v>
      </c>
      <c r="D120" s="4">
        <v>0.26778208232445522</v>
      </c>
      <c r="E120">
        <v>0.51100000000000001</v>
      </c>
    </row>
    <row r="121" spans="1:5">
      <c r="A121" s="114">
        <v>44531</v>
      </c>
      <c r="B121">
        <v>0.243569682270455</v>
      </c>
      <c r="C121">
        <v>0.51100000000000001</v>
      </c>
      <c r="D121" s="4">
        <v>0.26778907721280604</v>
      </c>
      <c r="E121">
        <v>0.51100000000000001</v>
      </c>
    </row>
    <row r="122" spans="1:5">
      <c r="A122" s="114">
        <v>44562</v>
      </c>
      <c r="B122">
        <v>0.24648864927533901</v>
      </c>
      <c r="C122">
        <v>0.53900000000000003</v>
      </c>
      <c r="D122" s="4">
        <v>0.26783454398708634</v>
      </c>
      <c r="E122">
        <v>0.51100000000000001</v>
      </c>
    </row>
    <row r="123" spans="1:5">
      <c r="A123" s="114">
        <v>44593</v>
      </c>
      <c r="B123">
        <v>0.247021673339377</v>
      </c>
      <c r="C123">
        <v>0.53900000000000003</v>
      </c>
      <c r="D123" s="4">
        <v>0.26757923056228144</v>
      </c>
      <c r="E123">
        <v>0.51100000000000001</v>
      </c>
    </row>
    <row r="124" spans="1:5">
      <c r="A124" s="114">
        <v>44621</v>
      </c>
      <c r="B124">
        <v>0.24612536231134099</v>
      </c>
      <c r="C124">
        <v>0.53900000000000003</v>
      </c>
      <c r="D124" s="4">
        <v>0.26410277105192359</v>
      </c>
      <c r="E124">
        <v>0.51100000000000001</v>
      </c>
    </row>
    <row r="125" spans="1:5">
      <c r="A125" s="114">
        <v>44652</v>
      </c>
      <c r="B125">
        <v>0.24709525380983499</v>
      </c>
      <c r="C125">
        <v>0.53900000000000003</v>
      </c>
      <c r="D125" s="4">
        <v>0.26397686306160889</v>
      </c>
      <c r="E125">
        <v>0.51100000000000001</v>
      </c>
    </row>
    <row r="126" spans="1:5">
      <c r="A126" s="114">
        <v>44682</v>
      </c>
      <c r="B126">
        <v>0.24633019865344499</v>
      </c>
      <c r="C126">
        <v>0.53900000000000003</v>
      </c>
      <c r="D126" s="4">
        <v>0.26336131288673664</v>
      </c>
      <c r="E126">
        <v>0.51100000000000001</v>
      </c>
    </row>
    <row r="127" spans="1:5">
      <c r="A127" s="114">
        <v>44713</v>
      </c>
      <c r="B127">
        <v>0.24698714984040801</v>
      </c>
      <c r="C127">
        <v>0.53900000000000003</v>
      </c>
      <c r="D127" s="4">
        <v>0.26620123755716973</v>
      </c>
      <c r="E127">
        <v>0.51100000000000001</v>
      </c>
    </row>
    <row r="128" spans="1:5">
      <c r="A128" s="114">
        <v>44743</v>
      </c>
      <c r="B128">
        <v>0.24658566094155099</v>
      </c>
      <c r="C128">
        <v>0.53900000000000003</v>
      </c>
      <c r="D128" s="4">
        <v>0.26446811945117027</v>
      </c>
      <c r="E128">
        <v>0.53900000000000003</v>
      </c>
    </row>
    <row r="129" spans="1:5">
      <c r="A129" s="114">
        <v>44774</v>
      </c>
      <c r="B129">
        <v>0.24725265082463099</v>
      </c>
      <c r="C129">
        <v>0.53900000000000003</v>
      </c>
      <c r="D129" s="4">
        <v>0.27367688996502554</v>
      </c>
      <c r="E129">
        <v>0.53900000000000003</v>
      </c>
    </row>
    <row r="130" spans="1:5">
      <c r="A130" s="114">
        <v>44805</v>
      </c>
      <c r="B130">
        <v>0.246797589865867</v>
      </c>
      <c r="C130">
        <v>0.53900000000000003</v>
      </c>
      <c r="D130" s="4">
        <v>0.27356147430723698</v>
      </c>
      <c r="E130">
        <v>0.53900000000000003</v>
      </c>
    </row>
    <row r="131" spans="1:5">
      <c r="A131" s="114">
        <v>44835</v>
      </c>
      <c r="B131">
        <v>0.24594420893977101</v>
      </c>
      <c r="C131">
        <v>0.53900000000000003</v>
      </c>
      <c r="D131" s="4">
        <v>0.27169733656174333</v>
      </c>
      <c r="E131">
        <v>0.53900000000000003</v>
      </c>
    </row>
    <row r="132" spans="1:5">
      <c r="A132" s="114">
        <v>44866</v>
      </c>
      <c r="B132">
        <v>0.24699433280539199</v>
      </c>
      <c r="C132">
        <v>0.53900000000000003</v>
      </c>
      <c r="D132" s="4">
        <v>0.27426446058649445</v>
      </c>
      <c r="E132">
        <v>0.53900000000000003</v>
      </c>
    </row>
    <row r="133" spans="1:5">
      <c r="A133" s="114">
        <v>44896</v>
      </c>
      <c r="B133">
        <v>0.24664908037302999</v>
      </c>
      <c r="C133">
        <v>0.53900000000000003</v>
      </c>
      <c r="D133" s="4">
        <v>0.27690153349475383</v>
      </c>
      <c r="E133">
        <v>0.53900000000000003</v>
      </c>
    </row>
    <row r="134" spans="1:5">
      <c r="A134" s="114">
        <v>44927</v>
      </c>
      <c r="B134">
        <v>0.30279832887061098</v>
      </c>
      <c r="C134">
        <v>0.53900000000000003</v>
      </c>
      <c r="D134" s="4">
        <v>0.27708340059187514</v>
      </c>
      <c r="E134">
        <v>0.53900000000000003</v>
      </c>
    </row>
    <row r="135" spans="1:5">
      <c r="A135" s="114">
        <v>44958</v>
      </c>
      <c r="B135">
        <v>0.30596809737347003</v>
      </c>
      <c r="C135">
        <v>0.53900000000000003</v>
      </c>
      <c r="D135" s="4">
        <v>0.27586252354048962</v>
      </c>
      <c r="E135">
        <v>0.53900000000000003</v>
      </c>
    </row>
    <row r="136" spans="1:5">
      <c r="A136" s="114">
        <v>44986</v>
      </c>
      <c r="B136">
        <v>0.30410772327018498</v>
      </c>
      <c r="C136">
        <v>0.53900000000000003</v>
      </c>
      <c r="D136" s="4">
        <v>0.27518052192628467</v>
      </c>
      <c r="E136">
        <v>0.53900000000000003</v>
      </c>
    </row>
    <row r="137" spans="1:5">
      <c r="A137" s="114">
        <v>45017</v>
      </c>
      <c r="B137">
        <v>0.30481817755764101</v>
      </c>
      <c r="C137">
        <v>0.53900000000000003</v>
      </c>
      <c r="D137" s="4">
        <v>0.27518052192628467</v>
      </c>
      <c r="E137">
        <v>0.53900000000000003</v>
      </c>
    </row>
    <row r="138" spans="1:5">
      <c r="A138" s="114">
        <v>45047</v>
      </c>
      <c r="B138">
        <v>0.30518642960160203</v>
      </c>
      <c r="C138">
        <v>0.53900000000000003</v>
      </c>
      <c r="D138" s="4">
        <v>0.27535189669087978</v>
      </c>
      <c r="E138">
        <v>0.53900000000000003</v>
      </c>
    </row>
    <row r="139" spans="1:5">
      <c r="A139" s="114">
        <v>45078</v>
      </c>
      <c r="B139">
        <v>0.30372158196694099</v>
      </c>
      <c r="C139">
        <v>0.53900000000000003</v>
      </c>
      <c r="D139" s="4">
        <v>0.27520850147968795</v>
      </c>
      <c r="E139">
        <v>0.53900000000000003</v>
      </c>
    </row>
    <row r="140" spans="1:5">
      <c r="A140" s="114">
        <v>45108</v>
      </c>
      <c r="B140">
        <v>0.30397300660702797</v>
      </c>
      <c r="C140">
        <v>0.53900000000000003</v>
      </c>
      <c r="D140" s="4">
        <v>0.27061366693570088</v>
      </c>
      <c r="E140">
        <v>0.57899999999999996</v>
      </c>
    </row>
    <row r="141" spans="1:5">
      <c r="A141" s="114">
        <v>45139</v>
      </c>
      <c r="B141">
        <v>0.30415162785434502</v>
      </c>
      <c r="C141">
        <v>0.53900000000000003</v>
      </c>
      <c r="D141" s="4">
        <v>0.2765434490180253</v>
      </c>
      <c r="E141">
        <v>0.57899999999999996</v>
      </c>
    </row>
    <row r="142" spans="1:5">
      <c r="A142" s="114">
        <v>45170</v>
      </c>
      <c r="B142">
        <v>0.30455110759271897</v>
      </c>
      <c r="C142">
        <v>0.53900000000000003</v>
      </c>
      <c r="D142" s="4">
        <v>0.27518294323379067</v>
      </c>
      <c r="E142">
        <v>0.57899999999999996</v>
      </c>
    </row>
    <row r="143" spans="1:5">
      <c r="A143" s="114">
        <v>45200</v>
      </c>
      <c r="B143">
        <v>0.30318280653389101</v>
      </c>
      <c r="C143">
        <v>0.53900000000000003</v>
      </c>
      <c r="D143" s="4">
        <v>0.27508851224105463</v>
      </c>
      <c r="E143">
        <v>0.57899999999999996</v>
      </c>
    </row>
    <row r="144" spans="1:5">
      <c r="A144" s="114">
        <v>45231</v>
      </c>
      <c r="B144">
        <v>0.30417463184219101</v>
      </c>
      <c r="C144">
        <v>0.53900000000000003</v>
      </c>
    </row>
    <row r="145" spans="1:3">
      <c r="A145" s="114">
        <v>45261</v>
      </c>
      <c r="B145">
        <v>0.30504972327234903</v>
      </c>
      <c r="C145">
        <v>0.53900000000000003</v>
      </c>
    </row>
    <row r="146" spans="1:3">
      <c r="A146" s="114">
        <v>45292</v>
      </c>
    </row>
    <row r="147" spans="1:3">
      <c r="A147" s="114">
        <v>45323</v>
      </c>
    </row>
    <row r="148" spans="1:3">
      <c r="A148" s="114">
        <v>45352</v>
      </c>
    </row>
    <row r="149" spans="1:3">
      <c r="A149" s="114">
        <v>45383</v>
      </c>
    </row>
    <row r="150" spans="1:3">
      <c r="A150" s="114">
        <v>45413</v>
      </c>
    </row>
    <row r="151" spans="1:3">
      <c r="A151" s="114">
        <v>45444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87"/>
  <sheetViews>
    <sheetView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M11" sqref="M11"/>
    </sheetView>
  </sheetViews>
  <sheetFormatPr baseColWidth="10" defaultColWidth="8.83203125" defaultRowHeight="15"/>
  <cols>
    <col min="2" max="2" width="14.5" customWidth="1"/>
    <col min="3" max="3" width="3.6640625" style="20" customWidth="1"/>
    <col min="4" max="10" width="8.6640625" style="20" customWidth="1"/>
    <col min="15" max="15" width="9.5" style="1" bestFit="1" customWidth="1"/>
    <col min="16" max="18" width="8.6640625" style="1"/>
    <col min="26" max="29" width="12.6640625" customWidth="1"/>
    <col min="30" max="30" width="12.6640625" style="1" customWidth="1"/>
    <col min="31" max="32" width="12.6640625" customWidth="1"/>
  </cols>
  <sheetData>
    <row r="1" spans="1:33" ht="16">
      <c r="B1" s="56" t="s">
        <v>54</v>
      </c>
      <c r="C1" s="96"/>
      <c r="D1" s="96"/>
      <c r="H1" s="96"/>
      <c r="I1" s="96"/>
      <c r="J1" s="96"/>
      <c r="K1" s="57" t="s">
        <v>55</v>
      </c>
    </row>
    <row r="2" spans="1:33" ht="168">
      <c r="B2" s="58" t="s">
        <v>56</v>
      </c>
      <c r="C2" s="97"/>
      <c r="D2" s="97"/>
      <c r="E2" s="23" t="s">
        <v>96</v>
      </c>
      <c r="F2" s="112" t="s">
        <v>94</v>
      </c>
      <c r="G2" s="23" t="s">
        <v>98</v>
      </c>
      <c r="H2" s="99" t="s">
        <v>92</v>
      </c>
      <c r="I2" s="99"/>
      <c r="J2" s="99"/>
      <c r="K2" s="92" t="s">
        <v>87</v>
      </c>
      <c r="L2" s="41" t="s">
        <v>76</v>
      </c>
      <c r="M2" s="66" t="s">
        <v>77</v>
      </c>
      <c r="N2" s="41" t="s">
        <v>70</v>
      </c>
      <c r="O2" s="67"/>
      <c r="P2" s="67"/>
      <c r="Q2" s="67"/>
      <c r="T2" s="59" t="s">
        <v>57</v>
      </c>
      <c r="U2" s="59"/>
      <c r="Y2" s="8" t="s">
        <v>32</v>
      </c>
      <c r="AA2" s="59" t="s">
        <v>57</v>
      </c>
      <c r="AB2" s="59"/>
    </row>
    <row r="3" spans="1:33" ht="169">
      <c r="B3" s="60" t="s">
        <v>58</v>
      </c>
      <c r="C3" s="98" t="s">
        <v>3</v>
      </c>
      <c r="D3" s="98"/>
      <c r="E3" s="23" t="s">
        <v>95</v>
      </c>
      <c r="F3" s="23" t="s">
        <v>93</v>
      </c>
      <c r="G3" s="23" t="s">
        <v>97</v>
      </c>
      <c r="H3" s="98" t="s">
        <v>91</v>
      </c>
      <c r="I3" s="98" t="s">
        <v>99</v>
      </c>
      <c r="J3" s="98" t="s">
        <v>100</v>
      </c>
      <c r="K3" s="61" t="s">
        <v>59</v>
      </c>
      <c r="L3" t="s">
        <v>60</v>
      </c>
      <c r="M3" t="s">
        <v>61</v>
      </c>
      <c r="N3" s="66" t="s">
        <v>69</v>
      </c>
      <c r="O3" s="67" t="s">
        <v>78</v>
      </c>
      <c r="P3" s="67" t="s">
        <v>79</v>
      </c>
      <c r="Q3" s="88" t="s">
        <v>80</v>
      </c>
      <c r="R3" s="67" t="s">
        <v>81</v>
      </c>
      <c r="S3" t="s">
        <v>62</v>
      </c>
      <c r="T3" t="s">
        <v>63</v>
      </c>
      <c r="U3" s="66" t="s">
        <v>66</v>
      </c>
      <c r="V3" s="62" t="s">
        <v>64</v>
      </c>
      <c r="W3" s="66" t="s">
        <v>83</v>
      </c>
      <c r="X3" s="66" t="s">
        <v>84</v>
      </c>
      <c r="Y3" s="59" t="s">
        <v>18</v>
      </c>
      <c r="Z3" t="s">
        <v>62</v>
      </c>
      <c r="AA3" t="s">
        <v>63</v>
      </c>
      <c r="AB3" s="66" t="s">
        <v>66</v>
      </c>
      <c r="AC3" s="62" t="s">
        <v>64</v>
      </c>
      <c r="AD3" s="67" t="s">
        <v>65</v>
      </c>
      <c r="AE3" s="66" t="s">
        <v>68</v>
      </c>
      <c r="AF3" s="66" t="s">
        <v>67</v>
      </c>
    </row>
    <row r="4" spans="1:33">
      <c r="A4" s="64" t="s">
        <v>39</v>
      </c>
      <c r="B4" s="63">
        <v>36540</v>
      </c>
      <c r="C4" s="20">
        <v>1</v>
      </c>
      <c r="E4" s="106">
        <v>0.77600000000000002</v>
      </c>
      <c r="F4" s="105">
        <v>0.75700000000000001</v>
      </c>
      <c r="G4" s="108">
        <v>0.78600000000000003</v>
      </c>
      <c r="K4" s="61"/>
      <c r="M4" s="85">
        <v>0.69499999999999995</v>
      </c>
      <c r="N4" s="85">
        <v>25.51</v>
      </c>
      <c r="O4" s="89"/>
      <c r="P4" s="89"/>
      <c r="Q4" s="90"/>
      <c r="R4" s="1">
        <f t="shared" ref="R4:R67" si="0">N4*($Y$278/Y4)</f>
        <v>44.991751244075829</v>
      </c>
      <c r="V4" s="62"/>
      <c r="W4" s="62"/>
      <c r="Y4">
        <v>168.8</v>
      </c>
      <c r="AB4" s="66"/>
      <c r="AC4" s="62"/>
      <c r="AD4" s="67"/>
      <c r="AE4" s="66"/>
      <c r="AF4" s="66"/>
    </row>
    <row r="5" spans="1:33">
      <c r="B5" s="63">
        <f t="shared" ref="B5:B44" si="1">B4+30.48</f>
        <v>36570.480000000003</v>
      </c>
      <c r="C5" s="20">
        <v>2</v>
      </c>
      <c r="E5" s="106">
        <v>0.89900000000000002</v>
      </c>
      <c r="F5" s="105">
        <v>0.86499999999999999</v>
      </c>
      <c r="G5" s="108">
        <v>0.88400000000000001</v>
      </c>
      <c r="K5" s="61"/>
      <c r="M5" s="85">
        <v>0.81899999999999995</v>
      </c>
      <c r="N5" s="85">
        <v>27.78</v>
      </c>
      <c r="O5" s="89"/>
      <c r="P5" s="89"/>
      <c r="Q5" s="89"/>
      <c r="R5" s="1">
        <f t="shared" si="0"/>
        <v>48.706781978798588</v>
      </c>
      <c r="V5" s="62"/>
      <c r="W5" s="62"/>
      <c r="Y5">
        <v>169.8</v>
      </c>
      <c r="AB5" s="66"/>
      <c r="AC5" s="62"/>
      <c r="AD5" s="67"/>
      <c r="AE5" s="66"/>
      <c r="AF5" s="66"/>
    </row>
    <row r="6" spans="1:33">
      <c r="B6" s="63">
        <f t="shared" si="1"/>
        <v>36600.960000000006</v>
      </c>
      <c r="C6" s="20">
        <v>3</v>
      </c>
      <c r="E6" s="106">
        <v>1.1439999999999999</v>
      </c>
      <c r="F6" s="105">
        <v>0.94899999999999995</v>
      </c>
      <c r="G6" s="108">
        <v>0.98899999999999999</v>
      </c>
      <c r="K6" s="61"/>
      <c r="M6" s="85">
        <v>0.85699999999999998</v>
      </c>
      <c r="N6" s="85">
        <v>27.49</v>
      </c>
      <c r="O6" s="89"/>
      <c r="P6" s="89"/>
      <c r="Q6" s="89"/>
      <c r="R6" s="1">
        <f t="shared" si="0"/>
        <v>47.804178679906549</v>
      </c>
      <c r="Y6">
        <v>171.2</v>
      </c>
      <c r="AD6"/>
    </row>
    <row r="7" spans="1:33">
      <c r="B7" s="63">
        <f t="shared" si="1"/>
        <v>36631.44000000001</v>
      </c>
      <c r="C7" s="20">
        <v>4</v>
      </c>
      <c r="E7" s="106">
        <v>0.90800000000000003</v>
      </c>
      <c r="F7" s="105">
        <v>0.82399999999999995</v>
      </c>
      <c r="G7" s="108">
        <v>0.88500000000000001</v>
      </c>
      <c r="K7" s="61"/>
      <c r="M7" s="85">
        <v>0.73199999999999998</v>
      </c>
      <c r="N7" s="85">
        <v>22.76</v>
      </c>
      <c r="O7" s="89"/>
      <c r="P7" s="89"/>
      <c r="Q7" s="89"/>
      <c r="R7" s="1">
        <f t="shared" si="0"/>
        <v>39.555763922942212</v>
      </c>
      <c r="S7" s="86"/>
      <c r="T7" s="85"/>
      <c r="U7" s="85"/>
      <c r="V7" s="85"/>
      <c r="W7" s="85"/>
      <c r="X7" s="85"/>
      <c r="Y7">
        <v>171.3</v>
      </c>
      <c r="Z7" s="85"/>
      <c r="AA7" s="85"/>
      <c r="AB7" s="85"/>
      <c r="AC7" s="85"/>
      <c r="AD7" s="85"/>
      <c r="AE7" s="85"/>
      <c r="AF7" s="85"/>
      <c r="AG7" s="85"/>
    </row>
    <row r="8" spans="1:33">
      <c r="B8" s="63">
        <f t="shared" si="1"/>
        <v>36661.920000000013</v>
      </c>
      <c r="C8" s="20">
        <v>5</v>
      </c>
      <c r="E8" s="106">
        <v>0.99099999999999999</v>
      </c>
      <c r="F8" s="105">
        <v>0.95199999999999996</v>
      </c>
      <c r="G8" s="108">
        <v>0.97899999999999998</v>
      </c>
      <c r="K8" s="61"/>
      <c r="M8" s="85">
        <v>0.89600000000000002</v>
      </c>
      <c r="N8" s="85">
        <v>27.74</v>
      </c>
      <c r="O8" s="89"/>
      <c r="P8" s="89"/>
      <c r="Q8" s="89"/>
      <c r="R8" s="1">
        <f t="shared" si="0"/>
        <v>48.154537259475219</v>
      </c>
      <c r="S8" s="86"/>
      <c r="T8" s="85"/>
      <c r="U8" s="85"/>
      <c r="V8" s="85"/>
      <c r="W8" s="85"/>
      <c r="X8" s="85"/>
      <c r="Y8">
        <v>171.5</v>
      </c>
      <c r="Z8" s="85"/>
      <c r="AA8" s="85"/>
      <c r="AB8" s="85"/>
      <c r="AC8" s="85"/>
      <c r="AD8" s="85"/>
      <c r="AE8" s="85"/>
      <c r="AF8" s="85"/>
      <c r="AG8" s="85"/>
    </row>
    <row r="9" spans="1:33">
      <c r="A9">
        <v>2000</v>
      </c>
      <c r="B9" s="63">
        <f t="shared" si="1"/>
        <v>36692.400000000016</v>
      </c>
      <c r="C9" s="20">
        <v>6</v>
      </c>
      <c r="E9" s="106">
        <v>1.0609999999999999</v>
      </c>
      <c r="F9" s="105">
        <v>1.0880000000000001</v>
      </c>
      <c r="G9" s="108">
        <v>1.093</v>
      </c>
      <c r="K9" s="61"/>
      <c r="M9" s="85">
        <v>0.95899999999999996</v>
      </c>
      <c r="N9" s="85">
        <v>29.8</v>
      </c>
      <c r="O9" s="89"/>
      <c r="P9" s="89"/>
      <c r="Q9" s="89"/>
      <c r="R9" s="1">
        <f t="shared" si="0"/>
        <v>51.460486078886312</v>
      </c>
      <c r="S9" s="86"/>
      <c r="T9" s="85"/>
      <c r="U9" s="85"/>
      <c r="V9" s="85"/>
      <c r="W9" s="85"/>
      <c r="X9" s="85"/>
      <c r="Y9">
        <v>172.4</v>
      </c>
      <c r="Z9" s="85"/>
      <c r="AA9" s="85"/>
      <c r="AB9" s="85"/>
      <c r="AC9" s="85"/>
      <c r="AD9" s="85"/>
      <c r="AE9" s="85"/>
      <c r="AF9" s="85"/>
      <c r="AG9" s="85"/>
    </row>
    <row r="10" spans="1:33">
      <c r="B10" s="63">
        <f t="shared" si="1"/>
        <v>36722.880000000019</v>
      </c>
      <c r="C10" s="20">
        <v>7</v>
      </c>
      <c r="E10" s="106">
        <v>1.1120000000000001</v>
      </c>
      <c r="F10" s="105">
        <v>0.94499999999999995</v>
      </c>
      <c r="G10" s="108">
        <v>0.99299999999999999</v>
      </c>
      <c r="K10" s="61"/>
      <c r="M10" s="85">
        <v>0.82899999999999996</v>
      </c>
      <c r="N10" s="85">
        <v>28.68</v>
      </c>
      <c r="O10" s="89"/>
      <c r="P10" s="89"/>
      <c r="Q10" s="89"/>
      <c r="R10" s="1">
        <f t="shared" si="0"/>
        <v>49.411756250000003</v>
      </c>
      <c r="S10" s="86"/>
      <c r="T10" s="85"/>
      <c r="U10" s="85"/>
      <c r="V10" s="85"/>
      <c r="W10" s="85"/>
      <c r="X10" s="85"/>
      <c r="Y10">
        <v>172.8</v>
      </c>
      <c r="Z10" s="85"/>
      <c r="AA10" s="85"/>
      <c r="AD10"/>
    </row>
    <row r="11" spans="1:33">
      <c r="B11" s="63">
        <f t="shared" si="1"/>
        <v>36753.360000000022</v>
      </c>
      <c r="C11" s="20">
        <v>8</v>
      </c>
      <c r="E11" s="106">
        <v>1.1759999999999999</v>
      </c>
      <c r="F11" s="105">
        <v>0.92700000000000005</v>
      </c>
      <c r="G11" s="108">
        <v>0.96899999999999997</v>
      </c>
      <c r="K11" s="61"/>
      <c r="M11" s="85">
        <v>0.85</v>
      </c>
      <c r="N11" s="85">
        <v>30.2</v>
      </c>
      <c r="O11" s="89"/>
      <c r="P11" s="89"/>
      <c r="Q11" s="89"/>
      <c r="R11" s="1">
        <f t="shared" si="0"/>
        <v>52.030510416666665</v>
      </c>
      <c r="V11" s="62"/>
      <c r="W11" s="62"/>
      <c r="Y11">
        <v>172.8</v>
      </c>
      <c r="AB11" s="66"/>
      <c r="AC11" s="62"/>
      <c r="AD11" s="67"/>
      <c r="AE11" s="66"/>
      <c r="AF11" s="66"/>
    </row>
    <row r="12" spans="1:33">
      <c r="B12" s="63">
        <f t="shared" si="1"/>
        <v>36783.840000000026</v>
      </c>
      <c r="C12" s="20">
        <v>9</v>
      </c>
      <c r="E12" s="106">
        <v>1.292</v>
      </c>
      <c r="F12" s="105">
        <v>1.01</v>
      </c>
      <c r="G12" s="108">
        <v>1.048</v>
      </c>
      <c r="K12" s="61"/>
      <c r="M12" s="85">
        <v>0.91400000000000003</v>
      </c>
      <c r="N12" s="85">
        <v>33.14</v>
      </c>
      <c r="O12" s="89"/>
      <c r="P12" s="89"/>
      <c r="Q12" s="89"/>
      <c r="R12" s="1">
        <f t="shared" si="0"/>
        <v>56.799899481865296</v>
      </c>
      <c r="V12" s="62"/>
      <c r="W12" s="62"/>
      <c r="Y12">
        <v>173.7</v>
      </c>
      <c r="AB12" s="66"/>
      <c r="AC12" s="62"/>
      <c r="AD12" s="67"/>
      <c r="AE12" s="66"/>
      <c r="AF12" s="66"/>
    </row>
    <row r="13" spans="1:33">
      <c r="B13" s="63">
        <f t="shared" si="1"/>
        <v>36814.320000000029</v>
      </c>
      <c r="C13" s="20">
        <v>10</v>
      </c>
      <c r="E13" s="106">
        <v>1.2050000000000001</v>
      </c>
      <c r="F13" s="105">
        <v>0.98</v>
      </c>
      <c r="G13" s="108">
        <v>1.022</v>
      </c>
      <c r="K13" s="61"/>
      <c r="M13" s="85">
        <v>0.879</v>
      </c>
      <c r="N13" s="85">
        <v>30.96</v>
      </c>
      <c r="O13" s="89"/>
      <c r="P13" s="89"/>
      <c r="Q13" s="89"/>
      <c r="R13" s="1">
        <f t="shared" si="0"/>
        <v>52.972026206896558</v>
      </c>
      <c r="V13" s="62"/>
      <c r="W13" s="62"/>
      <c r="Y13">
        <v>174</v>
      </c>
      <c r="AB13" s="66"/>
      <c r="AC13" s="62"/>
      <c r="AD13" s="67"/>
      <c r="AE13" s="66"/>
      <c r="AF13" s="66"/>
    </row>
    <row r="14" spans="1:33">
      <c r="B14" s="63">
        <f t="shared" si="1"/>
        <v>36844.800000000032</v>
      </c>
      <c r="C14" s="20">
        <v>11</v>
      </c>
      <c r="E14" s="106">
        <v>1.1200000000000001</v>
      </c>
      <c r="F14" s="105">
        <v>0.96099999999999997</v>
      </c>
      <c r="G14" s="108">
        <v>1.002</v>
      </c>
      <c r="K14" s="61"/>
      <c r="M14" s="85">
        <v>0.86199999999999999</v>
      </c>
      <c r="N14" s="85">
        <v>32.549999999999997</v>
      </c>
      <c r="O14" s="89"/>
      <c r="P14" s="89"/>
      <c r="Q14" s="89"/>
      <c r="R14" s="1">
        <f t="shared" si="0"/>
        <v>55.660499999999999</v>
      </c>
      <c r="V14" s="62"/>
      <c r="W14" s="62"/>
      <c r="Y14">
        <v>174.1</v>
      </c>
      <c r="AB14" s="66"/>
      <c r="AC14" s="62"/>
      <c r="AD14" s="67"/>
      <c r="AE14" s="66"/>
      <c r="AF14" s="66"/>
    </row>
    <row r="15" spans="1:33">
      <c r="A15" s="64"/>
      <c r="B15" s="63">
        <f t="shared" si="1"/>
        <v>36875.280000000035</v>
      </c>
      <c r="C15" s="20">
        <v>12</v>
      </c>
      <c r="E15" s="106">
        <v>0.93300000000000005</v>
      </c>
      <c r="F15" s="105">
        <v>0.82099999999999995</v>
      </c>
      <c r="G15" s="108">
        <v>0.879</v>
      </c>
      <c r="K15" s="61"/>
      <c r="M15" s="85">
        <v>0.72</v>
      </c>
      <c r="N15" s="85">
        <v>25.66</v>
      </c>
      <c r="O15" s="89"/>
      <c r="P15" s="89"/>
      <c r="Q15" s="89"/>
      <c r="R15" s="1">
        <f t="shared" si="0"/>
        <v>43.903817586206898</v>
      </c>
      <c r="V15" s="62"/>
      <c r="W15" s="62"/>
      <c r="Y15">
        <v>174</v>
      </c>
      <c r="AB15" s="66"/>
      <c r="AC15" s="62"/>
      <c r="AD15" s="67"/>
      <c r="AE15" s="66"/>
      <c r="AF15" s="66"/>
    </row>
    <row r="16" spans="1:33">
      <c r="A16" s="64" t="s">
        <v>39</v>
      </c>
      <c r="B16" s="63">
        <v>36906</v>
      </c>
      <c r="C16" s="20">
        <v>1</v>
      </c>
      <c r="E16" s="106">
        <v>0.93300000000000005</v>
      </c>
      <c r="F16" s="105">
        <v>0.91200000000000003</v>
      </c>
      <c r="G16" s="108">
        <v>0.94099999999999995</v>
      </c>
      <c r="K16" s="61"/>
      <c r="M16" s="85">
        <v>0.86499999999999999</v>
      </c>
      <c r="N16" s="85">
        <v>25.62</v>
      </c>
      <c r="O16" s="89"/>
      <c r="P16" s="89"/>
      <c r="Q16" s="89"/>
      <c r="R16" s="1">
        <f t="shared" si="0"/>
        <v>43.559998972015997</v>
      </c>
      <c r="V16" s="62"/>
      <c r="W16" s="62"/>
      <c r="Y16">
        <v>175.1</v>
      </c>
      <c r="AB16" s="66"/>
      <c r="AC16" s="62"/>
      <c r="AD16" s="67"/>
      <c r="AE16" s="66"/>
      <c r="AF16" s="66"/>
    </row>
    <row r="17" spans="1:32">
      <c r="B17" s="63">
        <f t="shared" si="1"/>
        <v>36936.480000000003</v>
      </c>
      <c r="C17" s="20">
        <v>2</v>
      </c>
      <c r="E17" s="106">
        <v>1.0760000000000001</v>
      </c>
      <c r="F17" s="105">
        <v>0.9</v>
      </c>
      <c r="G17" s="108">
        <v>0.93799999999999994</v>
      </c>
      <c r="K17" s="61"/>
      <c r="M17" s="85">
        <v>0.81599999999999995</v>
      </c>
      <c r="N17" s="85">
        <v>27.5</v>
      </c>
      <c r="O17" s="89"/>
      <c r="P17" s="89"/>
      <c r="Q17" s="89"/>
      <c r="R17" s="1">
        <f t="shared" si="0"/>
        <v>46.570264505119454</v>
      </c>
      <c r="V17" s="62"/>
      <c r="W17" s="62"/>
      <c r="Y17">
        <v>175.8</v>
      </c>
      <c r="AB17" s="66"/>
      <c r="AC17" s="62"/>
      <c r="AD17" s="67"/>
      <c r="AE17" s="66"/>
      <c r="AF17" s="66"/>
    </row>
    <row r="18" spans="1:32">
      <c r="B18" s="63">
        <f t="shared" si="1"/>
        <v>36966.960000000006</v>
      </c>
      <c r="C18" s="20">
        <v>3</v>
      </c>
      <c r="E18" s="106">
        <v>1.159</v>
      </c>
      <c r="F18" s="105">
        <v>0.86199999999999999</v>
      </c>
      <c r="G18" s="108">
        <v>0.91</v>
      </c>
      <c r="K18" s="61"/>
      <c r="M18" s="85">
        <v>0.77100000000000002</v>
      </c>
      <c r="N18" s="85">
        <v>24.5</v>
      </c>
      <c r="O18" s="89"/>
      <c r="P18" s="89"/>
      <c r="Q18" s="89"/>
      <c r="R18" s="1">
        <f t="shared" si="0"/>
        <v>41.39568388195233</v>
      </c>
      <c r="V18" s="62"/>
      <c r="W18" s="62"/>
      <c r="Y18">
        <v>176.2</v>
      </c>
      <c r="AB18" s="66"/>
      <c r="AC18" s="62"/>
      <c r="AD18" s="67"/>
      <c r="AE18" s="66"/>
      <c r="AF18" s="66"/>
    </row>
    <row r="19" spans="1:32">
      <c r="B19" s="63">
        <f t="shared" si="1"/>
        <v>36997.44000000001</v>
      </c>
      <c r="C19" s="20">
        <v>4</v>
      </c>
      <c r="E19" s="106">
        <v>1.29</v>
      </c>
      <c r="F19" s="105">
        <v>1.0369999999999999</v>
      </c>
      <c r="G19" s="108">
        <v>1.0629999999999999</v>
      </c>
      <c r="K19" s="61"/>
      <c r="M19" s="85">
        <v>1.0009999999999999</v>
      </c>
      <c r="N19" s="85">
        <v>25.66</v>
      </c>
      <c r="O19" s="89"/>
      <c r="P19" s="89"/>
      <c r="Q19" s="89"/>
      <c r="R19" s="1">
        <f t="shared" si="0"/>
        <v>43.184082871678918</v>
      </c>
      <c r="V19" s="62"/>
      <c r="W19" s="62"/>
      <c r="Y19">
        <v>176.9</v>
      </c>
      <c r="AB19" s="66"/>
      <c r="AC19" s="62"/>
      <c r="AD19" s="67"/>
      <c r="AE19" s="66"/>
      <c r="AF19" s="66"/>
    </row>
    <row r="20" spans="1:32">
      <c r="B20" s="63">
        <f t="shared" si="1"/>
        <v>37027.920000000013</v>
      </c>
      <c r="C20" s="20">
        <v>5</v>
      </c>
      <c r="E20" s="106">
        <v>1.1930000000000001</v>
      </c>
      <c r="F20" s="105">
        <v>1.1220000000000001</v>
      </c>
      <c r="G20" s="108">
        <v>1.153</v>
      </c>
      <c r="K20" s="61"/>
      <c r="M20" s="85">
        <v>0.92200000000000004</v>
      </c>
      <c r="N20" s="85">
        <v>28.31</v>
      </c>
      <c r="O20" s="89"/>
      <c r="P20" s="89"/>
      <c r="Q20" s="89"/>
      <c r="R20" s="1">
        <f t="shared" si="0"/>
        <v>47.429366404051777</v>
      </c>
      <c r="V20" s="62"/>
      <c r="W20" s="62"/>
      <c r="Y20">
        <v>177.7</v>
      </c>
      <c r="AB20" s="66"/>
      <c r="AC20" s="62"/>
      <c r="AD20" s="67"/>
      <c r="AE20" s="66"/>
      <c r="AF20" s="66"/>
    </row>
    <row r="21" spans="1:32">
      <c r="A21">
        <v>2001</v>
      </c>
      <c r="B21" s="63">
        <f t="shared" si="1"/>
        <v>37058.400000000016</v>
      </c>
      <c r="C21" s="20">
        <v>6</v>
      </c>
      <c r="E21" s="106">
        <v>1.006</v>
      </c>
      <c r="F21" s="105">
        <v>0.91400000000000003</v>
      </c>
      <c r="G21" s="108">
        <v>0.98499999999999999</v>
      </c>
      <c r="K21" s="61"/>
      <c r="M21" s="85">
        <v>0.72899999999999998</v>
      </c>
      <c r="N21" s="85">
        <v>27.85</v>
      </c>
      <c r="O21" s="89"/>
      <c r="P21" s="89"/>
      <c r="Q21" s="89"/>
      <c r="R21" s="1">
        <f t="shared" si="0"/>
        <v>46.580063764044944</v>
      </c>
      <c r="V21" s="62"/>
      <c r="W21" s="62"/>
      <c r="Y21">
        <v>178</v>
      </c>
      <c r="AB21" s="66"/>
      <c r="AC21" s="62"/>
      <c r="AD21" s="67"/>
      <c r="AE21" s="66"/>
      <c r="AF21" s="66"/>
    </row>
    <row r="22" spans="1:32">
      <c r="B22" s="63">
        <f t="shared" si="1"/>
        <v>37088.880000000019</v>
      </c>
      <c r="C22" s="20">
        <v>7</v>
      </c>
      <c r="E22" s="106">
        <v>0.8</v>
      </c>
      <c r="F22" s="105">
        <v>0.77200000000000002</v>
      </c>
      <c r="G22" s="108">
        <v>0.84</v>
      </c>
      <c r="K22" s="61"/>
      <c r="M22" s="85">
        <v>0.67400000000000004</v>
      </c>
      <c r="N22" s="85">
        <v>24.61</v>
      </c>
      <c r="O22" s="89"/>
      <c r="P22" s="89"/>
      <c r="Q22" s="89"/>
      <c r="R22" s="1">
        <f t="shared" si="0"/>
        <v>41.277001183098591</v>
      </c>
      <c r="V22" s="62"/>
      <c r="W22" s="62"/>
      <c r="Y22">
        <v>177.5</v>
      </c>
      <c r="AB22" s="66"/>
      <c r="AC22" s="62"/>
      <c r="AD22" s="67"/>
      <c r="AE22" s="66"/>
      <c r="AF22" s="66"/>
    </row>
    <row r="23" spans="1:32">
      <c r="B23" s="63">
        <f t="shared" si="1"/>
        <v>37119.360000000022</v>
      </c>
      <c r="C23" s="20">
        <v>8</v>
      </c>
      <c r="E23" s="106">
        <v>0.92500000000000004</v>
      </c>
      <c r="F23" s="105">
        <v>0.89</v>
      </c>
      <c r="G23" s="108">
        <v>0.90600000000000003</v>
      </c>
      <c r="K23" s="61"/>
      <c r="M23" s="85">
        <v>0.78</v>
      </c>
      <c r="N23" s="85">
        <v>25.68</v>
      </c>
      <c r="O23" s="89"/>
      <c r="Q23" s="89"/>
      <c r="R23" s="1">
        <f t="shared" si="0"/>
        <v>43.071653408450707</v>
      </c>
      <c r="V23" s="62"/>
      <c r="W23" s="62"/>
      <c r="Y23">
        <v>177.5</v>
      </c>
      <c r="AB23" s="66"/>
      <c r="AC23" s="62"/>
      <c r="AD23" s="67"/>
      <c r="AE23" s="66"/>
      <c r="AF23" s="66"/>
    </row>
    <row r="24" spans="1:32">
      <c r="B24" s="63">
        <f t="shared" si="1"/>
        <v>37149.840000000026</v>
      </c>
      <c r="C24" s="20">
        <v>9</v>
      </c>
      <c r="E24" s="106">
        <v>1.0509999999999999</v>
      </c>
      <c r="F24" s="105">
        <v>0.92</v>
      </c>
      <c r="G24" s="108">
        <v>0.94099999999999995</v>
      </c>
      <c r="K24" s="61"/>
      <c r="M24" s="85">
        <v>0.745</v>
      </c>
      <c r="N24" s="85">
        <v>25.62</v>
      </c>
      <c r="O24" s="89"/>
      <c r="Q24" s="89"/>
      <c r="R24" s="1">
        <f t="shared" si="0"/>
        <v>42.778215479528882</v>
      </c>
      <c r="V24" s="62"/>
      <c r="W24" s="62"/>
      <c r="Y24">
        <v>178.3</v>
      </c>
      <c r="AB24" s="66"/>
      <c r="AC24" s="62"/>
      <c r="AD24" s="67"/>
      <c r="AE24" s="66"/>
      <c r="AF24" s="66"/>
    </row>
    <row r="25" spans="1:32">
      <c r="B25" s="63">
        <f t="shared" si="1"/>
        <v>37180.320000000029</v>
      </c>
      <c r="C25" s="20">
        <v>10</v>
      </c>
      <c r="E25" s="106">
        <v>0.84699999999999998</v>
      </c>
      <c r="F25" s="105">
        <v>0.68799999999999994</v>
      </c>
      <c r="G25" s="108">
        <v>0.74</v>
      </c>
      <c r="K25" s="61"/>
      <c r="M25" s="85">
        <v>0.56200000000000006</v>
      </c>
      <c r="N25" s="85">
        <v>20.54</v>
      </c>
      <c r="O25" s="89"/>
      <c r="Q25" s="89"/>
      <c r="R25" s="1">
        <f t="shared" si="0"/>
        <v>34.411839842431064</v>
      </c>
      <c r="V25" s="62"/>
      <c r="W25" s="62"/>
      <c r="Y25">
        <v>177.7</v>
      </c>
      <c r="AB25" s="66"/>
      <c r="AC25" s="62"/>
      <c r="AD25" s="67"/>
      <c r="AE25" s="66"/>
      <c r="AF25" s="66"/>
    </row>
    <row r="26" spans="1:32">
      <c r="B26" s="63">
        <f t="shared" si="1"/>
        <v>37210.800000000032</v>
      </c>
      <c r="C26" s="20">
        <v>11</v>
      </c>
      <c r="E26" s="106">
        <v>0.67100000000000004</v>
      </c>
      <c r="F26" s="105">
        <v>0.59099999999999997</v>
      </c>
      <c r="G26" s="108">
        <v>0.63400000000000001</v>
      </c>
      <c r="K26" s="61"/>
      <c r="M26" s="85">
        <v>0.501</v>
      </c>
      <c r="N26" s="85">
        <v>18.8</v>
      </c>
      <c r="O26" s="89"/>
      <c r="Q26" s="89"/>
      <c r="R26" s="1">
        <f t="shared" si="0"/>
        <v>31.549981961668546</v>
      </c>
      <c r="V26" s="62"/>
      <c r="W26" s="62"/>
      <c r="Y26">
        <v>177.4</v>
      </c>
      <c r="AB26" s="66"/>
      <c r="AC26" s="62"/>
      <c r="AD26" s="67"/>
      <c r="AE26" s="66"/>
      <c r="AF26" s="66"/>
    </row>
    <row r="27" spans="1:32">
      <c r="B27" s="63">
        <f t="shared" si="1"/>
        <v>37241.280000000035</v>
      </c>
      <c r="C27" s="20">
        <v>12</v>
      </c>
      <c r="E27" s="106">
        <v>0.58499999999999996</v>
      </c>
      <c r="F27" s="105">
        <v>0.56200000000000006</v>
      </c>
      <c r="G27" s="108">
        <v>0.58299999999999996</v>
      </c>
      <c r="K27" s="61"/>
      <c r="M27" s="85">
        <v>0.50800000000000001</v>
      </c>
      <c r="N27" s="85">
        <v>18.71</v>
      </c>
      <c r="O27" s="89"/>
      <c r="Q27" s="89"/>
      <c r="R27" s="1">
        <f t="shared" si="0"/>
        <v>31.523332258064521</v>
      </c>
      <c r="V27" s="62"/>
      <c r="W27" s="62"/>
      <c r="Y27">
        <v>176.7</v>
      </c>
      <c r="AB27" s="66"/>
      <c r="AC27" s="62"/>
      <c r="AD27" s="67"/>
      <c r="AE27" s="66"/>
      <c r="AF27" s="66"/>
    </row>
    <row r="28" spans="1:32">
      <c r="A28" s="64" t="s">
        <v>39</v>
      </c>
      <c r="B28" s="87">
        <v>37271</v>
      </c>
      <c r="C28" s="20">
        <v>1</v>
      </c>
      <c r="E28" s="106">
        <v>0.64400000000000002</v>
      </c>
      <c r="F28" s="105">
        <v>0.58899999999999997</v>
      </c>
      <c r="G28" s="108">
        <v>0.61199999999999999</v>
      </c>
      <c r="K28" s="61"/>
      <c r="M28" s="85">
        <v>0.53800000000000003</v>
      </c>
      <c r="N28" s="85">
        <v>19.420000000000002</v>
      </c>
      <c r="O28" s="89"/>
      <c r="Q28" s="89"/>
      <c r="R28" s="1">
        <f t="shared" si="0"/>
        <v>32.645666967814797</v>
      </c>
      <c r="V28" s="62"/>
      <c r="W28" s="62"/>
      <c r="Y28">
        <v>177.1</v>
      </c>
      <c r="AB28" s="66"/>
      <c r="AC28" s="62"/>
      <c r="AD28" s="67"/>
      <c r="AE28" s="66"/>
      <c r="AF28" s="66"/>
    </row>
    <row r="29" spans="1:32">
      <c r="B29" s="63">
        <f t="shared" si="1"/>
        <v>37301.480000000003</v>
      </c>
      <c r="C29" s="20">
        <v>2</v>
      </c>
      <c r="E29" s="106">
        <v>0.72199999999999998</v>
      </c>
      <c r="F29" s="105">
        <v>0.59799999999999998</v>
      </c>
      <c r="G29" s="108">
        <v>0.628</v>
      </c>
      <c r="K29" s="61"/>
      <c r="M29" s="85">
        <v>0.53900000000000003</v>
      </c>
      <c r="N29" s="85">
        <v>20.28</v>
      </c>
      <c r="O29" s="89"/>
      <c r="Q29" s="89"/>
      <c r="R29" s="1">
        <f t="shared" si="0"/>
        <v>33.95713768278965</v>
      </c>
      <c r="V29" s="62"/>
      <c r="W29" s="62"/>
      <c r="Y29">
        <v>177.8</v>
      </c>
      <c r="AB29" s="66"/>
      <c r="AC29" s="62"/>
      <c r="AD29" s="67"/>
      <c r="AE29" s="66"/>
      <c r="AF29" s="66"/>
    </row>
    <row r="30" spans="1:32">
      <c r="B30" s="63">
        <f t="shared" si="1"/>
        <v>37331.960000000006</v>
      </c>
      <c r="C30" s="20">
        <v>3</v>
      </c>
      <c r="E30" s="106">
        <v>0.92100000000000004</v>
      </c>
      <c r="F30" s="105">
        <v>0.76300000000000001</v>
      </c>
      <c r="G30" s="108">
        <v>0.78400000000000003</v>
      </c>
      <c r="K30" s="61"/>
      <c r="M30" s="85">
        <v>0.71399999999999997</v>
      </c>
      <c r="N30" s="85">
        <v>23.7</v>
      </c>
      <c r="O30" s="89"/>
      <c r="Q30" s="89"/>
      <c r="R30" s="1">
        <f t="shared" si="0"/>
        <v>39.461692953020133</v>
      </c>
      <c r="V30" s="62"/>
      <c r="W30" s="62"/>
      <c r="Y30">
        <v>178.8</v>
      </c>
      <c r="AB30" s="66"/>
      <c r="AC30" s="62"/>
      <c r="AD30" s="67"/>
      <c r="AE30" s="66"/>
      <c r="AF30" s="66"/>
    </row>
    <row r="31" spans="1:32">
      <c r="B31" s="63">
        <f t="shared" si="1"/>
        <v>37362.44000000001</v>
      </c>
      <c r="C31" s="20">
        <v>4</v>
      </c>
      <c r="E31" s="106">
        <v>0.92300000000000004</v>
      </c>
      <c r="F31" s="105">
        <v>0.84</v>
      </c>
      <c r="G31" s="108">
        <v>0.871</v>
      </c>
      <c r="K31" s="61"/>
      <c r="M31" s="85">
        <v>0.77700000000000002</v>
      </c>
      <c r="N31" s="85">
        <v>25.73</v>
      </c>
      <c r="O31" s="89"/>
      <c r="Q31" s="89"/>
      <c r="R31" s="1">
        <f t="shared" si="0"/>
        <v>42.603470689655175</v>
      </c>
      <c r="V31" s="62"/>
      <c r="W31" s="62"/>
      <c r="Y31">
        <v>179.8</v>
      </c>
      <c r="AB31" s="66"/>
      <c r="AC31" s="62"/>
      <c r="AD31" s="67"/>
      <c r="AE31" s="66"/>
      <c r="AF31" s="66"/>
    </row>
    <row r="32" spans="1:32">
      <c r="B32" s="63">
        <f t="shared" si="1"/>
        <v>37392.920000000013</v>
      </c>
      <c r="C32" s="20">
        <v>5</v>
      </c>
      <c r="E32" s="106">
        <v>0.91</v>
      </c>
      <c r="F32" s="105">
        <v>0.83</v>
      </c>
      <c r="G32" s="108">
        <v>0.85899999999999999</v>
      </c>
      <c r="K32" s="61"/>
      <c r="M32" s="85">
        <v>0.74</v>
      </c>
      <c r="N32" s="85">
        <v>25.35</v>
      </c>
      <c r="O32" s="89"/>
      <c r="Q32" s="89"/>
      <c r="R32" s="1">
        <f t="shared" si="0"/>
        <v>41.974270578420473</v>
      </c>
      <c r="V32" s="62"/>
      <c r="W32" s="62"/>
      <c r="Y32">
        <v>179.8</v>
      </c>
      <c r="AB32" s="66"/>
      <c r="AC32" s="62"/>
      <c r="AD32" s="67"/>
      <c r="AE32" s="66"/>
      <c r="AF32" s="66"/>
    </row>
    <row r="33" spans="1:32">
      <c r="A33">
        <v>2002</v>
      </c>
      <c r="B33" s="63">
        <f t="shared" si="1"/>
        <v>37423.400000000016</v>
      </c>
      <c r="C33" s="20">
        <v>6</v>
      </c>
      <c r="E33" s="106">
        <v>0.97099999999999997</v>
      </c>
      <c r="F33" s="105">
        <v>0.82499999999999996</v>
      </c>
      <c r="G33" s="108">
        <v>0.85599999999999998</v>
      </c>
      <c r="K33" s="61"/>
      <c r="M33" s="85">
        <v>0.73599999999999999</v>
      </c>
      <c r="N33" s="85">
        <v>24.08</v>
      </c>
      <c r="O33" s="89"/>
      <c r="Q33" s="89"/>
      <c r="R33" s="1">
        <f t="shared" si="0"/>
        <v>39.849254474708168</v>
      </c>
      <c r="V33" s="62"/>
      <c r="W33" s="62"/>
      <c r="Y33">
        <v>179.9</v>
      </c>
      <c r="AB33" s="66"/>
      <c r="AC33" s="62"/>
      <c r="AD33" s="67"/>
      <c r="AE33" s="66"/>
      <c r="AF33" s="66"/>
    </row>
    <row r="34" spans="1:32">
      <c r="B34" s="63">
        <f t="shared" si="1"/>
        <v>37453.880000000019</v>
      </c>
      <c r="C34" s="20">
        <v>7</v>
      </c>
      <c r="E34" s="106">
        <v>0.92700000000000005</v>
      </c>
      <c r="F34" s="105">
        <v>0.85099999999999998</v>
      </c>
      <c r="G34" s="108">
        <v>0.878</v>
      </c>
      <c r="K34" s="61"/>
      <c r="M34" s="85">
        <v>0.75600000000000001</v>
      </c>
      <c r="N34" s="85">
        <v>25.74</v>
      </c>
      <c r="O34" s="89"/>
      <c r="Q34" s="89"/>
      <c r="R34" s="1">
        <f t="shared" si="0"/>
        <v>42.549034647418097</v>
      </c>
      <c r="V34" s="62"/>
      <c r="W34" s="62"/>
      <c r="Y34">
        <v>180.1</v>
      </c>
      <c r="AB34" s="66"/>
      <c r="AC34" s="62"/>
      <c r="AD34" s="67"/>
      <c r="AE34" s="66"/>
      <c r="AF34" s="66"/>
    </row>
    <row r="35" spans="1:32">
      <c r="B35" s="63">
        <f t="shared" si="1"/>
        <v>37484.360000000022</v>
      </c>
      <c r="C35" s="20">
        <v>8</v>
      </c>
      <c r="E35" s="106">
        <v>0.94199999999999995</v>
      </c>
      <c r="F35" s="105">
        <v>0.84399999999999997</v>
      </c>
      <c r="G35" s="108">
        <v>0.874</v>
      </c>
      <c r="K35" s="61"/>
      <c r="M35" s="85">
        <v>0.75</v>
      </c>
      <c r="N35" s="85">
        <v>26.65</v>
      </c>
      <c r="O35" s="89"/>
      <c r="Q35" s="89"/>
      <c r="R35" s="1">
        <f t="shared" si="0"/>
        <v>43.90701798561151</v>
      </c>
      <c r="V35" s="62"/>
      <c r="W35" s="62"/>
      <c r="Y35">
        <v>180.7</v>
      </c>
      <c r="AB35" s="66"/>
      <c r="AC35" s="62"/>
      <c r="AD35" s="67"/>
      <c r="AE35" s="66"/>
      <c r="AF35" s="66"/>
    </row>
    <row r="36" spans="1:32">
      <c r="B36" s="63">
        <f t="shared" si="1"/>
        <v>37514.840000000026</v>
      </c>
      <c r="C36" s="20">
        <v>9</v>
      </c>
      <c r="E36" s="106">
        <v>0.94199999999999995</v>
      </c>
      <c r="F36" s="105">
        <v>0.86</v>
      </c>
      <c r="G36" s="108">
        <v>0.88900000000000001</v>
      </c>
      <c r="K36" s="61"/>
      <c r="M36" s="85">
        <v>0.77600000000000002</v>
      </c>
      <c r="N36" s="85">
        <v>28.4</v>
      </c>
      <c r="O36" s="89"/>
      <c r="Q36" s="89"/>
      <c r="R36" s="1">
        <f t="shared" si="0"/>
        <v>46.712665193370164</v>
      </c>
      <c r="V36" s="62"/>
      <c r="W36" s="62"/>
      <c r="Y36">
        <v>181</v>
      </c>
      <c r="AB36" s="66"/>
      <c r="AC36" s="62"/>
      <c r="AD36" s="67"/>
      <c r="AE36" s="66"/>
      <c r="AF36" s="66"/>
    </row>
    <row r="37" spans="1:32">
      <c r="B37" s="63">
        <f t="shared" si="1"/>
        <v>37545.320000000029</v>
      </c>
      <c r="C37" s="20">
        <v>10</v>
      </c>
      <c r="E37" s="106">
        <v>0.93400000000000005</v>
      </c>
      <c r="F37" s="105">
        <v>0.91600000000000004</v>
      </c>
      <c r="G37" s="108">
        <v>0.93</v>
      </c>
      <c r="K37" s="61"/>
      <c r="M37" s="85">
        <v>0.82599999999999996</v>
      </c>
      <c r="N37" s="85">
        <v>27.54</v>
      </c>
      <c r="O37" s="89"/>
      <c r="Q37" s="89"/>
      <c r="R37" s="1">
        <f t="shared" si="0"/>
        <v>45.223171207942634</v>
      </c>
      <c r="V37" s="62"/>
      <c r="W37" s="62"/>
      <c r="Y37">
        <v>181.3</v>
      </c>
      <c r="AB37" s="66"/>
      <c r="AC37" s="62"/>
      <c r="AD37" s="67"/>
      <c r="AE37" s="66"/>
      <c r="AF37" s="66"/>
    </row>
    <row r="38" spans="1:32">
      <c r="B38" s="63">
        <f t="shared" si="1"/>
        <v>37575.800000000032</v>
      </c>
      <c r="C38" s="20">
        <v>11</v>
      </c>
      <c r="E38" s="106">
        <v>0.91500000000000004</v>
      </c>
      <c r="F38" s="105">
        <v>0.80800000000000005</v>
      </c>
      <c r="G38" s="108">
        <v>0.85</v>
      </c>
      <c r="K38" s="61"/>
      <c r="M38" s="85">
        <v>0.69099999999999995</v>
      </c>
      <c r="N38" s="85">
        <v>24.34</v>
      </c>
      <c r="O38" s="89"/>
      <c r="Q38" s="89"/>
      <c r="R38" s="1">
        <f t="shared" si="0"/>
        <v>39.968481742967455</v>
      </c>
      <c r="V38" s="62"/>
      <c r="W38" s="62"/>
      <c r="Y38">
        <v>181.3</v>
      </c>
      <c r="AB38" s="66"/>
      <c r="AC38" s="62"/>
      <c r="AD38" s="67"/>
      <c r="AE38" s="66"/>
      <c r="AF38" s="66"/>
    </row>
    <row r="39" spans="1:32">
      <c r="B39" s="63">
        <f t="shared" si="1"/>
        <v>37606.280000000035</v>
      </c>
      <c r="C39" s="20">
        <v>12</v>
      </c>
      <c r="E39" s="106">
        <v>0.86299999999999999</v>
      </c>
      <c r="F39" s="105">
        <v>0.83299999999999996</v>
      </c>
      <c r="G39" s="108">
        <v>0.85899999999999999</v>
      </c>
      <c r="K39" s="61"/>
      <c r="M39" s="85">
        <v>0.78</v>
      </c>
      <c r="N39" s="85">
        <v>28.33</v>
      </c>
      <c r="O39" s="89"/>
      <c r="Q39" s="89"/>
      <c r="R39" s="1">
        <f t="shared" si="0"/>
        <v>46.62328706467661</v>
      </c>
      <c r="V39" s="62"/>
      <c r="W39" s="62"/>
      <c r="Y39">
        <v>180.9</v>
      </c>
      <c r="AB39" s="66"/>
      <c r="AC39" s="62"/>
      <c r="AD39" s="67"/>
      <c r="AE39" s="66"/>
      <c r="AF39" s="66"/>
    </row>
    <row r="40" spans="1:32">
      <c r="A40" s="64" t="s">
        <v>39</v>
      </c>
      <c r="B40" s="87">
        <v>37636</v>
      </c>
      <c r="C40" s="20">
        <v>1</v>
      </c>
      <c r="E40" s="106">
        <v>0.97499999999999998</v>
      </c>
      <c r="F40" s="105">
        <v>0.92100000000000004</v>
      </c>
      <c r="G40" s="108">
        <v>0.94699999999999995</v>
      </c>
      <c r="K40" s="61"/>
      <c r="M40" s="85">
        <v>0.879</v>
      </c>
      <c r="N40" s="85">
        <v>31.18</v>
      </c>
      <c r="O40" s="89"/>
      <c r="Q40" s="89"/>
      <c r="R40" s="1">
        <f t="shared" si="0"/>
        <v>51.087666373142547</v>
      </c>
      <c r="V40" s="62"/>
      <c r="W40" s="62"/>
      <c r="Y40">
        <v>181.7</v>
      </c>
      <c r="AB40" s="66"/>
      <c r="AC40" s="62"/>
      <c r="AD40" s="67"/>
      <c r="AE40" s="66"/>
      <c r="AF40" s="66"/>
    </row>
    <row r="41" spans="1:32">
      <c r="B41" s="63">
        <f t="shared" si="1"/>
        <v>37666.480000000003</v>
      </c>
      <c r="C41" s="20">
        <v>2</v>
      </c>
      <c r="E41" s="106">
        <v>1.1719999999999999</v>
      </c>
      <c r="F41" s="105">
        <v>1.075</v>
      </c>
      <c r="G41" s="108">
        <v>1.1000000000000001</v>
      </c>
      <c r="K41" s="61"/>
      <c r="M41" s="85">
        <v>1.006</v>
      </c>
      <c r="N41" s="85">
        <v>32.770000000000003</v>
      </c>
      <c r="O41" s="89"/>
      <c r="Q41" s="89"/>
      <c r="R41" s="1">
        <f t="shared" si="0"/>
        <v>53.282301856908802</v>
      </c>
      <c r="V41" s="62"/>
      <c r="W41" s="62"/>
      <c r="Y41">
        <v>183.1</v>
      </c>
      <c r="AB41" s="66"/>
      <c r="AC41" s="62"/>
      <c r="AD41" s="67"/>
      <c r="AE41" s="66"/>
      <c r="AF41" s="66"/>
    </row>
    <row r="42" spans="1:32">
      <c r="B42" s="63">
        <f t="shared" si="1"/>
        <v>37696.960000000006</v>
      </c>
      <c r="C42" s="20">
        <v>3</v>
      </c>
      <c r="E42" s="106">
        <v>1.3839999999999999</v>
      </c>
      <c r="F42" s="105">
        <v>1.073</v>
      </c>
      <c r="G42" s="108">
        <v>1.129</v>
      </c>
      <c r="K42" s="61"/>
      <c r="M42" s="85">
        <v>0.96299999999999997</v>
      </c>
      <c r="N42" s="85">
        <v>30.61</v>
      </c>
      <c r="O42" s="89"/>
      <c r="Q42" s="89"/>
      <c r="R42" s="1">
        <f t="shared" si="0"/>
        <v>49.473038599348534</v>
      </c>
      <c r="V42" s="62"/>
      <c r="W42" s="62"/>
      <c r="Y42">
        <v>184.2</v>
      </c>
      <c r="AB42" s="66"/>
      <c r="AC42" s="62"/>
      <c r="AD42" s="67"/>
      <c r="AE42" s="66"/>
      <c r="AF42" s="66"/>
    </row>
    <row r="43" spans="1:32">
      <c r="B43" s="63">
        <f t="shared" si="1"/>
        <v>37727.44000000001</v>
      </c>
      <c r="C43" s="20">
        <v>4</v>
      </c>
      <c r="E43" s="106">
        <v>1.1180000000000001</v>
      </c>
      <c r="F43" s="105">
        <v>0.93100000000000005</v>
      </c>
      <c r="G43" s="108">
        <v>0.997</v>
      </c>
      <c r="K43" s="61"/>
      <c r="M43" s="85">
        <v>0.81</v>
      </c>
      <c r="N43" s="85">
        <v>25</v>
      </c>
      <c r="O43" s="89"/>
      <c r="Q43" s="89"/>
      <c r="R43" s="1">
        <f t="shared" si="0"/>
        <v>40.493879216539717</v>
      </c>
      <c r="V43" s="62"/>
      <c r="W43" s="62"/>
      <c r="Y43">
        <v>183.8</v>
      </c>
      <c r="AB43" s="66"/>
      <c r="AC43" s="62"/>
      <c r="AD43" s="67"/>
      <c r="AE43" s="66"/>
      <c r="AF43" s="66"/>
    </row>
    <row r="44" spans="1:32">
      <c r="B44" s="63">
        <f t="shared" si="1"/>
        <v>37757.920000000013</v>
      </c>
      <c r="C44" s="20">
        <v>5</v>
      </c>
      <c r="E44" s="106">
        <v>0.96199999999999997</v>
      </c>
      <c r="F44" s="105">
        <v>0.89200000000000002</v>
      </c>
      <c r="G44" s="108">
        <v>0.93600000000000005</v>
      </c>
      <c r="K44" s="61"/>
      <c r="M44" s="85">
        <v>0.78300000000000003</v>
      </c>
      <c r="N44" s="85">
        <v>25.86</v>
      </c>
      <c r="O44" s="89"/>
      <c r="Q44" s="89"/>
      <c r="R44" s="1">
        <f t="shared" si="0"/>
        <v>41.955348555858315</v>
      </c>
      <c r="V44" s="62"/>
      <c r="W44" s="62"/>
      <c r="Y44">
        <v>183.5</v>
      </c>
      <c r="AB44" s="66"/>
      <c r="AC44" s="62"/>
      <c r="AD44" s="67"/>
      <c r="AE44" s="66"/>
      <c r="AF44" s="66"/>
    </row>
    <row r="45" spans="1:32">
      <c r="A45">
        <v>2003</v>
      </c>
      <c r="B45" s="63">
        <v>37787</v>
      </c>
      <c r="C45" s="20">
        <v>6</v>
      </c>
      <c r="D45" s="100">
        <f>H45-K45</f>
        <v>0.10199999999999987</v>
      </c>
      <c r="E45" s="106">
        <v>1.137</v>
      </c>
      <c r="F45" s="105">
        <v>0.92300000000000004</v>
      </c>
      <c r="G45" s="108">
        <v>0.95599999999999996</v>
      </c>
      <c r="H45" s="101">
        <v>1.1739999999999999</v>
      </c>
      <c r="I45" s="107">
        <f>(H45-(G45-0.1*H45)/0.9-GasolineMGSData!AG47)*(Y$283/Y45)</f>
        <v>4.0285543547361483E-2</v>
      </c>
      <c r="J45" s="107">
        <f>AVERAGE(I45:I51)</f>
        <v>-2.1859656587487897E-2</v>
      </c>
      <c r="K45">
        <v>1.0720000000000001</v>
      </c>
      <c r="L45">
        <v>0.80800000000000005</v>
      </c>
      <c r="M45" s="85">
        <v>0.82599999999999996</v>
      </c>
      <c r="N45" s="85">
        <v>27.65</v>
      </c>
      <c r="O45" s="1">
        <f t="shared" ref="O45:O108" si="2">K45*($Y$289/$Y45)</f>
        <v>1.7954453565596082</v>
      </c>
      <c r="P45" s="1">
        <f t="shared" ref="P45:P86" si="3">L45*($Y$289/$Y45)</f>
        <v>1.3532834403919436</v>
      </c>
      <c r="Q45" s="1">
        <f t="shared" ref="Q45:Q108" si="4">M45*($Y$289/$Y45)</f>
        <v>1.3834308437670115</v>
      </c>
      <c r="R45" s="1">
        <f t="shared" si="0"/>
        <v>44.810610506260211</v>
      </c>
      <c r="S45" s="1">
        <f>O45-P45</f>
        <v>0.44216191616766465</v>
      </c>
      <c r="T45" s="1">
        <f>O45-Q45</f>
        <v>0.41201451279259671</v>
      </c>
      <c r="U45" s="1">
        <f>AVERAGE(S45:T45)</f>
        <v>0.42708821448013068</v>
      </c>
      <c r="V45" s="1">
        <f>AVERAGE(S45:T51)</f>
        <v>0.27398480159856659</v>
      </c>
      <c r="W45" s="82">
        <f t="shared" ref="W45:W108" si="5">U45-0.1*$Y$278/Y45</f>
        <v>0.26502452367991292</v>
      </c>
      <c r="X45" s="1">
        <f>AVERAGE(W45:W51)</f>
        <v>0.11258513060544849</v>
      </c>
      <c r="Y45">
        <v>183.7</v>
      </c>
      <c r="Z45" s="1">
        <f t="shared" ref="Z45:Z108" si="6">S45*(Y$283/Y45)</f>
        <v>0.73018816208149839</v>
      </c>
      <c r="AA45" s="1">
        <f t="shared" ref="AA45:AA108" si="7">T45*(Y$283/Y45)</f>
        <v>0.6804026055759419</v>
      </c>
      <c r="AB45" s="1">
        <f>AVERAGE(Z45:AA45)</f>
        <v>0.70529538382872015</v>
      </c>
      <c r="AC45" s="1">
        <f>AVERAGE(Z45:AA51)</f>
        <v>0.45073476999427547</v>
      </c>
      <c r="AE45" s="1"/>
      <c r="AF45" s="1"/>
    </row>
    <row r="46" spans="1:32">
      <c r="B46" s="63">
        <v>37817</v>
      </c>
      <c r="C46" s="20">
        <v>7</v>
      </c>
      <c r="D46" s="100">
        <f t="shared" ref="D46:D109" si="8">H46-K46</f>
        <v>0.15800000000000003</v>
      </c>
      <c r="E46" s="106">
        <v>1.0580000000000001</v>
      </c>
      <c r="F46" s="105">
        <v>0.95699999999999996</v>
      </c>
      <c r="G46" s="108">
        <v>0.98199999999999998</v>
      </c>
      <c r="H46" s="101">
        <v>1.123</v>
      </c>
      <c r="I46" s="107">
        <f>(H46-(G46-0.1*H46)/0.9-GasolineMGSData!AG48)*(Y$283/Y46)</f>
        <v>-9.8413394758223458E-2</v>
      </c>
      <c r="J46" s="107">
        <f t="shared" ref="J46:J51" si="9">J45</f>
        <v>-2.1859656587487897E-2</v>
      </c>
      <c r="K46">
        <v>0.96499999999999997</v>
      </c>
      <c r="L46">
        <v>0.873</v>
      </c>
      <c r="M46">
        <v>0.88500000000000001</v>
      </c>
      <c r="N46" s="85">
        <v>28.35</v>
      </c>
      <c r="O46" s="1">
        <f t="shared" si="2"/>
        <v>1.6144780587275693</v>
      </c>
      <c r="P46" s="1">
        <f t="shared" si="3"/>
        <v>1.4605589070146818</v>
      </c>
      <c r="Q46" s="1">
        <f t="shared" si="4"/>
        <v>1.4806353181076672</v>
      </c>
      <c r="R46" s="1">
        <f t="shared" si="0"/>
        <v>45.895088907014689</v>
      </c>
      <c r="S46" s="1">
        <f t="shared" ref="S46:S109" si="10">O46-P46</f>
        <v>0.1539191517128875</v>
      </c>
      <c r="T46" s="1">
        <f t="shared" ref="T46:T109" si="11">O46-Q46</f>
        <v>0.13384274061990209</v>
      </c>
      <c r="U46" s="1">
        <f t="shared" ref="U46:U109" si="12">AVERAGE(S46:T46)</f>
        <v>0.1438809461663948</v>
      </c>
      <c r="V46" s="1">
        <f t="shared" ref="V46:V51" si="13">V45</f>
        <v>0.27398480159856659</v>
      </c>
      <c r="W46" s="82">
        <f t="shared" si="5"/>
        <v>-1.8006492659053824E-2</v>
      </c>
      <c r="X46" s="1">
        <f>X45</f>
        <v>0.11258513060544849</v>
      </c>
      <c r="Y46">
        <v>183.9</v>
      </c>
      <c r="Z46" s="1">
        <f t="shared" si="6"/>
        <v>0.25390633834190696</v>
      </c>
      <c r="AA46" s="1">
        <f t="shared" si="7"/>
        <v>0.22078812029731024</v>
      </c>
      <c r="AB46" s="1">
        <f t="shared" ref="AB46:AB109" si="14">AVERAGE(Z46:AA46)</f>
        <v>0.23734722931960861</v>
      </c>
      <c r="AC46" s="1">
        <f t="shared" ref="AC46:AC51" si="15">AC45</f>
        <v>0.45073476999427547</v>
      </c>
      <c r="AE46" s="1"/>
      <c r="AF46" s="1"/>
    </row>
    <row r="47" spans="1:32">
      <c r="B47" s="63">
        <v>37848</v>
      </c>
      <c r="C47" s="20">
        <v>8</v>
      </c>
      <c r="D47" s="100">
        <f t="shared" si="8"/>
        <v>6.0000000000000053E-3</v>
      </c>
      <c r="E47" s="106">
        <v>1.3049999999999999</v>
      </c>
      <c r="F47" s="105">
        <v>1.0780000000000001</v>
      </c>
      <c r="G47" s="108">
        <v>1.1020000000000001</v>
      </c>
      <c r="H47" s="101">
        <v>1.321</v>
      </c>
      <c r="I47" s="107">
        <f>(H47-(G47-0.1*H47)/0.9-GasolineMGSData!AG49)*(Y$283/Y47)</f>
        <v>2.9201547805750773E-2</v>
      </c>
      <c r="J47" s="107">
        <f t="shared" si="9"/>
        <v>-2.1859656587487897E-2</v>
      </c>
      <c r="K47">
        <v>1.3149999999999999</v>
      </c>
      <c r="L47">
        <v>1.0069999999999999</v>
      </c>
      <c r="M47">
        <v>0.98199999999999998</v>
      </c>
      <c r="N47" s="85">
        <v>29.89</v>
      </c>
      <c r="O47" s="1">
        <f t="shared" si="2"/>
        <v>2.1916975352112678</v>
      </c>
      <c r="P47" s="1">
        <f t="shared" si="3"/>
        <v>1.6783569718309859</v>
      </c>
      <c r="Q47" s="1">
        <f t="shared" si="4"/>
        <v>1.6366897183098592</v>
      </c>
      <c r="R47" s="1">
        <f t="shared" si="0"/>
        <v>48.204668418201521</v>
      </c>
      <c r="S47" s="1">
        <f t="shared" si="10"/>
        <v>0.51334056338028189</v>
      </c>
      <c r="T47" s="1">
        <f t="shared" si="11"/>
        <v>0.55500781690140855</v>
      </c>
      <c r="U47" s="1">
        <f t="shared" si="12"/>
        <v>0.53417419014084522</v>
      </c>
      <c r="V47" s="1">
        <f t="shared" si="13"/>
        <v>0.27398480159856659</v>
      </c>
      <c r="W47" s="82">
        <f t="shared" si="5"/>
        <v>0.37290062567713989</v>
      </c>
      <c r="X47" s="1">
        <f t="shared" ref="X47:X110" si="16">X46</f>
        <v>0.11258513060544849</v>
      </c>
      <c r="Y47">
        <v>184.6</v>
      </c>
      <c r="Z47" s="1">
        <f t="shared" si="6"/>
        <v>0.84359985551859407</v>
      </c>
      <c r="AA47" s="1">
        <f t="shared" si="7"/>
        <v>0.91207386976523297</v>
      </c>
      <c r="AB47" s="1">
        <f t="shared" si="14"/>
        <v>0.87783686264191352</v>
      </c>
      <c r="AC47" s="1">
        <f t="shared" si="15"/>
        <v>0.45073476999427547</v>
      </c>
      <c r="AE47" s="1"/>
      <c r="AF47" s="1"/>
    </row>
    <row r="48" spans="1:32">
      <c r="B48" s="63">
        <v>37879</v>
      </c>
      <c r="C48" s="20">
        <v>9</v>
      </c>
      <c r="D48" s="100">
        <f t="shared" si="8"/>
        <v>0.33999999999999997</v>
      </c>
      <c r="E48" s="106">
        <v>1.097</v>
      </c>
      <c r="F48" s="105">
        <v>0.96499999999999997</v>
      </c>
      <c r="G48" s="108">
        <v>1.0249999999999999</v>
      </c>
      <c r="H48" s="101">
        <v>1.2889999999999999</v>
      </c>
      <c r="I48" s="107">
        <f>(H48-(G48-0.1*H48)/0.9-GasolineMGSData!AG50)*(Y$283/Y48)</f>
        <v>9.1938363817607657E-2</v>
      </c>
      <c r="J48" s="107">
        <f t="shared" si="9"/>
        <v>-2.1859656587487897E-2</v>
      </c>
      <c r="K48">
        <v>0.94899999999999995</v>
      </c>
      <c r="L48">
        <v>0.90300000000000002</v>
      </c>
      <c r="M48">
        <v>0.81</v>
      </c>
      <c r="N48" s="85">
        <v>27.11</v>
      </c>
      <c r="O48" s="1">
        <f t="shared" si="2"/>
        <v>1.5765646814254861</v>
      </c>
      <c r="P48" s="1">
        <f t="shared" si="3"/>
        <v>1.5001453185745142</v>
      </c>
      <c r="Q48" s="1">
        <f t="shared" si="4"/>
        <v>1.3456453023758101</v>
      </c>
      <c r="R48" s="1">
        <f t="shared" si="0"/>
        <v>43.579617764578835</v>
      </c>
      <c r="S48" s="1">
        <f t="shared" si="10"/>
        <v>7.641936285097195E-2</v>
      </c>
      <c r="T48" s="1">
        <f t="shared" si="11"/>
        <v>0.23091937904967597</v>
      </c>
      <c r="U48" s="1">
        <f t="shared" si="12"/>
        <v>0.15366937095032396</v>
      </c>
      <c r="V48" s="1">
        <f t="shared" si="13"/>
        <v>0.27398480159856659</v>
      </c>
      <c r="W48" s="82">
        <f t="shared" si="5"/>
        <v>-7.0817089632829733E-3</v>
      </c>
      <c r="X48" s="1">
        <f t="shared" si="16"/>
        <v>0.11258513060544849</v>
      </c>
      <c r="Y48">
        <v>185.2</v>
      </c>
      <c r="Z48" s="1">
        <f t="shared" si="6"/>
        <v>0.12517714456025597</v>
      </c>
      <c r="AA48" s="1">
        <f t="shared" si="7"/>
        <v>0.37825267595381667</v>
      </c>
      <c r="AB48" s="1">
        <f t="shared" si="14"/>
        <v>0.2517149102570363</v>
      </c>
      <c r="AC48" s="1">
        <f t="shared" si="15"/>
        <v>0.45073476999427547</v>
      </c>
      <c r="AE48" s="1"/>
      <c r="AF48" s="1"/>
    </row>
    <row r="49" spans="1:32">
      <c r="B49" s="63">
        <v>37909</v>
      </c>
      <c r="C49" s="20">
        <v>10</v>
      </c>
      <c r="D49" s="100">
        <f t="shared" si="8"/>
        <v>0.15900000000000003</v>
      </c>
      <c r="E49" s="106">
        <v>1.048</v>
      </c>
      <c r="F49" s="105">
        <v>0.94599999999999995</v>
      </c>
      <c r="G49" s="108">
        <v>0.98199999999999998</v>
      </c>
      <c r="H49" s="101">
        <v>1.155</v>
      </c>
      <c r="I49" s="107">
        <f>(H49-(G49-0.1*H49)/0.9-GasolineMGSData!AG51)*(Y$283/Y49)</f>
        <v>-4.5313012587412681E-2</v>
      </c>
      <c r="J49" s="107">
        <f t="shared" si="9"/>
        <v>-2.1859656587487897E-2</v>
      </c>
      <c r="K49">
        <v>0.996</v>
      </c>
      <c r="L49">
        <v>0.875</v>
      </c>
      <c r="M49">
        <v>0.84399999999999997</v>
      </c>
      <c r="N49" s="85">
        <v>29.61</v>
      </c>
      <c r="O49" s="1">
        <f t="shared" si="2"/>
        <v>1.6564341405405405</v>
      </c>
      <c r="P49" s="1">
        <f t="shared" si="3"/>
        <v>1.4552006756756757</v>
      </c>
      <c r="Q49" s="1">
        <f t="shared" si="4"/>
        <v>1.4036449945945946</v>
      </c>
      <c r="R49" s="1">
        <f t="shared" si="0"/>
        <v>47.649852486486488</v>
      </c>
      <c r="S49" s="1">
        <f t="shared" si="10"/>
        <v>0.20123346486486482</v>
      </c>
      <c r="T49" s="1">
        <f t="shared" si="11"/>
        <v>0.25278914594594593</v>
      </c>
      <c r="U49" s="1">
        <f t="shared" si="12"/>
        <v>0.22701130540540537</v>
      </c>
      <c r="V49" s="1">
        <f t="shared" si="13"/>
        <v>0.27398480159856659</v>
      </c>
      <c r="W49" s="82">
        <f t="shared" si="5"/>
        <v>6.6086440540540498E-2</v>
      </c>
      <c r="X49" s="1">
        <f t="shared" si="16"/>
        <v>0.11258513060544849</v>
      </c>
      <c r="Y49">
        <v>185</v>
      </c>
      <c r="Z49" s="1">
        <f t="shared" si="6"/>
        <v>0.32998263568540531</v>
      </c>
      <c r="AA49" s="1">
        <f t="shared" si="7"/>
        <v>0.41452364152216209</v>
      </c>
      <c r="AB49" s="1">
        <f t="shared" si="14"/>
        <v>0.37225313860378373</v>
      </c>
      <c r="AC49" s="1">
        <f t="shared" si="15"/>
        <v>0.45073476999427547</v>
      </c>
      <c r="AE49" s="1"/>
      <c r="AF49" s="1"/>
    </row>
    <row r="50" spans="1:32">
      <c r="B50" s="63">
        <v>37940</v>
      </c>
      <c r="C50" s="20">
        <v>11</v>
      </c>
      <c r="D50" s="100">
        <f t="shared" si="8"/>
        <v>9.2000000000000082E-2</v>
      </c>
      <c r="E50" s="106">
        <v>1.042</v>
      </c>
      <c r="F50" s="105">
        <v>0.90900000000000003</v>
      </c>
      <c r="G50" s="108">
        <v>0.94299999999999995</v>
      </c>
      <c r="H50" s="101">
        <v>1.1120000000000001</v>
      </c>
      <c r="I50" s="107">
        <f>(H50-(G50-0.1*H50)/0.9-GasolineMGSData!AG52)*(Y$283/Y50)</f>
        <v>-4.0517133738889585E-2</v>
      </c>
      <c r="J50" s="107">
        <f t="shared" si="9"/>
        <v>-2.1859656587487897E-2</v>
      </c>
      <c r="K50">
        <v>1.02</v>
      </c>
      <c r="L50">
        <v>0.88200000000000001</v>
      </c>
      <c r="M50">
        <v>0.82</v>
      </c>
      <c r="N50" s="85">
        <v>28.75</v>
      </c>
      <c r="O50" s="1">
        <f t="shared" si="2"/>
        <v>1.7009453658536584</v>
      </c>
      <c r="P50" s="1">
        <f t="shared" si="3"/>
        <v>1.470817463414634</v>
      </c>
      <c r="Q50" s="1">
        <f t="shared" si="4"/>
        <v>1.3674266666666666</v>
      </c>
      <c r="R50" s="1">
        <f t="shared" si="0"/>
        <v>46.391280487804877</v>
      </c>
      <c r="S50" s="1">
        <f t="shared" si="10"/>
        <v>0.23012790243902437</v>
      </c>
      <c r="T50" s="1">
        <f t="shared" si="11"/>
        <v>0.33351869918699184</v>
      </c>
      <c r="U50" s="1">
        <f t="shared" si="12"/>
        <v>0.2818233008130081</v>
      </c>
      <c r="V50" s="1">
        <f t="shared" si="13"/>
        <v>0.27398480159856659</v>
      </c>
      <c r="W50" s="82">
        <f t="shared" si="5"/>
        <v>0.12046232520325198</v>
      </c>
      <c r="X50" s="1">
        <f t="shared" si="16"/>
        <v>0.11258513060544849</v>
      </c>
      <c r="Y50">
        <v>184.5</v>
      </c>
      <c r="Z50" s="1">
        <f t="shared" si="6"/>
        <v>0.37838640036644849</v>
      </c>
      <c r="AA50" s="1">
        <f t="shared" si="7"/>
        <v>0.54838608748760653</v>
      </c>
      <c r="AB50" s="1">
        <f t="shared" si="14"/>
        <v>0.46338624392702754</v>
      </c>
      <c r="AC50" s="1">
        <f t="shared" si="15"/>
        <v>0.45073476999427547</v>
      </c>
      <c r="AE50" s="1"/>
      <c r="AF50" s="1"/>
    </row>
    <row r="51" spans="1:32">
      <c r="A51" s="64"/>
      <c r="B51" s="63">
        <v>37970</v>
      </c>
      <c r="C51" s="20">
        <v>12</v>
      </c>
      <c r="D51" s="100">
        <f t="shared" si="8"/>
        <v>9.5999999999999974E-2</v>
      </c>
      <c r="E51" s="106">
        <v>0.99099999999999999</v>
      </c>
      <c r="F51" s="105">
        <v>0.91400000000000003</v>
      </c>
      <c r="G51" s="108">
        <v>0.93899999999999995</v>
      </c>
      <c r="H51" s="101">
        <v>1.0549999999999999</v>
      </c>
      <c r="I51" s="107">
        <f>(H51-(G51-0.1*H51)/0.9-GasolineMGSData!AG53)*(Y$283/Y51)</f>
        <v>-0.13019951019860948</v>
      </c>
      <c r="J51" s="107">
        <f t="shared" si="9"/>
        <v>-2.1859656587487897E-2</v>
      </c>
      <c r="K51">
        <v>0.95899999999999996</v>
      </c>
      <c r="L51">
        <v>0.88500000000000001</v>
      </c>
      <c r="M51">
        <v>0.85299999999999998</v>
      </c>
      <c r="N51" s="85">
        <v>29.81</v>
      </c>
      <c r="O51" s="1">
        <f t="shared" si="2"/>
        <v>1.6009576180141072</v>
      </c>
      <c r="P51" s="1">
        <f t="shared" si="3"/>
        <v>1.4774217851329352</v>
      </c>
      <c r="Q51" s="1">
        <f t="shared" si="4"/>
        <v>1.4240008844275636</v>
      </c>
      <c r="R51" s="1">
        <f t="shared" si="0"/>
        <v>48.153906185567003</v>
      </c>
      <c r="S51" s="1">
        <f t="shared" si="10"/>
        <v>0.12353583288117198</v>
      </c>
      <c r="T51" s="1">
        <f t="shared" si="11"/>
        <v>0.17695673358654362</v>
      </c>
      <c r="U51" s="1">
        <f t="shared" si="12"/>
        <v>0.1502462832338578</v>
      </c>
      <c r="V51" s="1">
        <f t="shared" si="13"/>
        <v>0.27398480159856659</v>
      </c>
      <c r="W51" s="82">
        <f t="shared" si="5"/>
        <v>-1.1289799240369019E-2</v>
      </c>
      <c r="X51" s="1">
        <f t="shared" si="16"/>
        <v>0.11258513060544849</v>
      </c>
      <c r="Y51">
        <v>184.3</v>
      </c>
      <c r="Z51" s="1">
        <f t="shared" si="6"/>
        <v>0.20334346646951151</v>
      </c>
      <c r="AA51" s="1">
        <f t="shared" si="7"/>
        <v>0.29127577629416512</v>
      </c>
      <c r="AB51" s="1">
        <f t="shared" si="14"/>
        <v>0.24730962138183832</v>
      </c>
      <c r="AC51" s="1">
        <f t="shared" si="15"/>
        <v>0.45073476999427547</v>
      </c>
      <c r="AE51" s="1"/>
      <c r="AF51" s="1"/>
    </row>
    <row r="52" spans="1:32">
      <c r="A52" s="64" t="s">
        <v>39</v>
      </c>
      <c r="B52" s="63">
        <v>38001</v>
      </c>
      <c r="C52" s="20">
        <v>1</v>
      </c>
      <c r="D52" s="100">
        <f t="shared" si="8"/>
        <v>4.8999999999999932E-2</v>
      </c>
      <c r="E52" s="106">
        <v>1.071</v>
      </c>
      <c r="F52" s="105">
        <v>1.028</v>
      </c>
      <c r="G52" s="108">
        <v>1.05</v>
      </c>
      <c r="H52" s="101">
        <v>1.1279999999999999</v>
      </c>
      <c r="I52" s="107">
        <f>(H52-(G52-0.1*H52)/0.9-GasolineMGSData!AG54)*(Y$283/Y52)</f>
        <v>-0.20389538700680246</v>
      </c>
      <c r="J52" s="107">
        <f>AVERAGE(I52:I63)</f>
        <v>-4.016983056328304E-3</v>
      </c>
      <c r="K52">
        <v>1.079</v>
      </c>
      <c r="L52">
        <v>0.998</v>
      </c>
      <c r="M52">
        <v>0.98399999999999999</v>
      </c>
      <c r="N52" s="85">
        <v>31.28</v>
      </c>
      <c r="O52" s="1">
        <f t="shared" si="2"/>
        <v>1.7925324460043197</v>
      </c>
      <c r="P52" s="1">
        <f t="shared" si="3"/>
        <v>1.6579679157667389</v>
      </c>
      <c r="Q52" s="1">
        <f t="shared" si="4"/>
        <v>1.634709848812095</v>
      </c>
      <c r="R52" s="1">
        <f t="shared" si="0"/>
        <v>50.282937796976249</v>
      </c>
      <c r="S52" s="1">
        <f t="shared" si="10"/>
        <v>0.13456453023758086</v>
      </c>
      <c r="T52" s="1">
        <f t="shared" si="11"/>
        <v>0.15782259719222469</v>
      </c>
      <c r="U52" s="1">
        <f t="shared" si="12"/>
        <v>0.14619356371490277</v>
      </c>
      <c r="V52" s="1">
        <f>AVERAGE(S52:T63)</f>
        <v>0.37391297831393538</v>
      </c>
      <c r="W52" s="82">
        <f t="shared" si="5"/>
        <v>-1.4557516198704157E-2</v>
      </c>
      <c r="X52" s="1">
        <f>AVERAGE(W52:W63)</f>
        <v>0.21628302466676996</v>
      </c>
      <c r="Y52">
        <v>185.2</v>
      </c>
      <c r="Z52" s="1">
        <f t="shared" si="6"/>
        <v>0.22042062411697216</v>
      </c>
      <c r="AA52" s="1">
        <f t="shared" si="7"/>
        <v>0.25851801593965906</v>
      </c>
      <c r="AB52" s="1">
        <f t="shared" si="14"/>
        <v>0.23946932002831561</v>
      </c>
      <c r="AC52" s="1">
        <f>AVERAGE(Z52:AA63)</f>
        <v>0.60049199923150909</v>
      </c>
      <c r="AE52" s="1"/>
      <c r="AF52" s="1"/>
    </row>
    <row r="53" spans="1:32">
      <c r="B53" s="63">
        <v>38032</v>
      </c>
      <c r="C53" s="20">
        <v>2</v>
      </c>
      <c r="D53" s="100">
        <f t="shared" si="8"/>
        <v>8.999999999999897E-3</v>
      </c>
      <c r="E53" s="106">
        <v>1.3029999999999999</v>
      </c>
      <c r="F53" s="105">
        <v>1.0940000000000001</v>
      </c>
      <c r="G53" s="108">
        <v>1.127</v>
      </c>
      <c r="H53" s="101">
        <v>1.353</v>
      </c>
      <c r="I53" s="107">
        <f>(H53-(G53-0.1*H53)/0.9-GasolineMGSData!AG55)*(Y$283/Y53)</f>
        <v>4.6930827643534179E-2</v>
      </c>
      <c r="J53" s="107">
        <f t="shared" ref="J53:J116" si="17">J52</f>
        <v>-4.016983056328304E-3</v>
      </c>
      <c r="K53">
        <v>1.3440000000000001</v>
      </c>
      <c r="L53">
        <v>1.0469999999999999</v>
      </c>
      <c r="M53">
        <v>1.0269999999999999</v>
      </c>
      <c r="N53" s="85">
        <v>30.86</v>
      </c>
      <c r="O53" s="1">
        <f t="shared" si="2"/>
        <v>2.2207831578947372</v>
      </c>
      <c r="P53" s="1">
        <f t="shared" si="3"/>
        <v>1.7300297368421054</v>
      </c>
      <c r="Q53" s="1">
        <f t="shared" si="4"/>
        <v>1.6969823684210525</v>
      </c>
      <c r="R53" s="1">
        <f t="shared" si="0"/>
        <v>49.341361224489802</v>
      </c>
      <c r="S53" s="1">
        <f t="shared" si="10"/>
        <v>0.49075342105263187</v>
      </c>
      <c r="T53" s="1">
        <f t="shared" si="11"/>
        <v>0.52380078947368469</v>
      </c>
      <c r="U53" s="1">
        <f t="shared" si="12"/>
        <v>0.50727710526315828</v>
      </c>
      <c r="V53" s="1">
        <f>V52</f>
        <v>0.37391297831393538</v>
      </c>
      <c r="W53" s="82">
        <f t="shared" si="5"/>
        <v>0.34738935016111744</v>
      </c>
      <c r="X53" s="1">
        <f t="shared" si="16"/>
        <v>0.21628302466676996</v>
      </c>
      <c r="Y53">
        <v>186.2</v>
      </c>
      <c r="Z53" s="1">
        <f t="shared" si="6"/>
        <v>0.79955118190542196</v>
      </c>
      <c r="AA53" s="1">
        <f t="shared" si="7"/>
        <v>0.85339301233676379</v>
      </c>
      <c r="AB53" s="1">
        <f t="shared" si="14"/>
        <v>0.82647209712109282</v>
      </c>
      <c r="AC53" s="1">
        <f>AC52</f>
        <v>0.60049199923150909</v>
      </c>
      <c r="AE53" s="1"/>
      <c r="AF53" s="1"/>
    </row>
    <row r="54" spans="1:32">
      <c r="B54" s="63">
        <v>38061</v>
      </c>
      <c r="C54" s="20">
        <v>3</v>
      </c>
      <c r="D54" s="100">
        <f t="shared" si="8"/>
        <v>0.15800000000000014</v>
      </c>
      <c r="E54" s="106">
        <v>1.3779999999999999</v>
      </c>
      <c r="F54" s="105">
        <v>1.161</v>
      </c>
      <c r="G54" s="108">
        <v>1.1990000000000001</v>
      </c>
      <c r="H54" s="101">
        <v>1.4810000000000001</v>
      </c>
      <c r="I54" s="107">
        <f>(H54-(G54-0.1*H54)/0.9-GasolineMGSData!AG56)*(Y$283/Y54)</f>
        <v>0.1196335073002416</v>
      </c>
      <c r="J54" s="107">
        <f t="shared" si="17"/>
        <v>-4.016983056328304E-3</v>
      </c>
      <c r="K54">
        <v>1.323</v>
      </c>
      <c r="L54">
        <v>1.091</v>
      </c>
      <c r="M54">
        <v>1.0900000000000001</v>
      </c>
      <c r="N54" s="85">
        <v>33.630000000000003</v>
      </c>
      <c r="O54" s="1">
        <f t="shared" si="2"/>
        <v>2.1720850213447167</v>
      </c>
      <c r="P54" s="1">
        <f t="shared" si="3"/>
        <v>1.7911902934898611</v>
      </c>
      <c r="Q54" s="1">
        <f t="shared" si="4"/>
        <v>1.7895485058697973</v>
      </c>
      <c r="R54" s="1">
        <f t="shared" si="0"/>
        <v>53.425938794023487</v>
      </c>
      <c r="S54" s="1">
        <f t="shared" si="10"/>
        <v>0.38089472785485556</v>
      </c>
      <c r="T54" s="1">
        <f t="shared" si="11"/>
        <v>0.3825365154749194</v>
      </c>
      <c r="U54" s="1">
        <f t="shared" si="12"/>
        <v>0.38171562166488748</v>
      </c>
      <c r="V54" s="1">
        <f t="shared" ref="V54:V63" si="18">V53</f>
        <v>0.37391297831393538</v>
      </c>
      <c r="W54" s="82">
        <f t="shared" si="5"/>
        <v>0.22285169423692588</v>
      </c>
      <c r="X54" s="1">
        <f t="shared" si="16"/>
        <v>0.21628302466676996</v>
      </c>
      <c r="Y54">
        <v>187.4</v>
      </c>
      <c r="Z54" s="1">
        <f t="shared" si="6"/>
        <v>0.61659214154873287</v>
      </c>
      <c r="AA54" s="1">
        <f t="shared" si="7"/>
        <v>0.61924986629678747</v>
      </c>
      <c r="AB54" s="1">
        <f t="shared" si="14"/>
        <v>0.61792100392276017</v>
      </c>
      <c r="AC54" s="1">
        <f t="shared" ref="AC54:AC63" si="19">AC53</f>
        <v>0.60049199923150909</v>
      </c>
      <c r="AE54" s="1"/>
      <c r="AF54" s="1"/>
    </row>
    <row r="55" spans="1:32">
      <c r="B55" s="63">
        <v>38092</v>
      </c>
      <c r="C55" s="20">
        <v>4</v>
      </c>
      <c r="D55" s="100">
        <f t="shared" si="8"/>
        <v>9.8999999999999977E-2</v>
      </c>
      <c r="E55" s="106">
        <v>1.444</v>
      </c>
      <c r="F55" s="105">
        <v>1.2250000000000001</v>
      </c>
      <c r="G55" s="108">
        <v>1.254</v>
      </c>
      <c r="H55" s="101">
        <v>1.5249999999999999</v>
      </c>
      <c r="I55" s="107">
        <f>(H55-(G55-0.1*H55)/0.9-GasolineMGSData!AG57)*(Y$283/Y55)</f>
        <v>9.4317913331349576E-2</v>
      </c>
      <c r="J55" s="107">
        <f t="shared" si="17"/>
        <v>-4.016983056328304E-3</v>
      </c>
      <c r="K55">
        <v>1.4259999999999999</v>
      </c>
      <c r="L55">
        <v>1.119</v>
      </c>
      <c r="M55">
        <v>1.149</v>
      </c>
      <c r="N55" s="85">
        <v>33.590000000000003</v>
      </c>
      <c r="O55" s="1">
        <f t="shared" si="2"/>
        <v>2.3337172659574463</v>
      </c>
      <c r="P55" s="1">
        <f t="shared" si="3"/>
        <v>1.8312970691489361</v>
      </c>
      <c r="Q55" s="1">
        <f t="shared" si="4"/>
        <v>1.880393505319149</v>
      </c>
      <c r="R55" s="1">
        <f t="shared" si="0"/>
        <v>53.192087712765968</v>
      </c>
      <c r="S55" s="1">
        <f t="shared" si="10"/>
        <v>0.50242019680851024</v>
      </c>
      <c r="T55" s="1">
        <f t="shared" si="11"/>
        <v>0.45332376063829738</v>
      </c>
      <c r="U55" s="1">
        <f t="shared" si="12"/>
        <v>0.47787197872340381</v>
      </c>
      <c r="V55" s="1">
        <f t="shared" si="18"/>
        <v>0.37391297831393538</v>
      </c>
      <c r="W55" s="82">
        <f t="shared" si="5"/>
        <v>0.31951506382978678</v>
      </c>
      <c r="X55" s="1">
        <f t="shared" si="16"/>
        <v>0.21628302466676996</v>
      </c>
      <c r="Y55">
        <v>188</v>
      </c>
      <c r="Z55" s="1">
        <f t="shared" si="6"/>
        <v>0.81072179874691541</v>
      </c>
      <c r="AA55" s="1">
        <f t="shared" si="7"/>
        <v>0.73149817020487129</v>
      </c>
      <c r="AB55" s="1">
        <f t="shared" si="14"/>
        <v>0.7711099844758933</v>
      </c>
      <c r="AC55" s="1">
        <f t="shared" si="19"/>
        <v>0.60049199923150909</v>
      </c>
      <c r="AE55" s="1"/>
      <c r="AF55" s="1"/>
    </row>
    <row r="56" spans="1:32">
      <c r="B56" s="63">
        <v>38122</v>
      </c>
      <c r="C56" s="20">
        <v>5</v>
      </c>
      <c r="D56" s="100">
        <f t="shared" si="8"/>
        <v>1.2000000000000011E-2</v>
      </c>
      <c r="E56" s="106">
        <v>1.6240000000000001</v>
      </c>
      <c r="F56" s="105">
        <v>1.4219999999999999</v>
      </c>
      <c r="G56" s="108">
        <v>1.4359999999999999</v>
      </c>
      <c r="H56" s="101">
        <v>1.661</v>
      </c>
      <c r="I56" s="107">
        <f>(H56-(G56-0.1*H56)/0.9-GasolineMGSData!AG58)*(Y$283/Y56)</f>
        <v>-1.8414970680649494E-3</v>
      </c>
      <c r="J56" s="107">
        <f t="shared" si="17"/>
        <v>-4.016983056328304E-3</v>
      </c>
      <c r="K56">
        <v>1.649</v>
      </c>
      <c r="L56">
        <v>1.3440000000000001</v>
      </c>
      <c r="M56">
        <v>1.335</v>
      </c>
      <c r="N56" s="85">
        <v>37.57</v>
      </c>
      <c r="O56" s="1">
        <f t="shared" si="2"/>
        <v>2.6829692173453199</v>
      </c>
      <c r="P56" s="1">
        <f t="shared" si="3"/>
        <v>2.1867256689582231</v>
      </c>
      <c r="Q56" s="1">
        <f t="shared" si="4"/>
        <v>2.1720824167107349</v>
      </c>
      <c r="R56" s="1">
        <f t="shared" si="0"/>
        <v>59.148610629296677</v>
      </c>
      <c r="S56" s="1">
        <f t="shared" si="10"/>
        <v>0.49624354838709683</v>
      </c>
      <c r="T56" s="1">
        <f t="shared" si="11"/>
        <v>0.51088680063458503</v>
      </c>
      <c r="U56" s="1">
        <f t="shared" si="12"/>
        <v>0.50356517451084093</v>
      </c>
      <c r="V56" s="1">
        <f t="shared" si="18"/>
        <v>0.37391297831393538</v>
      </c>
      <c r="W56" s="82">
        <f t="shared" si="5"/>
        <v>0.34612942622950826</v>
      </c>
      <c r="X56" s="1">
        <f t="shared" si="16"/>
        <v>0.21628302466676996</v>
      </c>
      <c r="Y56">
        <v>189.1</v>
      </c>
      <c r="Z56" s="1">
        <f t="shared" si="6"/>
        <v>0.79609694113884111</v>
      </c>
      <c r="AA56" s="1">
        <f t="shared" si="7"/>
        <v>0.81958832628720057</v>
      </c>
      <c r="AB56" s="1">
        <f t="shared" si="14"/>
        <v>0.8078426337130209</v>
      </c>
      <c r="AC56" s="1">
        <f t="shared" si="19"/>
        <v>0.60049199923150909</v>
      </c>
      <c r="AE56" s="1"/>
      <c r="AF56" s="1"/>
    </row>
    <row r="57" spans="1:32">
      <c r="A57">
        <v>2004</v>
      </c>
      <c r="B57" s="63">
        <v>38153</v>
      </c>
      <c r="C57" s="20">
        <v>6</v>
      </c>
      <c r="D57" s="100">
        <f t="shared" si="8"/>
        <v>0.15500000000000003</v>
      </c>
      <c r="E57" s="106">
        <v>1.524</v>
      </c>
      <c r="F57" s="105">
        <v>1.2869999999999999</v>
      </c>
      <c r="G57" s="108">
        <v>1.3360000000000001</v>
      </c>
      <c r="H57" s="101">
        <v>1.6120000000000001</v>
      </c>
      <c r="I57" s="107">
        <f>(H57-(G57-0.1*H57)/0.9-GasolineMGSData!AG59)*(Y$283/Y57)</f>
        <v>8.6021474417341467E-2</v>
      </c>
      <c r="J57" s="107">
        <f t="shared" si="17"/>
        <v>-4.016983056328304E-3</v>
      </c>
      <c r="K57">
        <v>1.4570000000000001</v>
      </c>
      <c r="L57">
        <v>1.153</v>
      </c>
      <c r="M57">
        <v>1.171</v>
      </c>
      <c r="N57" s="85">
        <v>35.18</v>
      </c>
      <c r="O57" s="1">
        <f t="shared" si="2"/>
        <v>2.3630819557195575</v>
      </c>
      <c r="P57" s="1">
        <f t="shared" si="3"/>
        <v>1.8700298523985239</v>
      </c>
      <c r="Q57" s="1">
        <f t="shared" si="4"/>
        <v>1.8992237269372694</v>
      </c>
      <c r="R57" s="1">
        <f t="shared" si="0"/>
        <v>55.210716816025304</v>
      </c>
      <c r="S57" s="1">
        <f t="shared" si="10"/>
        <v>0.49305210332103355</v>
      </c>
      <c r="T57" s="1">
        <f t="shared" si="11"/>
        <v>0.46385822878228811</v>
      </c>
      <c r="U57" s="1">
        <f t="shared" si="12"/>
        <v>0.47845516605166083</v>
      </c>
      <c r="V57" s="1">
        <f t="shared" si="18"/>
        <v>0.37391297831393538</v>
      </c>
      <c r="W57" s="82">
        <f t="shared" si="5"/>
        <v>0.32151736953083843</v>
      </c>
      <c r="X57" s="1">
        <f t="shared" si="16"/>
        <v>0.21628302466676996</v>
      </c>
      <c r="Y57">
        <v>189.7</v>
      </c>
      <c r="Z57" s="1">
        <f t="shared" si="6"/>
        <v>0.78847530426873336</v>
      </c>
      <c r="AA57" s="1">
        <f t="shared" si="7"/>
        <v>0.74178926651597932</v>
      </c>
      <c r="AB57" s="1">
        <f t="shared" si="14"/>
        <v>0.76513228539235634</v>
      </c>
      <c r="AC57" s="1">
        <f t="shared" si="19"/>
        <v>0.60049199923150909</v>
      </c>
      <c r="AE57" s="1"/>
      <c r="AF57" s="1"/>
    </row>
    <row r="58" spans="1:32">
      <c r="B58" s="63">
        <v>38183</v>
      </c>
      <c r="C58" s="20">
        <v>7</v>
      </c>
      <c r="D58" s="100">
        <f t="shared" si="8"/>
        <v>7.7999999999999847E-2</v>
      </c>
      <c r="E58" s="106">
        <v>1.486</v>
      </c>
      <c r="F58" s="105">
        <v>1.3149999999999999</v>
      </c>
      <c r="G58" s="108">
        <v>1.341</v>
      </c>
      <c r="H58" s="101">
        <v>1.5449999999999999</v>
      </c>
      <c r="I58" s="107">
        <f>(H58-(G58-0.1*H58)/0.9-GasolineMGSData!AG60)*(Y$283/Y58)</f>
        <v>-3.127162791098359E-2</v>
      </c>
      <c r="J58" s="107">
        <f t="shared" si="17"/>
        <v>-4.016983056328304E-3</v>
      </c>
      <c r="K58">
        <v>1.4670000000000001</v>
      </c>
      <c r="L58">
        <v>1.2250000000000001</v>
      </c>
      <c r="M58">
        <v>1.2330000000000001</v>
      </c>
      <c r="N58" s="85">
        <v>38.22</v>
      </c>
      <c r="O58" s="1">
        <f t="shared" si="2"/>
        <v>2.3830694667370644</v>
      </c>
      <c r="P58" s="1">
        <f t="shared" si="3"/>
        <v>1.9899523495248153</v>
      </c>
      <c r="Q58" s="1">
        <f t="shared" si="4"/>
        <v>2.0029479567053854</v>
      </c>
      <c r="R58" s="1">
        <f t="shared" si="0"/>
        <v>60.076633685322065</v>
      </c>
      <c r="S58" s="1">
        <f t="shared" si="10"/>
        <v>0.39311711721224918</v>
      </c>
      <c r="T58" s="1">
        <f t="shared" si="11"/>
        <v>0.38012151003167904</v>
      </c>
      <c r="U58" s="1">
        <f t="shared" si="12"/>
        <v>0.38661931362196411</v>
      </c>
      <c r="V58" s="1">
        <f t="shared" si="18"/>
        <v>0.37391297831393538</v>
      </c>
      <c r="W58" s="82">
        <f t="shared" si="5"/>
        <v>0.22943293558606123</v>
      </c>
      <c r="X58" s="1">
        <f t="shared" si="16"/>
        <v>0.21628302466676996</v>
      </c>
      <c r="Y58">
        <v>189.4</v>
      </c>
      <c r="Z58" s="1">
        <f t="shared" si="6"/>
        <v>0.62965780374265856</v>
      </c>
      <c r="AA58" s="1">
        <f t="shared" si="7"/>
        <v>0.60884266973463697</v>
      </c>
      <c r="AB58" s="1">
        <f t="shared" si="14"/>
        <v>0.61925023673864776</v>
      </c>
      <c r="AC58" s="1">
        <f t="shared" si="19"/>
        <v>0.60049199923150909</v>
      </c>
      <c r="AE58" s="1"/>
      <c r="AF58" s="1"/>
    </row>
    <row r="59" spans="1:32">
      <c r="B59" s="63">
        <v>38214</v>
      </c>
      <c r="C59" s="20">
        <v>8</v>
      </c>
      <c r="D59" s="100">
        <f t="shared" si="8"/>
        <v>7.7000000000000179E-2</v>
      </c>
      <c r="E59" s="106">
        <v>1.4119999999999999</v>
      </c>
      <c r="F59" s="105">
        <v>1.2849999999999999</v>
      </c>
      <c r="G59" s="108">
        <v>1.31</v>
      </c>
      <c r="H59" s="101">
        <v>1.4650000000000001</v>
      </c>
      <c r="I59" s="107">
        <f>(H59-(G59-0.1*H59)/0.9-GasolineMGSData!AG61)*(Y$283/Y59)</f>
        <v>-0.10626875428529281</v>
      </c>
      <c r="J59" s="107">
        <f t="shared" si="17"/>
        <v>-4.016983056328304E-3</v>
      </c>
      <c r="K59">
        <v>1.3879999999999999</v>
      </c>
      <c r="L59">
        <v>1.206</v>
      </c>
      <c r="M59">
        <v>1.177</v>
      </c>
      <c r="N59" s="85">
        <v>42.74</v>
      </c>
      <c r="O59" s="1">
        <f t="shared" si="2"/>
        <v>2.2535480105540895</v>
      </c>
      <c r="P59" s="1">
        <f t="shared" si="3"/>
        <v>1.9580539630606859</v>
      </c>
      <c r="Q59" s="1">
        <f t="shared" si="4"/>
        <v>1.9109697467018472</v>
      </c>
      <c r="R59" s="1">
        <f t="shared" si="0"/>
        <v>67.146006015831148</v>
      </c>
      <c r="S59" s="1">
        <f t="shared" si="10"/>
        <v>0.29549404749340358</v>
      </c>
      <c r="T59" s="1">
        <f t="shared" si="11"/>
        <v>0.34257826385224233</v>
      </c>
      <c r="U59" s="1">
        <f t="shared" si="12"/>
        <v>0.31903615567282295</v>
      </c>
      <c r="V59" s="1">
        <f t="shared" si="18"/>
        <v>0.37391297831393538</v>
      </c>
      <c r="W59" s="82">
        <f t="shared" si="5"/>
        <v>0.16193272559366725</v>
      </c>
      <c r="X59" s="1">
        <f t="shared" si="16"/>
        <v>0.21628302466676996</v>
      </c>
      <c r="Y59">
        <v>189.5</v>
      </c>
      <c r="Z59" s="1">
        <f t="shared" si="6"/>
        <v>0.47304464765035031</v>
      </c>
      <c r="AA59" s="1">
        <f t="shared" si="7"/>
        <v>0.5484198937045266</v>
      </c>
      <c r="AB59" s="1">
        <f t="shared" si="14"/>
        <v>0.51073227067743843</v>
      </c>
      <c r="AC59" s="1">
        <f t="shared" si="19"/>
        <v>0.60049199923150909</v>
      </c>
      <c r="AE59" s="1"/>
      <c r="AF59" s="1"/>
    </row>
    <row r="60" spans="1:32">
      <c r="B60" s="63">
        <v>38245</v>
      </c>
      <c r="C60" s="20">
        <v>9</v>
      </c>
      <c r="D60" s="100">
        <f t="shared" si="8"/>
        <v>1.8999999999999906E-2</v>
      </c>
      <c r="E60" s="106">
        <v>1.4550000000000001</v>
      </c>
      <c r="F60" s="105">
        <v>1.3029999999999999</v>
      </c>
      <c r="G60" s="108">
        <v>1.3280000000000001</v>
      </c>
      <c r="H60" s="101">
        <v>1.5</v>
      </c>
      <c r="I60" s="107">
        <f>(H60-(G60-0.1*H60)/0.9-GasolineMGSData!AG62)*(Y$283/Y60)</f>
        <v>-7.3950337301806682E-2</v>
      </c>
      <c r="J60" s="107">
        <f t="shared" si="17"/>
        <v>-4.016983056328304E-3</v>
      </c>
      <c r="K60">
        <v>1.4810000000000001</v>
      </c>
      <c r="L60">
        <v>1.2609999999999999</v>
      </c>
      <c r="M60">
        <v>1.2390000000000001</v>
      </c>
      <c r="N60" s="85">
        <v>43.2</v>
      </c>
      <c r="O60" s="1">
        <f t="shared" si="2"/>
        <v>2.3994773617693523</v>
      </c>
      <c r="P60" s="1">
        <f t="shared" si="3"/>
        <v>2.0430391311216427</v>
      </c>
      <c r="Q60" s="1">
        <f t="shared" si="4"/>
        <v>2.0073953080568718</v>
      </c>
      <c r="R60" s="1">
        <f t="shared" si="0"/>
        <v>67.725725118483425</v>
      </c>
      <c r="S60" s="1">
        <f t="shared" si="10"/>
        <v>0.35643823064770963</v>
      </c>
      <c r="T60" s="1">
        <f t="shared" si="11"/>
        <v>0.3920820537124805</v>
      </c>
      <c r="U60" s="1">
        <f t="shared" si="12"/>
        <v>0.37426014218009507</v>
      </c>
      <c r="V60" s="1">
        <f t="shared" si="18"/>
        <v>0.37391297831393538</v>
      </c>
      <c r="W60" s="82">
        <f t="shared" si="5"/>
        <v>0.21748763033175381</v>
      </c>
      <c r="X60" s="1">
        <f t="shared" si="16"/>
        <v>0.21628302466676996</v>
      </c>
      <c r="Y60">
        <v>189.9</v>
      </c>
      <c r="Z60" s="1">
        <f t="shared" si="6"/>
        <v>0.56940585025793122</v>
      </c>
      <c r="AA60" s="1">
        <f t="shared" si="7"/>
        <v>0.62634643528372425</v>
      </c>
      <c r="AB60" s="1">
        <f t="shared" si="14"/>
        <v>0.59787614277082768</v>
      </c>
      <c r="AC60" s="1">
        <f t="shared" si="19"/>
        <v>0.60049199923150909</v>
      </c>
      <c r="AE60" s="1"/>
      <c r="AF60" s="1"/>
    </row>
    <row r="61" spans="1:32">
      <c r="B61" s="63">
        <v>38275</v>
      </c>
      <c r="C61" s="20">
        <v>10</v>
      </c>
      <c r="D61" s="100">
        <f t="shared" si="8"/>
        <v>7.8000000000000069E-2</v>
      </c>
      <c r="E61" s="106">
        <v>1.6639999999999999</v>
      </c>
      <c r="F61" s="105">
        <v>1.4319999999999999</v>
      </c>
      <c r="G61" s="108">
        <v>1.4590000000000001</v>
      </c>
      <c r="H61" s="101">
        <v>1.72</v>
      </c>
      <c r="I61" s="107">
        <f>(H61-(G61-0.1*H61)/0.9-GasolineMGSData!AG63)*(Y$283/Y61)</f>
        <v>5.2430669055057971E-2</v>
      </c>
      <c r="J61" s="107">
        <f t="shared" si="17"/>
        <v>-4.016983056328304E-3</v>
      </c>
      <c r="K61">
        <v>1.6419999999999999</v>
      </c>
      <c r="L61">
        <v>1.377</v>
      </c>
      <c r="M61">
        <v>1.3480000000000001</v>
      </c>
      <c r="N61" s="85">
        <v>49.78</v>
      </c>
      <c r="O61" s="1">
        <f t="shared" si="2"/>
        <v>2.6463896385542163</v>
      </c>
      <c r="P61" s="1">
        <f t="shared" si="3"/>
        <v>2.2192926506024095</v>
      </c>
      <c r="Q61" s="1">
        <f t="shared" si="4"/>
        <v>2.172553734939759</v>
      </c>
      <c r="R61" s="1">
        <f t="shared" si="0"/>
        <v>77.632548873755894</v>
      </c>
      <c r="S61" s="1">
        <f t="shared" si="10"/>
        <v>0.42709698795180673</v>
      </c>
      <c r="T61" s="1">
        <f t="shared" si="11"/>
        <v>0.47383590361445727</v>
      </c>
      <c r="U61" s="1">
        <f t="shared" si="12"/>
        <v>0.450466445783132</v>
      </c>
      <c r="V61" s="1">
        <f t="shared" si="18"/>
        <v>0.37391297831393538</v>
      </c>
      <c r="W61" s="82">
        <f t="shared" si="5"/>
        <v>0.29451516238868464</v>
      </c>
      <c r="X61" s="1">
        <f t="shared" si="16"/>
        <v>0.21628302466676996</v>
      </c>
      <c r="Y61">
        <v>190.9</v>
      </c>
      <c r="Z61" s="1">
        <f t="shared" si="6"/>
        <v>0.67870834759572518</v>
      </c>
      <c r="AA61" s="1">
        <f t="shared" si="7"/>
        <v>0.75298209129488003</v>
      </c>
      <c r="AB61" s="1">
        <f t="shared" si="14"/>
        <v>0.71584521944530266</v>
      </c>
      <c r="AC61" s="1">
        <f t="shared" si="19"/>
        <v>0.60049199923150909</v>
      </c>
      <c r="AE61" s="1"/>
      <c r="AF61" s="1"/>
    </row>
    <row r="62" spans="1:32">
      <c r="B62" s="63">
        <v>38306</v>
      </c>
      <c r="C62" s="20">
        <v>11</v>
      </c>
      <c r="D62" s="100">
        <f t="shared" si="8"/>
        <v>0.21100000000000008</v>
      </c>
      <c r="E62" s="106">
        <v>1.484</v>
      </c>
      <c r="F62" s="105">
        <v>1.339</v>
      </c>
      <c r="G62" s="108">
        <v>1.383</v>
      </c>
      <c r="H62" s="101">
        <v>1.615</v>
      </c>
      <c r="I62" s="107">
        <f>(H62-(G62-0.1*H62)/0.9-GasolineMGSData!AG64)*(Y$283/Y62)</f>
        <v>4.3267580273126122E-3</v>
      </c>
      <c r="J62" s="107">
        <f t="shared" si="17"/>
        <v>-4.016983056328304E-3</v>
      </c>
      <c r="K62">
        <v>1.4039999999999999</v>
      </c>
      <c r="L62">
        <v>1.2669999999999999</v>
      </c>
      <c r="M62">
        <v>1.2370000000000001</v>
      </c>
      <c r="N62" s="85">
        <v>43.11</v>
      </c>
      <c r="O62" s="1">
        <f t="shared" si="2"/>
        <v>2.2616234764397904</v>
      </c>
      <c r="P62" s="1">
        <f t="shared" si="3"/>
        <v>2.0409379947643975</v>
      </c>
      <c r="Q62" s="1">
        <f t="shared" si="4"/>
        <v>1.9926127068062827</v>
      </c>
      <c r="R62" s="1">
        <f t="shared" si="0"/>
        <v>67.1953990052356</v>
      </c>
      <c r="S62" s="1">
        <f t="shared" si="10"/>
        <v>0.22068548167539292</v>
      </c>
      <c r="T62" s="1">
        <f t="shared" si="11"/>
        <v>0.26901076963350778</v>
      </c>
      <c r="U62" s="1">
        <f t="shared" si="12"/>
        <v>0.24484812565445035</v>
      </c>
      <c r="V62" s="1">
        <f t="shared" si="18"/>
        <v>0.37391297831393538</v>
      </c>
      <c r="W62" s="82">
        <f t="shared" si="5"/>
        <v>8.8978492146596921E-2</v>
      </c>
      <c r="X62" s="1">
        <f t="shared" si="16"/>
        <v>0.21628302466676996</v>
      </c>
      <c r="Y62">
        <v>191</v>
      </c>
      <c r="Z62" s="1">
        <f t="shared" si="6"/>
        <v>0.3505120930758755</v>
      </c>
      <c r="AA62" s="1">
        <f t="shared" si="7"/>
        <v>0.42726656601219803</v>
      </c>
      <c r="AB62" s="1">
        <f t="shared" si="14"/>
        <v>0.38888932954403677</v>
      </c>
      <c r="AC62" s="1">
        <f t="shared" si="19"/>
        <v>0.60049199923150909</v>
      </c>
      <c r="AE62" s="1"/>
      <c r="AF62" s="1"/>
    </row>
    <row r="63" spans="1:32">
      <c r="A63" s="64"/>
      <c r="B63" s="63">
        <v>38336</v>
      </c>
      <c r="C63" s="20">
        <v>12</v>
      </c>
      <c r="D63" s="100">
        <f t="shared" si="8"/>
        <v>0.20499999999999985</v>
      </c>
      <c r="E63" s="106">
        <v>1.234</v>
      </c>
      <c r="F63" s="105">
        <v>1.147</v>
      </c>
      <c r="G63" s="108">
        <v>1.194</v>
      </c>
      <c r="H63" s="101">
        <v>1.39</v>
      </c>
      <c r="I63" s="107">
        <f>(H63-(G63-0.1*H63)/0.9-GasolineMGSData!AG65)*(Y$283/Y63)</f>
        <v>-3.4637342877826549E-2</v>
      </c>
      <c r="J63" s="107">
        <f t="shared" si="17"/>
        <v>-4.016983056328304E-3</v>
      </c>
      <c r="K63">
        <v>1.1850000000000001</v>
      </c>
      <c r="L63">
        <v>1.0680000000000001</v>
      </c>
      <c r="M63">
        <v>1.034</v>
      </c>
      <c r="N63" s="85">
        <v>39.6</v>
      </c>
      <c r="O63" s="1">
        <f t="shared" si="2"/>
        <v>1.9158703888596953</v>
      </c>
      <c r="P63" s="1">
        <f t="shared" si="3"/>
        <v>1.7267085023646873</v>
      </c>
      <c r="Q63" s="1">
        <f t="shared" si="4"/>
        <v>1.6717383815028901</v>
      </c>
      <c r="R63" s="1">
        <f t="shared" si="0"/>
        <v>61.95142196531792</v>
      </c>
      <c r="S63" s="1">
        <f t="shared" si="10"/>
        <v>0.18916188649500798</v>
      </c>
      <c r="T63" s="1">
        <f t="shared" si="11"/>
        <v>0.24413200735680518</v>
      </c>
      <c r="U63" s="1">
        <f t="shared" si="12"/>
        <v>0.21664694692590658</v>
      </c>
      <c r="V63" s="1">
        <f t="shared" si="18"/>
        <v>0.37391297831393538</v>
      </c>
      <c r="W63" s="82">
        <f t="shared" si="5"/>
        <v>6.0203962165002733E-2</v>
      </c>
      <c r="X63" s="1">
        <f t="shared" si="16"/>
        <v>0.21628302466676996</v>
      </c>
      <c r="Y63">
        <v>190.3</v>
      </c>
      <c r="Z63" s="1">
        <f t="shared" si="6"/>
        <v>0.30154869875346874</v>
      </c>
      <c r="AA63" s="1">
        <f t="shared" si="7"/>
        <v>0.38917823514336564</v>
      </c>
      <c r="AB63" s="1">
        <f t="shared" si="14"/>
        <v>0.34536346694841719</v>
      </c>
      <c r="AC63" s="1">
        <f t="shared" si="19"/>
        <v>0.60049199923150909</v>
      </c>
      <c r="AE63" s="1"/>
      <c r="AF63" s="1"/>
    </row>
    <row r="64" spans="1:32">
      <c r="A64" s="64" t="s">
        <v>39</v>
      </c>
      <c r="B64" s="63">
        <v>38367</v>
      </c>
      <c r="C64" s="20">
        <v>1</v>
      </c>
      <c r="D64" s="100">
        <f t="shared" si="8"/>
        <v>-2.6999999999999913E-2</v>
      </c>
      <c r="E64" s="106">
        <v>1.323</v>
      </c>
      <c r="F64" s="105">
        <v>1.272</v>
      </c>
      <c r="G64" s="108">
        <v>1.282</v>
      </c>
      <c r="H64" s="101">
        <v>1.3520000000000001</v>
      </c>
      <c r="I64" s="107">
        <f>(H64-(G64-0.1*H64)/0.9-GasolineMGSData!AG66)*(Y$283/Y64)</f>
        <v>-0.24345214821361116</v>
      </c>
      <c r="J64" s="107">
        <f>AVERAGE(I64:I75)</f>
        <v>-0.16849397769647079</v>
      </c>
      <c r="K64">
        <v>1.379</v>
      </c>
      <c r="L64">
        <v>1.2410000000000001</v>
      </c>
      <c r="M64">
        <v>1.244</v>
      </c>
      <c r="N64" s="85">
        <v>44.51</v>
      </c>
      <c r="O64" s="1">
        <f t="shared" si="2"/>
        <v>2.224846927110645</v>
      </c>
      <c r="P64" s="1">
        <f t="shared" si="3"/>
        <v>2.0022008966963818</v>
      </c>
      <c r="Q64" s="1">
        <f t="shared" si="4"/>
        <v>2.0070410277923441</v>
      </c>
      <c r="R64" s="1">
        <f t="shared" si="0"/>
        <v>69.4867153120084</v>
      </c>
      <c r="S64" s="1">
        <f t="shared" si="10"/>
        <v>0.22264603041426323</v>
      </c>
      <c r="T64" s="1">
        <f t="shared" si="11"/>
        <v>0.21780589931830097</v>
      </c>
      <c r="U64" s="1">
        <f t="shared" si="12"/>
        <v>0.2202259648662821</v>
      </c>
      <c r="V64" s="1">
        <f>AVERAGE(S64:T75)</f>
        <v>0.30484234633369428</v>
      </c>
      <c r="W64" s="82">
        <f t="shared" si="5"/>
        <v>6.4111124803356012E-2</v>
      </c>
      <c r="X64" s="1">
        <f>AVERAGE(W64:W75)</f>
        <v>0.15237282398915608</v>
      </c>
      <c r="Y64">
        <v>190.7</v>
      </c>
      <c r="Z64" s="1">
        <f t="shared" si="6"/>
        <v>0.35418231633226083</v>
      </c>
      <c r="AA64" s="1">
        <f t="shared" si="7"/>
        <v>0.34648270075982035</v>
      </c>
      <c r="AB64" s="1">
        <f t="shared" si="14"/>
        <v>0.35033250854604059</v>
      </c>
      <c r="AC64" s="1">
        <f>AVERAGE(Z64:AA75)</f>
        <v>0.47522549328035368</v>
      </c>
      <c r="AE64" s="1"/>
      <c r="AF64" s="1"/>
    </row>
    <row r="65" spans="1:32">
      <c r="B65" s="63">
        <v>38398</v>
      </c>
      <c r="C65" s="20">
        <v>2</v>
      </c>
      <c r="D65" s="100">
        <f t="shared" si="8"/>
        <v>-3.8999999999999924E-2</v>
      </c>
      <c r="E65" s="106">
        <v>1.488</v>
      </c>
      <c r="F65" s="105">
        <v>1.323</v>
      </c>
      <c r="G65" s="108">
        <v>1.3420000000000001</v>
      </c>
      <c r="H65" s="101">
        <v>1.506</v>
      </c>
      <c r="I65" s="107">
        <f>(H65-(G65-0.1*H65)/0.9-GasolineMGSData!AG67)*(Y$283/Y65)</f>
        <v>-8.9407598131795288E-2</v>
      </c>
      <c r="J65" s="107">
        <f t="shared" si="17"/>
        <v>-0.16849397769647079</v>
      </c>
      <c r="K65">
        <v>1.5449999999999999</v>
      </c>
      <c r="L65">
        <v>1.224</v>
      </c>
      <c r="M65">
        <v>1.2330000000000001</v>
      </c>
      <c r="N65" s="85">
        <v>45.48</v>
      </c>
      <c r="O65" s="1">
        <f t="shared" si="2"/>
        <v>2.4783717153284668</v>
      </c>
      <c r="P65" s="1">
        <f t="shared" si="3"/>
        <v>1.9634478832116786</v>
      </c>
      <c r="Q65" s="1">
        <f t="shared" si="4"/>
        <v>1.9778850000000001</v>
      </c>
      <c r="R65" s="1">
        <f t="shared" si="0"/>
        <v>70.593828362878</v>
      </c>
      <c r="S65" s="1">
        <f t="shared" si="10"/>
        <v>0.51492383211678816</v>
      </c>
      <c r="T65" s="1">
        <f t="shared" si="11"/>
        <v>0.50048671532846667</v>
      </c>
      <c r="U65" s="1">
        <f t="shared" si="12"/>
        <v>0.50770527372262741</v>
      </c>
      <c r="V65" s="1">
        <f>V64</f>
        <v>0.30484234633369428</v>
      </c>
      <c r="W65" s="82">
        <f t="shared" si="5"/>
        <v>0.35248577424400385</v>
      </c>
      <c r="X65" s="1">
        <f t="shared" si="16"/>
        <v>0.15237282398915608</v>
      </c>
      <c r="Y65">
        <v>191.8</v>
      </c>
      <c r="Z65" s="1">
        <f t="shared" si="6"/>
        <v>0.81443607133704476</v>
      </c>
      <c r="AA65" s="1">
        <f t="shared" si="7"/>
        <v>0.79160141513133275</v>
      </c>
      <c r="AB65" s="1">
        <f t="shared" si="14"/>
        <v>0.80301874323418876</v>
      </c>
      <c r="AC65" s="1">
        <f>AC64</f>
        <v>0.47522549328035368</v>
      </c>
      <c r="AE65" s="1"/>
      <c r="AF65" s="1"/>
    </row>
    <row r="66" spans="1:32">
      <c r="B66" s="63">
        <v>38426</v>
      </c>
      <c r="C66" s="20">
        <v>3</v>
      </c>
      <c r="D66" s="100">
        <f t="shared" si="8"/>
        <v>-2.200000000000002E-2</v>
      </c>
      <c r="E66" s="106">
        <v>1.673</v>
      </c>
      <c r="F66" s="105">
        <v>1.522</v>
      </c>
      <c r="G66" s="108">
        <v>1.53</v>
      </c>
      <c r="H66" s="101">
        <v>1.696</v>
      </c>
      <c r="I66" s="107">
        <f>(H66-(G66-0.1*H66)/0.9-GasolineMGSData!AG68)*(Y$283/Y66)</f>
        <v>-0.10679775149320464</v>
      </c>
      <c r="J66" s="107">
        <f t="shared" si="17"/>
        <v>-0.16849397769647079</v>
      </c>
      <c r="K66">
        <v>1.718</v>
      </c>
      <c r="L66">
        <v>1.4390000000000001</v>
      </c>
      <c r="M66">
        <v>1.472</v>
      </c>
      <c r="N66" s="85">
        <v>53.1</v>
      </c>
      <c r="O66" s="1">
        <f t="shared" si="2"/>
        <v>2.7344996275219864</v>
      </c>
      <c r="P66" s="1">
        <f t="shared" si="3"/>
        <v>2.2904219813760993</v>
      </c>
      <c r="Q66" s="1">
        <f t="shared" si="4"/>
        <v>2.3429472943610965</v>
      </c>
      <c r="R66" s="1">
        <f t="shared" si="0"/>
        <v>81.781966373512674</v>
      </c>
      <c r="S66" s="1">
        <f t="shared" si="10"/>
        <v>0.44407764614588707</v>
      </c>
      <c r="T66" s="1">
        <f t="shared" si="11"/>
        <v>0.39155233316088989</v>
      </c>
      <c r="U66" s="1">
        <f t="shared" si="12"/>
        <v>0.41781498965338848</v>
      </c>
      <c r="V66" s="1">
        <f t="shared" ref="V66:V75" si="20">V65</f>
        <v>0.30484234633369428</v>
      </c>
      <c r="W66" s="82">
        <f t="shared" si="5"/>
        <v>0.26379998706673558</v>
      </c>
      <c r="X66" s="1">
        <f t="shared" si="16"/>
        <v>0.15237282398915608</v>
      </c>
      <c r="Y66">
        <v>193.3</v>
      </c>
      <c r="Z66" s="1">
        <f t="shared" si="6"/>
        <v>0.69693081721549266</v>
      </c>
      <c r="AA66" s="1">
        <f t="shared" si="7"/>
        <v>0.61449813991043478</v>
      </c>
      <c r="AB66" s="1">
        <f t="shared" si="14"/>
        <v>0.65571447856296372</v>
      </c>
      <c r="AC66" s="1">
        <f t="shared" ref="AC66:AC75" si="21">AC65</f>
        <v>0.47522549328035368</v>
      </c>
      <c r="AE66" s="1"/>
      <c r="AF66" s="1"/>
    </row>
    <row r="67" spans="1:32">
      <c r="B67" s="63">
        <v>38457</v>
      </c>
      <c r="C67" s="20">
        <v>4</v>
      </c>
      <c r="D67" s="100">
        <f t="shared" si="8"/>
        <v>7.2000000000000064E-2</v>
      </c>
      <c r="E67" s="106">
        <v>1.8460000000000001</v>
      </c>
      <c r="F67" s="105">
        <v>1.619</v>
      </c>
      <c r="G67" s="108">
        <v>1.6439999999999999</v>
      </c>
      <c r="H67" s="101">
        <v>1.901</v>
      </c>
      <c r="I67" s="107">
        <f>(H67-(G67-0.1*H67)/0.9-GasolineMGSData!AG69)*(Y$283/Y67)</f>
        <v>2.2265982566593678E-2</v>
      </c>
      <c r="J67" s="107">
        <f t="shared" si="17"/>
        <v>-0.16849397769647079</v>
      </c>
      <c r="K67">
        <v>1.829</v>
      </c>
      <c r="L67">
        <v>1.48</v>
      </c>
      <c r="M67">
        <v>1.5409999999999999</v>
      </c>
      <c r="N67" s="85">
        <v>51.88</v>
      </c>
      <c r="O67" s="1">
        <f t="shared" si="2"/>
        <v>2.8917279496402877</v>
      </c>
      <c r="P67" s="1">
        <f t="shared" si="3"/>
        <v>2.3399438848920862</v>
      </c>
      <c r="Q67" s="1">
        <f t="shared" si="4"/>
        <v>2.4363875179856112</v>
      </c>
      <c r="R67" s="1">
        <f t="shared" si="0"/>
        <v>79.369201849948624</v>
      </c>
      <c r="S67" s="1">
        <f t="shared" si="10"/>
        <v>0.55178406474820152</v>
      </c>
      <c r="T67" s="1">
        <f t="shared" si="11"/>
        <v>0.45534043165467653</v>
      </c>
      <c r="U67" s="1">
        <f t="shared" si="12"/>
        <v>0.50356224820143902</v>
      </c>
      <c r="V67" s="1">
        <f t="shared" si="20"/>
        <v>0.30484234633369428</v>
      </c>
      <c r="W67" s="82">
        <f t="shared" si="5"/>
        <v>0.35057612281603301</v>
      </c>
      <c r="X67" s="1">
        <f t="shared" si="16"/>
        <v>0.15237282398915608</v>
      </c>
      <c r="Y67">
        <v>194.6</v>
      </c>
      <c r="Z67" s="1">
        <f t="shared" si="6"/>
        <v>0.86017918414290162</v>
      </c>
      <c r="AA67" s="1">
        <f t="shared" si="7"/>
        <v>0.70983267917809678</v>
      </c>
      <c r="AB67" s="1">
        <f t="shared" si="14"/>
        <v>0.78500593166049915</v>
      </c>
      <c r="AC67" s="1">
        <f t="shared" si="21"/>
        <v>0.47522549328035368</v>
      </c>
      <c r="AE67" s="1"/>
      <c r="AF67" s="1"/>
    </row>
    <row r="68" spans="1:32">
      <c r="B68" s="63">
        <v>38487</v>
      </c>
      <c r="C68" s="20">
        <v>5</v>
      </c>
      <c r="D68" s="100">
        <f t="shared" si="8"/>
        <v>0.15799999999999992</v>
      </c>
      <c r="E68" s="106">
        <v>1.6279999999999999</v>
      </c>
      <c r="F68" s="105">
        <v>1.5029999999999999</v>
      </c>
      <c r="G68" s="108">
        <v>1.5409999999999999</v>
      </c>
      <c r="H68" s="101">
        <v>1.758</v>
      </c>
      <c r="I68" s="107">
        <f>(H68-(G68-0.1*H68)/0.9-GasolineMGSData!AG70)*(Y$283/Y68)</f>
        <v>-3.8159119578980265E-2</v>
      </c>
      <c r="J68" s="107">
        <f t="shared" si="17"/>
        <v>-0.16849397769647079</v>
      </c>
      <c r="K68">
        <v>1.6</v>
      </c>
      <c r="L68">
        <v>1.371</v>
      </c>
      <c r="M68">
        <v>1.41</v>
      </c>
      <c r="N68" s="85">
        <v>48.65</v>
      </c>
      <c r="O68" s="1">
        <f t="shared" si="2"/>
        <v>2.5322716049382716</v>
      </c>
      <c r="P68" s="1">
        <f t="shared" si="3"/>
        <v>2.1698402314814813</v>
      </c>
      <c r="Q68" s="1">
        <f t="shared" si="4"/>
        <v>2.2315643518518518</v>
      </c>
      <c r="R68" s="1">
        <f t="shared" ref="R68:R131" si="22">N68*($Y$278/Y68)</f>
        <v>74.504321759259255</v>
      </c>
      <c r="S68" s="1">
        <f t="shared" si="10"/>
        <v>0.36243137345679033</v>
      </c>
      <c r="T68" s="1">
        <f t="shared" si="11"/>
        <v>0.30070725308641988</v>
      </c>
      <c r="U68" s="1">
        <f t="shared" si="12"/>
        <v>0.3315693132716051</v>
      </c>
      <c r="V68" s="1">
        <f t="shared" si="20"/>
        <v>0.30484234633369428</v>
      </c>
      <c r="W68" s="82">
        <f t="shared" si="5"/>
        <v>0.17842579475308656</v>
      </c>
      <c r="X68" s="1">
        <f t="shared" si="16"/>
        <v>0.15237282398915608</v>
      </c>
      <c r="Y68">
        <v>194.4</v>
      </c>
      <c r="Z68" s="1">
        <f t="shared" si="6"/>
        <v>0.56557751412537183</v>
      </c>
      <c r="AA68" s="1">
        <f t="shared" si="7"/>
        <v>0.46925645276777572</v>
      </c>
      <c r="AB68" s="1">
        <f t="shared" si="14"/>
        <v>0.51741698344657383</v>
      </c>
      <c r="AC68" s="1">
        <f t="shared" si="21"/>
        <v>0.47522549328035368</v>
      </c>
      <c r="AE68" s="1"/>
      <c r="AF68" s="1"/>
    </row>
    <row r="69" spans="1:32">
      <c r="A69">
        <f>A57+1</f>
        <v>2005</v>
      </c>
      <c r="B69" s="63">
        <v>38518</v>
      </c>
      <c r="C69" s="20">
        <v>6</v>
      </c>
      <c r="D69" s="100">
        <f t="shared" si="8"/>
        <v>-1.1000000000000121E-2</v>
      </c>
      <c r="E69" s="106">
        <v>1.6990000000000001</v>
      </c>
      <c r="F69" s="105">
        <v>1.597</v>
      </c>
      <c r="G69" s="108">
        <v>1.607</v>
      </c>
      <c r="H69" s="101">
        <v>1.734</v>
      </c>
      <c r="I69" s="107">
        <f>(H69-(G69-0.1*H69)/0.9-GasolineMGSData!AG71)*(Y$283/Y69)</f>
        <v>-0.18110657727362617</v>
      </c>
      <c r="J69" s="107">
        <f t="shared" si="17"/>
        <v>-0.16849397769647079</v>
      </c>
      <c r="K69">
        <v>1.7450000000000001</v>
      </c>
      <c r="L69">
        <v>1.5089999999999999</v>
      </c>
      <c r="M69">
        <v>1.5209999999999999</v>
      </c>
      <c r="N69" s="85">
        <v>54.35</v>
      </c>
      <c r="O69" s="1">
        <f t="shared" si="2"/>
        <v>2.7603387917737789</v>
      </c>
      <c r="P69" s="1">
        <f t="shared" si="3"/>
        <v>2.3870207660668377</v>
      </c>
      <c r="Q69" s="1">
        <f t="shared" si="4"/>
        <v>2.406003038560411</v>
      </c>
      <c r="R69" s="1">
        <f t="shared" si="22"/>
        <v>83.190708740359909</v>
      </c>
      <c r="S69" s="1">
        <f t="shared" si="10"/>
        <v>0.37331802570694128</v>
      </c>
      <c r="T69" s="1">
        <f t="shared" si="11"/>
        <v>0.35433575321336797</v>
      </c>
      <c r="U69" s="1">
        <f t="shared" si="12"/>
        <v>0.36382688946015462</v>
      </c>
      <c r="V69" s="1">
        <f t="shared" si="20"/>
        <v>0.30484234633369428</v>
      </c>
      <c r="W69" s="82">
        <f t="shared" si="5"/>
        <v>0.21076210796915204</v>
      </c>
      <c r="X69" s="1">
        <f t="shared" si="16"/>
        <v>0.15237282398915608</v>
      </c>
      <c r="Y69">
        <v>194.5</v>
      </c>
      <c r="Z69" s="1">
        <f t="shared" si="6"/>
        <v>0.58226671584850809</v>
      </c>
      <c r="AA69" s="1">
        <f t="shared" si="7"/>
        <v>0.55265993368671951</v>
      </c>
      <c r="AB69" s="1">
        <f t="shared" si="14"/>
        <v>0.56746332476761374</v>
      </c>
      <c r="AC69" s="1">
        <f t="shared" si="21"/>
        <v>0.47522549328035368</v>
      </c>
      <c r="AE69" s="1"/>
      <c r="AF69" s="1"/>
    </row>
    <row r="70" spans="1:32">
      <c r="B70" s="63">
        <v>38548</v>
      </c>
      <c r="C70" s="20">
        <v>7</v>
      </c>
      <c r="D70" s="100">
        <f t="shared" si="8"/>
        <v>0</v>
      </c>
      <c r="E70" s="106">
        <v>1.8380000000000001</v>
      </c>
      <c r="F70" s="105">
        <v>1.6879999999999999</v>
      </c>
      <c r="G70" s="108">
        <v>1.714</v>
      </c>
      <c r="H70" s="101">
        <v>1.8819999999999999</v>
      </c>
      <c r="I70" s="107">
        <f>(H70-(G70-0.1*H70)/0.9-GasolineMGSData!AG72)*(Y$283/Y70)</f>
        <v>-0.12715449106846752</v>
      </c>
      <c r="J70" s="107">
        <f t="shared" si="17"/>
        <v>-0.16849397769647079</v>
      </c>
      <c r="K70">
        <v>1.8819999999999999</v>
      </c>
      <c r="L70">
        <v>1.591</v>
      </c>
      <c r="M70">
        <v>1.603</v>
      </c>
      <c r="N70" s="85">
        <v>57.52</v>
      </c>
      <c r="O70" s="1">
        <f t="shared" si="2"/>
        <v>2.9633409518935512</v>
      </c>
      <c r="P70" s="1">
        <f t="shared" si="3"/>
        <v>2.5051410491299895</v>
      </c>
      <c r="Q70" s="1">
        <f t="shared" si="4"/>
        <v>2.524035890481064</v>
      </c>
      <c r="R70" s="1">
        <f t="shared" si="22"/>
        <v>87.637342476970332</v>
      </c>
      <c r="S70" s="1">
        <f t="shared" si="10"/>
        <v>0.45819990276356171</v>
      </c>
      <c r="T70" s="1">
        <f t="shared" si="11"/>
        <v>0.43930506141248715</v>
      </c>
      <c r="U70" s="1">
        <f t="shared" si="12"/>
        <v>0.44875248208802443</v>
      </c>
      <c r="V70" s="1">
        <f t="shared" si="20"/>
        <v>0.30484234633369428</v>
      </c>
      <c r="W70" s="82">
        <f t="shared" si="5"/>
        <v>0.29639270726714417</v>
      </c>
      <c r="X70" s="1">
        <f t="shared" si="16"/>
        <v>0.15237282398915608</v>
      </c>
      <c r="Y70">
        <v>195.4</v>
      </c>
      <c r="Z70" s="1">
        <f t="shared" si="6"/>
        <v>0.71136590123880439</v>
      </c>
      <c r="AA70" s="1">
        <f t="shared" si="7"/>
        <v>0.6820312248990601</v>
      </c>
      <c r="AB70" s="1">
        <f t="shared" si="14"/>
        <v>0.69669856306893219</v>
      </c>
      <c r="AC70" s="1">
        <f t="shared" si="21"/>
        <v>0.47522549328035368</v>
      </c>
      <c r="AE70" s="1"/>
      <c r="AF70" s="1"/>
    </row>
    <row r="71" spans="1:32">
      <c r="B71" s="63">
        <v>38579</v>
      </c>
      <c r="C71" s="20">
        <v>8</v>
      </c>
      <c r="D71" s="100">
        <f t="shared" si="8"/>
        <v>-7.3999999999999844E-2</v>
      </c>
      <c r="E71" s="106">
        <v>2.04</v>
      </c>
      <c r="F71" s="105">
        <v>1.9510000000000001</v>
      </c>
      <c r="G71" s="108">
        <v>1.9550000000000001</v>
      </c>
      <c r="H71" s="101">
        <v>2.0680000000000001</v>
      </c>
      <c r="I71" s="107">
        <f>(H71-(G71-0.1*H71)/0.9-GasolineMGSData!AG73)*(Y$283/Y71)</f>
        <v>-0.23969504900564448</v>
      </c>
      <c r="J71" s="107">
        <f t="shared" si="17"/>
        <v>-0.16849397769647079</v>
      </c>
      <c r="K71">
        <v>2.1419999999999999</v>
      </c>
      <c r="L71">
        <v>1.9370000000000001</v>
      </c>
      <c r="M71">
        <v>1.9350000000000001</v>
      </c>
      <c r="N71" s="85">
        <v>63.98</v>
      </c>
      <c r="O71" s="1">
        <f t="shared" si="2"/>
        <v>3.3555564256619141</v>
      </c>
      <c r="P71" s="1">
        <f t="shared" si="3"/>
        <v>3.0344130702647658</v>
      </c>
      <c r="Q71" s="1">
        <f t="shared" si="4"/>
        <v>3.0312799643584523</v>
      </c>
      <c r="R71" s="1">
        <f t="shared" si="22"/>
        <v>96.983451018329944</v>
      </c>
      <c r="S71" s="1">
        <f t="shared" si="10"/>
        <v>0.32114335539714833</v>
      </c>
      <c r="T71" s="1">
        <f t="shared" si="11"/>
        <v>0.32427646130346188</v>
      </c>
      <c r="U71" s="1">
        <f t="shared" si="12"/>
        <v>0.32270990835030511</v>
      </c>
      <c r="V71" s="1">
        <f t="shared" si="20"/>
        <v>0.30484234633369428</v>
      </c>
      <c r="W71" s="82">
        <f t="shared" si="5"/>
        <v>0.17112589613034582</v>
      </c>
      <c r="X71" s="1">
        <f t="shared" si="16"/>
        <v>0.15237282398915608</v>
      </c>
      <c r="Y71">
        <v>196.4</v>
      </c>
      <c r="Z71" s="1">
        <f t="shared" si="6"/>
        <v>0.49604384787853922</v>
      </c>
      <c r="AA71" s="1">
        <f t="shared" si="7"/>
        <v>0.50088330005296389</v>
      </c>
      <c r="AB71" s="1">
        <f t="shared" si="14"/>
        <v>0.49846357396575158</v>
      </c>
      <c r="AC71" s="1">
        <f t="shared" si="21"/>
        <v>0.47522549328035368</v>
      </c>
      <c r="AE71" s="1"/>
      <c r="AF71" s="1"/>
    </row>
    <row r="72" spans="1:32">
      <c r="B72" s="63">
        <v>38610</v>
      </c>
      <c r="C72" s="20">
        <v>9</v>
      </c>
      <c r="D72" s="100">
        <f t="shared" si="8"/>
        <v>-1.1000000000000121E-2</v>
      </c>
      <c r="E72" s="106">
        <v>2.2360000000000002</v>
      </c>
      <c r="F72" s="105">
        <v>2.1829999999999998</v>
      </c>
      <c r="G72" s="108">
        <v>2.206</v>
      </c>
      <c r="H72" s="101">
        <v>2.2669999999999999</v>
      </c>
      <c r="I72" s="107">
        <f>(H72-(G72-0.1*H72)/0.9-GasolineMGSData!AG74)*(Y$283/Y72)</f>
        <v>-0.3608432895860012</v>
      </c>
      <c r="J72" s="107">
        <f t="shared" si="17"/>
        <v>-0.16849397769647079</v>
      </c>
      <c r="K72">
        <v>2.278</v>
      </c>
      <c r="L72">
        <v>2.133</v>
      </c>
      <c r="M72">
        <v>2.3050000000000002</v>
      </c>
      <c r="N72" s="85">
        <v>62.91</v>
      </c>
      <c r="O72" s="1">
        <f t="shared" si="2"/>
        <v>3.5255258450704225</v>
      </c>
      <c r="P72" s="1">
        <f t="shared" si="3"/>
        <v>3.301117922535211</v>
      </c>
      <c r="Q72" s="1">
        <f t="shared" si="4"/>
        <v>3.567312147887324</v>
      </c>
      <c r="R72" s="1">
        <f t="shared" si="22"/>
        <v>94.210256589537209</v>
      </c>
      <c r="S72" s="1">
        <f t="shared" si="10"/>
        <v>0.22440792253521158</v>
      </c>
      <c r="T72" s="1">
        <f t="shared" si="11"/>
        <v>-4.1786302816901433E-2</v>
      </c>
      <c r="U72" s="1">
        <f t="shared" si="12"/>
        <v>9.1310809859155073E-2</v>
      </c>
      <c r="V72" s="1">
        <f t="shared" si="20"/>
        <v>0.30484234633369428</v>
      </c>
      <c r="W72" s="82">
        <f t="shared" si="5"/>
        <v>-5.8443214285714168E-2</v>
      </c>
      <c r="X72" s="1">
        <f t="shared" si="16"/>
        <v>0.15237282398915608</v>
      </c>
      <c r="Y72">
        <v>198.8</v>
      </c>
      <c r="Z72" s="1">
        <f t="shared" si="6"/>
        <v>0.34243994267630479</v>
      </c>
      <c r="AA72" s="1">
        <f t="shared" si="7"/>
        <v>-6.376467898110498E-2</v>
      </c>
      <c r="AB72" s="1">
        <f t="shared" si="14"/>
        <v>0.1393376318475999</v>
      </c>
      <c r="AC72" s="1">
        <f t="shared" si="21"/>
        <v>0.47522549328035368</v>
      </c>
      <c r="AE72" s="1"/>
      <c r="AF72" s="1"/>
    </row>
    <row r="73" spans="1:32">
      <c r="B73" s="63">
        <v>38640</v>
      </c>
      <c r="C73" s="20">
        <v>10</v>
      </c>
      <c r="D73" s="100">
        <f t="shared" si="8"/>
        <v>0.21900000000000008</v>
      </c>
      <c r="E73" s="106">
        <v>1.962</v>
      </c>
      <c r="F73" s="105">
        <v>1.92</v>
      </c>
      <c r="G73" s="108">
        <v>1.97</v>
      </c>
      <c r="H73" s="101">
        <v>2.121</v>
      </c>
      <c r="I73" s="107">
        <f>(H73-(G73-0.1*H73)/0.9-GasolineMGSData!AG75)*(Y$283/Y73)</f>
        <v>-0.19558877948858361</v>
      </c>
      <c r="J73" s="107">
        <f t="shared" si="17"/>
        <v>-0.16849397769647079</v>
      </c>
      <c r="K73">
        <v>1.9019999999999999</v>
      </c>
      <c r="L73">
        <v>1.7090000000000001</v>
      </c>
      <c r="M73">
        <v>1.8009999999999999</v>
      </c>
      <c r="N73" s="85">
        <v>58.54</v>
      </c>
      <c r="O73" s="1">
        <f t="shared" si="2"/>
        <v>2.9377020180722893</v>
      </c>
      <c r="P73" s="1">
        <f t="shared" si="3"/>
        <v>2.6396071234939762</v>
      </c>
      <c r="Q73" s="1">
        <f t="shared" si="4"/>
        <v>2.781704171686747</v>
      </c>
      <c r="R73" s="1">
        <f t="shared" si="22"/>
        <v>87.48996957831325</v>
      </c>
      <c r="S73" s="1">
        <f t="shared" si="10"/>
        <v>0.29809489457831306</v>
      </c>
      <c r="T73" s="1">
        <f t="shared" si="11"/>
        <v>0.15599784638554226</v>
      </c>
      <c r="U73" s="1">
        <f t="shared" si="12"/>
        <v>0.22704637048192766</v>
      </c>
      <c r="V73" s="1">
        <f t="shared" si="20"/>
        <v>0.30484234633369428</v>
      </c>
      <c r="W73" s="82">
        <f t="shared" si="5"/>
        <v>7.7593057228915574E-2</v>
      </c>
      <c r="X73" s="1">
        <f t="shared" si="16"/>
        <v>0.15237282398915608</v>
      </c>
      <c r="Y73">
        <v>199.2</v>
      </c>
      <c r="Z73" s="1">
        <f t="shared" si="6"/>
        <v>0.45397069028092768</v>
      </c>
      <c r="AA73" s="1">
        <f t="shared" si="7"/>
        <v>0.23757015398121115</v>
      </c>
      <c r="AB73" s="1">
        <f t="shared" si="14"/>
        <v>0.3457704221310694</v>
      </c>
      <c r="AC73" s="1">
        <f t="shared" si="21"/>
        <v>0.47522549328035368</v>
      </c>
      <c r="AE73" s="1"/>
      <c r="AF73" s="1"/>
    </row>
    <row r="74" spans="1:32">
      <c r="B74" s="63">
        <v>38671</v>
      </c>
      <c r="C74" s="20">
        <v>11</v>
      </c>
      <c r="D74" s="100">
        <f t="shared" si="8"/>
        <v>0.21500000000000008</v>
      </c>
      <c r="E74" s="106">
        <v>1.639</v>
      </c>
      <c r="F74" s="105">
        <v>1.5609999999999999</v>
      </c>
      <c r="G74" s="108">
        <v>1.601</v>
      </c>
      <c r="H74" s="101">
        <v>1.792</v>
      </c>
      <c r="I74" s="107">
        <f>(H74-(G74-0.1*H74)/0.9-GasolineMGSData!AG76)*(Y$283/Y74)</f>
        <v>-8.7888689106103368E-2</v>
      </c>
      <c r="J74" s="107">
        <f t="shared" si="17"/>
        <v>-0.16849397769647079</v>
      </c>
      <c r="K74">
        <v>1.577</v>
      </c>
      <c r="L74">
        <v>1.47</v>
      </c>
      <c r="M74">
        <v>1.444</v>
      </c>
      <c r="N74" s="85">
        <v>55.24</v>
      </c>
      <c r="O74" s="1">
        <f t="shared" si="2"/>
        <v>2.4554512499999999</v>
      </c>
      <c r="P74" s="1">
        <f t="shared" si="3"/>
        <v>2.2888480263157893</v>
      </c>
      <c r="Q74" s="1">
        <f t="shared" si="4"/>
        <v>2.2483650000000002</v>
      </c>
      <c r="R74" s="1">
        <f t="shared" si="22"/>
        <v>83.226496153846171</v>
      </c>
      <c r="S74" s="1">
        <f t="shared" si="10"/>
        <v>0.16660322368421054</v>
      </c>
      <c r="T74" s="1">
        <f t="shared" si="11"/>
        <v>0.20708624999999969</v>
      </c>
      <c r="U74" s="1">
        <f t="shared" si="12"/>
        <v>0.18684473684210512</v>
      </c>
      <c r="V74" s="1">
        <f t="shared" si="20"/>
        <v>0.30484234633369428</v>
      </c>
      <c r="W74" s="82">
        <f t="shared" si="5"/>
        <v>3.6181275303643567E-2</v>
      </c>
      <c r="X74" s="1">
        <f t="shared" si="16"/>
        <v>0.15237282398915608</v>
      </c>
      <c r="Y74">
        <v>197.6</v>
      </c>
      <c r="Z74" s="1">
        <f t="shared" si="6"/>
        <v>0.25577557564024878</v>
      </c>
      <c r="AA74" s="1">
        <f t="shared" si="7"/>
        <v>0.31792665009488819</v>
      </c>
      <c r="AB74" s="1">
        <f t="shared" si="14"/>
        <v>0.28685111286756848</v>
      </c>
      <c r="AC74" s="1">
        <f t="shared" si="21"/>
        <v>0.47522549328035368</v>
      </c>
      <c r="AE74" s="1"/>
      <c r="AF74" s="1"/>
    </row>
    <row r="75" spans="1:32">
      <c r="A75" s="64"/>
      <c r="B75" s="63">
        <v>38701</v>
      </c>
      <c r="C75" s="20">
        <v>12</v>
      </c>
      <c r="D75" s="100">
        <f t="shared" si="8"/>
        <v>8.999999999999897E-3</v>
      </c>
      <c r="E75" s="106">
        <v>1.59</v>
      </c>
      <c r="F75" s="105">
        <v>1.6</v>
      </c>
      <c r="G75" s="108">
        <v>1.6080000000000001</v>
      </c>
      <c r="H75" s="101">
        <v>1.615</v>
      </c>
      <c r="I75" s="107">
        <f>(H75-(G75-0.1*H75)/0.9-GasolineMGSData!AG77)*(Y$283/Y75)</f>
        <v>-0.37410022197822546</v>
      </c>
      <c r="J75" s="107">
        <f t="shared" si="17"/>
        <v>-0.16849397769647079</v>
      </c>
      <c r="K75">
        <v>1.6060000000000001</v>
      </c>
      <c r="L75">
        <v>1.6</v>
      </c>
      <c r="M75">
        <v>1.5649999999999999</v>
      </c>
      <c r="N75" s="85">
        <v>56.86</v>
      </c>
      <c r="O75" s="1">
        <f t="shared" si="2"/>
        <v>2.510770457317073</v>
      </c>
      <c r="P75" s="1">
        <f t="shared" si="3"/>
        <v>2.5013902439024389</v>
      </c>
      <c r="Q75" s="1">
        <f t="shared" si="4"/>
        <v>2.4466723323170729</v>
      </c>
      <c r="R75" s="1">
        <f t="shared" si="22"/>
        <v>86.015485060975607</v>
      </c>
      <c r="S75" s="1">
        <f t="shared" si="10"/>
        <v>9.3802134146341309E-3</v>
      </c>
      <c r="T75" s="1">
        <f t="shared" si="11"/>
        <v>6.4098125000000117E-2</v>
      </c>
      <c r="U75" s="1">
        <f t="shared" si="12"/>
        <v>3.6739169207317124E-2</v>
      </c>
      <c r="V75" s="1">
        <f t="shared" si="20"/>
        <v>0.30484234633369428</v>
      </c>
      <c r="W75" s="82">
        <f t="shared" si="5"/>
        <v>-0.11453674542682923</v>
      </c>
      <c r="X75" s="1">
        <f t="shared" si="16"/>
        <v>0.15237282398915608</v>
      </c>
      <c r="Y75">
        <v>196.8</v>
      </c>
      <c r="Z75" s="1">
        <f t="shared" si="6"/>
        <v>1.4459398791177101E-2</v>
      </c>
      <c r="AA75" s="1">
        <f t="shared" si="7"/>
        <v>9.8805891739710536E-2</v>
      </c>
      <c r="AB75" s="1">
        <f t="shared" si="14"/>
        <v>5.6632645265443815E-2</v>
      </c>
      <c r="AC75" s="1">
        <f t="shared" si="21"/>
        <v>0.47522549328035368</v>
      </c>
      <c r="AE75" s="1"/>
      <c r="AF75" s="1"/>
    </row>
    <row r="76" spans="1:32">
      <c r="A76" s="64" t="s">
        <v>39</v>
      </c>
      <c r="B76" s="63">
        <v>38732</v>
      </c>
      <c r="C76" s="20">
        <v>1</v>
      </c>
      <c r="D76" s="100">
        <f t="shared" si="8"/>
        <v>-8.8000000000000078E-2</v>
      </c>
      <c r="E76" s="106">
        <v>1.7749999999999999</v>
      </c>
      <c r="F76" s="105">
        <v>1.7390000000000001</v>
      </c>
      <c r="G76" s="108">
        <v>1.7490000000000001</v>
      </c>
      <c r="H76" s="101">
        <v>1.7849999999999999</v>
      </c>
      <c r="I76" s="107">
        <f>(H76-(G76-0.1*H76)/0.9-GasolineMGSData!AG78)*(Y$283/Y76)</f>
        <v>-0.33557108696648763</v>
      </c>
      <c r="J76" s="107">
        <f>AVERAGE(I76:I87)</f>
        <v>-0.19468934456776243</v>
      </c>
      <c r="K76">
        <v>1.873</v>
      </c>
      <c r="L76">
        <v>1.7350000000000001</v>
      </c>
      <c r="M76">
        <v>1.6930000000000001</v>
      </c>
      <c r="N76" s="85">
        <v>62.99</v>
      </c>
      <c r="O76" s="1">
        <f t="shared" si="2"/>
        <v>2.9060402571860813</v>
      </c>
      <c r="P76" s="1">
        <f t="shared" si="3"/>
        <v>2.6919273071104386</v>
      </c>
      <c r="Q76" s="1">
        <f t="shared" si="4"/>
        <v>2.6267624962178515</v>
      </c>
      <c r="R76" s="1">
        <f t="shared" si="22"/>
        <v>94.567906656580945</v>
      </c>
      <c r="S76" s="1">
        <f t="shared" si="10"/>
        <v>0.21411295007564268</v>
      </c>
      <c r="T76" s="1">
        <f t="shared" si="11"/>
        <v>0.27927776096822976</v>
      </c>
      <c r="U76" s="1">
        <f t="shared" si="12"/>
        <v>0.24669535552193622</v>
      </c>
      <c r="V76" s="1">
        <f>AVERAGE(S76:T87)</f>
        <v>0.36542004241261816</v>
      </c>
      <c r="W76" s="82">
        <f t="shared" si="5"/>
        <v>9.656373676248084E-2</v>
      </c>
      <c r="X76" s="1">
        <f>AVERAGE(W76:W87)</f>
        <v>0.21772894738117143</v>
      </c>
      <c r="Y76">
        <v>198.3</v>
      </c>
      <c r="Z76" s="1">
        <f t="shared" si="6"/>
        <v>0.32755394288349565</v>
      </c>
      <c r="AA76" s="1">
        <f t="shared" si="7"/>
        <v>0.42724427332629894</v>
      </c>
      <c r="AB76" s="1">
        <f t="shared" si="14"/>
        <v>0.3773991081048973</v>
      </c>
      <c r="AC76" s="1">
        <f>AVERAGE(Z76:AA87)</f>
        <v>0.54948461003295679</v>
      </c>
      <c r="AE76" s="1"/>
      <c r="AF76" s="1"/>
    </row>
    <row r="77" spans="1:32">
      <c r="B77" s="63">
        <v>38763</v>
      </c>
      <c r="C77" s="20">
        <v>2</v>
      </c>
      <c r="D77" s="100">
        <f t="shared" si="8"/>
        <v>0.10000000000000009</v>
      </c>
      <c r="E77" s="106">
        <v>1.7470000000000001</v>
      </c>
      <c r="F77" s="105">
        <v>1.6259999999999999</v>
      </c>
      <c r="G77" s="108">
        <v>1.66</v>
      </c>
      <c r="H77" s="101">
        <v>1.83</v>
      </c>
      <c r="I77" s="107">
        <f>(H77-(G77-0.1*H77)/0.9-GasolineMGSData!AG79)*(Y$283/Y77)</f>
        <v>-0.13784699647944734</v>
      </c>
      <c r="J77" s="107">
        <f t="shared" si="17"/>
        <v>-0.19468934456776243</v>
      </c>
      <c r="K77">
        <v>1.73</v>
      </c>
      <c r="L77">
        <v>1.4990000000000001</v>
      </c>
      <c r="M77">
        <v>1.5369999999999999</v>
      </c>
      <c r="N77" s="85">
        <v>60.21</v>
      </c>
      <c r="O77" s="1">
        <f t="shared" si="2"/>
        <v>2.6787661298439858</v>
      </c>
      <c r="P77" s="1">
        <f t="shared" si="3"/>
        <v>2.3210811726220437</v>
      </c>
      <c r="Q77" s="1">
        <f t="shared" si="4"/>
        <v>2.3799211222949168</v>
      </c>
      <c r="R77" s="1">
        <f t="shared" si="22"/>
        <v>90.212276346250647</v>
      </c>
      <c r="S77" s="1">
        <f t="shared" si="10"/>
        <v>0.35768495722194205</v>
      </c>
      <c r="T77" s="1">
        <f t="shared" si="11"/>
        <v>0.29884500754906895</v>
      </c>
      <c r="U77" s="1">
        <f t="shared" si="12"/>
        <v>0.3282649823855055</v>
      </c>
      <c r="V77" s="1">
        <f>V76</f>
        <v>0.36542004241261816</v>
      </c>
      <c r="W77" s="82">
        <f t="shared" si="5"/>
        <v>0.17843559134373396</v>
      </c>
      <c r="X77" s="1">
        <f t="shared" si="16"/>
        <v>0.21772894738117143</v>
      </c>
      <c r="Y77">
        <v>198.7</v>
      </c>
      <c r="Z77" s="1">
        <f t="shared" si="6"/>
        <v>0.54609150315913446</v>
      </c>
      <c r="AA77" s="1">
        <f t="shared" si="7"/>
        <v>0.45625826887321697</v>
      </c>
      <c r="AB77" s="1">
        <f t="shared" si="14"/>
        <v>0.50117488601617577</v>
      </c>
      <c r="AC77" s="1">
        <f>AC76</f>
        <v>0.54948461003295679</v>
      </c>
      <c r="AE77" s="1"/>
      <c r="AF77" s="1"/>
    </row>
    <row r="78" spans="1:32">
      <c r="B78" s="63">
        <v>38791</v>
      </c>
      <c r="C78" s="20">
        <v>3</v>
      </c>
      <c r="D78" s="100">
        <f t="shared" si="8"/>
        <v>-4.0000000000000036E-2</v>
      </c>
      <c r="E78" s="106">
        <v>1.9390000000000001</v>
      </c>
      <c r="F78" s="105">
        <v>1.865</v>
      </c>
      <c r="G78" s="108">
        <v>1.871</v>
      </c>
      <c r="H78" s="101">
        <v>1.96</v>
      </c>
      <c r="I78" s="107">
        <f>(H78-(G78-0.1*H78)/0.9-GasolineMGSData!AG80)*(Y$283/Y78)</f>
        <v>-0.28331761806095163</v>
      </c>
      <c r="J78" s="107">
        <f t="shared" si="17"/>
        <v>-0.19468934456776243</v>
      </c>
      <c r="K78">
        <v>2</v>
      </c>
      <c r="L78">
        <v>1.7649999999999999</v>
      </c>
      <c r="M78">
        <v>1.8320000000000001</v>
      </c>
      <c r="N78" s="85">
        <v>62.06</v>
      </c>
      <c r="O78" s="1">
        <f t="shared" si="2"/>
        <v>3.0797897897897895</v>
      </c>
      <c r="P78" s="1">
        <f t="shared" si="3"/>
        <v>2.7179144894894889</v>
      </c>
      <c r="Q78" s="1">
        <f t="shared" si="4"/>
        <v>2.8210874474474474</v>
      </c>
      <c r="R78" s="1">
        <f t="shared" si="22"/>
        <v>92.472195495495498</v>
      </c>
      <c r="S78" s="1">
        <f t="shared" si="10"/>
        <v>0.36187530030030057</v>
      </c>
      <c r="T78" s="1">
        <f t="shared" si="11"/>
        <v>0.25870234234234202</v>
      </c>
      <c r="U78" s="1">
        <f t="shared" si="12"/>
        <v>0.3102888213213213</v>
      </c>
      <c r="V78" s="1">
        <f t="shared" ref="V78:V87" si="23">V77</f>
        <v>0.36542004241261816</v>
      </c>
      <c r="W78" s="82">
        <f t="shared" si="5"/>
        <v>0.16128431681681679</v>
      </c>
      <c r="X78" s="1">
        <f t="shared" si="16"/>
        <v>0.21772894738117143</v>
      </c>
      <c r="Y78">
        <v>199.8</v>
      </c>
      <c r="Z78" s="1">
        <f t="shared" si="6"/>
        <v>0.54944733095595633</v>
      </c>
      <c r="AA78" s="1">
        <f t="shared" si="7"/>
        <v>0.39279638978978931</v>
      </c>
      <c r="AB78" s="1">
        <f t="shared" si="14"/>
        <v>0.47112186037287285</v>
      </c>
      <c r="AC78" s="1">
        <f t="shared" ref="AC78:AC87" si="24">AC77</f>
        <v>0.54948461003295679</v>
      </c>
      <c r="AE78" s="1"/>
      <c r="AF78" s="1"/>
    </row>
    <row r="79" spans="1:32">
      <c r="B79" s="63">
        <v>38822</v>
      </c>
      <c r="C79" s="20">
        <v>4</v>
      </c>
      <c r="D79" s="100">
        <f t="shared" si="8"/>
        <v>-0.14000000000000012</v>
      </c>
      <c r="E79" s="106">
        <v>2.3180000000000001</v>
      </c>
      <c r="F79" s="105">
        <v>2.202</v>
      </c>
      <c r="G79" s="108">
        <v>2.1970000000000001</v>
      </c>
      <c r="H79" s="101">
        <v>2.3079999999999998</v>
      </c>
      <c r="I79" s="107">
        <f>(H79-(G79-0.1*H79)/0.9-GasolineMGSData!AG81)*(Y$283/Y79)</f>
        <v>-0.27816273459543034</v>
      </c>
      <c r="J79" s="107">
        <f t="shared" si="17"/>
        <v>-0.19468934456776243</v>
      </c>
      <c r="K79">
        <v>2.448</v>
      </c>
      <c r="L79">
        <v>2.1349999999999998</v>
      </c>
      <c r="M79">
        <v>2.16</v>
      </c>
      <c r="N79" s="85">
        <v>70.260000000000005</v>
      </c>
      <c r="O79" s="1">
        <f t="shared" si="2"/>
        <v>3.7378590967741934</v>
      </c>
      <c r="P79" s="1">
        <f t="shared" si="3"/>
        <v>3.2599383870967737</v>
      </c>
      <c r="Q79" s="1">
        <f t="shared" si="4"/>
        <v>3.2981109677419358</v>
      </c>
      <c r="R79" s="1">
        <f t="shared" si="22"/>
        <v>103.80731940446653</v>
      </c>
      <c r="S79" s="1">
        <f t="shared" si="10"/>
        <v>0.47792070967741962</v>
      </c>
      <c r="T79" s="1">
        <f t="shared" si="11"/>
        <v>0.43974812903225757</v>
      </c>
      <c r="U79" s="1">
        <f t="shared" si="12"/>
        <v>0.4588344193548386</v>
      </c>
      <c r="V79" s="1">
        <f t="shared" si="23"/>
        <v>0.36542004241261816</v>
      </c>
      <c r="W79" s="82">
        <f t="shared" si="5"/>
        <v>0.31108702481389561</v>
      </c>
      <c r="X79" s="1">
        <f t="shared" si="16"/>
        <v>0.21772894738117143</v>
      </c>
      <c r="Y79">
        <v>201.5</v>
      </c>
      <c r="Z79" s="1">
        <f t="shared" si="6"/>
        <v>0.71952089454030299</v>
      </c>
      <c r="AA79" s="1">
        <f t="shared" si="7"/>
        <v>0.66205117452909557</v>
      </c>
      <c r="AB79" s="1">
        <f t="shared" si="14"/>
        <v>0.69078603453469922</v>
      </c>
      <c r="AC79" s="1">
        <f t="shared" si="24"/>
        <v>0.54948461003295679</v>
      </c>
      <c r="AE79" s="1"/>
      <c r="AF79" s="1"/>
    </row>
    <row r="80" spans="1:32">
      <c r="B80" s="63">
        <v>38852</v>
      </c>
      <c r="C80" s="20">
        <v>5</v>
      </c>
      <c r="D80" s="100">
        <f t="shared" si="8"/>
        <v>4.1999999999999815E-2</v>
      </c>
      <c r="E80" s="106">
        <v>2.5489999999999999</v>
      </c>
      <c r="F80" s="105">
        <v>2.2280000000000002</v>
      </c>
      <c r="G80" s="108">
        <v>2.2629999999999999</v>
      </c>
      <c r="H80" s="101">
        <v>2.593</v>
      </c>
      <c r="I80" s="107">
        <f>(H80-(G80-0.1*H80)/0.9-GasolineMGSData!AG82)*(Y$283/Y80)</f>
        <v>4.1499506656306903E-2</v>
      </c>
      <c r="J80" s="107">
        <f t="shared" si="17"/>
        <v>-0.19468934456776243</v>
      </c>
      <c r="K80">
        <v>2.5510000000000002</v>
      </c>
      <c r="L80">
        <v>2.0419999999999998</v>
      </c>
      <c r="M80">
        <v>2.0419999999999998</v>
      </c>
      <c r="N80" s="85">
        <v>69.78</v>
      </c>
      <c r="O80" s="1">
        <f t="shared" si="2"/>
        <v>3.8758949185185188</v>
      </c>
      <c r="P80" s="1">
        <f t="shared" si="3"/>
        <v>3.1025391703703704</v>
      </c>
      <c r="Q80" s="1">
        <f t="shared" si="4"/>
        <v>3.1025391703703704</v>
      </c>
      <c r="R80" s="1">
        <f t="shared" si="22"/>
        <v>102.58900533333333</v>
      </c>
      <c r="S80" s="1">
        <f t="shared" si="10"/>
        <v>0.77335574814814834</v>
      </c>
      <c r="T80" s="1">
        <f t="shared" si="11"/>
        <v>0.77335574814814834</v>
      </c>
      <c r="U80" s="1">
        <f t="shared" si="12"/>
        <v>0.77335574814814834</v>
      </c>
      <c r="V80" s="1">
        <f t="shared" si="23"/>
        <v>0.36542004241261816</v>
      </c>
      <c r="W80" s="82">
        <f t="shared" si="5"/>
        <v>0.62633797037037053</v>
      </c>
      <c r="X80" s="1">
        <f t="shared" si="16"/>
        <v>0.21772894738117143</v>
      </c>
      <c r="Y80">
        <v>202.5</v>
      </c>
      <c r="Z80" s="1">
        <f t="shared" si="6"/>
        <v>1.1585556534590948</v>
      </c>
      <c r="AA80" s="1">
        <f t="shared" si="7"/>
        <v>1.1585556534590948</v>
      </c>
      <c r="AB80" s="1">
        <f t="shared" si="14"/>
        <v>1.1585556534590948</v>
      </c>
      <c r="AC80" s="1">
        <f t="shared" si="24"/>
        <v>0.54948461003295679</v>
      </c>
      <c r="AE80" s="1"/>
      <c r="AF80" s="1"/>
    </row>
    <row r="81" spans="1:32">
      <c r="A81">
        <f>A69+1</f>
        <v>2006</v>
      </c>
      <c r="B81" s="63">
        <v>38883</v>
      </c>
      <c r="C81" s="20">
        <v>6</v>
      </c>
      <c r="D81" s="100">
        <f t="shared" si="8"/>
        <v>6.9000000000000394E-2</v>
      </c>
      <c r="E81" s="106">
        <v>2.4039999999999999</v>
      </c>
      <c r="F81" s="105">
        <v>2.2589999999999999</v>
      </c>
      <c r="G81" s="108">
        <v>2.2789999999999999</v>
      </c>
      <c r="H81" s="101">
        <v>2.4700000000000002</v>
      </c>
      <c r="I81" s="107">
        <f>(H81-(G81-0.1*H81)/0.9-GasolineMGSData!AG83)*(Y$283/Y81)</f>
        <v>-0.18085060294724162</v>
      </c>
      <c r="J81" s="107">
        <f t="shared" si="17"/>
        <v>-0.19468934456776243</v>
      </c>
      <c r="K81">
        <v>2.4009999999999998</v>
      </c>
      <c r="L81">
        <v>2.0649999999999999</v>
      </c>
      <c r="M81">
        <v>2.1230000000000002</v>
      </c>
      <c r="N81" s="85">
        <v>68.56</v>
      </c>
      <c r="O81" s="1">
        <f t="shared" si="2"/>
        <v>3.6407987727944793</v>
      </c>
      <c r="P81" s="1">
        <f t="shared" si="3"/>
        <v>3.1312992360768845</v>
      </c>
      <c r="Q81" s="1">
        <f t="shared" si="4"/>
        <v>3.2192485608674222</v>
      </c>
      <c r="R81" s="1">
        <f t="shared" si="22"/>
        <v>100.59667895515032</v>
      </c>
      <c r="S81" s="1">
        <f t="shared" si="10"/>
        <v>0.50949953671759474</v>
      </c>
      <c r="T81" s="1">
        <f t="shared" si="11"/>
        <v>0.42155021192705711</v>
      </c>
      <c r="U81" s="1">
        <f t="shared" si="12"/>
        <v>0.46552487432232592</v>
      </c>
      <c r="V81" s="1">
        <f t="shared" si="23"/>
        <v>0.36542004241261816</v>
      </c>
      <c r="W81" s="82">
        <f t="shared" si="5"/>
        <v>0.31879692952193162</v>
      </c>
      <c r="X81" s="1">
        <f t="shared" si="16"/>
        <v>0.21772894738117143</v>
      </c>
      <c r="Y81">
        <v>202.9</v>
      </c>
      <c r="Z81" s="1">
        <f t="shared" si="6"/>
        <v>0.76177086228319213</v>
      </c>
      <c r="AA81" s="1">
        <f t="shared" si="7"/>
        <v>0.63027470153192622</v>
      </c>
      <c r="AB81" s="1">
        <f t="shared" si="14"/>
        <v>0.69602278190755917</v>
      </c>
      <c r="AC81" s="1">
        <f t="shared" si="24"/>
        <v>0.54948461003295679</v>
      </c>
      <c r="AE81" s="1"/>
      <c r="AF81" s="1"/>
    </row>
    <row r="82" spans="1:32">
      <c r="B82" s="63">
        <v>38913</v>
      </c>
      <c r="C82" s="20">
        <v>7</v>
      </c>
      <c r="D82" s="100">
        <f t="shared" si="8"/>
        <v>1.7999999999999794E-2</v>
      </c>
      <c r="E82" s="106">
        <v>2.4590000000000001</v>
      </c>
      <c r="F82" s="105">
        <v>2.383</v>
      </c>
      <c r="G82" s="108">
        <v>2.395</v>
      </c>
      <c r="H82" s="101">
        <v>2.5059999999999998</v>
      </c>
      <c r="I82" s="107">
        <f>(H82-(G82-0.1*H82)/0.9-GasolineMGSData!AG84)*(Y$283/Y82)</f>
        <v>-0.31282647340538328</v>
      </c>
      <c r="J82" s="107">
        <f t="shared" si="17"/>
        <v>-0.19468934456776243</v>
      </c>
      <c r="K82">
        <v>2.488</v>
      </c>
      <c r="L82">
        <v>2.2370000000000001</v>
      </c>
      <c r="M82">
        <v>2.27</v>
      </c>
      <c r="N82" s="85">
        <v>73.67</v>
      </c>
      <c r="O82" s="1">
        <f t="shared" si="2"/>
        <v>3.7615992530712528</v>
      </c>
      <c r="P82" s="1">
        <f t="shared" si="3"/>
        <v>3.3821131547911549</v>
      </c>
      <c r="Q82" s="1">
        <f t="shared" si="4"/>
        <v>3.4320057493857492</v>
      </c>
      <c r="R82" s="1">
        <f t="shared" si="22"/>
        <v>107.77577085995087</v>
      </c>
      <c r="S82" s="1">
        <f t="shared" si="10"/>
        <v>0.37948609828009783</v>
      </c>
      <c r="T82" s="1">
        <f t="shared" si="11"/>
        <v>0.32959350368550355</v>
      </c>
      <c r="U82" s="1">
        <f t="shared" si="12"/>
        <v>0.35453980098280069</v>
      </c>
      <c r="V82" s="1">
        <f t="shared" si="23"/>
        <v>0.36542004241261816</v>
      </c>
      <c r="W82" s="82">
        <f t="shared" si="5"/>
        <v>0.20824446928746898</v>
      </c>
      <c r="X82" s="1">
        <f t="shared" si="16"/>
        <v>0.21772894738117143</v>
      </c>
      <c r="Y82">
        <v>203.5</v>
      </c>
      <c r="Z82" s="1">
        <f t="shared" si="6"/>
        <v>0.56571027632700399</v>
      </c>
      <c r="AA82" s="1">
        <f t="shared" si="7"/>
        <v>0.49133402485771699</v>
      </c>
      <c r="AB82" s="1">
        <f t="shared" si="14"/>
        <v>0.52852215059236052</v>
      </c>
      <c r="AC82" s="1">
        <f t="shared" si="24"/>
        <v>0.54948461003295679</v>
      </c>
      <c r="AE82" s="1"/>
      <c r="AF82" s="1"/>
    </row>
    <row r="83" spans="1:32">
      <c r="B83" s="63">
        <v>38944</v>
      </c>
      <c r="C83" s="20">
        <v>8</v>
      </c>
      <c r="D83" s="100">
        <f t="shared" si="8"/>
        <v>0.20100000000000007</v>
      </c>
      <c r="E83" s="106">
        <v>2.282</v>
      </c>
      <c r="F83" s="105">
        <v>2.2200000000000002</v>
      </c>
      <c r="G83" s="108">
        <v>2.2599999999999998</v>
      </c>
      <c r="H83" s="101">
        <v>2.391</v>
      </c>
      <c r="I83" s="107">
        <f>(H83-(G83-0.1*H83)/0.9-GasolineMGSData!AG85)*(Y$283/Y83)</f>
        <v>-0.27378655069958546</v>
      </c>
      <c r="J83" s="107">
        <f t="shared" si="17"/>
        <v>-0.19468934456776243</v>
      </c>
      <c r="K83">
        <v>2.19</v>
      </c>
      <c r="L83">
        <v>2.0379999999999998</v>
      </c>
      <c r="M83">
        <v>2.0009999999999999</v>
      </c>
      <c r="N83" s="85">
        <v>73.23</v>
      </c>
      <c r="O83" s="1">
        <f t="shared" si="2"/>
        <v>3.3045585581167236</v>
      </c>
      <c r="P83" s="1">
        <f t="shared" si="3"/>
        <v>3.0752010691515443</v>
      </c>
      <c r="Q83" s="1">
        <f t="shared" si="4"/>
        <v>3.0193706277587049</v>
      </c>
      <c r="R83" s="1">
        <f t="shared" si="22"/>
        <v>106.92190549288868</v>
      </c>
      <c r="S83" s="1">
        <f t="shared" si="10"/>
        <v>0.22935748896517927</v>
      </c>
      <c r="T83" s="1">
        <f t="shared" si="11"/>
        <v>0.2851879303580187</v>
      </c>
      <c r="U83" s="1">
        <f t="shared" si="12"/>
        <v>0.25727270966159899</v>
      </c>
      <c r="V83" s="1">
        <f t="shared" si="23"/>
        <v>0.36542004241261816</v>
      </c>
      <c r="W83" s="82">
        <f t="shared" si="5"/>
        <v>0.1112643722412949</v>
      </c>
      <c r="X83" s="1">
        <f t="shared" si="16"/>
        <v>0.21772894738117143</v>
      </c>
      <c r="Y83">
        <v>203.9</v>
      </c>
      <c r="Z83" s="1">
        <f t="shared" si="6"/>
        <v>0.34123872449702636</v>
      </c>
      <c r="AA83" s="1">
        <f t="shared" si="7"/>
        <v>0.42430341401274951</v>
      </c>
      <c r="AB83" s="1">
        <f t="shared" si="14"/>
        <v>0.38277106925488791</v>
      </c>
      <c r="AC83" s="1">
        <f t="shared" si="24"/>
        <v>0.54948461003295679</v>
      </c>
      <c r="AE83" s="1"/>
      <c r="AF83" s="1"/>
    </row>
    <row r="84" spans="1:32">
      <c r="B84" s="63">
        <v>38975</v>
      </c>
      <c r="C84" s="20">
        <v>9</v>
      </c>
      <c r="D84" s="100">
        <f t="shared" si="8"/>
        <v>0.27800000000000002</v>
      </c>
      <c r="E84" s="106">
        <v>1.927</v>
      </c>
      <c r="F84" s="105">
        <v>1.7390000000000001</v>
      </c>
      <c r="G84" s="108">
        <v>1.8</v>
      </c>
      <c r="H84" s="101">
        <v>2.06</v>
      </c>
      <c r="I84" s="107">
        <f>(H84-(G84-0.1*H84)/0.9-GasolineMGSData!AG86)*(Y$283/Y84)</f>
        <v>-3.0063028258089597E-2</v>
      </c>
      <c r="J84" s="107">
        <f t="shared" si="17"/>
        <v>-0.19468934456776243</v>
      </c>
      <c r="K84">
        <v>1.782</v>
      </c>
      <c r="L84">
        <v>1.583</v>
      </c>
      <c r="M84">
        <v>1.56</v>
      </c>
      <c r="N84" s="85">
        <v>61.96</v>
      </c>
      <c r="O84" s="1">
        <f t="shared" si="2"/>
        <v>2.7021671858058154</v>
      </c>
      <c r="P84" s="1">
        <f t="shared" si="3"/>
        <v>2.4004100197141445</v>
      </c>
      <c r="Q84" s="1">
        <f t="shared" si="4"/>
        <v>2.3655335633316903</v>
      </c>
      <c r="R84" s="1">
        <f t="shared" si="22"/>
        <v>90.912634598324303</v>
      </c>
      <c r="S84" s="1">
        <f t="shared" si="10"/>
        <v>0.30175716609167091</v>
      </c>
      <c r="T84" s="1">
        <f t="shared" si="11"/>
        <v>0.33663362247412509</v>
      </c>
      <c r="U84" s="1">
        <f t="shared" si="12"/>
        <v>0.319195394282898</v>
      </c>
      <c r="V84" s="1">
        <f t="shared" si="23"/>
        <v>0.36542004241261816</v>
      </c>
      <c r="W84" s="82">
        <f t="shared" si="5"/>
        <v>0.1724674494825037</v>
      </c>
      <c r="X84" s="1">
        <f t="shared" si="16"/>
        <v>0.21772894738117143</v>
      </c>
      <c r="Y84">
        <v>202.9</v>
      </c>
      <c r="Z84" s="1">
        <f t="shared" si="6"/>
        <v>0.45116786188796237</v>
      </c>
      <c r="AA84" s="1">
        <f t="shared" si="7"/>
        <v>0.50331289115139477</v>
      </c>
      <c r="AB84" s="1">
        <f t="shared" si="14"/>
        <v>0.47724037651967854</v>
      </c>
      <c r="AC84" s="1">
        <f t="shared" si="24"/>
        <v>0.54948461003295679</v>
      </c>
      <c r="AE84" s="1"/>
      <c r="AF84" s="1"/>
    </row>
    <row r="85" spans="1:32">
      <c r="B85" s="63">
        <v>39005</v>
      </c>
      <c r="C85" s="20">
        <v>10</v>
      </c>
      <c r="D85" s="100">
        <f t="shared" si="8"/>
        <v>0.1140000000000001</v>
      </c>
      <c r="E85" s="106">
        <v>1.7450000000000001</v>
      </c>
      <c r="F85" s="105">
        <v>1.611</v>
      </c>
      <c r="G85" s="108">
        <v>1.641</v>
      </c>
      <c r="H85" s="101">
        <v>1.8</v>
      </c>
      <c r="I85" s="107">
        <f>(H85-(G85-0.1*H85)/0.9-GasolineMGSData!AG87)*(Y$283/Y85)</f>
        <v>-0.16008724449650072</v>
      </c>
      <c r="J85" s="107">
        <f t="shared" si="17"/>
        <v>-0.19468934456776243</v>
      </c>
      <c r="K85">
        <v>1.6859999999999999</v>
      </c>
      <c r="L85">
        <v>1.506</v>
      </c>
      <c r="M85">
        <v>1.51</v>
      </c>
      <c r="N85" s="85">
        <v>57.81</v>
      </c>
      <c r="O85" s="1">
        <f t="shared" si="2"/>
        <v>2.5705317443012881</v>
      </c>
      <c r="P85" s="1">
        <f t="shared" si="3"/>
        <v>2.2960977502477702</v>
      </c>
      <c r="Q85" s="1">
        <f t="shared" si="4"/>
        <v>2.3021962834489593</v>
      </c>
      <c r="R85" s="1">
        <f t="shared" si="22"/>
        <v>85.285792418235886</v>
      </c>
      <c r="S85" s="1">
        <f t="shared" si="10"/>
        <v>0.27443399405351787</v>
      </c>
      <c r="T85" s="1">
        <f t="shared" si="11"/>
        <v>0.26833546085232873</v>
      </c>
      <c r="U85" s="1">
        <f t="shared" si="12"/>
        <v>0.2713847274529233</v>
      </c>
      <c r="V85" s="1">
        <f t="shared" si="23"/>
        <v>0.36542004241261816</v>
      </c>
      <c r="W85" s="82">
        <f t="shared" si="5"/>
        <v>0.12385697720515321</v>
      </c>
      <c r="X85" s="1">
        <f t="shared" si="16"/>
        <v>0.21772894738117143</v>
      </c>
      <c r="Y85">
        <v>201.8</v>
      </c>
      <c r="Z85" s="1">
        <f t="shared" si="6"/>
        <v>0.41255262506470436</v>
      </c>
      <c r="AA85" s="1">
        <f t="shared" si="7"/>
        <v>0.40338478895215557</v>
      </c>
      <c r="AB85" s="1">
        <f t="shared" si="14"/>
        <v>0.40796870700842996</v>
      </c>
      <c r="AC85" s="1">
        <f t="shared" si="24"/>
        <v>0.54948461003295679</v>
      </c>
      <c r="AE85" s="1"/>
      <c r="AF85" s="1"/>
    </row>
    <row r="86" spans="1:32">
      <c r="B86" s="63">
        <v>39036</v>
      </c>
      <c r="C86" s="20">
        <v>11</v>
      </c>
      <c r="D86" s="100">
        <f t="shared" si="8"/>
        <v>-4.9999999999998934E-3</v>
      </c>
      <c r="E86" s="106">
        <v>1.802</v>
      </c>
      <c r="F86" s="105">
        <v>1.6459999999999999</v>
      </c>
      <c r="G86" s="108">
        <v>1.667</v>
      </c>
      <c r="H86" s="101">
        <v>1.792</v>
      </c>
      <c r="I86" s="107">
        <f>(H86-(G86-0.1*H86)/0.9-GasolineMGSData!AG88)*(Y$283/Y86)</f>
        <v>-0.20747604375112055</v>
      </c>
      <c r="J86" s="107">
        <f t="shared" si="17"/>
        <v>-0.19468934456776243</v>
      </c>
      <c r="K86">
        <v>1.7969999999999999</v>
      </c>
      <c r="L86">
        <v>1.5880000000000001</v>
      </c>
      <c r="M86">
        <v>1.5629999999999999</v>
      </c>
      <c r="N86" s="85">
        <v>58.76</v>
      </c>
      <c r="O86" s="1">
        <f t="shared" si="2"/>
        <v>2.7438450967741934</v>
      </c>
      <c r="P86" s="1">
        <f t="shared" si="3"/>
        <v>2.4247223225806454</v>
      </c>
      <c r="Q86" s="1">
        <f t="shared" si="4"/>
        <v>2.3865497419354837</v>
      </c>
      <c r="R86" s="1">
        <f t="shared" si="22"/>
        <v>86.816369032258066</v>
      </c>
      <c r="S86" s="1">
        <f t="shared" si="10"/>
        <v>0.31912277419354806</v>
      </c>
      <c r="T86" s="1">
        <f t="shared" si="11"/>
        <v>0.35729535483870967</v>
      </c>
      <c r="U86" s="1">
        <f t="shared" si="12"/>
        <v>0.33820906451612887</v>
      </c>
      <c r="V86" s="1">
        <f t="shared" si="23"/>
        <v>0.36542004241261816</v>
      </c>
      <c r="W86" s="82">
        <f t="shared" si="5"/>
        <v>0.1904616699751859</v>
      </c>
      <c r="X86" s="1">
        <f t="shared" si="16"/>
        <v>0.21772894738117143</v>
      </c>
      <c r="Y86">
        <v>201.5</v>
      </c>
      <c r="Z86" s="1">
        <f t="shared" si="6"/>
        <v>0.48044685929368397</v>
      </c>
      <c r="AA86" s="1">
        <f t="shared" si="7"/>
        <v>0.53791657930489079</v>
      </c>
      <c r="AB86" s="1">
        <f t="shared" si="14"/>
        <v>0.50918171929928735</v>
      </c>
      <c r="AC86" s="1">
        <f t="shared" si="24"/>
        <v>0.54948461003295679</v>
      </c>
      <c r="AE86" s="1"/>
      <c r="AF86" s="1"/>
    </row>
    <row r="87" spans="1:32">
      <c r="A87" s="64"/>
      <c r="B87" s="63">
        <v>39066</v>
      </c>
      <c r="C87" s="20">
        <v>12</v>
      </c>
      <c r="D87" s="100">
        <f t="shared" si="8"/>
        <v>7.0999999999999952E-2</v>
      </c>
      <c r="E87" s="106">
        <v>1.85</v>
      </c>
      <c r="F87" s="105">
        <v>1.702</v>
      </c>
      <c r="G87" s="108">
        <v>1.728</v>
      </c>
      <c r="H87" s="101">
        <v>1.8759999999999999</v>
      </c>
      <c r="I87" s="107">
        <f>(H87-(G87-0.1*H87)/0.9-GasolineMGSData!AG89)*(Y$283/Y87)</f>
        <v>-0.17778326180921827</v>
      </c>
      <c r="J87" s="107">
        <f t="shared" si="17"/>
        <v>-0.19468934456776243</v>
      </c>
      <c r="K87">
        <v>1.8049999999999999</v>
      </c>
      <c r="L87">
        <v>1.67</v>
      </c>
      <c r="M87">
        <v>1.597</v>
      </c>
      <c r="N87" s="85">
        <v>62.47</v>
      </c>
      <c r="O87" s="1">
        <f t="shared" si="2"/>
        <v>2.7519631070366697</v>
      </c>
      <c r="P87" s="1">
        <f t="shared" ref="P87:P150" si="25">L87*($Y$289/$Y87)</f>
        <v>2.5461376114965311</v>
      </c>
      <c r="Q87" s="1">
        <f t="shared" si="4"/>
        <v>2.4348393805748265</v>
      </c>
      <c r="R87" s="1">
        <f t="shared" si="22"/>
        <v>92.160585579781966</v>
      </c>
      <c r="S87" s="1">
        <f t="shared" si="10"/>
        <v>0.20582549554013863</v>
      </c>
      <c r="T87" s="1">
        <f t="shared" si="11"/>
        <v>0.31712372646184317</v>
      </c>
      <c r="U87" s="1">
        <f t="shared" si="12"/>
        <v>0.2614746110009909</v>
      </c>
      <c r="V87" s="1">
        <f t="shared" si="23"/>
        <v>0.36542004241261816</v>
      </c>
      <c r="W87" s="82">
        <f t="shared" si="5"/>
        <v>0.1139468607532208</v>
      </c>
      <c r="X87" s="1">
        <f t="shared" si="16"/>
        <v>0.21772894738117143</v>
      </c>
      <c r="Y87">
        <v>201.8</v>
      </c>
      <c r="Z87" s="1">
        <f t="shared" si="6"/>
        <v>0.30941446879852857</v>
      </c>
      <c r="AA87" s="1">
        <f t="shared" si="7"/>
        <v>0.47672747785254771</v>
      </c>
      <c r="AB87" s="1">
        <f t="shared" si="14"/>
        <v>0.39307097332553814</v>
      </c>
      <c r="AC87" s="1">
        <f t="shared" si="24"/>
        <v>0.54948461003295679</v>
      </c>
      <c r="AE87" s="1"/>
      <c r="AF87" s="1"/>
    </row>
    <row r="88" spans="1:32">
      <c r="A88" s="64" t="s">
        <v>39</v>
      </c>
      <c r="B88" s="63">
        <v>39097</v>
      </c>
      <c r="C88" s="20">
        <v>1</v>
      </c>
      <c r="D88" s="100">
        <f t="shared" si="8"/>
        <v>0.16300000000000003</v>
      </c>
      <c r="E88" s="106">
        <v>1.772</v>
      </c>
      <c r="F88" s="105">
        <v>1.518</v>
      </c>
      <c r="G88" s="108">
        <v>1.57</v>
      </c>
      <c r="H88" s="101">
        <v>1.845</v>
      </c>
      <c r="I88" s="107">
        <f>(H88-(G88-0.1*H88)/0.9-GasolineMGSData!AG90)*(Y$283/Y88)</f>
        <v>3.0978009906068846E-2</v>
      </c>
      <c r="J88" s="107">
        <f>AVERAGE(I88:I99)</f>
        <v>-0.20557730415326325</v>
      </c>
      <c r="K88">
        <v>1.6819999999999999</v>
      </c>
      <c r="L88">
        <v>1.4319999999999999</v>
      </c>
      <c r="M88">
        <v>1.41</v>
      </c>
      <c r="N88" s="85">
        <v>53.68</v>
      </c>
      <c r="O88" s="1">
        <f t="shared" si="2"/>
        <v>2.5566290313018731</v>
      </c>
      <c r="P88" s="1">
        <f t="shared" si="25"/>
        <v>2.1766306616077782</v>
      </c>
      <c r="Q88" s="1">
        <f t="shared" si="4"/>
        <v>2.1431908050746977</v>
      </c>
      <c r="R88" s="1">
        <f t="shared" si="22"/>
        <v>78.951893526203463</v>
      </c>
      <c r="S88" s="1">
        <f t="shared" si="10"/>
        <v>0.37999836969409495</v>
      </c>
      <c r="T88" s="1">
        <f t="shared" si="11"/>
        <v>0.41343822622717541</v>
      </c>
      <c r="U88" s="1">
        <f t="shared" si="12"/>
        <v>0.39671829796063518</v>
      </c>
      <c r="V88" s="1">
        <f>AVERAGE(S88:T99)</f>
        <v>0.36222955685846953</v>
      </c>
      <c r="W88" s="82">
        <f t="shared" si="5"/>
        <v>0.24963950972255122</v>
      </c>
      <c r="X88" s="1">
        <f>AVERAGE(W88:W99)</f>
        <v>0.2186269959692827</v>
      </c>
      <c r="Y88">
        <v>202.416</v>
      </c>
      <c r="Z88" s="1">
        <f t="shared" si="6"/>
        <v>0.5695075756141299</v>
      </c>
      <c r="AA88" s="1">
        <f t="shared" si="7"/>
        <v>0.61962424226817348</v>
      </c>
      <c r="AB88" s="1">
        <f t="shared" si="14"/>
        <v>0.59456590894115169</v>
      </c>
      <c r="AC88" s="1">
        <f>AVERAGE(Z88:AA99)</f>
        <v>0.53192289374173674</v>
      </c>
      <c r="AE88" s="1"/>
      <c r="AF88" s="1"/>
    </row>
    <row r="89" spans="1:32">
      <c r="B89" s="63">
        <v>39128</v>
      </c>
      <c r="C89" s="20">
        <v>2</v>
      </c>
      <c r="D89" s="100">
        <f t="shared" si="8"/>
        <v>-1.6000000000000014E-2</v>
      </c>
      <c r="E89" s="106">
        <v>2.0059999999999998</v>
      </c>
      <c r="F89" s="105">
        <v>1.696</v>
      </c>
      <c r="G89" s="108">
        <v>1.7170000000000001</v>
      </c>
      <c r="H89" s="101">
        <v>2.0030000000000001</v>
      </c>
      <c r="I89" s="107">
        <f>(H89-(G89-0.1*H89)/0.9-GasolineMGSData!AG91)*(Y$283/Y89)</f>
        <v>3.8172226569820396E-2</v>
      </c>
      <c r="J89" s="107">
        <f t="shared" si="17"/>
        <v>-0.20557730415326325</v>
      </c>
      <c r="K89">
        <v>2.0190000000000001</v>
      </c>
      <c r="L89">
        <v>1.64</v>
      </c>
      <c r="M89">
        <v>1.6120000000000001</v>
      </c>
      <c r="N89" s="85">
        <v>57.56</v>
      </c>
      <c r="O89" s="1">
        <f t="shared" si="2"/>
        <v>3.0525346512759275</v>
      </c>
      <c r="P89" s="1">
        <f t="shared" si="25"/>
        <v>2.4795229460587027</v>
      </c>
      <c r="Q89" s="1">
        <f t="shared" si="4"/>
        <v>2.4371896274674567</v>
      </c>
      <c r="R89" s="1">
        <f t="shared" si="22"/>
        <v>84.208006722391772</v>
      </c>
      <c r="S89" s="1">
        <f t="shared" si="10"/>
        <v>0.57301170521722478</v>
      </c>
      <c r="T89" s="1">
        <f t="shared" si="11"/>
        <v>0.61534502380847078</v>
      </c>
      <c r="U89" s="1">
        <f t="shared" si="12"/>
        <v>0.59417836451284778</v>
      </c>
      <c r="V89" s="1">
        <f>V88</f>
        <v>0.36222955685846953</v>
      </c>
      <c r="W89" s="82">
        <f t="shared" si="5"/>
        <v>0.44788231391800454</v>
      </c>
      <c r="X89" s="1">
        <f t="shared" si="16"/>
        <v>0.2186269959692827</v>
      </c>
      <c r="Y89">
        <v>203.499</v>
      </c>
      <c r="Z89" s="1">
        <f t="shared" si="6"/>
        <v>0.85420837414342554</v>
      </c>
      <c r="AA89" s="1">
        <f t="shared" si="7"/>
        <v>0.91731611682420611</v>
      </c>
      <c r="AB89" s="1">
        <f t="shared" si="14"/>
        <v>0.88576224548381588</v>
      </c>
      <c r="AC89" s="1">
        <f>AC88</f>
        <v>0.53192289374173674</v>
      </c>
      <c r="AE89" s="1"/>
      <c r="AF89" s="1"/>
    </row>
    <row r="90" spans="1:32">
      <c r="B90" s="63">
        <v>39156</v>
      </c>
      <c r="C90" s="20">
        <v>3</v>
      </c>
      <c r="D90" s="100">
        <f t="shared" si="8"/>
        <v>6.9999999999996732E-3</v>
      </c>
      <c r="E90" s="106">
        <v>2.3740000000000001</v>
      </c>
      <c r="F90" s="105">
        <v>1.964</v>
      </c>
      <c r="G90" s="108">
        <v>1.9950000000000001</v>
      </c>
      <c r="H90" s="101">
        <v>2.38</v>
      </c>
      <c r="I90" s="107">
        <f>(H90-(G90-0.1*H90)/0.9-GasolineMGSData!AG92)*(Y$283/Y90)</f>
        <v>0.15683303688403236</v>
      </c>
      <c r="J90" s="107">
        <f t="shared" si="17"/>
        <v>-0.20557730415326325</v>
      </c>
      <c r="K90">
        <v>2.3730000000000002</v>
      </c>
      <c r="L90">
        <v>1.9379999999999999</v>
      </c>
      <c r="M90">
        <v>1.85</v>
      </c>
      <c r="N90" s="85">
        <v>62.05</v>
      </c>
      <c r="O90" s="1">
        <f t="shared" si="2"/>
        <v>3.5553745909462777</v>
      </c>
      <c r="P90" s="1">
        <f t="shared" si="25"/>
        <v>2.9036308290155439</v>
      </c>
      <c r="Q90" s="1">
        <f t="shared" si="4"/>
        <v>2.7717838151077174</v>
      </c>
      <c r="R90" s="1">
        <f t="shared" si="22"/>
        <v>89.957573094004431</v>
      </c>
      <c r="S90" s="1">
        <f t="shared" si="10"/>
        <v>0.6517437619307338</v>
      </c>
      <c r="T90" s="1">
        <f t="shared" si="11"/>
        <v>0.78359077583856029</v>
      </c>
      <c r="U90" s="1">
        <f t="shared" si="12"/>
        <v>0.71766726888464705</v>
      </c>
      <c r="V90" s="1">
        <f t="shared" ref="V90:V99" si="26">V89</f>
        <v>0.36222955685846953</v>
      </c>
      <c r="W90" s="82">
        <f t="shared" si="5"/>
        <v>0.57269132513927323</v>
      </c>
      <c r="X90" s="1">
        <f t="shared" si="16"/>
        <v>0.2186269959692827</v>
      </c>
      <c r="Y90">
        <v>205.352</v>
      </c>
      <c r="Z90" s="1">
        <f t="shared" si="6"/>
        <v>0.96280992077307848</v>
      </c>
      <c r="AA90" s="1">
        <f t="shared" si="7"/>
        <v>1.1575852610674022</v>
      </c>
      <c r="AB90" s="1">
        <f t="shared" si="14"/>
        <v>1.0601975909202404</v>
      </c>
      <c r="AC90" s="1">
        <f t="shared" ref="AC90:AC99" si="27">AC89</f>
        <v>0.53192289374173674</v>
      </c>
      <c r="AE90" s="1"/>
      <c r="AF90" s="1"/>
    </row>
    <row r="91" spans="1:32">
      <c r="B91" s="63">
        <v>39187</v>
      </c>
      <c r="C91" s="20">
        <v>4</v>
      </c>
      <c r="D91" s="100">
        <f t="shared" si="8"/>
        <v>3.7999999999999812E-2</v>
      </c>
      <c r="E91" s="106">
        <v>2.5190000000000001</v>
      </c>
      <c r="F91" s="105">
        <v>2.2429999999999999</v>
      </c>
      <c r="G91" s="108">
        <v>2.2639999999999998</v>
      </c>
      <c r="H91" s="101">
        <v>2.569</v>
      </c>
      <c r="I91" s="107">
        <f>(H91-(G91-0.1*H91)/0.9-GasolineMGSData!AG93)*(Y$283/Y91)</f>
        <v>-2.2200594047721076E-4</v>
      </c>
      <c r="J91" s="107">
        <f t="shared" si="17"/>
        <v>-0.20557730415326325</v>
      </c>
      <c r="K91">
        <v>2.5310000000000001</v>
      </c>
      <c r="L91">
        <v>2.105</v>
      </c>
      <c r="M91">
        <v>2.1619999999999999</v>
      </c>
      <c r="N91" s="85">
        <v>67.489999999999995</v>
      </c>
      <c r="O91" s="1">
        <f t="shared" si="2"/>
        <v>3.7676248076792818</v>
      </c>
      <c r="P91" s="1">
        <f t="shared" si="25"/>
        <v>3.1334848756084108</v>
      </c>
      <c r="Q91" s="1">
        <f t="shared" si="4"/>
        <v>3.2183345848291607</v>
      </c>
      <c r="R91" s="1">
        <f t="shared" si="22"/>
        <v>97.212754564895533</v>
      </c>
      <c r="S91" s="1">
        <f t="shared" si="10"/>
        <v>0.63413993207087094</v>
      </c>
      <c r="T91" s="1">
        <f t="shared" si="11"/>
        <v>0.54929022285012108</v>
      </c>
      <c r="U91" s="1">
        <f t="shared" si="12"/>
        <v>0.59171507746049601</v>
      </c>
      <c r="V91" s="1">
        <f t="shared" si="26"/>
        <v>0.36222955685846953</v>
      </c>
      <c r="W91" s="82">
        <f t="shared" si="5"/>
        <v>0.44767484251473288</v>
      </c>
      <c r="X91" s="1">
        <f t="shared" si="16"/>
        <v>0.2186269959692827</v>
      </c>
      <c r="Y91">
        <v>206.68600000000001</v>
      </c>
      <c r="Z91" s="1">
        <f t="shared" si="6"/>
        <v>0.93075773014532004</v>
      </c>
      <c r="AA91" s="1">
        <f t="shared" si="7"/>
        <v>0.8062197239991159</v>
      </c>
      <c r="AB91" s="1">
        <f t="shared" si="14"/>
        <v>0.86848872707221791</v>
      </c>
      <c r="AC91" s="1">
        <f t="shared" si="27"/>
        <v>0.53192289374173674</v>
      </c>
      <c r="AE91" s="1"/>
      <c r="AF91" s="1"/>
    </row>
    <row r="92" spans="1:32">
      <c r="B92" s="63">
        <v>39217</v>
      </c>
      <c r="C92" s="20">
        <v>5</v>
      </c>
      <c r="D92" s="100">
        <f t="shared" si="8"/>
        <v>8.1999999999999851E-2</v>
      </c>
      <c r="E92" s="106">
        <v>2.5489999999999999</v>
      </c>
      <c r="F92" s="105">
        <v>2.5009999999999999</v>
      </c>
      <c r="G92" s="108">
        <v>2.4950000000000001</v>
      </c>
      <c r="H92" s="101">
        <v>2.6539999999999999</v>
      </c>
      <c r="I92" s="107">
        <f>(H92-(G92-0.1*H92)/0.9-GasolineMGSData!AG94)*(Y$283/Y92)</f>
        <v>-0.25298314165496993</v>
      </c>
      <c r="J92" s="107">
        <f t="shared" si="17"/>
        <v>-0.20557730415326325</v>
      </c>
      <c r="K92">
        <v>2.5720000000000001</v>
      </c>
      <c r="L92">
        <v>2.2450000000000001</v>
      </c>
      <c r="M92">
        <v>2.3050000000000002</v>
      </c>
      <c r="N92" s="85">
        <v>67.209999999999994</v>
      </c>
      <c r="O92" s="1">
        <f t="shared" si="2"/>
        <v>3.8054033056182042</v>
      </c>
      <c r="P92" s="1">
        <f t="shared" si="25"/>
        <v>3.3215903659070252</v>
      </c>
      <c r="Q92" s="1">
        <f t="shared" si="4"/>
        <v>3.4103633823677919</v>
      </c>
      <c r="R92" s="1">
        <f t="shared" si="22"/>
        <v>96.221459636737833</v>
      </c>
      <c r="S92" s="1">
        <f t="shared" si="10"/>
        <v>0.483812939711179</v>
      </c>
      <c r="T92" s="1">
        <f t="shared" si="11"/>
        <v>0.39503992325041226</v>
      </c>
      <c r="U92" s="1">
        <f t="shared" si="12"/>
        <v>0.43942643148079563</v>
      </c>
      <c r="V92" s="1">
        <f t="shared" si="26"/>
        <v>0.36222955685846953</v>
      </c>
      <c r="W92" s="82">
        <f t="shared" si="5"/>
        <v>0.29626103996653008</v>
      </c>
      <c r="X92" s="1">
        <f t="shared" si="16"/>
        <v>0.2186269959692827</v>
      </c>
      <c r="Y92">
        <v>207.94900000000001</v>
      </c>
      <c r="Z92" s="1">
        <f t="shared" si="6"/>
        <v>0.70580259981823612</v>
      </c>
      <c r="AA92" s="1">
        <f t="shared" si="7"/>
        <v>0.57629753563140385</v>
      </c>
      <c r="AB92" s="1">
        <f t="shared" si="14"/>
        <v>0.64105006772481998</v>
      </c>
      <c r="AC92" s="1">
        <f t="shared" si="27"/>
        <v>0.53192289374173674</v>
      </c>
      <c r="AE92" s="1"/>
      <c r="AF92" s="1"/>
    </row>
    <row r="93" spans="1:32">
      <c r="A93">
        <f>A81+1</f>
        <v>2007</v>
      </c>
      <c r="B93" s="63">
        <v>39248</v>
      </c>
      <c r="C93" s="20">
        <v>6</v>
      </c>
      <c r="D93" s="100">
        <f t="shared" si="8"/>
        <v>9.2999999999999972E-2</v>
      </c>
      <c r="E93" s="106">
        <v>2.3519999999999999</v>
      </c>
      <c r="F93" s="105">
        <v>2.3420000000000001</v>
      </c>
      <c r="G93" s="108">
        <v>2.3610000000000002</v>
      </c>
      <c r="H93" s="101">
        <v>2.4470000000000001</v>
      </c>
      <c r="I93" s="107">
        <f>(H93-(G93-0.1*H93)/0.9-GasolineMGSData!AG95)*(Y$283/Y93)</f>
        <v>-0.35331349699039027</v>
      </c>
      <c r="J93" s="107">
        <f t="shared" si="17"/>
        <v>-0.20557730415326325</v>
      </c>
      <c r="K93">
        <v>2.3540000000000001</v>
      </c>
      <c r="L93">
        <v>2.1859999999999999</v>
      </c>
      <c r="M93">
        <v>2.1549999999999998</v>
      </c>
      <c r="N93" s="85">
        <v>71.05</v>
      </c>
      <c r="O93" s="1">
        <f t="shared" si="2"/>
        <v>3.4761247024266626</v>
      </c>
      <c r="P93" s="1">
        <f t="shared" si="25"/>
        <v>3.2280410363231451</v>
      </c>
      <c r="Q93" s="1">
        <f t="shared" si="4"/>
        <v>3.1822636931730912</v>
      </c>
      <c r="R93" s="1">
        <f t="shared" si="22"/>
        <v>101.52226304523114</v>
      </c>
      <c r="S93" s="1">
        <f t="shared" si="10"/>
        <v>0.24808366610351751</v>
      </c>
      <c r="T93" s="1">
        <f t="shared" si="11"/>
        <v>0.29386100925357139</v>
      </c>
      <c r="U93" s="1">
        <f t="shared" si="12"/>
        <v>0.27097233767854445</v>
      </c>
      <c r="V93" s="1">
        <f t="shared" si="26"/>
        <v>0.36222955685846953</v>
      </c>
      <c r="W93" s="82">
        <f t="shared" si="5"/>
        <v>0.12808386048610088</v>
      </c>
      <c r="X93" s="1">
        <f t="shared" si="16"/>
        <v>0.2186269959692827</v>
      </c>
      <c r="Y93">
        <v>208.352</v>
      </c>
      <c r="Z93" s="1">
        <f t="shared" si="6"/>
        <v>0.36121278029566012</v>
      </c>
      <c r="AA93" s="1">
        <f t="shared" si="7"/>
        <v>0.42786513856450226</v>
      </c>
      <c r="AB93" s="1">
        <f t="shared" si="14"/>
        <v>0.39453895943008122</v>
      </c>
      <c r="AC93" s="1">
        <f t="shared" si="27"/>
        <v>0.53192289374173674</v>
      </c>
      <c r="AE93" s="1"/>
      <c r="AF93" s="1"/>
    </row>
    <row r="94" spans="1:32">
      <c r="B94" s="63">
        <v>39278</v>
      </c>
      <c r="C94" s="20">
        <v>7</v>
      </c>
      <c r="D94" s="100">
        <f t="shared" si="8"/>
        <v>3.6999999999999922E-2</v>
      </c>
      <c r="E94" s="106">
        <v>2.2909999999999999</v>
      </c>
      <c r="F94" s="105">
        <v>2.2879999999999998</v>
      </c>
      <c r="G94" s="108">
        <v>2.3069999999999999</v>
      </c>
      <c r="H94" s="101">
        <v>2.3479999999999999</v>
      </c>
      <c r="I94" s="107">
        <f>(H94-(G94-0.1*H94)/0.9-GasolineMGSData!AG96)*(Y$283/Y94)</f>
        <v>-0.40926722153740991</v>
      </c>
      <c r="J94" s="107">
        <f t="shared" si="17"/>
        <v>-0.20557730415326325</v>
      </c>
      <c r="K94">
        <v>2.3109999999999999</v>
      </c>
      <c r="L94">
        <v>2.137</v>
      </c>
      <c r="M94">
        <v>2.1280000000000001</v>
      </c>
      <c r="N94" s="85">
        <v>76.930000000000007</v>
      </c>
      <c r="O94" s="1">
        <f t="shared" si="2"/>
        <v>3.4134954128440365</v>
      </c>
      <c r="P94" s="1">
        <f t="shared" si="25"/>
        <v>3.1564862385321102</v>
      </c>
      <c r="Q94" s="1">
        <f t="shared" si="4"/>
        <v>3.1431926605504588</v>
      </c>
      <c r="R94" s="1">
        <f t="shared" si="22"/>
        <v>109.95207480592802</v>
      </c>
      <c r="S94" s="1">
        <f t="shared" si="10"/>
        <v>0.25700917431192627</v>
      </c>
      <c r="T94" s="1">
        <f t="shared" si="11"/>
        <v>0.2703027522935777</v>
      </c>
      <c r="U94" s="1">
        <f t="shared" si="12"/>
        <v>0.26365596330275198</v>
      </c>
      <c r="V94" s="1">
        <f t="shared" si="26"/>
        <v>0.36222955685846953</v>
      </c>
      <c r="W94" s="82">
        <f t="shared" si="5"/>
        <v>0.12073112929010668</v>
      </c>
      <c r="X94" s="1">
        <f t="shared" si="16"/>
        <v>0.2186269959692827</v>
      </c>
      <c r="Y94">
        <v>208.29900000000001</v>
      </c>
      <c r="Z94" s="1">
        <f t="shared" si="6"/>
        <v>0.37430364114464726</v>
      </c>
      <c r="AA94" s="1">
        <f t="shared" si="7"/>
        <v>0.39366417430730155</v>
      </c>
      <c r="AB94" s="1">
        <f t="shared" si="14"/>
        <v>0.3839839077259744</v>
      </c>
      <c r="AC94" s="1">
        <f t="shared" si="27"/>
        <v>0.53192289374173674</v>
      </c>
      <c r="AE94" s="1"/>
      <c r="AF94" s="1"/>
    </row>
    <row r="95" spans="1:32">
      <c r="B95" s="63">
        <v>39309</v>
      </c>
      <c r="C95" s="20">
        <v>8</v>
      </c>
      <c r="D95" s="100">
        <f t="shared" si="8"/>
        <v>7.6999999999999957E-2</v>
      </c>
      <c r="E95" s="106">
        <v>2.0419999999999998</v>
      </c>
      <c r="F95" s="105">
        <v>2.137</v>
      </c>
      <c r="G95" s="108">
        <v>2.1520000000000001</v>
      </c>
      <c r="H95" s="101">
        <v>2.1259999999999999</v>
      </c>
      <c r="I95" s="107">
        <f>(H95-(G95-0.1*H95)/0.9-GasolineMGSData!AG97)*(Y$283/Y95)</f>
        <v>-0.4937610092372231</v>
      </c>
      <c r="J95" s="107">
        <f t="shared" si="17"/>
        <v>-0.20557730415326325</v>
      </c>
      <c r="K95">
        <v>2.0489999999999999</v>
      </c>
      <c r="L95">
        <v>2.004</v>
      </c>
      <c r="M95">
        <v>1.966</v>
      </c>
      <c r="N95" s="85">
        <v>70.760000000000005</v>
      </c>
      <c r="O95" s="1">
        <f t="shared" si="2"/>
        <v>3.0320650980920272</v>
      </c>
      <c r="P95" s="1">
        <f t="shared" si="25"/>
        <v>2.9654750886170924</v>
      </c>
      <c r="Q95" s="1">
        <f t="shared" si="4"/>
        <v>2.9092435250604809</v>
      </c>
      <c r="R95" s="1">
        <f t="shared" si="22"/>
        <v>101.31942246184776</v>
      </c>
      <c r="S95" s="1">
        <f t="shared" si="10"/>
        <v>6.6590009474934764E-2</v>
      </c>
      <c r="T95" s="1">
        <f t="shared" si="11"/>
        <v>0.12282157303154628</v>
      </c>
      <c r="U95" s="1">
        <f t="shared" si="12"/>
        <v>9.4705791253240523E-2</v>
      </c>
      <c r="V95" s="1">
        <f t="shared" si="26"/>
        <v>0.36222955685846953</v>
      </c>
      <c r="W95" s="82">
        <f t="shared" si="5"/>
        <v>-4.8481634498381526E-2</v>
      </c>
      <c r="X95" s="1">
        <f t="shared" si="16"/>
        <v>0.2186269959692827</v>
      </c>
      <c r="Y95">
        <v>207.917</v>
      </c>
      <c r="Z95" s="1">
        <f t="shared" si="6"/>
        <v>9.7158698155247691E-2</v>
      </c>
      <c r="AA95" s="1">
        <f t="shared" si="7"/>
        <v>0.17920382104190122</v>
      </c>
      <c r="AB95" s="1">
        <f t="shared" si="14"/>
        <v>0.13818125959857447</v>
      </c>
      <c r="AC95" s="1">
        <f t="shared" si="27"/>
        <v>0.53192289374173674</v>
      </c>
      <c r="AE95" s="1"/>
      <c r="AF95" s="1"/>
    </row>
    <row r="96" spans="1:32">
      <c r="B96" s="63">
        <v>39340</v>
      </c>
      <c r="C96" s="20">
        <v>9</v>
      </c>
      <c r="D96" s="100">
        <f t="shared" si="8"/>
        <v>-7.0000000000001172E-3</v>
      </c>
      <c r="E96" s="106">
        <v>2.1890000000000001</v>
      </c>
      <c r="F96" s="105">
        <v>2.2010000000000001</v>
      </c>
      <c r="G96" s="108">
        <v>2.1949999999999998</v>
      </c>
      <c r="H96" s="101">
        <v>2.2010000000000001</v>
      </c>
      <c r="I96" s="107">
        <f>(H96-(G96-0.1*H96)/0.9-GasolineMGSData!AG98)*(Y$283/Y96)</f>
        <v>-0.43793672269502282</v>
      </c>
      <c r="J96" s="107">
        <f t="shared" si="17"/>
        <v>-0.20557730415326325</v>
      </c>
      <c r="K96">
        <v>2.2080000000000002</v>
      </c>
      <c r="L96">
        <v>2.1019999999999999</v>
      </c>
      <c r="M96">
        <v>2.1110000000000002</v>
      </c>
      <c r="N96" s="85">
        <v>77.17</v>
      </c>
      <c r="O96" s="1">
        <f t="shared" si="2"/>
        <v>3.2583700321358338</v>
      </c>
      <c r="P96" s="1">
        <f t="shared" si="25"/>
        <v>3.1019446592162687</v>
      </c>
      <c r="Q96" s="1">
        <f t="shared" si="4"/>
        <v>3.1152260588037795</v>
      </c>
      <c r="R96" s="1">
        <f t="shared" si="22"/>
        <v>110.19405184900954</v>
      </c>
      <c r="S96" s="1">
        <f t="shared" si="10"/>
        <v>0.15642537291956504</v>
      </c>
      <c r="T96" s="1">
        <f t="shared" si="11"/>
        <v>0.14314397333205431</v>
      </c>
      <c r="U96" s="1">
        <f t="shared" si="12"/>
        <v>0.14978467312580968</v>
      </c>
      <c r="V96" s="1">
        <f t="shared" si="26"/>
        <v>0.36222955685846953</v>
      </c>
      <c r="W96" s="82">
        <f t="shared" si="5"/>
        <v>6.9907741378485988E-3</v>
      </c>
      <c r="X96" s="1">
        <f t="shared" si="16"/>
        <v>0.2186269959692827</v>
      </c>
      <c r="Y96">
        <v>208.49</v>
      </c>
      <c r="Z96" s="1">
        <f t="shared" si="6"/>
        <v>0.2276064578876589</v>
      </c>
      <c r="AA96" s="1">
        <f t="shared" si="7"/>
        <v>0.20828138127455506</v>
      </c>
      <c r="AB96" s="1">
        <f t="shared" si="14"/>
        <v>0.21794391958110698</v>
      </c>
      <c r="AC96" s="1">
        <f t="shared" si="27"/>
        <v>0.53192289374173674</v>
      </c>
      <c r="AE96" s="1"/>
      <c r="AF96" s="1"/>
    </row>
    <row r="97" spans="1:32">
      <c r="B97" s="63">
        <v>39370</v>
      </c>
      <c r="C97" s="20">
        <v>10</v>
      </c>
      <c r="D97" s="100">
        <f t="shared" si="8"/>
        <v>-2.8000000000000025E-2</v>
      </c>
      <c r="E97" s="106">
        <v>2.343</v>
      </c>
      <c r="F97" s="105">
        <v>2.2050000000000001</v>
      </c>
      <c r="G97" s="108">
        <v>2.218</v>
      </c>
      <c r="H97" s="101">
        <v>2.3660000000000001</v>
      </c>
      <c r="I97" s="107">
        <f>(H97-(G97-0.1*H97)/0.9-GasolineMGSData!AG99)*(Y$283/Y97)</f>
        <v>-0.22874727331990785</v>
      </c>
      <c r="J97" s="107">
        <f t="shared" si="17"/>
        <v>-0.20557730415326325</v>
      </c>
      <c r="K97">
        <v>2.3940000000000001</v>
      </c>
      <c r="L97">
        <v>2.169</v>
      </c>
      <c r="M97">
        <v>2.121</v>
      </c>
      <c r="N97" s="85">
        <v>82.34</v>
      </c>
      <c r="O97" s="1">
        <f t="shared" si="2"/>
        <v>3.5253109756097558</v>
      </c>
      <c r="P97" s="1">
        <f t="shared" si="25"/>
        <v>3.1939847560975609</v>
      </c>
      <c r="Q97" s="1">
        <f t="shared" si="4"/>
        <v>3.1233018292682924</v>
      </c>
      <c r="R97" s="1">
        <f t="shared" si="22"/>
        <v>117.32551470306697</v>
      </c>
      <c r="S97" s="1">
        <f t="shared" si="10"/>
        <v>0.33132621951219487</v>
      </c>
      <c r="T97" s="1">
        <f t="shared" si="11"/>
        <v>0.40200914634146345</v>
      </c>
      <c r="U97" s="1">
        <f t="shared" si="12"/>
        <v>0.36666768292682916</v>
      </c>
      <c r="V97" s="1">
        <f t="shared" si="26"/>
        <v>0.36222955685846953</v>
      </c>
      <c r="W97" s="82">
        <f t="shared" si="5"/>
        <v>0.22417859535934437</v>
      </c>
      <c r="X97" s="1">
        <f t="shared" si="16"/>
        <v>0.2186269959692827</v>
      </c>
      <c r="Y97">
        <v>208.93600000000001</v>
      </c>
      <c r="Z97" s="1">
        <f t="shared" si="6"/>
        <v>0.48106652721349102</v>
      </c>
      <c r="AA97" s="1">
        <f t="shared" si="7"/>
        <v>0.58369405301903632</v>
      </c>
      <c r="AB97" s="1">
        <f t="shared" si="14"/>
        <v>0.53238029011626364</v>
      </c>
      <c r="AC97" s="1">
        <f t="shared" si="27"/>
        <v>0.53192289374173674</v>
      </c>
      <c r="AE97" s="1"/>
      <c r="AF97" s="1"/>
    </row>
    <row r="98" spans="1:32">
      <c r="B98" s="63">
        <v>39401</v>
      </c>
      <c r="C98" s="20">
        <v>11</v>
      </c>
      <c r="D98" s="100">
        <f t="shared" si="8"/>
        <v>3.3999999999999808E-2</v>
      </c>
      <c r="E98" s="106">
        <v>2.5329999999999999</v>
      </c>
      <c r="F98" s="105">
        <v>2.4460000000000002</v>
      </c>
      <c r="G98" s="108">
        <v>2.4580000000000002</v>
      </c>
      <c r="H98" s="101">
        <v>2.593</v>
      </c>
      <c r="I98" s="107">
        <f>(H98-(G98-0.1*H98)/0.9-GasolineMGSData!AG100)*(Y$283/Y98)</f>
        <v>-0.27892576310389872</v>
      </c>
      <c r="J98" s="107">
        <f t="shared" si="17"/>
        <v>-0.20557730415326325</v>
      </c>
      <c r="K98">
        <v>2.5590000000000002</v>
      </c>
      <c r="L98">
        <v>2.4239999999999999</v>
      </c>
      <c r="M98">
        <v>2.359</v>
      </c>
      <c r="N98" s="85">
        <v>92.41</v>
      </c>
      <c r="O98" s="1">
        <f t="shared" si="2"/>
        <v>3.7460335288827991</v>
      </c>
      <c r="P98" s="1">
        <f t="shared" si="25"/>
        <v>3.5484115959405642</v>
      </c>
      <c r="Q98" s="1">
        <f t="shared" si="4"/>
        <v>3.4532602948943034</v>
      </c>
      <c r="R98" s="1">
        <f t="shared" si="22"/>
        <v>130.89668950456044</v>
      </c>
      <c r="S98" s="1">
        <f t="shared" si="10"/>
        <v>0.19762193294223485</v>
      </c>
      <c r="T98" s="1">
        <f t="shared" si="11"/>
        <v>0.29277323398849564</v>
      </c>
      <c r="U98" s="1">
        <f t="shared" si="12"/>
        <v>0.24519758346536524</v>
      </c>
      <c r="V98" s="1">
        <f t="shared" si="26"/>
        <v>0.36222955685846953</v>
      </c>
      <c r="W98" s="82">
        <f t="shared" si="5"/>
        <v>0.10354982942948118</v>
      </c>
      <c r="X98" s="1">
        <f t="shared" si="16"/>
        <v>0.2186269959692827</v>
      </c>
      <c r="Y98">
        <v>210.17699999999999</v>
      </c>
      <c r="Z98" s="1">
        <f t="shared" si="6"/>
        <v>0.28524140340358456</v>
      </c>
      <c r="AA98" s="1">
        <f t="shared" si="7"/>
        <v>0.42257985689419875</v>
      </c>
      <c r="AB98" s="1">
        <f t="shared" si="14"/>
        <v>0.35391063014889168</v>
      </c>
      <c r="AC98" s="1">
        <f t="shared" si="27"/>
        <v>0.53192289374173674</v>
      </c>
      <c r="AE98" s="1"/>
      <c r="AF98" s="1"/>
    </row>
    <row r="99" spans="1:32">
      <c r="A99" s="64"/>
      <c r="B99" s="63">
        <v>39431</v>
      </c>
      <c r="C99" s="20">
        <v>12</v>
      </c>
      <c r="D99" s="100">
        <f t="shared" si="8"/>
        <v>6.5999999999999837E-2</v>
      </c>
      <c r="E99" s="106">
        <v>2.4449999999999998</v>
      </c>
      <c r="F99" s="105">
        <v>2.3319999999999999</v>
      </c>
      <c r="G99" s="108">
        <v>2.3580000000000001</v>
      </c>
      <c r="H99" s="101">
        <v>2.516</v>
      </c>
      <c r="I99" s="107">
        <f>(H99-(G99-0.1*H99)/0.9-GasolineMGSData!AG101)*(Y$283/Y99)</f>
        <v>-0.23775428871978091</v>
      </c>
      <c r="J99" s="107">
        <f t="shared" si="17"/>
        <v>-0.20557730415326325</v>
      </c>
      <c r="K99">
        <v>2.4500000000000002</v>
      </c>
      <c r="L99">
        <v>2.33</v>
      </c>
      <c r="M99">
        <v>2.2749999999999999</v>
      </c>
      <c r="N99" s="85">
        <v>90.93</v>
      </c>
      <c r="O99" s="1">
        <f t="shared" si="2"/>
        <v>3.5888797634691199</v>
      </c>
      <c r="P99" s="1">
        <f t="shared" si="25"/>
        <v>3.4130978975032851</v>
      </c>
      <c r="Q99" s="1">
        <f t="shared" si="4"/>
        <v>3.3325312089356105</v>
      </c>
      <c r="R99" s="1">
        <f t="shared" si="22"/>
        <v>128.88676812546422</v>
      </c>
      <c r="S99" s="1">
        <f t="shared" si="10"/>
        <v>0.17578186596583478</v>
      </c>
      <c r="T99" s="1">
        <f t="shared" si="11"/>
        <v>0.25634855453350935</v>
      </c>
      <c r="U99" s="1">
        <f t="shared" si="12"/>
        <v>0.21606521024967207</v>
      </c>
      <c r="V99" s="1">
        <f t="shared" si="26"/>
        <v>0.36222955685846953</v>
      </c>
      <c r="W99" s="82">
        <f t="shared" si="5"/>
        <v>7.4322366165800707E-2</v>
      </c>
      <c r="X99" s="1">
        <f t="shared" si="16"/>
        <v>0.2186269959692827</v>
      </c>
      <c r="Y99">
        <v>210.036</v>
      </c>
      <c r="Z99" s="1">
        <f t="shared" si="6"/>
        <v>0.25388844867067328</v>
      </c>
      <c r="AA99" s="1">
        <f t="shared" si="7"/>
        <v>0.37025398764473233</v>
      </c>
      <c r="AB99" s="1">
        <f t="shared" si="14"/>
        <v>0.31207121815770278</v>
      </c>
      <c r="AC99" s="1">
        <f t="shared" si="27"/>
        <v>0.53192289374173674</v>
      </c>
      <c r="AE99" s="1"/>
      <c r="AF99" s="1"/>
    </row>
    <row r="100" spans="1:32">
      <c r="A100" s="64" t="s">
        <v>39</v>
      </c>
      <c r="B100" s="63">
        <v>39462</v>
      </c>
      <c r="C100" s="20">
        <v>1</v>
      </c>
      <c r="D100" s="100">
        <f t="shared" si="8"/>
        <v>0.11900000000000022</v>
      </c>
      <c r="E100" s="106">
        <v>2.339</v>
      </c>
      <c r="F100" s="105">
        <v>2.3690000000000002</v>
      </c>
      <c r="G100" s="108">
        <v>2.395</v>
      </c>
      <c r="H100" s="101">
        <v>2.4420000000000002</v>
      </c>
      <c r="I100" s="107">
        <f>(H100-(G100-0.1*H100)/0.9-GasolineMGSData!AG102)*(Y$283/Y100)</f>
        <v>-0.40746341832635091</v>
      </c>
      <c r="J100" s="107">
        <f>AVERAGE(I100:I111)</f>
        <v>-0.31096592984756627</v>
      </c>
      <c r="K100">
        <v>2.323</v>
      </c>
      <c r="L100">
        <v>2.3340000000000001</v>
      </c>
      <c r="M100">
        <v>2.3149999999999999</v>
      </c>
      <c r="N100" s="85">
        <v>92.18</v>
      </c>
      <c r="O100" s="1">
        <f t="shared" si="2"/>
        <v>3.3860135162023872</v>
      </c>
      <c r="P100" s="1">
        <f t="shared" si="25"/>
        <v>3.4020471574758382</v>
      </c>
      <c r="Q100" s="1">
        <f t="shared" si="4"/>
        <v>3.3743526861853321</v>
      </c>
      <c r="R100" s="1">
        <f t="shared" si="22"/>
        <v>130.01231750994884</v>
      </c>
      <c r="S100" s="1">
        <f t="shared" si="10"/>
        <v>-1.6033641273450971E-2</v>
      </c>
      <c r="T100" s="1">
        <f t="shared" si="11"/>
        <v>1.166083001705509E-2</v>
      </c>
      <c r="U100" s="1">
        <f t="shared" si="12"/>
        <v>-2.1864056281979405E-3</v>
      </c>
      <c r="V100" s="1">
        <f>AVERAGE(S100:T111)</f>
        <v>0.23982957395262841</v>
      </c>
      <c r="W100" s="82">
        <f t="shared" si="5"/>
        <v>-0.14322819073337134</v>
      </c>
      <c r="X100" s="1">
        <f>AVERAGE(W100:W111)</f>
        <v>0.10152098863171033</v>
      </c>
      <c r="Y100">
        <v>211.08</v>
      </c>
      <c r="Z100" s="1">
        <f t="shared" si="6"/>
        <v>-2.304345990921881E-2</v>
      </c>
      <c r="AA100" s="1">
        <f t="shared" si="7"/>
        <v>1.6758879933977084E-2</v>
      </c>
      <c r="AB100" s="1">
        <f t="shared" si="14"/>
        <v>-3.1422899876208631E-3</v>
      </c>
      <c r="AC100" s="1">
        <f>AVERAGE(Z100:AA111)</f>
        <v>0.33755676852674704</v>
      </c>
      <c r="AE100" s="1"/>
      <c r="AF100" s="1"/>
    </row>
    <row r="101" spans="1:32">
      <c r="B101" s="63">
        <v>39493</v>
      </c>
      <c r="C101" s="20">
        <v>2</v>
      </c>
      <c r="D101" s="100">
        <f t="shared" si="8"/>
        <v>-0.13099999999999978</v>
      </c>
      <c r="E101" s="106">
        <v>2.4889999999999999</v>
      </c>
      <c r="F101" s="105">
        <v>2.4319999999999999</v>
      </c>
      <c r="G101" s="108">
        <v>2.4359999999999999</v>
      </c>
      <c r="H101" s="101">
        <v>2.4780000000000002</v>
      </c>
      <c r="I101" s="107">
        <f>(H101-(G101-0.1*H101)/0.9-GasolineMGSData!AG103)*(Y$283/Y101)</f>
        <v>-0.40735616579918449</v>
      </c>
      <c r="J101" s="107">
        <f t="shared" si="17"/>
        <v>-0.31096592984756627</v>
      </c>
      <c r="K101">
        <v>2.609</v>
      </c>
      <c r="L101">
        <v>2.3809999999999998</v>
      </c>
      <c r="M101">
        <v>2.4079999999999999</v>
      </c>
      <c r="N101" s="85">
        <v>94.99</v>
      </c>
      <c r="O101" s="1">
        <f t="shared" si="2"/>
        <v>3.7918761555648981</v>
      </c>
      <c r="P101" s="1">
        <f t="shared" si="25"/>
        <v>3.4605048395553935</v>
      </c>
      <c r="Q101" s="1">
        <f t="shared" si="4"/>
        <v>3.4997461796091507</v>
      </c>
      <c r="R101" s="1">
        <f t="shared" si="22"/>
        <v>133.58763818359606</v>
      </c>
      <c r="S101" s="1">
        <f t="shared" si="10"/>
        <v>0.33137131600950465</v>
      </c>
      <c r="T101" s="1">
        <f t="shared" si="11"/>
        <v>0.29212997595574741</v>
      </c>
      <c r="U101" s="1">
        <f t="shared" si="12"/>
        <v>0.31175064598262603</v>
      </c>
      <c r="V101" s="1">
        <f>V100</f>
        <v>0.23982957395262841</v>
      </c>
      <c r="W101" s="82">
        <f t="shared" si="5"/>
        <v>0.17111727596094367</v>
      </c>
      <c r="X101" s="1">
        <f t="shared" si="16"/>
        <v>0.10152098863171033</v>
      </c>
      <c r="Y101">
        <v>211.69300000000001</v>
      </c>
      <c r="Z101" s="1">
        <f t="shared" si="6"/>
        <v>0.47486594520646097</v>
      </c>
      <c r="AA101" s="1">
        <f t="shared" si="7"/>
        <v>0.41863182011622202</v>
      </c>
      <c r="AB101" s="1">
        <f t="shared" si="14"/>
        <v>0.4467488826613415</v>
      </c>
      <c r="AC101" s="1">
        <f>AC100</f>
        <v>0.33755676852674704</v>
      </c>
      <c r="AE101" s="1"/>
      <c r="AF101" s="1"/>
    </row>
    <row r="102" spans="1:32">
      <c r="B102" s="63">
        <v>39522</v>
      </c>
      <c r="C102" s="20">
        <v>3</v>
      </c>
      <c r="D102" s="100">
        <f t="shared" si="8"/>
        <v>2.3000000000000131E-2</v>
      </c>
      <c r="E102" s="106">
        <v>2.7629999999999999</v>
      </c>
      <c r="F102" s="105">
        <v>2.6259999999999999</v>
      </c>
      <c r="G102" s="108">
        <v>2.64</v>
      </c>
      <c r="H102" s="101">
        <v>2.806</v>
      </c>
      <c r="I102" s="107">
        <f>(H102-(G102-0.1*H102)/0.9-GasolineMGSData!AG104)*(Y$283/Y102)</f>
        <v>-0.24844859832448404</v>
      </c>
      <c r="J102" s="107">
        <f t="shared" si="17"/>
        <v>-0.31096592984756627</v>
      </c>
      <c r="K102">
        <v>2.7829999999999999</v>
      </c>
      <c r="L102">
        <v>2.504</v>
      </c>
      <c r="M102">
        <v>2.5619999999999998</v>
      </c>
      <c r="N102" s="85">
        <v>103.64</v>
      </c>
      <c r="O102" s="1">
        <f t="shared" si="2"/>
        <v>4.0100052124311567</v>
      </c>
      <c r="P102" s="1">
        <f t="shared" si="25"/>
        <v>3.6079960660896933</v>
      </c>
      <c r="Q102" s="1">
        <f t="shared" si="4"/>
        <v>3.691567859952793</v>
      </c>
      <c r="R102" s="1">
        <f t="shared" si="22"/>
        <v>144.49986905698552</v>
      </c>
      <c r="S102" s="1">
        <f t="shared" si="10"/>
        <v>0.40200914634146345</v>
      </c>
      <c r="T102" s="1">
        <f t="shared" si="11"/>
        <v>0.31843735247836369</v>
      </c>
      <c r="U102" s="1">
        <f t="shared" si="12"/>
        <v>0.36022324940991357</v>
      </c>
      <c r="V102" s="1">
        <f t="shared" ref="V102:V111" si="28">V101</f>
        <v>0.23982957395262841</v>
      </c>
      <c r="W102" s="82">
        <f t="shared" si="5"/>
        <v>0.22079844329549295</v>
      </c>
      <c r="X102" s="1">
        <f t="shared" si="16"/>
        <v>0.10152098863171033</v>
      </c>
      <c r="Y102">
        <v>213.52799999999999</v>
      </c>
      <c r="Z102" s="1">
        <f t="shared" si="6"/>
        <v>0.57114149273905712</v>
      </c>
      <c r="AA102" s="1">
        <f t="shared" si="7"/>
        <v>0.45240956951731787</v>
      </c>
      <c r="AB102" s="1">
        <f t="shared" si="14"/>
        <v>0.51177553112818752</v>
      </c>
      <c r="AC102" s="1">
        <f t="shared" ref="AC102:AC111" si="29">AC101</f>
        <v>0.33755676852674704</v>
      </c>
      <c r="AE102" s="1"/>
      <c r="AF102" s="1"/>
    </row>
    <row r="103" spans="1:32">
      <c r="B103" s="63">
        <v>39553</v>
      </c>
      <c r="C103" s="20">
        <v>4</v>
      </c>
      <c r="D103" s="100">
        <f t="shared" si="8"/>
        <v>-4.3000000000000149E-2</v>
      </c>
      <c r="E103" s="106">
        <v>2.996</v>
      </c>
      <c r="F103" s="105">
        <v>2.86</v>
      </c>
      <c r="G103" s="108">
        <v>2.8610000000000002</v>
      </c>
      <c r="H103" s="101">
        <v>3.0249999999999999</v>
      </c>
      <c r="I103" s="107">
        <f>(H103-(G103-0.1*H103)/0.9-GasolineMGSData!AG105)*(Y$283/Y103)</f>
        <v>-0.27522687841447036</v>
      </c>
      <c r="J103" s="107">
        <f t="shared" si="17"/>
        <v>-0.31096592984756627</v>
      </c>
      <c r="K103">
        <v>3.0680000000000001</v>
      </c>
      <c r="L103">
        <v>2.762</v>
      </c>
      <c r="M103">
        <v>2.7959999999999998</v>
      </c>
      <c r="N103" s="85">
        <v>109.07</v>
      </c>
      <c r="O103" s="1">
        <f t="shared" si="2"/>
        <v>4.39401101371827</v>
      </c>
      <c r="P103" s="1">
        <f t="shared" si="25"/>
        <v>3.9557556779302026</v>
      </c>
      <c r="Q103" s="1">
        <f t="shared" si="4"/>
        <v>4.0044507152399875</v>
      </c>
      <c r="R103" s="1">
        <f t="shared" si="22"/>
        <v>151.15392099542413</v>
      </c>
      <c r="S103" s="1">
        <f t="shared" si="10"/>
        <v>0.43825533578806741</v>
      </c>
      <c r="T103" s="1">
        <f t="shared" si="11"/>
        <v>0.38956029847828244</v>
      </c>
      <c r="U103" s="1">
        <f t="shared" si="12"/>
        <v>0.41390781713317493</v>
      </c>
      <c r="V103" s="1">
        <f t="shared" si="28"/>
        <v>0.23982957395262841</v>
      </c>
      <c r="W103" s="82">
        <f t="shared" si="5"/>
        <v>0.2753234942254788</v>
      </c>
      <c r="X103" s="1">
        <f t="shared" si="16"/>
        <v>0.10152098863171033</v>
      </c>
      <c r="Y103">
        <v>214.82300000000001</v>
      </c>
      <c r="Z103" s="1">
        <f t="shared" si="6"/>
        <v>0.61888370160865214</v>
      </c>
      <c r="AA103" s="1">
        <f t="shared" si="7"/>
        <v>0.55011884587435789</v>
      </c>
      <c r="AB103" s="1">
        <f t="shared" si="14"/>
        <v>0.58450127374150496</v>
      </c>
      <c r="AC103" s="1">
        <f t="shared" si="29"/>
        <v>0.33755676852674704</v>
      </c>
      <c r="AE103" s="1"/>
      <c r="AF103" s="1"/>
    </row>
    <row r="104" spans="1:32">
      <c r="B104" s="63">
        <v>39583</v>
      </c>
      <c r="C104" s="20">
        <v>5</v>
      </c>
      <c r="D104" s="100">
        <f t="shared" si="8"/>
        <v>-9.2000000000000082E-2</v>
      </c>
      <c r="E104" s="106">
        <v>3.22</v>
      </c>
      <c r="F104" s="105">
        <v>3.1829999999999998</v>
      </c>
      <c r="G104" s="108">
        <v>3.1720000000000002</v>
      </c>
      <c r="H104" s="101">
        <v>3.2189999999999999</v>
      </c>
      <c r="I104" s="107">
        <f>(H104-(G104-0.1*H104)/0.9-GasolineMGSData!AG106)*(Y$283/Y104)</f>
        <v>-0.47275113139135144</v>
      </c>
      <c r="J104" s="107">
        <f t="shared" si="17"/>
        <v>-0.31096592984756627</v>
      </c>
      <c r="K104">
        <v>3.3109999999999999</v>
      </c>
      <c r="L104">
        <v>3.0979999999999999</v>
      </c>
      <c r="M104">
        <v>3.1070000000000002</v>
      </c>
      <c r="N104" s="85">
        <v>122.8</v>
      </c>
      <c r="O104" s="1">
        <f t="shared" si="2"/>
        <v>4.7024386101776283</v>
      </c>
      <c r="P104" s="1">
        <f t="shared" si="25"/>
        <v>4.3999259481517035</v>
      </c>
      <c r="Q104" s="1">
        <f t="shared" si="4"/>
        <v>4.4127081733077294</v>
      </c>
      <c r="R104" s="1">
        <f t="shared" si="22"/>
        <v>168.76043613131947</v>
      </c>
      <c r="S104" s="1">
        <f t="shared" si="10"/>
        <v>0.30251266202592486</v>
      </c>
      <c r="T104" s="1">
        <f t="shared" si="11"/>
        <v>0.28973043686989897</v>
      </c>
      <c r="U104" s="1">
        <f t="shared" si="12"/>
        <v>0.29612154944791191</v>
      </c>
      <c r="V104" s="1">
        <f t="shared" si="28"/>
        <v>0.23982957395262841</v>
      </c>
      <c r="W104" s="82">
        <f t="shared" si="5"/>
        <v>0.15869448419439441</v>
      </c>
      <c r="X104" s="1">
        <f t="shared" si="16"/>
        <v>0.10152098863171033</v>
      </c>
      <c r="Y104">
        <v>216.63200000000001</v>
      </c>
      <c r="Z104" s="1">
        <f t="shared" si="6"/>
        <v>0.42362692810928504</v>
      </c>
      <c r="AA104" s="1">
        <f t="shared" si="7"/>
        <v>0.40572719875255342</v>
      </c>
      <c r="AB104" s="1">
        <f t="shared" si="14"/>
        <v>0.41467706343091926</v>
      </c>
      <c r="AC104" s="1">
        <f t="shared" si="29"/>
        <v>0.33755676852674704</v>
      </c>
      <c r="AE104" s="1"/>
      <c r="AF104" s="1"/>
    </row>
    <row r="105" spans="1:32">
      <c r="A105">
        <f>A93+1</f>
        <v>2008</v>
      </c>
      <c r="B105" s="63">
        <v>39614</v>
      </c>
      <c r="C105" s="20">
        <v>6</v>
      </c>
      <c r="D105" s="100">
        <f t="shared" si="8"/>
        <v>-2.7000000000000135E-2</v>
      </c>
      <c r="E105" s="106">
        <v>3.6240000000000001</v>
      </c>
      <c r="F105" s="105">
        <v>3.399</v>
      </c>
      <c r="G105" s="108">
        <v>3.4159999999999999</v>
      </c>
      <c r="H105" s="101">
        <v>3.6669999999999998</v>
      </c>
      <c r="I105" s="107">
        <f>(H105-(G105-0.1*H105)/0.9-GasolineMGSData!AG107)*(Y$283/Y105)</f>
        <v>-0.20751832295240213</v>
      </c>
      <c r="J105" s="107">
        <f t="shared" si="17"/>
        <v>-0.31096592984756627</v>
      </c>
      <c r="K105">
        <v>3.694</v>
      </c>
      <c r="L105">
        <v>3.2919999999999998</v>
      </c>
      <c r="M105">
        <v>3.2839999999999998</v>
      </c>
      <c r="N105" s="85">
        <v>132.32</v>
      </c>
      <c r="O105" s="1">
        <f t="shared" si="2"/>
        <v>5.194052848296506</v>
      </c>
      <c r="P105" s="1">
        <f t="shared" si="25"/>
        <v>4.6288094143454517</v>
      </c>
      <c r="Q105" s="1">
        <f t="shared" si="4"/>
        <v>4.6175607887941865</v>
      </c>
      <c r="R105" s="1">
        <f t="shared" si="22"/>
        <v>180.02933765966682</v>
      </c>
      <c r="S105" s="1">
        <f t="shared" si="10"/>
        <v>0.56524343395105436</v>
      </c>
      <c r="T105" s="1">
        <f t="shared" si="11"/>
        <v>0.57649205950231952</v>
      </c>
      <c r="U105" s="1">
        <f t="shared" si="12"/>
        <v>0.57086774672668694</v>
      </c>
      <c r="V105" s="1">
        <f t="shared" si="28"/>
        <v>0.23982957395262841</v>
      </c>
      <c r="W105" s="82">
        <f t="shared" si="5"/>
        <v>0.43481171766103788</v>
      </c>
      <c r="X105" s="1">
        <f t="shared" si="16"/>
        <v>0.10152098863171033</v>
      </c>
      <c r="Y105">
        <v>218.815</v>
      </c>
      <c r="Z105" s="1">
        <f t="shared" si="6"/>
        <v>0.78364803077345568</v>
      </c>
      <c r="AA105" s="1">
        <f t="shared" si="7"/>
        <v>0.79924301646049023</v>
      </c>
      <c r="AB105" s="1">
        <f t="shared" si="14"/>
        <v>0.79144552361697296</v>
      </c>
      <c r="AC105" s="1">
        <f t="shared" si="29"/>
        <v>0.33755676852674704</v>
      </c>
      <c r="AE105" s="1"/>
      <c r="AF105" s="1"/>
    </row>
    <row r="106" spans="1:32">
      <c r="B106" s="63">
        <v>39644</v>
      </c>
      <c r="C106" s="20">
        <v>7</v>
      </c>
      <c r="D106" s="100">
        <f t="shared" si="8"/>
        <v>0.21599999999999975</v>
      </c>
      <c r="E106" s="106">
        <v>3.3580000000000001</v>
      </c>
      <c r="F106" s="105">
        <v>3.3109999999999999</v>
      </c>
      <c r="G106" s="108">
        <v>3.347</v>
      </c>
      <c r="H106" s="101">
        <v>3.5019999999999998</v>
      </c>
      <c r="I106" s="107">
        <f>(H106-(G106-0.1*H106)/0.9-GasolineMGSData!AG108)*(Y$283/Y106)</f>
        <v>-0.35126456259699901</v>
      </c>
      <c r="J106" s="107">
        <f t="shared" si="17"/>
        <v>-0.31096592984756627</v>
      </c>
      <c r="K106">
        <v>3.286</v>
      </c>
      <c r="L106">
        <v>3.1480000000000001</v>
      </c>
      <c r="M106">
        <v>3.1579999999999999</v>
      </c>
      <c r="N106" s="85">
        <v>132.72</v>
      </c>
      <c r="O106" s="1">
        <f t="shared" si="2"/>
        <v>4.596238048044226</v>
      </c>
      <c r="P106" s="1">
        <f t="shared" si="25"/>
        <v>4.4032128348275172</v>
      </c>
      <c r="Q106" s="1">
        <f t="shared" si="4"/>
        <v>4.4172001691185834</v>
      </c>
      <c r="R106" s="1">
        <f t="shared" si="22"/>
        <v>179.63032096161189</v>
      </c>
      <c r="S106" s="1">
        <f t="shared" si="10"/>
        <v>0.19302521321670874</v>
      </c>
      <c r="T106" s="1">
        <f t="shared" si="11"/>
        <v>0.1790378789256426</v>
      </c>
      <c r="U106" s="1">
        <f t="shared" si="12"/>
        <v>0.18603154607117567</v>
      </c>
      <c r="V106" s="1">
        <f t="shared" si="28"/>
        <v>0.23982957395262841</v>
      </c>
      <c r="W106" s="82">
        <f t="shared" si="5"/>
        <v>5.0686216835482523E-2</v>
      </c>
      <c r="X106" s="1">
        <f t="shared" si="16"/>
        <v>0.10152098863171033</v>
      </c>
      <c r="Y106">
        <v>219.964</v>
      </c>
      <c r="Z106" s="1">
        <f t="shared" si="6"/>
        <v>0.26621041514548022</v>
      </c>
      <c r="AA106" s="1">
        <f t="shared" si="7"/>
        <v>0.24691980535232907</v>
      </c>
      <c r="AB106" s="1">
        <f t="shared" si="14"/>
        <v>0.25656511024890466</v>
      </c>
      <c r="AC106" s="1">
        <f t="shared" si="29"/>
        <v>0.33755676852674704</v>
      </c>
      <c r="AE106" s="1"/>
      <c r="AF106" s="1"/>
    </row>
    <row r="107" spans="1:32">
      <c r="B107" s="63">
        <v>39675</v>
      </c>
      <c r="C107" s="20">
        <v>8</v>
      </c>
      <c r="D107" s="100">
        <f t="shared" si="8"/>
        <v>0.10199999999999987</v>
      </c>
      <c r="E107" s="106">
        <v>3.1030000000000002</v>
      </c>
      <c r="F107" s="105">
        <v>3.0579999999999998</v>
      </c>
      <c r="G107" s="108">
        <v>3.0779999999999998</v>
      </c>
      <c r="H107" s="101">
        <v>3.1739999999999999</v>
      </c>
      <c r="I107" s="107">
        <f>(H107-(G107-0.1*H107)/0.9-GasolineMGSData!AG109)*(Y$283/Y107)</f>
        <v>-0.40361226487317575</v>
      </c>
      <c r="J107" s="107">
        <f t="shared" si="17"/>
        <v>-0.31096592984756627</v>
      </c>
      <c r="K107">
        <v>3.0720000000000001</v>
      </c>
      <c r="L107">
        <v>2.8969999999999998</v>
      </c>
      <c r="M107">
        <v>2.9369999999999998</v>
      </c>
      <c r="N107" s="85">
        <v>113.24</v>
      </c>
      <c r="O107" s="1">
        <f t="shared" si="2"/>
        <v>4.3141292095341557</v>
      </c>
      <c r="P107" s="1">
        <f t="shared" si="25"/>
        <v>4.0683698958399894</v>
      </c>
      <c r="Q107" s="1">
        <f t="shared" si="4"/>
        <v>4.1245434532557992</v>
      </c>
      <c r="R107" s="1">
        <f t="shared" si="22"/>
        <v>153.87926951060314</v>
      </c>
      <c r="S107" s="1">
        <f t="shared" si="10"/>
        <v>0.24575931369416626</v>
      </c>
      <c r="T107" s="1">
        <f t="shared" si="11"/>
        <v>0.1895857562783565</v>
      </c>
      <c r="U107" s="1">
        <f t="shared" si="12"/>
        <v>0.21767253498626138</v>
      </c>
      <c r="V107" s="1">
        <f t="shared" si="28"/>
        <v>0.23982957395262841</v>
      </c>
      <c r="W107" s="82">
        <f t="shared" si="5"/>
        <v>8.1784801402189355E-2</v>
      </c>
      <c r="X107" s="1">
        <f t="shared" si="16"/>
        <v>0.10152098863171033</v>
      </c>
      <c r="Y107">
        <v>219.08600000000001</v>
      </c>
      <c r="Z107" s="1">
        <f t="shared" si="6"/>
        <v>0.34029688195595953</v>
      </c>
      <c r="AA107" s="1">
        <f t="shared" si="7"/>
        <v>0.2625147375088826</v>
      </c>
      <c r="AB107" s="1">
        <f t="shared" si="14"/>
        <v>0.30140580973242104</v>
      </c>
      <c r="AC107" s="1">
        <f t="shared" si="29"/>
        <v>0.33755676852674704</v>
      </c>
      <c r="AE107" s="1"/>
      <c r="AF107" s="1"/>
    </row>
    <row r="108" spans="1:32">
      <c r="B108" s="63">
        <v>39706</v>
      </c>
      <c r="C108" s="20">
        <v>9</v>
      </c>
      <c r="D108" s="100">
        <f t="shared" si="8"/>
        <v>7.8999999999999737E-2</v>
      </c>
      <c r="E108" s="106">
        <v>2.88</v>
      </c>
      <c r="F108" s="105">
        <v>2.988</v>
      </c>
      <c r="G108" s="108">
        <v>3</v>
      </c>
      <c r="H108" s="101">
        <v>2.9489999999999998</v>
      </c>
      <c r="I108" s="107">
        <f>(H108-(G108-0.1*H108)/0.9-GasolineMGSData!AG110)*(Y$283/Y108)</f>
        <v>-0.60086204136216259</v>
      </c>
      <c r="J108" s="107">
        <f t="shared" si="17"/>
        <v>-0.31096592984756627</v>
      </c>
      <c r="K108">
        <v>2.87</v>
      </c>
      <c r="L108">
        <v>2.8050000000000002</v>
      </c>
      <c r="M108">
        <v>3.1379999999999999</v>
      </c>
      <c r="N108" s="85">
        <v>97.23</v>
      </c>
      <c r="O108" s="1">
        <f t="shared" si="2"/>
        <v>4.0360346553434221</v>
      </c>
      <c r="P108" s="1">
        <f t="shared" si="25"/>
        <v>3.9446262049610801</v>
      </c>
      <c r="Q108" s="1">
        <f t="shared" si="4"/>
        <v>4.41291872768908</v>
      </c>
      <c r="R108" s="1">
        <f t="shared" si="22"/>
        <v>132.30662588043865</v>
      </c>
      <c r="S108" s="1">
        <f t="shared" si="10"/>
        <v>9.1408450382342021E-2</v>
      </c>
      <c r="T108" s="1">
        <f t="shared" si="11"/>
        <v>-0.37688407234565791</v>
      </c>
      <c r="U108" s="1">
        <f t="shared" si="12"/>
        <v>-0.14273781098165794</v>
      </c>
      <c r="V108" s="1">
        <f t="shared" si="28"/>
        <v>0.23982957395262841</v>
      </c>
      <c r="W108" s="82">
        <f t="shared" si="5"/>
        <v>-0.27881374009863691</v>
      </c>
      <c r="X108" s="1">
        <f t="shared" si="16"/>
        <v>0.10152098863171033</v>
      </c>
      <c r="Y108">
        <v>218.78299999999999</v>
      </c>
      <c r="Z108" s="1">
        <f t="shared" si="6"/>
        <v>0.12674632733502342</v>
      </c>
      <c r="AA108" s="1">
        <f t="shared" si="7"/>
        <v>-0.52258485731979099</v>
      </c>
      <c r="AB108" s="1">
        <f t="shared" si="14"/>
        <v>-0.19791926499238377</v>
      </c>
      <c r="AC108" s="1">
        <f t="shared" si="29"/>
        <v>0.33755676852674704</v>
      </c>
      <c r="AE108" s="1"/>
      <c r="AF108" s="1"/>
    </row>
    <row r="109" spans="1:32">
      <c r="B109" s="63">
        <v>39736</v>
      </c>
      <c r="C109" s="20">
        <v>10</v>
      </c>
      <c r="D109" s="100">
        <f t="shared" si="8"/>
        <v>0.32500000000000018</v>
      </c>
      <c r="E109" s="106">
        <v>2.2730000000000001</v>
      </c>
      <c r="F109" s="105">
        <v>2.0720000000000001</v>
      </c>
      <c r="G109" s="108">
        <v>2.149</v>
      </c>
      <c r="H109" s="101">
        <v>2.4500000000000002</v>
      </c>
      <c r="I109" s="107">
        <f>(H109-(G109-0.1*H109)/0.9-GasolineMGSData!AG111)*(Y$283/Y109)</f>
        <v>-1.6642750657876737E-2</v>
      </c>
      <c r="J109" s="107">
        <f t="shared" si="17"/>
        <v>-0.31096592984756627</v>
      </c>
      <c r="K109">
        <v>2.125</v>
      </c>
      <c r="L109">
        <v>1.92</v>
      </c>
      <c r="M109">
        <v>1.786</v>
      </c>
      <c r="N109" s="85">
        <v>71.58</v>
      </c>
      <c r="O109" s="1">
        <f t="shared" ref="O109:O172" si="30">K109*($Y$289/$Y109)</f>
        <v>3.0188475710268592</v>
      </c>
      <c r="P109" s="1">
        <f t="shared" si="25"/>
        <v>2.727617570057209</v>
      </c>
      <c r="Q109" s="1">
        <f t="shared" ref="Q109:Q172" si="31">M109*($Y$289/$Y109)</f>
        <v>2.537252593813633</v>
      </c>
      <c r="R109" s="1">
        <f t="shared" si="22"/>
        <v>98.397091881259428</v>
      </c>
      <c r="S109" s="1">
        <f t="shared" si="10"/>
        <v>0.29123000096965024</v>
      </c>
      <c r="T109" s="1">
        <f t="shared" si="11"/>
        <v>0.48159497721322619</v>
      </c>
      <c r="U109" s="1">
        <f t="shared" si="12"/>
        <v>0.38641248909143822</v>
      </c>
      <c r="V109" s="1">
        <f t="shared" si="28"/>
        <v>0.23982957395262841</v>
      </c>
      <c r="W109" s="82">
        <f t="shared" ref="W109:W172" si="32">U109-0.1*$Y$278/Y109</f>
        <v>0.2489479852059123</v>
      </c>
      <c r="X109" s="1">
        <f t="shared" si="16"/>
        <v>0.10152098863171033</v>
      </c>
      <c r="Y109">
        <v>216.57300000000001</v>
      </c>
      <c r="Z109" s="1">
        <f t="shared" ref="Z109:Z172" si="33">S109*(Y$283/Y109)</f>
        <v>0.40793823230114556</v>
      </c>
      <c r="AA109" s="1">
        <f t="shared" ref="AA109:AA172" si="34">T109*(Y$283/Y109)</f>
        <v>0.67459054024433296</v>
      </c>
      <c r="AB109" s="1">
        <f t="shared" si="14"/>
        <v>0.54126438627273932</v>
      </c>
      <c r="AC109" s="1">
        <f t="shared" si="29"/>
        <v>0.33755676852674704</v>
      </c>
      <c r="AE109" s="1"/>
      <c r="AF109" s="1"/>
    </row>
    <row r="110" spans="1:32">
      <c r="B110" s="63">
        <v>39767</v>
      </c>
      <c r="C110" s="20">
        <v>11</v>
      </c>
      <c r="D110" s="100">
        <f t="shared" ref="D110:D173" si="35">H110-K110</f>
        <v>0.2649999999999999</v>
      </c>
      <c r="E110" s="106">
        <v>1.3540000000000001</v>
      </c>
      <c r="F110" s="105">
        <v>1.34</v>
      </c>
      <c r="G110" s="108">
        <v>1.393</v>
      </c>
      <c r="H110" s="101">
        <v>1.5329999999999999</v>
      </c>
      <c r="I110" s="107">
        <f>(H110-(G110-0.1*H110)/0.9-GasolineMGSData!AG112)*(Y$283/Y110)</f>
        <v>-0.17236040536451533</v>
      </c>
      <c r="J110" s="107">
        <f t="shared" si="17"/>
        <v>-0.31096592984756627</v>
      </c>
      <c r="K110">
        <v>1.268</v>
      </c>
      <c r="L110">
        <v>1.2829999999999999</v>
      </c>
      <c r="M110">
        <v>1.204</v>
      </c>
      <c r="N110" s="85">
        <v>52.45</v>
      </c>
      <c r="O110" s="1">
        <f t="shared" si="30"/>
        <v>1.8365391455807931</v>
      </c>
      <c r="P110" s="1">
        <f t="shared" si="25"/>
        <v>1.8582647663881369</v>
      </c>
      <c r="Q110" s="1">
        <f t="shared" si="31"/>
        <v>1.7438431634694596</v>
      </c>
      <c r="R110" s="1">
        <f t="shared" si="22"/>
        <v>73.508023773096397</v>
      </c>
      <c r="S110" s="1">
        <f t="shared" ref="S110:S173" si="36">O110-P110</f>
        <v>-2.1725620807343748E-2</v>
      </c>
      <c r="T110" s="1">
        <f t="shared" ref="T110:T173" si="37">O110-Q110</f>
        <v>9.2695982111333564E-2</v>
      </c>
      <c r="U110" s="1">
        <f t="shared" ref="U110:U173" si="38">AVERAGE(S110:T110)</f>
        <v>3.5485180651994908E-2</v>
      </c>
      <c r="V110" s="1">
        <f t="shared" si="28"/>
        <v>0.23982957395262841</v>
      </c>
      <c r="W110" s="82">
        <f t="shared" si="32"/>
        <v>-0.10466357773331758</v>
      </c>
      <c r="X110" s="1">
        <f t="shared" si="16"/>
        <v>0.10152098863171033</v>
      </c>
      <c r="Y110">
        <v>212.42500000000001</v>
      </c>
      <c r="Z110" s="1">
        <f t="shared" si="33"/>
        <v>-3.102624222656571E-2</v>
      </c>
      <c r="AA110" s="1">
        <f t="shared" si="34"/>
        <v>0.13237863350001403</v>
      </c>
      <c r="AB110" s="1">
        <f t="shared" ref="AB110:AB173" si="39">AVERAGE(Z110:AA110)</f>
        <v>5.067619563672416E-2</v>
      </c>
      <c r="AC110" s="1">
        <f t="shared" si="29"/>
        <v>0.33755676852674704</v>
      </c>
      <c r="AE110" s="1"/>
      <c r="AF110" s="1"/>
    </row>
    <row r="111" spans="1:32">
      <c r="A111" s="64"/>
      <c r="B111" s="63">
        <v>39797</v>
      </c>
      <c r="C111" s="20">
        <v>12</v>
      </c>
      <c r="D111" s="100">
        <f t="shared" si="35"/>
        <v>5.1999999999999824E-2</v>
      </c>
      <c r="E111" s="106">
        <v>1.1399999999999999</v>
      </c>
      <c r="F111" s="105">
        <v>1.032</v>
      </c>
      <c r="G111" s="108">
        <v>1.0609999999999999</v>
      </c>
      <c r="H111" s="101">
        <v>1.1619999999999999</v>
      </c>
      <c r="I111" s="107">
        <f>(H111-(G111-0.1*H111)/0.9-GasolineMGSData!AG113)*(Y$283/Y111)</f>
        <v>-0.16808461810782169</v>
      </c>
      <c r="J111" s="107">
        <f t="shared" si="17"/>
        <v>-0.31096592984756627</v>
      </c>
      <c r="K111">
        <v>1.1100000000000001</v>
      </c>
      <c r="L111">
        <v>0.95599999999999996</v>
      </c>
      <c r="M111">
        <v>0.93</v>
      </c>
      <c r="N111" s="85">
        <v>39.950000000000003</v>
      </c>
      <c r="O111" s="1">
        <f t="shared" si="30"/>
        <v>1.6244972601175864</v>
      </c>
      <c r="P111" s="1">
        <f t="shared" si="25"/>
        <v>1.3991165591643355</v>
      </c>
      <c r="Q111" s="1">
        <f t="shared" si="31"/>
        <v>1.3610652719904104</v>
      </c>
      <c r="R111" s="1">
        <f t="shared" si="22"/>
        <v>56.57454977453051</v>
      </c>
      <c r="S111" s="1">
        <f t="shared" si="36"/>
        <v>0.22538070095325091</v>
      </c>
      <c r="T111" s="1">
        <f t="shared" si="37"/>
        <v>0.26343198812717605</v>
      </c>
      <c r="U111" s="1">
        <f t="shared" si="38"/>
        <v>0.24440634454021348</v>
      </c>
      <c r="V111" s="1">
        <f t="shared" si="28"/>
        <v>0.23982957395262841</v>
      </c>
      <c r="W111" s="82">
        <f t="shared" si="32"/>
        <v>0.10279295336491809</v>
      </c>
      <c r="X111" s="1">
        <f t="shared" ref="X111:X147" si="40">X110</f>
        <v>0.10152098863171033</v>
      </c>
      <c r="Y111">
        <v>210.22800000000001</v>
      </c>
      <c r="Z111" s="1">
        <f t="shared" si="33"/>
        <v>0.32522863549708442</v>
      </c>
      <c r="AA111" s="1">
        <f t="shared" si="34"/>
        <v>0.38013736616542282</v>
      </c>
      <c r="AB111" s="1">
        <f t="shared" si="39"/>
        <v>0.35268300083125359</v>
      </c>
      <c r="AC111" s="1">
        <f t="shared" si="29"/>
        <v>0.33755676852674704</v>
      </c>
      <c r="AE111" s="1"/>
      <c r="AF111" s="1"/>
    </row>
    <row r="112" spans="1:32">
      <c r="A112" s="64" t="s">
        <v>39</v>
      </c>
      <c r="B112" s="63">
        <v>39828</v>
      </c>
      <c r="C112" s="20">
        <v>1</v>
      </c>
      <c r="D112" s="100">
        <f t="shared" si="35"/>
        <v>-5.600000000000005E-2</v>
      </c>
      <c r="E112" s="106">
        <v>1.42</v>
      </c>
      <c r="F112" s="105">
        <v>1.24</v>
      </c>
      <c r="G112" s="108">
        <v>1.246</v>
      </c>
      <c r="H112" s="101">
        <v>1.401</v>
      </c>
      <c r="I112" s="107">
        <f>(H112-(G112-0.1*H112)/0.9-GasolineMGSData!AG114)*(Y$283/Y112)</f>
        <v>-0.12836064646663808</v>
      </c>
      <c r="J112" s="107">
        <f>AVERAGE(I112:I123)</f>
        <v>-0.16189313920073581</v>
      </c>
      <c r="K112">
        <v>1.4570000000000001</v>
      </c>
      <c r="L112">
        <v>1.1459999999999999</v>
      </c>
      <c r="M112">
        <v>1.1479999999999999</v>
      </c>
      <c r="N112" s="85">
        <v>43.44</v>
      </c>
      <c r="O112" s="1">
        <f t="shared" si="30"/>
        <v>2.1230949972293662</v>
      </c>
      <c r="P112" s="1">
        <f t="shared" si="25"/>
        <v>1.6699154885551497</v>
      </c>
      <c r="Q112" s="1">
        <f t="shared" si="31"/>
        <v>1.6728298262315113</v>
      </c>
      <c r="R112" s="1">
        <f t="shared" si="22"/>
        <v>61.25027038547335</v>
      </c>
      <c r="S112" s="1">
        <f t="shared" si="36"/>
        <v>0.45317950867421652</v>
      </c>
      <c r="T112" s="1">
        <f t="shared" si="37"/>
        <v>0.4502651709978549</v>
      </c>
      <c r="U112" s="1">
        <f t="shared" si="38"/>
        <v>0.45172233983603571</v>
      </c>
      <c r="V112" s="1">
        <f>AVERAGE(S112:T123)</f>
        <v>0.28274464786240894</v>
      </c>
      <c r="W112" s="82">
        <f t="shared" si="32"/>
        <v>0.31072263821201784</v>
      </c>
      <c r="X112" s="1">
        <f>AVERAGE(W112:W123)</f>
        <v>0.14396645132288674</v>
      </c>
      <c r="Y112">
        <v>211.143</v>
      </c>
      <c r="Z112" s="1">
        <f t="shared" si="33"/>
        <v>0.65111273066090913</v>
      </c>
      <c r="AA112" s="1">
        <f t="shared" si="34"/>
        <v>0.64692551052804137</v>
      </c>
      <c r="AB112" s="1">
        <f t="shared" si="39"/>
        <v>0.64901912059447531</v>
      </c>
      <c r="AC112" s="1">
        <f>AVERAGE(Z112:AA123)</f>
        <v>0.40075056328625597</v>
      </c>
      <c r="AE112" s="1"/>
      <c r="AF112" s="1"/>
    </row>
    <row r="113" spans="1:32">
      <c r="B113" s="63">
        <v>39859</v>
      </c>
      <c r="C113" s="20">
        <v>2</v>
      </c>
      <c r="D113" s="100">
        <f t="shared" si="35"/>
        <v>2.4000000000000021E-2</v>
      </c>
      <c r="E113" s="106">
        <v>1.552</v>
      </c>
      <c r="F113" s="105">
        <v>1.306</v>
      </c>
      <c r="G113" s="108">
        <v>1.333</v>
      </c>
      <c r="H113" s="101">
        <v>1.571</v>
      </c>
      <c r="I113" s="107">
        <f>(H113-(G113-0.1*H113)/0.9-GasolineMGSData!AG115)*(Y$283/Y113)</f>
        <v>-1.8731171954017214E-2</v>
      </c>
      <c r="J113" s="107">
        <f t="shared" si="17"/>
        <v>-0.16189313920073581</v>
      </c>
      <c r="K113">
        <v>1.5469999999999999</v>
      </c>
      <c r="L113">
        <v>1.216</v>
      </c>
      <c r="M113">
        <v>1.1950000000000001</v>
      </c>
      <c r="N113" s="85">
        <v>43.32</v>
      </c>
      <c r="O113" s="1">
        <f t="shared" si="30"/>
        <v>2.2430854787858219</v>
      </c>
      <c r="P113" s="1">
        <f t="shared" si="25"/>
        <v>1.7631492839066321</v>
      </c>
      <c r="Q113" s="1">
        <f t="shared" si="31"/>
        <v>1.7327001597602183</v>
      </c>
      <c r="R113" s="1">
        <f t="shared" si="22"/>
        <v>60.778821733044921</v>
      </c>
      <c r="S113" s="1">
        <f t="shared" si="36"/>
        <v>0.47993619487918981</v>
      </c>
      <c r="T113" s="1">
        <f t="shared" si="37"/>
        <v>0.51038531902560358</v>
      </c>
      <c r="U113" s="1">
        <f t="shared" si="38"/>
        <v>0.4951607569523967</v>
      </c>
      <c r="V113" s="1">
        <f>V112</f>
        <v>0.28274464786240894</v>
      </c>
      <c r="W113" s="82">
        <f t="shared" si="32"/>
        <v>0.35485876772560787</v>
      </c>
      <c r="X113" s="1">
        <f t="shared" si="40"/>
        <v>0.14396645132288674</v>
      </c>
      <c r="Y113">
        <v>212.19300000000001</v>
      </c>
      <c r="Z113" s="1">
        <f t="shared" si="33"/>
        <v>0.68614367055998859</v>
      </c>
      <c r="AA113" s="1">
        <f t="shared" si="34"/>
        <v>0.72967544422089403</v>
      </c>
      <c r="AB113" s="1">
        <f t="shared" si="39"/>
        <v>0.70790955739044126</v>
      </c>
      <c r="AC113" s="1">
        <f>AC112</f>
        <v>0.40075056328625597</v>
      </c>
      <c r="AE113" s="1"/>
      <c r="AF113" s="1"/>
    </row>
    <row r="114" spans="1:32">
      <c r="B114" s="63">
        <v>39887</v>
      </c>
      <c r="C114" s="20">
        <v>3</v>
      </c>
      <c r="D114" s="100">
        <f t="shared" si="35"/>
        <v>4.9999999999999822E-2</v>
      </c>
      <c r="E114" s="106">
        <v>1.4950000000000001</v>
      </c>
      <c r="F114" s="105">
        <v>1.381</v>
      </c>
      <c r="G114" s="108">
        <v>1.397</v>
      </c>
      <c r="H114" s="101">
        <v>1.5229999999999999</v>
      </c>
      <c r="I114" s="107">
        <f>(H114-(G114-0.1*H114)/0.9-GasolineMGSData!AG116)*(Y$283/Y114)</f>
        <v>-0.19254378254379717</v>
      </c>
      <c r="J114" s="107">
        <f t="shared" si="17"/>
        <v>-0.16189313920073581</v>
      </c>
      <c r="K114">
        <v>1.4730000000000001</v>
      </c>
      <c r="L114">
        <v>1.288</v>
      </c>
      <c r="M114">
        <v>1.288</v>
      </c>
      <c r="N114" s="85">
        <v>46.54</v>
      </c>
      <c r="O114" s="1">
        <f t="shared" si="30"/>
        <v>2.1306074637180377</v>
      </c>
      <c r="P114" s="1">
        <f t="shared" si="25"/>
        <v>1.8630158949550797</v>
      </c>
      <c r="Q114" s="1">
        <f t="shared" si="31"/>
        <v>1.8630158949550797</v>
      </c>
      <c r="R114" s="1">
        <f t="shared" si="22"/>
        <v>65.138146199737662</v>
      </c>
      <c r="S114" s="1">
        <f t="shared" si="36"/>
        <v>0.26759156876295798</v>
      </c>
      <c r="T114" s="1">
        <f t="shared" si="37"/>
        <v>0.26759156876295798</v>
      </c>
      <c r="U114" s="1">
        <f t="shared" si="38"/>
        <v>0.26759156876295798</v>
      </c>
      <c r="V114" s="1">
        <f t="shared" ref="V114:V123" si="41">V113</f>
        <v>0.28274464786240894</v>
      </c>
      <c r="W114" s="82">
        <f t="shared" si="32"/>
        <v>0.12762993103253753</v>
      </c>
      <c r="X114" s="1">
        <f t="shared" si="40"/>
        <v>0.14396645132288674</v>
      </c>
      <c r="Y114">
        <v>212.709</v>
      </c>
      <c r="Z114" s="1">
        <f t="shared" si="33"/>
        <v>0.38163585496917019</v>
      </c>
      <c r="AA114" s="1">
        <f t="shared" si="34"/>
        <v>0.38163585496917019</v>
      </c>
      <c r="AB114" s="1">
        <f t="shared" si="39"/>
        <v>0.38163585496917019</v>
      </c>
      <c r="AC114" s="1">
        <f t="shared" ref="AC114:AC123" si="42">AC113</f>
        <v>0.40075056328625597</v>
      </c>
      <c r="AE114" s="1"/>
      <c r="AF114" s="1"/>
    </row>
    <row r="115" spans="1:32">
      <c r="B115" s="63">
        <v>39918</v>
      </c>
      <c r="C115" s="20">
        <v>4</v>
      </c>
      <c r="D115" s="100">
        <f t="shared" si="35"/>
        <v>6.6000000000000059E-2</v>
      </c>
      <c r="E115" s="106">
        <v>1.6160000000000001</v>
      </c>
      <c r="F115" s="105">
        <v>1.4610000000000001</v>
      </c>
      <c r="G115" s="108">
        <v>1.482</v>
      </c>
      <c r="H115" s="101">
        <v>1.641</v>
      </c>
      <c r="I115" s="107">
        <f>(H115-(G115-0.1*H115)/0.9-GasolineMGSData!AG117)*(Y$283/Y115)</f>
        <v>-0.1568871958776997</v>
      </c>
      <c r="J115" s="107">
        <f t="shared" si="17"/>
        <v>-0.16189313920073581</v>
      </c>
      <c r="K115">
        <v>1.575</v>
      </c>
      <c r="L115">
        <v>1.379</v>
      </c>
      <c r="M115">
        <v>1.349</v>
      </c>
      <c r="N115" s="85">
        <v>50.18</v>
      </c>
      <c r="O115" s="1">
        <f t="shared" si="30"/>
        <v>2.2724715109735505</v>
      </c>
      <c r="P115" s="1">
        <f t="shared" si="25"/>
        <v>1.9896750562746199</v>
      </c>
      <c r="Q115" s="1">
        <f t="shared" si="31"/>
        <v>1.9463898846370284</v>
      </c>
      <c r="R115" s="1">
        <f t="shared" si="22"/>
        <v>70.05785959482273</v>
      </c>
      <c r="S115" s="1">
        <f t="shared" si="36"/>
        <v>0.28279645469893055</v>
      </c>
      <c r="T115" s="1">
        <f t="shared" si="37"/>
        <v>0.32608162633652205</v>
      </c>
      <c r="U115" s="1">
        <f t="shared" si="38"/>
        <v>0.3044390405177263</v>
      </c>
      <c r="V115" s="1">
        <f t="shared" si="41"/>
        <v>0.28274464786240894</v>
      </c>
      <c r="W115" s="82">
        <f t="shared" si="32"/>
        <v>0.16482592853123221</v>
      </c>
      <c r="X115" s="1">
        <f t="shared" si="40"/>
        <v>0.14396645132288674</v>
      </c>
      <c r="Y115">
        <v>213.24</v>
      </c>
      <c r="Z115" s="1">
        <f t="shared" si="33"/>
        <v>0.40231654889716595</v>
      </c>
      <c r="AA115" s="1">
        <f t="shared" si="34"/>
        <v>0.46389561250387518</v>
      </c>
      <c r="AB115" s="1">
        <f t="shared" si="39"/>
        <v>0.43310608070052059</v>
      </c>
      <c r="AC115" s="1">
        <f t="shared" si="42"/>
        <v>0.40075056328625597</v>
      </c>
      <c r="AE115" s="1"/>
      <c r="AF115" s="1"/>
    </row>
    <row r="116" spans="1:32">
      <c r="B116" s="63">
        <v>39948</v>
      </c>
      <c r="C116" s="20">
        <v>5</v>
      </c>
      <c r="D116" s="100">
        <f t="shared" si="35"/>
        <v>0</v>
      </c>
      <c r="E116" s="106">
        <v>1.837</v>
      </c>
      <c r="F116" s="105">
        <v>1.7629999999999999</v>
      </c>
      <c r="G116" s="108">
        <v>1.7629999999999999</v>
      </c>
      <c r="H116" s="101">
        <v>1.847</v>
      </c>
      <c r="I116" s="107">
        <f>(H116-(G116-0.1*H116)/0.9-GasolineMGSData!AG118)*(Y$283/Y116)</f>
        <v>-0.29314572444163078</v>
      </c>
      <c r="J116" s="107">
        <f t="shared" si="17"/>
        <v>-0.16189313920073581</v>
      </c>
      <c r="K116">
        <v>1.847</v>
      </c>
      <c r="L116">
        <v>1.6890000000000001</v>
      </c>
      <c r="M116">
        <v>1.657</v>
      </c>
      <c r="N116" s="85">
        <v>57.3</v>
      </c>
      <c r="O116" s="1">
        <f t="shared" si="30"/>
        <v>2.6572475731333229</v>
      </c>
      <c r="P116" s="1">
        <f t="shared" si="25"/>
        <v>2.4299356529627412</v>
      </c>
      <c r="Q116" s="1">
        <f t="shared" si="31"/>
        <v>2.3838977957130032</v>
      </c>
      <c r="R116" s="1">
        <f t="shared" si="22"/>
        <v>79.767882593894953</v>
      </c>
      <c r="S116" s="1">
        <f t="shared" si="36"/>
        <v>0.22731192017058177</v>
      </c>
      <c r="T116" s="1">
        <f t="shared" si="37"/>
        <v>0.27334977742031974</v>
      </c>
      <c r="U116" s="1">
        <f t="shared" si="38"/>
        <v>0.25033084879545076</v>
      </c>
      <c r="V116" s="1">
        <f t="shared" si="41"/>
        <v>0.28274464786240894</v>
      </c>
      <c r="W116" s="82">
        <f t="shared" si="32"/>
        <v>0.1111198844081995</v>
      </c>
      <c r="X116" s="1">
        <f t="shared" si="40"/>
        <v>0.14396645132288674</v>
      </c>
      <c r="Y116">
        <v>213.85599999999999</v>
      </c>
      <c r="Z116" s="1">
        <f t="shared" si="33"/>
        <v>0.32245074273673968</v>
      </c>
      <c r="AA116" s="1">
        <f t="shared" si="34"/>
        <v>0.38775722227835768</v>
      </c>
      <c r="AB116" s="1">
        <f t="shared" si="39"/>
        <v>0.35510398250754871</v>
      </c>
      <c r="AC116" s="1">
        <f t="shared" si="42"/>
        <v>0.40075056328625597</v>
      </c>
      <c r="AE116" s="1"/>
      <c r="AF116" s="1"/>
    </row>
    <row r="117" spans="1:32">
      <c r="A117">
        <f>A105+1</f>
        <v>2009</v>
      </c>
      <c r="B117" s="63">
        <v>39979</v>
      </c>
      <c r="C117" s="20">
        <v>6</v>
      </c>
      <c r="D117" s="100">
        <f t="shared" si="35"/>
        <v>9.6999999999999975E-2</v>
      </c>
      <c r="E117" s="106">
        <v>2.1070000000000002</v>
      </c>
      <c r="F117" s="105">
        <v>2.008</v>
      </c>
      <c r="G117" s="108">
        <v>2.0219999999999998</v>
      </c>
      <c r="H117" s="101">
        <v>2.1819999999999999</v>
      </c>
      <c r="I117" s="107">
        <f>(H117-(G117-0.1*H117)/0.9-GasolineMGSData!AG119)*(Y$283/Y117)</f>
        <v>-0.22404717229771529</v>
      </c>
      <c r="J117" s="107">
        <f t="shared" ref="J117:J171" si="43">J116</f>
        <v>-0.16189313920073581</v>
      </c>
      <c r="K117">
        <v>2.085</v>
      </c>
      <c r="L117">
        <v>1.9059999999999999</v>
      </c>
      <c r="M117">
        <v>1.889</v>
      </c>
      <c r="N117" s="85">
        <v>68.61</v>
      </c>
      <c r="O117" s="1">
        <f t="shared" si="30"/>
        <v>2.9741068787582345</v>
      </c>
      <c r="P117" s="1">
        <f t="shared" si="25"/>
        <v>2.7187758805339066</v>
      </c>
      <c r="Q117" s="1">
        <f t="shared" si="31"/>
        <v>2.6945265678533841</v>
      </c>
      <c r="R117" s="1">
        <f t="shared" si="22"/>
        <v>94.699186853537199</v>
      </c>
      <c r="S117" s="1">
        <f t="shared" si="36"/>
        <v>0.25533099822432792</v>
      </c>
      <c r="T117" s="1">
        <f t="shared" si="37"/>
        <v>0.27958031090485047</v>
      </c>
      <c r="U117" s="1">
        <f t="shared" si="38"/>
        <v>0.2674556545645892</v>
      </c>
      <c r="V117" s="1">
        <f t="shared" si="41"/>
        <v>0.28274464786240894</v>
      </c>
      <c r="W117" s="82">
        <f t="shared" si="32"/>
        <v>0.12943031299114915</v>
      </c>
      <c r="X117" s="1">
        <f t="shared" si="40"/>
        <v>0.14396645132288674</v>
      </c>
      <c r="Y117">
        <v>215.69300000000001</v>
      </c>
      <c r="Z117" s="1">
        <f t="shared" si="33"/>
        <v>0.35911215298747196</v>
      </c>
      <c r="AA117" s="1">
        <f t="shared" si="34"/>
        <v>0.39321777645555561</v>
      </c>
      <c r="AB117" s="1">
        <f t="shared" si="39"/>
        <v>0.37616496472151378</v>
      </c>
      <c r="AC117" s="1">
        <f t="shared" si="42"/>
        <v>0.40075056328625597</v>
      </c>
      <c r="AE117" s="1"/>
      <c r="AF117" s="1"/>
    </row>
    <row r="118" spans="1:32">
      <c r="B118" s="63">
        <v>40009</v>
      </c>
      <c r="C118" s="20">
        <v>7</v>
      </c>
      <c r="D118" s="100">
        <f t="shared" si="35"/>
        <v>0.14700000000000002</v>
      </c>
      <c r="E118" s="106">
        <v>1.9570000000000001</v>
      </c>
      <c r="F118" s="105">
        <v>1.8340000000000001</v>
      </c>
      <c r="G118" s="108">
        <v>1.867</v>
      </c>
      <c r="H118" s="101">
        <v>2.06</v>
      </c>
      <c r="I118" s="107">
        <f>(H118-(G118-0.1*H118)/0.9-GasolineMGSData!AG120)*(Y$283/Y118)</f>
        <v>-0.16678654778568031</v>
      </c>
      <c r="J118" s="107">
        <f t="shared" si="43"/>
        <v>-0.16189313920073581</v>
      </c>
      <c r="K118">
        <v>1.913</v>
      </c>
      <c r="L118">
        <v>1.75</v>
      </c>
      <c r="M118">
        <v>1.7050000000000001</v>
      </c>
      <c r="N118" s="85">
        <v>64.44</v>
      </c>
      <c r="O118" s="1">
        <f t="shared" si="30"/>
        <v>2.7330944504553032</v>
      </c>
      <c r="P118" s="1">
        <f t="shared" si="25"/>
        <v>2.5002170874525773</v>
      </c>
      <c r="Q118" s="1">
        <f t="shared" si="31"/>
        <v>2.4359257909180827</v>
      </c>
      <c r="R118" s="1">
        <f t="shared" si="22"/>
        <v>89.084781774869867</v>
      </c>
      <c r="S118" s="1">
        <f t="shared" si="36"/>
        <v>0.23287736300272588</v>
      </c>
      <c r="T118" s="1">
        <f t="shared" si="37"/>
        <v>0.29716865953722049</v>
      </c>
      <c r="U118" s="1">
        <f t="shared" si="38"/>
        <v>0.26502301126997319</v>
      </c>
      <c r="V118" s="1">
        <f t="shared" si="41"/>
        <v>0.28274464786240894</v>
      </c>
      <c r="W118" s="82">
        <f t="shared" si="32"/>
        <v>0.12677847096136072</v>
      </c>
      <c r="X118" s="1">
        <f t="shared" si="40"/>
        <v>0.14396645132288674</v>
      </c>
      <c r="Y118">
        <v>215.351</v>
      </c>
      <c r="Z118" s="1">
        <f t="shared" si="33"/>
        <v>0.3280522285598671</v>
      </c>
      <c r="AA118" s="1">
        <f t="shared" si="34"/>
        <v>0.41861879472670116</v>
      </c>
      <c r="AB118" s="1">
        <f t="shared" si="39"/>
        <v>0.37333551164328416</v>
      </c>
      <c r="AC118" s="1">
        <f t="shared" si="42"/>
        <v>0.40075056328625597</v>
      </c>
      <c r="AE118" s="1"/>
      <c r="AF118" s="1"/>
    </row>
    <row r="119" spans="1:32">
      <c r="B119" s="63">
        <v>40040</v>
      </c>
      <c r="C119" s="20">
        <v>8</v>
      </c>
      <c r="D119" s="100">
        <f t="shared" si="35"/>
        <v>0.12400000000000011</v>
      </c>
      <c r="E119" s="106">
        <v>2.1709999999999998</v>
      </c>
      <c r="F119" s="105">
        <v>2.0019999999999998</v>
      </c>
      <c r="G119" s="108">
        <v>2.0259999999999998</v>
      </c>
      <c r="H119" s="101">
        <v>2.2370000000000001</v>
      </c>
      <c r="I119" s="107">
        <f>(H119-(G119-0.1*H119)/0.9-GasolineMGSData!AG121)*(Y$283/Y119)</f>
        <v>-0.15460851538436385</v>
      </c>
      <c r="J119" s="107">
        <f t="shared" si="43"/>
        <v>-0.16189313920073581</v>
      </c>
      <c r="K119">
        <v>2.113</v>
      </c>
      <c r="L119">
        <v>1.93</v>
      </c>
      <c r="M119">
        <v>1.8879999999999999</v>
      </c>
      <c r="N119" s="85">
        <v>72.510000000000005</v>
      </c>
      <c r="O119" s="1">
        <f t="shared" si="30"/>
        <v>3.0120779070952675</v>
      </c>
      <c r="P119" s="1">
        <f t="shared" si="25"/>
        <v>2.7512117182649627</v>
      </c>
      <c r="Q119" s="1">
        <f t="shared" si="31"/>
        <v>2.6913407896809582</v>
      </c>
      <c r="R119" s="1">
        <f t="shared" si="22"/>
        <v>100.01679350797373</v>
      </c>
      <c r="S119" s="1">
        <f t="shared" si="36"/>
        <v>0.26086618883030477</v>
      </c>
      <c r="T119" s="1">
        <f t="shared" si="37"/>
        <v>0.32073711741430921</v>
      </c>
      <c r="U119" s="1">
        <f t="shared" si="38"/>
        <v>0.29080165312230699</v>
      </c>
      <c r="V119" s="1">
        <f t="shared" si="41"/>
        <v>0.28274464786240894</v>
      </c>
      <c r="W119" s="82">
        <f t="shared" si="32"/>
        <v>0.15286648072129508</v>
      </c>
      <c r="X119" s="1">
        <f t="shared" si="40"/>
        <v>0.14396645132288674</v>
      </c>
      <c r="Y119">
        <v>215.834</v>
      </c>
      <c r="Z119" s="1">
        <f t="shared" si="33"/>
        <v>0.36665747584777075</v>
      </c>
      <c r="AA119" s="1">
        <f t="shared" si="34"/>
        <v>0.45080837194398049</v>
      </c>
      <c r="AB119" s="1">
        <f t="shared" si="39"/>
        <v>0.40873292389587562</v>
      </c>
      <c r="AC119" s="1">
        <f t="shared" si="42"/>
        <v>0.40075056328625597</v>
      </c>
      <c r="AE119" s="1"/>
      <c r="AF119" s="1"/>
    </row>
    <row r="120" spans="1:32">
      <c r="B120" s="63">
        <v>40071</v>
      </c>
      <c r="C120" s="20">
        <v>9</v>
      </c>
      <c r="D120" s="100">
        <f t="shared" si="35"/>
        <v>0.22199999999999998</v>
      </c>
      <c r="E120" s="106">
        <v>2.169</v>
      </c>
      <c r="F120" s="105">
        <v>1.861</v>
      </c>
      <c r="G120" s="108">
        <v>1.915</v>
      </c>
      <c r="H120" s="101">
        <v>2.278</v>
      </c>
      <c r="I120" s="107">
        <f>(H120-(G120-0.1*H120)/0.9-GasolineMGSData!AG122)*(Y$283/Y120)</f>
        <v>6.9278534126288982E-2</v>
      </c>
      <c r="J120" s="107">
        <f t="shared" si="43"/>
        <v>-0.16189313920073581</v>
      </c>
      <c r="K120">
        <v>2.056</v>
      </c>
      <c r="L120">
        <v>1.7789999999999999</v>
      </c>
      <c r="M120">
        <v>1.7350000000000001</v>
      </c>
      <c r="N120" s="85">
        <v>67.650000000000006</v>
      </c>
      <c r="O120" s="1">
        <f t="shared" si="30"/>
        <v>2.9289924757719858</v>
      </c>
      <c r="P120" s="1">
        <f t="shared" si="25"/>
        <v>2.5343762715945344</v>
      </c>
      <c r="Q120" s="1">
        <f t="shared" si="31"/>
        <v>2.4716935532414377</v>
      </c>
      <c r="R120" s="1">
        <f t="shared" si="22"/>
        <v>93.254815042899693</v>
      </c>
      <c r="S120" s="1">
        <f t="shared" si="36"/>
        <v>0.39461620417745147</v>
      </c>
      <c r="T120" s="1">
        <f t="shared" si="37"/>
        <v>0.45729892253054816</v>
      </c>
      <c r="U120" s="1">
        <f t="shared" si="38"/>
        <v>0.42595756335399981</v>
      </c>
      <c r="V120" s="1">
        <f t="shared" si="41"/>
        <v>0.28274464786240894</v>
      </c>
      <c r="W120" s="82">
        <f t="shared" si="32"/>
        <v>0.28810861281017175</v>
      </c>
      <c r="X120" s="1">
        <f t="shared" si="40"/>
        <v>0.14396645132288674</v>
      </c>
      <c r="Y120">
        <v>215.96899999999999</v>
      </c>
      <c r="Z120" s="1">
        <f t="shared" si="33"/>
        <v>0.5543015689653803</v>
      </c>
      <c r="AA120" s="1">
        <f t="shared" si="34"/>
        <v>0.64234947161692046</v>
      </c>
      <c r="AB120" s="1">
        <f t="shared" si="39"/>
        <v>0.59832552029115038</v>
      </c>
      <c r="AC120" s="1">
        <f t="shared" si="42"/>
        <v>0.40075056328625597</v>
      </c>
      <c r="AE120" s="1"/>
      <c r="AF120" s="1"/>
    </row>
    <row r="121" spans="1:32">
      <c r="B121" s="63">
        <v>40101</v>
      </c>
      <c r="C121" s="20">
        <v>10</v>
      </c>
      <c r="D121" s="100">
        <f t="shared" si="35"/>
        <v>0.16199999999999992</v>
      </c>
      <c r="E121" s="106">
        <v>2.0640000000000001</v>
      </c>
      <c r="F121" s="105">
        <v>1.9590000000000001</v>
      </c>
      <c r="G121" s="108">
        <v>1.9750000000000001</v>
      </c>
      <c r="H121" s="101">
        <v>2.194</v>
      </c>
      <c r="I121" s="107">
        <f>(H121-(G121-0.1*H121)/0.9-GasolineMGSData!AG123)*(Y$283/Y121)</f>
        <v>-0.14236468292207866</v>
      </c>
      <c r="J121" s="107">
        <f t="shared" si="43"/>
        <v>-0.16189313920073581</v>
      </c>
      <c r="K121">
        <v>2.032</v>
      </c>
      <c r="L121">
        <v>1.9239999999999999</v>
      </c>
      <c r="M121">
        <v>1.885</v>
      </c>
      <c r="N121" s="85">
        <v>72.77</v>
      </c>
      <c r="O121" s="1">
        <f t="shared" si="30"/>
        <v>2.8920165975103735</v>
      </c>
      <c r="P121" s="1">
        <f t="shared" si="25"/>
        <v>2.7383070539419085</v>
      </c>
      <c r="Q121" s="1">
        <f t="shared" si="31"/>
        <v>2.6828008298755188</v>
      </c>
      <c r="R121" s="1">
        <f t="shared" si="22"/>
        <v>100.2161630053151</v>
      </c>
      <c r="S121" s="1">
        <f t="shared" si="36"/>
        <v>0.153709543568465</v>
      </c>
      <c r="T121" s="1">
        <f t="shared" si="37"/>
        <v>0.20921576763485472</v>
      </c>
      <c r="U121" s="1">
        <f t="shared" si="38"/>
        <v>0.18146265560165986</v>
      </c>
      <c r="V121" s="1">
        <f t="shared" si="41"/>
        <v>0.28274464786240894</v>
      </c>
      <c r="W121" s="82">
        <f t="shared" si="32"/>
        <v>4.3746339804882184E-2</v>
      </c>
      <c r="X121" s="1">
        <f t="shared" si="40"/>
        <v>0.14396645132288674</v>
      </c>
      <c r="Y121">
        <v>216.17699999999999</v>
      </c>
      <c r="Z121" s="1">
        <f t="shared" si="33"/>
        <v>0.21570189365917861</v>
      </c>
      <c r="AA121" s="1">
        <f t="shared" si="34"/>
        <v>0.29359424414721474</v>
      </c>
      <c r="AB121" s="1">
        <f t="shared" si="39"/>
        <v>0.25464806890319669</v>
      </c>
      <c r="AC121" s="1">
        <f t="shared" si="42"/>
        <v>0.40075056328625597</v>
      </c>
      <c r="AE121" s="1"/>
      <c r="AF121" s="1"/>
    </row>
    <row r="122" spans="1:32">
      <c r="B122" s="63">
        <v>40132</v>
      </c>
      <c r="C122" s="20">
        <v>11</v>
      </c>
      <c r="D122" s="100">
        <f t="shared" si="35"/>
        <v>0.16900000000000004</v>
      </c>
      <c r="E122" s="106">
        <v>2.024</v>
      </c>
      <c r="F122" s="105">
        <v>2.0099999999999998</v>
      </c>
      <c r="G122" s="108">
        <v>2.0390000000000001</v>
      </c>
      <c r="H122" s="101">
        <v>2.1480000000000001</v>
      </c>
      <c r="I122" s="107">
        <f>(H122-(G122-0.1*H122)/0.9-GasolineMGSData!AG124)*(Y$283/Y122)</f>
        <v>-0.30700822609884421</v>
      </c>
      <c r="J122" s="107">
        <f t="shared" si="43"/>
        <v>-0.16189313920073581</v>
      </c>
      <c r="K122">
        <v>1.9790000000000001</v>
      </c>
      <c r="L122">
        <v>1.9830000000000001</v>
      </c>
      <c r="M122">
        <v>1.9259999999999999</v>
      </c>
      <c r="N122" s="85">
        <v>76.66</v>
      </c>
      <c r="O122" s="1">
        <f t="shared" si="30"/>
        <v>2.8145930245458328</v>
      </c>
      <c r="P122" s="1">
        <f t="shared" si="25"/>
        <v>2.8202819442518372</v>
      </c>
      <c r="Q122" s="1">
        <f t="shared" si="31"/>
        <v>2.7392148384412698</v>
      </c>
      <c r="R122" s="1">
        <f t="shared" si="22"/>
        <v>105.49866065732907</v>
      </c>
      <c r="S122" s="1">
        <f t="shared" si="36"/>
        <v>-5.6889197060043806E-3</v>
      </c>
      <c r="T122" s="1">
        <f t="shared" si="37"/>
        <v>7.5378186104563039E-2</v>
      </c>
      <c r="U122" s="1">
        <f t="shared" si="38"/>
        <v>3.4844633199279329E-2</v>
      </c>
      <c r="V122" s="1">
        <f t="shared" si="41"/>
        <v>0.28274464786240894</v>
      </c>
      <c r="W122" s="82">
        <f t="shared" si="32"/>
        <v>-0.10277428234641475</v>
      </c>
      <c r="X122" s="1">
        <f t="shared" si="40"/>
        <v>0.14396645132288674</v>
      </c>
      <c r="Y122">
        <v>216.33</v>
      </c>
      <c r="Z122" s="1">
        <f t="shared" si="33"/>
        <v>-7.9776625931336706E-3</v>
      </c>
      <c r="AA122" s="1">
        <f t="shared" si="34"/>
        <v>0.10570402935902813</v>
      </c>
      <c r="AB122" s="1">
        <f t="shared" si="39"/>
        <v>4.8863183382947234E-2</v>
      </c>
      <c r="AC122" s="1">
        <f t="shared" si="42"/>
        <v>0.40075056328625597</v>
      </c>
      <c r="AE122" s="1"/>
      <c r="AF122" s="1"/>
    </row>
    <row r="123" spans="1:32">
      <c r="A123" s="64"/>
      <c r="B123" s="63">
        <v>40162</v>
      </c>
      <c r="C123" s="20">
        <v>12</v>
      </c>
      <c r="D123" s="100">
        <f t="shared" si="35"/>
        <v>0.14200000000000035</v>
      </c>
      <c r="E123" s="106">
        <v>2.085</v>
      </c>
      <c r="F123" s="105">
        <v>1.974</v>
      </c>
      <c r="G123" s="108">
        <v>1.9990000000000001</v>
      </c>
      <c r="H123" s="101">
        <v>2.1560000000000001</v>
      </c>
      <c r="I123" s="107">
        <f>(H123-(G123-0.1*H123)/0.9-GasolineMGSData!AG125)*(Y$283/Y123)</f>
        <v>-0.22751253876265351</v>
      </c>
      <c r="J123" s="107">
        <f t="shared" si="43"/>
        <v>-0.16189313920073581</v>
      </c>
      <c r="K123">
        <v>2.0139999999999998</v>
      </c>
      <c r="L123">
        <v>1.919</v>
      </c>
      <c r="M123">
        <v>1.887</v>
      </c>
      <c r="N123" s="85">
        <v>74.459999999999994</v>
      </c>
      <c r="O123" s="1">
        <f t="shared" si="30"/>
        <v>2.8694246974980198</v>
      </c>
      <c r="P123" s="1">
        <f t="shared" si="25"/>
        <v>2.7340744759179247</v>
      </c>
      <c r="Q123" s="1">
        <f t="shared" si="31"/>
        <v>2.6884828223330506</v>
      </c>
      <c r="R123" s="1">
        <f t="shared" si="22"/>
        <v>102.65183473875776</v>
      </c>
      <c r="S123" s="1">
        <f t="shared" si="36"/>
        <v>0.13535022158009502</v>
      </c>
      <c r="T123" s="1">
        <f t="shared" si="37"/>
        <v>0.18094187516496918</v>
      </c>
      <c r="U123" s="1">
        <f t="shared" si="38"/>
        <v>0.1581460483725321</v>
      </c>
      <c r="V123" s="1">
        <f t="shared" si="41"/>
        <v>0.28274464786240894</v>
      </c>
      <c r="W123" s="82">
        <f t="shared" si="32"/>
        <v>2.0284331022602242E-2</v>
      </c>
      <c r="X123" s="1">
        <f t="shared" si="40"/>
        <v>0.14396645132288674</v>
      </c>
      <c r="Y123">
        <v>215.94900000000001</v>
      </c>
      <c r="Z123" s="1">
        <f t="shared" si="33"/>
        <v>0.19013864046234233</v>
      </c>
      <c r="AA123" s="1">
        <f t="shared" si="34"/>
        <v>0.25418534040755247</v>
      </c>
      <c r="AB123" s="1">
        <f t="shared" si="39"/>
        <v>0.22216199043494739</v>
      </c>
      <c r="AC123" s="1">
        <f t="shared" si="42"/>
        <v>0.40075056328625597</v>
      </c>
      <c r="AE123" s="1"/>
      <c r="AF123" s="1"/>
    </row>
    <row r="124" spans="1:32">
      <c r="A124" s="64" t="s">
        <v>39</v>
      </c>
      <c r="B124" s="63">
        <v>40193</v>
      </c>
      <c r="C124" s="20">
        <v>1</v>
      </c>
      <c r="D124" s="100">
        <f t="shared" si="35"/>
        <v>0.15300000000000002</v>
      </c>
      <c r="E124" s="106">
        <v>2.1030000000000002</v>
      </c>
      <c r="F124" s="105">
        <v>2.0710000000000002</v>
      </c>
      <c r="G124" s="108">
        <v>2.097</v>
      </c>
      <c r="H124" s="101">
        <v>2.21</v>
      </c>
      <c r="I124" s="107">
        <f>(H124-(G124-0.1*H124)/0.9-GasolineMGSData!AG126)*(Y$283/Y124)</f>
        <v>-0.31256372035691665</v>
      </c>
      <c r="J124" s="107">
        <f>AVERAGE(I124:I135)</f>
        <v>-0.3297884728556354</v>
      </c>
      <c r="K124">
        <v>2.0569999999999999</v>
      </c>
      <c r="L124">
        <v>2.04</v>
      </c>
      <c r="M124">
        <v>2.0139999999999998</v>
      </c>
      <c r="N124">
        <v>76.17</v>
      </c>
      <c r="O124" s="1">
        <f t="shared" si="30"/>
        <v>2.9207070428775141</v>
      </c>
      <c r="P124" s="1">
        <f t="shared" si="25"/>
        <v>2.8965689681429896</v>
      </c>
      <c r="Q124" s="1">
        <f t="shared" si="31"/>
        <v>2.8596519126666569</v>
      </c>
      <c r="R124" s="1">
        <f t="shared" si="22"/>
        <v>104.65162593971949</v>
      </c>
      <c r="S124" s="1">
        <f t="shared" si="36"/>
        <v>2.4138074734524562E-2</v>
      </c>
      <c r="T124" s="1">
        <f t="shared" si="37"/>
        <v>6.1055130210857289E-2</v>
      </c>
      <c r="U124" s="1">
        <f t="shared" si="38"/>
        <v>4.2596602472690925E-2</v>
      </c>
      <c r="V124" s="1">
        <f>AVERAGE(S124:T135)</f>
        <v>0.19468181653878211</v>
      </c>
      <c r="W124" s="82">
        <f t="shared" si="32"/>
        <v>-9.4795580722424611E-2</v>
      </c>
      <c r="X124" s="1">
        <f>AVERAGE(W124:W135)</f>
        <v>5.8150392640140068E-2</v>
      </c>
      <c r="Y124">
        <v>216.68700000000001</v>
      </c>
      <c r="Z124" s="1">
        <f t="shared" si="33"/>
        <v>3.3793438303588011E-2</v>
      </c>
      <c r="AA124" s="1">
        <f t="shared" si="34"/>
        <v>8.547752041495936E-2</v>
      </c>
      <c r="AB124" s="1">
        <f t="shared" si="39"/>
        <v>5.9635479359273685E-2</v>
      </c>
      <c r="AC124" s="1">
        <f>AVERAGE(Z124:AA135)</f>
        <v>0.2708011033369902</v>
      </c>
      <c r="AE124" s="1"/>
      <c r="AF124" s="1"/>
    </row>
    <row r="125" spans="1:32">
      <c r="B125" s="63">
        <v>40224</v>
      </c>
      <c r="C125" s="20">
        <v>2</v>
      </c>
      <c r="D125" s="100">
        <f t="shared" si="35"/>
        <v>8.7000000000000188E-2</v>
      </c>
      <c r="E125" s="106">
        <v>2.08</v>
      </c>
      <c r="F125" s="105">
        <v>2.008</v>
      </c>
      <c r="G125" s="108">
        <v>2.0329999999999999</v>
      </c>
      <c r="H125" s="101">
        <v>2.16</v>
      </c>
      <c r="I125" s="107">
        <f>(H125-(G125-0.1*H125)/0.9-GasolineMGSData!AG127)*(Y$283/Y125)</f>
        <v>-0.28217970463634745</v>
      </c>
      <c r="J125" s="107">
        <f t="shared" si="43"/>
        <v>-0.3297884728556354</v>
      </c>
      <c r="K125">
        <v>2.073</v>
      </c>
      <c r="L125">
        <v>1.9630000000000001</v>
      </c>
      <c r="M125">
        <v>1.966</v>
      </c>
      <c r="N125">
        <v>73.75</v>
      </c>
      <c r="O125" s="1">
        <f t="shared" si="30"/>
        <v>2.9426918903207051</v>
      </c>
      <c r="P125" s="1">
        <f t="shared" si="25"/>
        <v>2.7865432613118881</v>
      </c>
      <c r="Q125" s="1">
        <f t="shared" si="31"/>
        <v>2.7908018602848559</v>
      </c>
      <c r="R125" s="1">
        <f t="shared" si="22"/>
        <v>101.30149002726756</v>
      </c>
      <c r="S125" s="1">
        <f t="shared" si="36"/>
        <v>0.15614862900881699</v>
      </c>
      <c r="T125" s="1">
        <f t="shared" si="37"/>
        <v>0.15189003003584922</v>
      </c>
      <c r="U125" s="1">
        <f t="shared" si="38"/>
        <v>0.1540193295223331</v>
      </c>
      <c r="V125" s="1">
        <f>V124</f>
        <v>0.19468181653878211</v>
      </c>
      <c r="W125" s="82">
        <f t="shared" si="32"/>
        <v>1.6661376942987249E-2</v>
      </c>
      <c r="X125" s="1">
        <f t="shared" si="40"/>
        <v>5.8150392640140068E-2</v>
      </c>
      <c r="Y125">
        <v>216.74100000000001</v>
      </c>
      <c r="Z125" s="1">
        <f t="shared" si="33"/>
        <v>0.21855447996457406</v>
      </c>
      <c r="AA125" s="1">
        <f t="shared" si="34"/>
        <v>0.21259390323826746</v>
      </c>
      <c r="AB125" s="1">
        <f t="shared" si="39"/>
        <v>0.21557419160142077</v>
      </c>
      <c r="AC125" s="1">
        <f>AC124</f>
        <v>0.2708011033369902</v>
      </c>
      <c r="AE125" s="1"/>
      <c r="AF125" s="1"/>
    </row>
    <row r="126" spans="1:32">
      <c r="B126" s="63">
        <v>40252</v>
      </c>
      <c r="C126" s="20">
        <v>3</v>
      </c>
      <c r="D126" s="100">
        <f t="shared" si="35"/>
        <v>3.6999999999999922E-2</v>
      </c>
      <c r="E126" s="106">
        <v>2.2330000000000001</v>
      </c>
      <c r="F126" s="105">
        <v>2.1739999999999999</v>
      </c>
      <c r="G126" s="108">
        <v>2.1970000000000001</v>
      </c>
      <c r="H126" s="101">
        <v>2.294</v>
      </c>
      <c r="I126" s="107">
        <f>(H126-(G126-0.1*H126)/0.9-GasolineMGSData!AG128)*(Y$283/Y126)</f>
        <v>-0.34071052551682895</v>
      </c>
      <c r="J126" s="107">
        <f t="shared" si="43"/>
        <v>-0.3297884728556354</v>
      </c>
      <c r="K126">
        <v>2.2570000000000001</v>
      </c>
      <c r="L126">
        <v>2.14</v>
      </c>
      <c r="M126">
        <v>2.137</v>
      </c>
      <c r="N126">
        <v>78.83</v>
      </c>
      <c r="O126" s="1">
        <f t="shared" si="30"/>
        <v>3.1907836980944815</v>
      </c>
      <c r="P126" s="1">
        <f t="shared" si="25"/>
        <v>3.0253775427213956</v>
      </c>
      <c r="Q126" s="1">
        <f t="shared" si="31"/>
        <v>3.0211363592502907</v>
      </c>
      <c r="R126" s="1">
        <f t="shared" si="22"/>
        <v>107.8364669095855</v>
      </c>
      <c r="S126" s="1">
        <f t="shared" si="36"/>
        <v>0.16540615537308589</v>
      </c>
      <c r="T126" s="1">
        <f t="shared" si="37"/>
        <v>0.16964733884419081</v>
      </c>
      <c r="U126" s="1">
        <f t="shared" si="38"/>
        <v>0.16752674710863835</v>
      </c>
      <c r="V126" s="1">
        <f t="shared" ref="V126:V135" si="44">V125</f>
        <v>0.19468181653878211</v>
      </c>
      <c r="W126" s="82">
        <f t="shared" si="32"/>
        <v>3.0730518630158715E-2</v>
      </c>
      <c r="X126" s="1">
        <f t="shared" si="40"/>
        <v>5.8150392640140068E-2</v>
      </c>
      <c r="Y126">
        <v>217.631</v>
      </c>
      <c r="Z126" s="1">
        <f t="shared" si="33"/>
        <v>0.23056507350720007</v>
      </c>
      <c r="AA126" s="1">
        <f t="shared" si="34"/>
        <v>0.23647699846892334</v>
      </c>
      <c r="AB126" s="1">
        <f t="shared" si="39"/>
        <v>0.2335210359880617</v>
      </c>
      <c r="AC126" s="1">
        <f t="shared" ref="AC126:AC135" si="45">AC125</f>
        <v>0.2708011033369902</v>
      </c>
      <c r="AE126" s="1"/>
      <c r="AF126" s="1"/>
    </row>
    <row r="127" spans="1:32">
      <c r="B127" s="63">
        <v>40283</v>
      </c>
      <c r="C127" s="20">
        <v>4</v>
      </c>
      <c r="D127" s="100">
        <f t="shared" si="35"/>
        <v>8.0000000000000071E-3</v>
      </c>
      <c r="E127" s="106">
        <v>2.2679999999999998</v>
      </c>
      <c r="F127" s="105">
        <v>2.2480000000000002</v>
      </c>
      <c r="G127" s="108">
        <v>2.2650000000000001</v>
      </c>
      <c r="H127" s="101">
        <v>2.3149999999999999</v>
      </c>
      <c r="I127" s="107">
        <f>(H127-(G127-0.1*H127)/0.9-GasolineMGSData!AG129)*(Y$283/Y127)</f>
        <v>-0.41679419775633397</v>
      </c>
      <c r="J127" s="107">
        <f t="shared" si="43"/>
        <v>-0.3297884728556354</v>
      </c>
      <c r="K127">
        <v>2.3069999999999999</v>
      </c>
      <c r="L127">
        <v>2.2269999999999999</v>
      </c>
      <c r="M127">
        <v>2.1909999999999998</v>
      </c>
      <c r="N127">
        <v>84.82</v>
      </c>
      <c r="O127" s="1">
        <f t="shared" si="30"/>
        <v>3.255815113137531</v>
      </c>
      <c r="P127" s="1">
        <f t="shared" si="25"/>
        <v>3.1429129852437283</v>
      </c>
      <c r="Q127" s="1">
        <f t="shared" si="31"/>
        <v>3.0921070276915175</v>
      </c>
      <c r="R127" s="1">
        <f t="shared" si="22"/>
        <v>115.82937869537497</v>
      </c>
      <c r="S127" s="1">
        <f t="shared" si="36"/>
        <v>0.11290212789380272</v>
      </c>
      <c r="T127" s="1">
        <f t="shared" si="37"/>
        <v>0.16370808544601356</v>
      </c>
      <c r="U127" s="1">
        <f t="shared" si="38"/>
        <v>0.13830510666990814</v>
      </c>
      <c r="V127" s="1">
        <f t="shared" si="44"/>
        <v>0.19468181653878211</v>
      </c>
      <c r="W127" s="82">
        <f t="shared" si="32"/>
        <v>1.7460655294047334E-3</v>
      </c>
      <c r="X127" s="1">
        <f t="shared" si="40"/>
        <v>5.8150392640140068E-2</v>
      </c>
      <c r="Y127">
        <v>218.00899999999999</v>
      </c>
      <c r="Z127" s="1">
        <f t="shared" si="33"/>
        <v>0.15710511136809802</v>
      </c>
      <c r="AA127" s="1">
        <f t="shared" si="34"/>
        <v>0.22780241148374158</v>
      </c>
      <c r="AB127" s="1">
        <f t="shared" si="39"/>
        <v>0.1924537614259198</v>
      </c>
      <c r="AC127" s="1">
        <f t="shared" si="45"/>
        <v>0.2708011033369902</v>
      </c>
      <c r="AE127" s="1"/>
      <c r="AF127" s="1"/>
    </row>
    <row r="128" spans="1:32">
      <c r="B128" s="63">
        <v>40313</v>
      </c>
      <c r="C128" s="20">
        <v>5</v>
      </c>
      <c r="D128" s="100">
        <f t="shared" si="35"/>
        <v>0.14499999999999957</v>
      </c>
      <c r="E128" s="106">
        <v>2.1589999999999998</v>
      </c>
      <c r="F128" s="105">
        <v>2.113</v>
      </c>
      <c r="G128" s="108">
        <v>2.1520000000000001</v>
      </c>
      <c r="H128" s="101">
        <v>2.2599999999999998</v>
      </c>
      <c r="I128" s="107">
        <f>(H128-(G128-0.1*H128)/0.9-GasolineMGSData!AG130)*(Y$283/Y128)</f>
        <v>-0.32674759747094723</v>
      </c>
      <c r="J128" s="107">
        <f t="shared" si="43"/>
        <v>-0.3297884728556354</v>
      </c>
      <c r="K128">
        <v>2.1150000000000002</v>
      </c>
      <c r="L128">
        <v>2.0190000000000001</v>
      </c>
      <c r="M128">
        <v>1.9890000000000001</v>
      </c>
      <c r="N128">
        <v>75.95</v>
      </c>
      <c r="O128" s="1">
        <f t="shared" si="30"/>
        <v>2.982537950664137</v>
      </c>
      <c r="P128" s="1">
        <f t="shared" si="25"/>
        <v>2.8471603415559774</v>
      </c>
      <c r="Q128" s="1">
        <f t="shared" si="31"/>
        <v>2.8048548387096774</v>
      </c>
      <c r="R128" s="1">
        <f t="shared" si="22"/>
        <v>103.63625319693095</v>
      </c>
      <c r="S128" s="1">
        <f t="shared" si="36"/>
        <v>0.13537760910815955</v>
      </c>
      <c r="T128" s="1">
        <f t="shared" si="37"/>
        <v>0.17768311195445952</v>
      </c>
      <c r="U128" s="1">
        <f t="shared" si="38"/>
        <v>0.15653036053130953</v>
      </c>
      <c r="V128" s="1">
        <f t="shared" si="44"/>
        <v>0.19468181653878211</v>
      </c>
      <c r="W128" s="82">
        <f t="shared" si="32"/>
        <v>2.0077097599208199E-2</v>
      </c>
      <c r="X128" s="1">
        <f t="shared" si="40"/>
        <v>5.8150392640140068E-2</v>
      </c>
      <c r="Y128">
        <v>218.178</v>
      </c>
      <c r="Z128" s="1">
        <f t="shared" si="33"/>
        <v>0.18823418324431704</v>
      </c>
      <c r="AA128" s="1">
        <f t="shared" si="34"/>
        <v>0.24705736550816626</v>
      </c>
      <c r="AB128" s="1">
        <f t="shared" si="39"/>
        <v>0.21764577437624166</v>
      </c>
      <c r="AC128" s="1">
        <f t="shared" si="45"/>
        <v>0.2708011033369902</v>
      </c>
      <c r="AE128" s="1"/>
      <c r="AF128" s="1"/>
    </row>
    <row r="129" spans="1:32">
      <c r="A129">
        <f>A117+1</f>
        <v>2010</v>
      </c>
      <c r="B129" s="63">
        <v>40344</v>
      </c>
      <c r="C129" s="20">
        <v>6</v>
      </c>
      <c r="D129" s="100">
        <f t="shared" si="35"/>
        <v>4.4999999999999929E-2</v>
      </c>
      <c r="E129" s="106">
        <v>2.2530000000000001</v>
      </c>
      <c r="F129" s="105">
        <v>2.09</v>
      </c>
      <c r="G129" s="108">
        <v>2.113</v>
      </c>
      <c r="H129" s="101">
        <v>2.2999999999999998</v>
      </c>
      <c r="I129" s="107">
        <f>(H129-(G129-0.1*H129)/0.9-GasolineMGSData!AG131)*(Y$283/Y129)</f>
        <v>-0.20454449341904937</v>
      </c>
      <c r="J129" s="107">
        <f t="shared" si="43"/>
        <v>-0.3297884728556354</v>
      </c>
      <c r="K129">
        <v>2.2549999999999999</v>
      </c>
      <c r="L129">
        <v>2.0139999999999998</v>
      </c>
      <c r="M129">
        <v>1.9690000000000001</v>
      </c>
      <c r="N129">
        <v>74.760000000000005</v>
      </c>
      <c r="O129" s="1">
        <f t="shared" si="30"/>
        <v>3.1830711582134743</v>
      </c>
      <c r="P129" s="1">
        <f t="shared" si="25"/>
        <v>2.8428848393090629</v>
      </c>
      <c r="Q129" s="1">
        <f t="shared" si="31"/>
        <v>2.779364572293717</v>
      </c>
      <c r="R129" s="1">
        <f t="shared" si="22"/>
        <v>102.11214809717157</v>
      </c>
      <c r="S129" s="1">
        <f t="shared" si="36"/>
        <v>0.34018631890441142</v>
      </c>
      <c r="T129" s="1">
        <f t="shared" si="37"/>
        <v>0.40370658591975728</v>
      </c>
      <c r="U129" s="1">
        <f t="shared" si="38"/>
        <v>0.37194645241208435</v>
      </c>
      <c r="V129" s="1">
        <f t="shared" si="44"/>
        <v>0.19468181653878211</v>
      </c>
      <c r="W129" s="82">
        <f t="shared" si="32"/>
        <v>0.23535984447044234</v>
      </c>
      <c r="X129" s="1">
        <f t="shared" si="40"/>
        <v>5.8150392640140068E-2</v>
      </c>
      <c r="Y129">
        <v>217.965</v>
      </c>
      <c r="Z129" s="1">
        <f t="shared" si="33"/>
        <v>0.4734702464239624</v>
      </c>
      <c r="AA129" s="1">
        <f t="shared" si="34"/>
        <v>0.56187755384752291</v>
      </c>
      <c r="AB129" s="1">
        <f t="shared" si="39"/>
        <v>0.51767390013574266</v>
      </c>
      <c r="AC129" s="1">
        <f t="shared" si="45"/>
        <v>0.2708011033369902</v>
      </c>
      <c r="AE129" s="1"/>
      <c r="AF129" s="1"/>
    </row>
    <row r="130" spans="1:32">
      <c r="B130" s="63">
        <v>40374</v>
      </c>
      <c r="C130" s="20">
        <v>7</v>
      </c>
      <c r="D130" s="100">
        <f t="shared" si="35"/>
        <v>4.2999999999999705E-2</v>
      </c>
      <c r="E130" s="106">
        <v>2.2669999999999999</v>
      </c>
      <c r="F130" s="105">
        <v>2.085</v>
      </c>
      <c r="G130" s="108">
        <v>2.113</v>
      </c>
      <c r="H130" s="101">
        <v>2.3239999999999998</v>
      </c>
      <c r="I130" s="107">
        <f>(H130-(G130-0.1*H130)/0.9-GasolineMGSData!AG132)*(Y$283/Y130)</f>
        <v>-0.22315712838667379</v>
      </c>
      <c r="J130" s="107">
        <f t="shared" si="43"/>
        <v>-0.3297884728556354</v>
      </c>
      <c r="K130">
        <v>2.2810000000000001</v>
      </c>
      <c r="L130">
        <v>1.9950000000000001</v>
      </c>
      <c r="M130">
        <v>1.9730000000000001</v>
      </c>
      <c r="N130">
        <v>75.58</v>
      </c>
      <c r="O130" s="1">
        <f t="shared" si="30"/>
        <v>3.2190923898335408</v>
      </c>
      <c r="P130" s="1">
        <f t="shared" si="25"/>
        <v>2.8154709854089934</v>
      </c>
      <c r="Q130" s="1">
        <f t="shared" si="31"/>
        <v>2.7844231850686434</v>
      </c>
      <c r="R130" s="1">
        <f t="shared" si="22"/>
        <v>103.21037644889479</v>
      </c>
      <c r="S130" s="1">
        <f t="shared" si="36"/>
        <v>0.40362140442454741</v>
      </c>
      <c r="T130" s="1">
        <f t="shared" si="37"/>
        <v>0.43466920476489745</v>
      </c>
      <c r="U130" s="1">
        <f t="shared" si="38"/>
        <v>0.41914530459472243</v>
      </c>
      <c r="V130" s="1">
        <f t="shared" si="44"/>
        <v>0.19468181653878211</v>
      </c>
      <c r="W130" s="82">
        <f t="shared" si="32"/>
        <v>0.28258751622624556</v>
      </c>
      <c r="X130" s="1">
        <f t="shared" si="40"/>
        <v>5.8150392640140068E-2</v>
      </c>
      <c r="Y130">
        <v>218.011</v>
      </c>
      <c r="Z130" s="1">
        <f t="shared" si="33"/>
        <v>0.56164046818942159</v>
      </c>
      <c r="AA130" s="1">
        <f t="shared" si="34"/>
        <v>0.60484358112706971</v>
      </c>
      <c r="AB130" s="1">
        <f t="shared" si="39"/>
        <v>0.58324202465824571</v>
      </c>
      <c r="AC130" s="1">
        <f t="shared" si="45"/>
        <v>0.2708011033369902</v>
      </c>
      <c r="AE130" s="1"/>
      <c r="AF130" s="1"/>
    </row>
    <row r="131" spans="1:32">
      <c r="B131" s="63">
        <v>40405</v>
      </c>
      <c r="C131" s="20">
        <v>8</v>
      </c>
      <c r="D131" s="100">
        <f t="shared" si="35"/>
        <v>0.12000000000000011</v>
      </c>
      <c r="E131" s="106">
        <v>2.2269999999999999</v>
      </c>
      <c r="F131" s="105">
        <v>2.0670000000000002</v>
      </c>
      <c r="G131" s="108">
        <v>2.0950000000000002</v>
      </c>
      <c r="H131" s="101">
        <v>2.298</v>
      </c>
      <c r="I131" s="107">
        <f>(H131-(G131-0.1*H131)/0.9-GasolineMGSData!AG133)*(Y$283/Y131)</f>
        <v>-0.23597891065030197</v>
      </c>
      <c r="J131" s="107">
        <f t="shared" si="43"/>
        <v>-0.3297884728556354</v>
      </c>
      <c r="K131">
        <v>2.1779999999999999</v>
      </c>
      <c r="L131">
        <v>1.9430000000000001</v>
      </c>
      <c r="M131">
        <v>1.9279999999999999</v>
      </c>
      <c r="N131">
        <v>77.040000000000006</v>
      </c>
      <c r="O131" s="1">
        <f t="shared" si="30"/>
        <v>3.0694942925720983</v>
      </c>
      <c r="P131" s="1">
        <f t="shared" si="25"/>
        <v>2.7383045961742822</v>
      </c>
      <c r="Q131" s="1">
        <f t="shared" si="31"/>
        <v>2.7171648283191026</v>
      </c>
      <c r="R131" s="1">
        <f t="shared" si="22"/>
        <v>105.05906885558284</v>
      </c>
      <c r="S131" s="1">
        <f t="shared" si="36"/>
        <v>0.33118969639781604</v>
      </c>
      <c r="T131" s="1">
        <f t="shared" si="37"/>
        <v>0.35232946425299572</v>
      </c>
      <c r="U131" s="1">
        <f t="shared" si="38"/>
        <v>0.34175958032540588</v>
      </c>
      <c r="V131" s="1">
        <f t="shared" si="44"/>
        <v>0.19468181653878211</v>
      </c>
      <c r="W131" s="82">
        <f t="shared" si="32"/>
        <v>0.20539007246509586</v>
      </c>
      <c r="X131" s="1">
        <f t="shared" si="40"/>
        <v>5.8150392640140068E-2</v>
      </c>
      <c r="Y131">
        <v>218.31200000000001</v>
      </c>
      <c r="Z131" s="1">
        <f t="shared" si="33"/>
        <v>0.4602161121162861</v>
      </c>
      <c r="AA131" s="1">
        <f t="shared" si="34"/>
        <v>0.48959160863434686</v>
      </c>
      <c r="AB131" s="1">
        <f t="shared" si="39"/>
        <v>0.47490386037531651</v>
      </c>
      <c r="AC131" s="1">
        <f t="shared" si="45"/>
        <v>0.2708011033369902</v>
      </c>
      <c r="AE131" s="1"/>
      <c r="AF131" s="1"/>
    </row>
    <row r="132" spans="1:32">
      <c r="B132" s="63">
        <v>40436</v>
      </c>
      <c r="C132" s="20">
        <v>9</v>
      </c>
      <c r="D132" s="100">
        <f t="shared" si="35"/>
        <v>0.10999999999999988</v>
      </c>
      <c r="E132" s="106">
        <v>2.1179999999999999</v>
      </c>
      <c r="F132" s="105">
        <v>2.073</v>
      </c>
      <c r="G132" s="108">
        <v>2.0880000000000001</v>
      </c>
      <c r="H132" s="101">
        <v>2.1789999999999998</v>
      </c>
      <c r="I132" s="107">
        <f>(H132-(G132-0.1*H132)/0.9-GasolineMGSData!AG134)*(Y$283/Y132)</f>
        <v>-0.40269294356001067</v>
      </c>
      <c r="J132" s="107">
        <f t="shared" si="43"/>
        <v>-0.3297884728556354</v>
      </c>
      <c r="K132">
        <v>2.069</v>
      </c>
      <c r="L132">
        <v>1.9690000000000001</v>
      </c>
      <c r="M132">
        <v>1.95</v>
      </c>
      <c r="N132">
        <v>77.84</v>
      </c>
      <c r="O132" s="1">
        <f t="shared" si="30"/>
        <v>2.914183360114265</v>
      </c>
      <c r="P132" s="1">
        <f t="shared" si="25"/>
        <v>2.7733335118728801</v>
      </c>
      <c r="Q132" s="1">
        <f t="shared" si="31"/>
        <v>2.7465720407070164</v>
      </c>
      <c r="R132" s="1">
        <f t="shared" ref="R132:R195" si="46">N132*($Y$278/Y132)</f>
        <v>106.08830950517078</v>
      </c>
      <c r="S132" s="1">
        <f t="shared" si="36"/>
        <v>0.14084984824138491</v>
      </c>
      <c r="T132" s="1">
        <f t="shared" si="37"/>
        <v>0.1676113194072486</v>
      </c>
      <c r="U132" s="1">
        <f t="shared" si="38"/>
        <v>0.15423058382431676</v>
      </c>
      <c r="V132" s="1">
        <f t="shared" si="44"/>
        <v>0.19468181653878211</v>
      </c>
      <c r="W132" s="82">
        <f t="shared" si="32"/>
        <v>1.7940360924559834E-2</v>
      </c>
      <c r="X132" s="1">
        <f t="shared" si="40"/>
        <v>5.8150392640140068E-2</v>
      </c>
      <c r="Y132">
        <v>218.43899999999999</v>
      </c>
      <c r="Z132" s="1">
        <f t="shared" si="33"/>
        <v>0.19560899158140832</v>
      </c>
      <c r="AA132" s="1">
        <f t="shared" si="34"/>
        <v>0.23277469998187669</v>
      </c>
      <c r="AB132" s="1">
        <f t="shared" si="39"/>
        <v>0.21419184578164252</v>
      </c>
      <c r="AC132" s="1">
        <f t="shared" si="45"/>
        <v>0.2708011033369902</v>
      </c>
      <c r="AE132" s="1"/>
      <c r="AF132" s="1"/>
    </row>
    <row r="133" spans="1:32">
      <c r="B133" s="63">
        <v>40466</v>
      </c>
      <c r="C133" s="20">
        <v>10</v>
      </c>
      <c r="D133" s="100">
        <f t="shared" si="35"/>
        <v>4.7000000000000153E-2</v>
      </c>
      <c r="E133" s="106">
        <v>2.2789999999999999</v>
      </c>
      <c r="F133" s="105">
        <v>2.1840000000000002</v>
      </c>
      <c r="G133" s="108">
        <v>2.198</v>
      </c>
      <c r="H133" s="101">
        <v>2.306</v>
      </c>
      <c r="I133" s="107">
        <f>(H133-(G133-0.1*H133)/0.9-GasolineMGSData!AG135)*(Y$283/Y133)</f>
        <v>-0.3799217230765119</v>
      </c>
      <c r="J133" s="107">
        <f t="shared" si="43"/>
        <v>-0.3297884728556354</v>
      </c>
      <c r="K133">
        <v>2.2589999999999999</v>
      </c>
      <c r="L133">
        <v>2.1640000000000001</v>
      </c>
      <c r="M133">
        <v>2.0710000000000002</v>
      </c>
      <c r="N133">
        <v>82.67</v>
      </c>
      <c r="O133" s="1">
        <f t="shared" si="30"/>
        <v>3.1778410276575015</v>
      </c>
      <c r="P133" s="1">
        <f t="shared" si="25"/>
        <v>3.0442000813859385</v>
      </c>
      <c r="Q133" s="1">
        <f t="shared" si="31"/>
        <v>2.9133726287200914</v>
      </c>
      <c r="R133" s="1">
        <f t="shared" si="46"/>
        <v>112.53100379039006</v>
      </c>
      <c r="S133" s="1">
        <f t="shared" si="36"/>
        <v>0.13364094627156309</v>
      </c>
      <c r="T133" s="1">
        <f t="shared" si="37"/>
        <v>0.26446839893741014</v>
      </c>
      <c r="U133" s="1">
        <f t="shared" si="38"/>
        <v>0.19905467260448662</v>
      </c>
      <c r="V133" s="1">
        <f t="shared" si="44"/>
        <v>0.19468181653878211</v>
      </c>
      <c r="W133" s="82">
        <f t="shared" si="32"/>
        <v>6.29339470808504E-2</v>
      </c>
      <c r="X133" s="1">
        <f t="shared" si="40"/>
        <v>5.8150392640140068E-2</v>
      </c>
      <c r="Y133">
        <v>218.71100000000001</v>
      </c>
      <c r="Z133" s="1">
        <f t="shared" si="33"/>
        <v>0.185366617974314</v>
      </c>
      <c r="AA133" s="1">
        <f t="shared" si="34"/>
        <v>0.36683078083338078</v>
      </c>
      <c r="AB133" s="1">
        <f t="shared" si="39"/>
        <v>0.2760986994038474</v>
      </c>
      <c r="AC133" s="1">
        <f t="shared" si="45"/>
        <v>0.2708011033369902</v>
      </c>
      <c r="AE133" s="1"/>
      <c r="AF133" s="1"/>
    </row>
    <row r="134" spans="1:32">
      <c r="B134" s="63">
        <v>40497</v>
      </c>
      <c r="C134" s="20">
        <v>11</v>
      </c>
      <c r="D134" s="100">
        <f t="shared" si="35"/>
        <v>9.6000000000000085E-2</v>
      </c>
      <c r="E134" s="106">
        <v>2.2869999999999999</v>
      </c>
      <c r="F134" s="105">
        <v>2.2269999999999999</v>
      </c>
      <c r="G134" s="108">
        <v>2.2429999999999999</v>
      </c>
      <c r="H134" s="101">
        <v>2.3410000000000002</v>
      </c>
      <c r="I134" s="107">
        <f>(H134-(G134-0.1*H134)/0.9-GasolineMGSData!AG136)*(Y$283/Y134)</f>
        <v>-0.39802812172887914</v>
      </c>
      <c r="J134" s="107">
        <f t="shared" si="43"/>
        <v>-0.3297884728556354</v>
      </c>
      <c r="K134">
        <v>2.2450000000000001</v>
      </c>
      <c r="L134">
        <v>2.2440000000000002</v>
      </c>
      <c r="M134">
        <v>2.1150000000000002</v>
      </c>
      <c r="N134">
        <v>85.28</v>
      </c>
      <c r="O134" s="1">
        <f t="shared" si="30"/>
        <v>3.1568186679341692</v>
      </c>
      <c r="P134" s="1">
        <f t="shared" si="25"/>
        <v>3.1554125126255124</v>
      </c>
      <c r="Q134" s="1">
        <f t="shared" si="31"/>
        <v>2.9740184778088055</v>
      </c>
      <c r="R134" s="1">
        <f t="shared" si="46"/>
        <v>116.034945041887</v>
      </c>
      <c r="S134" s="1">
        <f t="shared" si="36"/>
        <v>1.4061553086568424E-3</v>
      </c>
      <c r="T134" s="1">
        <f t="shared" si="37"/>
        <v>0.18280019012536375</v>
      </c>
      <c r="U134" s="1">
        <f t="shared" si="38"/>
        <v>9.2103172717010295E-2</v>
      </c>
      <c r="V134" s="1">
        <f t="shared" si="44"/>
        <v>0.19468181653878211</v>
      </c>
      <c r="W134" s="82">
        <f t="shared" si="32"/>
        <v>-4.396031818576529E-2</v>
      </c>
      <c r="X134" s="1">
        <f t="shared" si="40"/>
        <v>5.8150392640140068E-2</v>
      </c>
      <c r="Y134">
        <v>218.803</v>
      </c>
      <c r="Z134" s="1">
        <f t="shared" si="33"/>
        <v>1.9495870390262733E-3</v>
      </c>
      <c r="AA134" s="1">
        <f t="shared" si="34"/>
        <v>0.25344631507337984</v>
      </c>
      <c r="AB134" s="1">
        <f t="shared" si="39"/>
        <v>0.12769795105620305</v>
      </c>
      <c r="AC134" s="1">
        <f t="shared" si="45"/>
        <v>0.2708011033369902</v>
      </c>
      <c r="AE134" s="1"/>
      <c r="AF134" s="1"/>
    </row>
    <row r="135" spans="1:32">
      <c r="A135" s="64"/>
      <c r="B135" s="63">
        <v>40527</v>
      </c>
      <c r="C135" s="20">
        <v>12</v>
      </c>
      <c r="D135" s="100">
        <f t="shared" si="35"/>
        <v>4.0000000000000036E-2</v>
      </c>
      <c r="E135" s="106">
        <v>2.41</v>
      </c>
      <c r="F135" s="105">
        <v>2.37</v>
      </c>
      <c r="G135" s="108">
        <v>2.383</v>
      </c>
      <c r="H135" s="101">
        <v>2.46</v>
      </c>
      <c r="I135" s="107">
        <f>(H135-(G135-0.1*H135)/0.9-GasolineMGSData!AG137)*(Y$283/Y135)</f>
        <v>-0.43414260770882313</v>
      </c>
      <c r="J135" s="107">
        <f t="shared" si="43"/>
        <v>-0.3297884728556354</v>
      </c>
      <c r="K135">
        <v>2.42</v>
      </c>
      <c r="L135">
        <v>2.3889999999999998</v>
      </c>
      <c r="M135">
        <v>2.31</v>
      </c>
      <c r="N135">
        <v>91.45</v>
      </c>
      <c r="O135" s="1">
        <f t="shared" si="30"/>
        <v>3.3970582035687724</v>
      </c>
      <c r="P135" s="1">
        <f t="shared" si="25"/>
        <v>3.353542168729668</v>
      </c>
      <c r="Q135" s="1">
        <f t="shared" si="31"/>
        <v>3.2426464670429191</v>
      </c>
      <c r="R135" s="1">
        <f t="shared" si="46"/>
        <v>124.21660355234762</v>
      </c>
      <c r="S135" s="1">
        <f t="shared" si="36"/>
        <v>4.3516034839104378E-2</v>
      </c>
      <c r="T135" s="1">
        <f t="shared" si="37"/>
        <v>0.15441173652585327</v>
      </c>
      <c r="U135" s="1">
        <f t="shared" si="38"/>
        <v>9.8963885682478825E-2</v>
      </c>
      <c r="V135" s="1">
        <f t="shared" si="44"/>
        <v>0.19468181653878211</v>
      </c>
      <c r="W135" s="82">
        <f t="shared" si="32"/>
        <v>-3.6866189279082279E-2</v>
      </c>
      <c r="X135" s="1">
        <f t="shared" si="40"/>
        <v>5.8150392640140068E-2</v>
      </c>
      <c r="Y135">
        <v>219.179</v>
      </c>
      <c r="Z135" s="1">
        <f t="shared" si="33"/>
        <v>6.0230016912638622E-2</v>
      </c>
      <c r="AA135" s="1">
        <f t="shared" si="34"/>
        <v>0.21371941485129697</v>
      </c>
      <c r="AB135" s="1">
        <f t="shared" si="39"/>
        <v>0.1369747158819678</v>
      </c>
      <c r="AC135" s="1">
        <f t="shared" si="45"/>
        <v>0.2708011033369902</v>
      </c>
      <c r="AE135" s="1"/>
      <c r="AF135" s="1"/>
    </row>
    <row r="136" spans="1:32">
      <c r="A136" s="64" t="s">
        <v>39</v>
      </c>
      <c r="B136" s="63">
        <v>40558</v>
      </c>
      <c r="C136" s="20">
        <v>1</v>
      </c>
      <c r="D136" s="100">
        <f t="shared" si="35"/>
        <v>8.6999999999999744E-2</v>
      </c>
      <c r="E136" s="106">
        <v>2.468</v>
      </c>
      <c r="F136" s="105">
        <v>2.4529999999999998</v>
      </c>
      <c r="G136" s="108">
        <v>2.472</v>
      </c>
      <c r="H136" s="101">
        <v>2.5339999999999998</v>
      </c>
      <c r="I136" s="107">
        <f>(H136-(G136-0.1*H136)/0.9-GasolineMGSData!AG138)*(Y$283/Y136)</f>
        <v>-0.45029215004702611</v>
      </c>
      <c r="J136" s="107">
        <f>AVERAGE(I136:I147)</f>
        <v>-0.4080228798779067</v>
      </c>
      <c r="K136">
        <v>2.4470000000000001</v>
      </c>
      <c r="L136">
        <v>2.448</v>
      </c>
      <c r="M136">
        <v>2.39</v>
      </c>
      <c r="N136">
        <v>96.52</v>
      </c>
      <c r="O136" s="1">
        <f t="shared" si="30"/>
        <v>3.4186753290982317</v>
      </c>
      <c r="P136" s="1">
        <f t="shared" si="25"/>
        <v>3.4200724175040746</v>
      </c>
      <c r="Q136" s="1">
        <f t="shared" si="31"/>
        <v>3.3390412899651714</v>
      </c>
      <c r="R136" s="1">
        <f t="shared" si="46"/>
        <v>130.48167412123166</v>
      </c>
      <c r="S136" s="1">
        <f t="shared" si="36"/>
        <v>-1.3970884058429611E-3</v>
      </c>
      <c r="T136" s="1">
        <f t="shared" si="37"/>
        <v>7.963403913306033E-2</v>
      </c>
      <c r="U136" s="1">
        <f t="shared" si="38"/>
        <v>3.9118475363608685E-2</v>
      </c>
      <c r="V136" s="1">
        <f>AVERAGE(S136:T147)</f>
        <v>0.17055108344374856</v>
      </c>
      <c r="W136" s="82">
        <f t="shared" si="32"/>
        <v>-9.6067676854824452E-2</v>
      </c>
      <c r="X136" s="1">
        <f>AVERAGE(W136:W147)</f>
        <v>3.8188048019052512E-2</v>
      </c>
      <c r="Y136">
        <v>220.22300000000001</v>
      </c>
      <c r="Z136" s="1">
        <f t="shared" si="33"/>
        <v>-1.9245261851020929E-3</v>
      </c>
      <c r="AA136" s="1">
        <f t="shared" si="34"/>
        <v>0.1096979925508352</v>
      </c>
      <c r="AB136" s="1">
        <f t="shared" si="39"/>
        <v>5.3886733182866554E-2</v>
      </c>
      <c r="AC136" s="1">
        <f>AVERAGE(Z136:AA147)</f>
        <v>0.23030512503344172</v>
      </c>
      <c r="AE136" s="1"/>
      <c r="AF136" s="1"/>
    </row>
    <row r="137" spans="1:32">
      <c r="B137" s="63">
        <v>40589</v>
      </c>
      <c r="C137" s="20">
        <v>2</v>
      </c>
      <c r="D137" s="100">
        <f t="shared" si="35"/>
        <v>-3.2999999999999918E-2</v>
      </c>
      <c r="E137" s="106">
        <v>2.7029999999999998</v>
      </c>
      <c r="F137" s="105">
        <v>2.5670000000000002</v>
      </c>
      <c r="G137" s="108">
        <v>2.5840000000000001</v>
      </c>
      <c r="H137" s="101">
        <v>2.7250000000000001</v>
      </c>
      <c r="I137" s="107">
        <f>(H137-(G137-0.1*H137)/0.9-GasolineMGSData!AG139)*(Y$283/Y137)</f>
        <v>-0.33677269815366745</v>
      </c>
      <c r="J137" s="107">
        <f t="shared" si="43"/>
        <v>-0.4080228798779067</v>
      </c>
      <c r="K137">
        <v>2.758</v>
      </c>
      <c r="L137">
        <v>2.5579999999999998</v>
      </c>
      <c r="M137">
        <v>2.5110000000000001</v>
      </c>
      <c r="N137">
        <v>103.72</v>
      </c>
      <c r="O137" s="1">
        <f t="shared" si="30"/>
        <v>3.8342616793713766</v>
      </c>
      <c r="P137" s="1">
        <f t="shared" si="25"/>
        <v>3.556215147147201</v>
      </c>
      <c r="Q137" s="1">
        <f t="shared" si="31"/>
        <v>3.4908742120745204</v>
      </c>
      <c r="R137" s="1">
        <f t="shared" si="46"/>
        <v>139.52701842220605</v>
      </c>
      <c r="S137" s="1">
        <f t="shared" si="36"/>
        <v>0.27804653222417564</v>
      </c>
      <c r="T137" s="1">
        <f t="shared" si="37"/>
        <v>0.34338746729685621</v>
      </c>
      <c r="U137" s="1">
        <f t="shared" si="38"/>
        <v>0.31071699976051592</v>
      </c>
      <c r="V137" s="1">
        <f>V136</f>
        <v>0.17055108344374856</v>
      </c>
      <c r="W137" s="82">
        <f t="shared" si="32"/>
        <v>0.17619422843174029</v>
      </c>
      <c r="X137" s="1">
        <f t="shared" si="40"/>
        <v>3.8188048019052512E-2</v>
      </c>
      <c r="Y137">
        <v>221.309</v>
      </c>
      <c r="Z137" s="1">
        <f t="shared" si="33"/>
        <v>0.3811369178620056</v>
      </c>
      <c r="AA137" s="1">
        <f t="shared" si="34"/>
        <v>0.47070409355957593</v>
      </c>
      <c r="AB137" s="1">
        <f t="shared" si="39"/>
        <v>0.42592050571079076</v>
      </c>
      <c r="AC137" s="1">
        <f>AC136</f>
        <v>0.23030512503344172</v>
      </c>
      <c r="AE137" s="1"/>
      <c r="AF137" s="1"/>
    </row>
    <row r="138" spans="1:32">
      <c r="B138" s="63">
        <v>40617</v>
      </c>
      <c r="C138" s="20">
        <v>3</v>
      </c>
      <c r="D138" s="100">
        <f t="shared" si="35"/>
        <v>-2.4999999999999911E-2</v>
      </c>
      <c r="E138" s="4"/>
      <c r="F138" s="105">
        <v>2.911</v>
      </c>
      <c r="G138" s="108">
        <v>2.9340000000000002</v>
      </c>
      <c r="H138" s="101">
        <v>3.1280000000000001</v>
      </c>
      <c r="I138" s="107">
        <f>(H138-(G138-0.1*H138)/0.9-GasolineMGSData!AG140)*(Y$283/Y138)</f>
        <v>-0.27380310482599179</v>
      </c>
      <c r="J138" s="107">
        <f t="shared" si="43"/>
        <v>-0.4080228798779067</v>
      </c>
      <c r="K138">
        <v>3.153</v>
      </c>
      <c r="L138">
        <v>2.8380000000000001</v>
      </c>
      <c r="M138">
        <v>2.859</v>
      </c>
      <c r="N138">
        <v>114.64</v>
      </c>
      <c r="O138" s="1">
        <f t="shared" si="30"/>
        <v>4.3410734605109482</v>
      </c>
      <c r="P138" s="1">
        <f t="shared" si="25"/>
        <v>3.9073791566540024</v>
      </c>
      <c r="Q138" s="1">
        <f t="shared" si="31"/>
        <v>3.9362921102444655</v>
      </c>
      <c r="R138" s="1">
        <f t="shared" si="46"/>
        <v>152.72764676663667</v>
      </c>
      <c r="S138" s="1">
        <f t="shared" si="36"/>
        <v>0.43369430385694585</v>
      </c>
      <c r="T138" s="1">
        <f t="shared" si="37"/>
        <v>0.40478135026648276</v>
      </c>
      <c r="U138" s="1">
        <f t="shared" si="38"/>
        <v>0.41923782706171431</v>
      </c>
      <c r="V138" s="1">
        <f t="shared" ref="V138:V147" si="47">V137</f>
        <v>0.17055108344374856</v>
      </c>
      <c r="W138" s="82">
        <f t="shared" si="32"/>
        <v>0.28601412960302913</v>
      </c>
      <c r="X138" s="1">
        <f t="shared" si="40"/>
        <v>3.8188048019052512E-2</v>
      </c>
      <c r="Y138">
        <v>223.46700000000001</v>
      </c>
      <c r="Z138" s="1">
        <f t="shared" si="33"/>
        <v>0.58875272456763039</v>
      </c>
      <c r="AA138" s="1">
        <f t="shared" si="34"/>
        <v>0.54950254292978828</v>
      </c>
      <c r="AB138" s="1">
        <f t="shared" si="39"/>
        <v>0.56912763374870934</v>
      </c>
      <c r="AC138" s="1">
        <f t="shared" ref="AC138:AC147" si="48">AC137</f>
        <v>0.23030512503344172</v>
      </c>
      <c r="AE138" s="1"/>
      <c r="AF138" s="1"/>
    </row>
    <row r="139" spans="1:32">
      <c r="B139" s="63">
        <v>40648</v>
      </c>
      <c r="C139" s="20">
        <v>4</v>
      </c>
      <c r="D139" s="100">
        <f t="shared" si="35"/>
        <v>-1.7000000000000348E-2</v>
      </c>
      <c r="E139" s="4"/>
      <c r="F139" s="105">
        <v>3.2010000000000001</v>
      </c>
      <c r="G139" s="108">
        <v>3.218</v>
      </c>
      <c r="H139" s="101">
        <v>3.3559999999999999</v>
      </c>
      <c r="I139" s="107">
        <f>(H139-(G139-0.1*H139)/0.9-GasolineMGSData!AG141)*(Y$283/Y139)</f>
        <v>-0.36560300101916132</v>
      </c>
      <c r="J139" s="107">
        <f t="shared" si="43"/>
        <v>-0.4080228798779067</v>
      </c>
      <c r="K139">
        <v>3.3730000000000002</v>
      </c>
      <c r="L139">
        <v>3.1779999999999999</v>
      </c>
      <c r="M139">
        <v>3.1360000000000001</v>
      </c>
      <c r="N139">
        <v>123.26</v>
      </c>
      <c r="O139" s="1">
        <f t="shared" si="30"/>
        <v>4.6142578810703139</v>
      </c>
      <c r="P139" s="1">
        <f t="shared" si="25"/>
        <v>4.3474982348181008</v>
      </c>
      <c r="Q139" s="1">
        <f t="shared" si="31"/>
        <v>4.2900423110099331</v>
      </c>
      <c r="R139" s="1">
        <f t="shared" si="46"/>
        <v>163.1608665842619</v>
      </c>
      <c r="S139" s="1">
        <f t="shared" si="36"/>
        <v>0.26675964625221305</v>
      </c>
      <c r="T139" s="1">
        <f t="shared" si="37"/>
        <v>0.32421557006038082</v>
      </c>
      <c r="U139" s="1">
        <f t="shared" si="38"/>
        <v>0.29548760815629693</v>
      </c>
      <c r="V139" s="1">
        <f t="shared" si="47"/>
        <v>0.17055108344374856</v>
      </c>
      <c r="W139" s="82">
        <f t="shared" si="32"/>
        <v>0.16311630636799426</v>
      </c>
      <c r="X139" s="1">
        <f t="shared" si="40"/>
        <v>3.8188048019052512E-2</v>
      </c>
      <c r="Y139">
        <v>224.90600000000001</v>
      </c>
      <c r="Z139" s="1">
        <f t="shared" si="33"/>
        <v>0.35981701940370692</v>
      </c>
      <c r="AA139" s="1">
        <f t="shared" si="34"/>
        <v>0.43731606973681142</v>
      </c>
      <c r="AB139" s="1">
        <f t="shared" si="39"/>
        <v>0.3985665445702592</v>
      </c>
      <c r="AC139" s="1">
        <f t="shared" si="48"/>
        <v>0.23030512503344172</v>
      </c>
      <c r="AE139" s="1"/>
      <c r="AF139" s="1"/>
    </row>
    <row r="140" spans="1:32">
      <c r="B140" s="63">
        <v>40678</v>
      </c>
      <c r="C140" s="20">
        <v>5</v>
      </c>
      <c r="D140" s="100">
        <f t="shared" si="35"/>
        <v>0.18799999999999972</v>
      </c>
      <c r="E140" s="4"/>
      <c r="F140" s="105">
        <v>3.145</v>
      </c>
      <c r="G140" s="108">
        <v>3.1739999999999999</v>
      </c>
      <c r="H140" s="101">
        <v>3.2429999999999999</v>
      </c>
      <c r="I140" s="107">
        <f>(H140-(G140-0.1*H140)/0.9-GasolineMGSData!AG142)*(Y$283/Y140)</f>
        <v>-0.46780437383948903</v>
      </c>
      <c r="J140" s="107">
        <f t="shared" si="43"/>
        <v>-0.4080228798779067</v>
      </c>
      <c r="K140">
        <v>3.0550000000000002</v>
      </c>
      <c r="L140">
        <v>3.024</v>
      </c>
      <c r="M140">
        <v>3.024</v>
      </c>
      <c r="N140">
        <v>114.99</v>
      </c>
      <c r="O140" s="1">
        <f t="shared" si="30"/>
        <v>4.1596666061850565</v>
      </c>
      <c r="P140" s="1">
        <f t="shared" si="25"/>
        <v>4.1174572232745037</v>
      </c>
      <c r="Q140" s="1">
        <f t="shared" si="31"/>
        <v>4.1174572232745037</v>
      </c>
      <c r="R140" s="1">
        <f t="shared" si="46"/>
        <v>151.5010704802535</v>
      </c>
      <c r="S140" s="1">
        <f t="shared" si="36"/>
        <v>4.2209382910552762E-2</v>
      </c>
      <c r="T140" s="1">
        <f t="shared" si="37"/>
        <v>4.2209382910552762E-2</v>
      </c>
      <c r="U140" s="1">
        <f t="shared" si="38"/>
        <v>4.2209382910552762E-2</v>
      </c>
      <c r="V140" s="1">
        <f t="shared" si="47"/>
        <v>0.17055108344374856</v>
      </c>
      <c r="W140" s="82">
        <f t="shared" si="32"/>
        <v>-8.9542135030358211E-2</v>
      </c>
      <c r="X140" s="1">
        <f t="shared" si="40"/>
        <v>3.8188048019052512E-2</v>
      </c>
      <c r="Y140">
        <v>225.964</v>
      </c>
      <c r="Z140" s="1">
        <f t="shared" si="33"/>
        <v>5.6667278982023755E-2</v>
      </c>
      <c r="AA140" s="1">
        <f t="shared" si="34"/>
        <v>5.6667278982023755E-2</v>
      </c>
      <c r="AB140" s="1">
        <f t="shared" si="39"/>
        <v>5.6667278982023755E-2</v>
      </c>
      <c r="AC140" s="1">
        <f t="shared" si="48"/>
        <v>0.23030512503344172</v>
      </c>
      <c r="AE140" s="1"/>
      <c r="AF140" s="1"/>
    </row>
    <row r="141" spans="1:32">
      <c r="A141">
        <f>A129+1</f>
        <v>2011</v>
      </c>
      <c r="B141" s="63">
        <v>40709</v>
      </c>
      <c r="C141" s="20">
        <v>6</v>
      </c>
      <c r="D141" s="100">
        <f t="shared" si="35"/>
        <v>0.16199999999999992</v>
      </c>
      <c r="E141" s="4"/>
      <c r="F141" s="105">
        <v>2.9430000000000001</v>
      </c>
      <c r="G141" s="108">
        <v>2.97</v>
      </c>
      <c r="H141" s="101">
        <v>3.0230000000000001</v>
      </c>
      <c r="I141" s="107">
        <f>(H141-(G141-0.1*H141)/0.9-GasolineMGSData!AG143)*(Y$283/Y141)</f>
        <v>-0.47983648145215702</v>
      </c>
      <c r="J141" s="107">
        <f t="shared" si="43"/>
        <v>-0.4080228798779067</v>
      </c>
      <c r="K141">
        <v>2.8610000000000002</v>
      </c>
      <c r="L141">
        <v>2.835</v>
      </c>
      <c r="M141">
        <v>2.7890000000000001</v>
      </c>
      <c r="N141">
        <v>113.83</v>
      </c>
      <c r="O141" s="1">
        <f t="shared" si="30"/>
        <v>3.8996940085592011</v>
      </c>
      <c r="P141" s="1">
        <f t="shared" si="25"/>
        <v>3.8642546362339512</v>
      </c>
      <c r="Q141" s="1">
        <f t="shared" si="31"/>
        <v>3.8015542082738945</v>
      </c>
      <c r="R141" s="1">
        <f t="shared" si="46"/>
        <v>150.13354094860051</v>
      </c>
      <c r="S141" s="1">
        <f t="shared" si="36"/>
        <v>3.5439372325249963E-2</v>
      </c>
      <c r="T141" s="1">
        <f t="shared" si="37"/>
        <v>9.8139800285306666E-2</v>
      </c>
      <c r="U141" s="1">
        <f t="shared" si="38"/>
        <v>6.6789586305278315E-2</v>
      </c>
      <c r="V141" s="1">
        <f t="shared" si="47"/>
        <v>0.17055108344374856</v>
      </c>
      <c r="W141" s="82">
        <f t="shared" si="32"/>
        <v>-6.5103184448126322E-2</v>
      </c>
      <c r="X141" s="1">
        <f t="shared" si="40"/>
        <v>3.8188048019052512E-2</v>
      </c>
      <c r="Y141">
        <v>225.72200000000001</v>
      </c>
      <c r="Z141" s="1">
        <f t="shared" si="33"/>
        <v>4.762935959589585E-2</v>
      </c>
      <c r="AA141" s="1">
        <f t="shared" si="34"/>
        <v>0.13189668811171035</v>
      </c>
      <c r="AB141" s="1">
        <f t="shared" si="39"/>
        <v>8.9763023853803095E-2</v>
      </c>
      <c r="AC141" s="1">
        <f t="shared" si="48"/>
        <v>0.23030512503344172</v>
      </c>
      <c r="AE141" s="1"/>
      <c r="AF141" s="1"/>
    </row>
    <row r="142" spans="1:32">
      <c r="B142" s="63">
        <v>40739</v>
      </c>
      <c r="C142" s="20">
        <v>7</v>
      </c>
      <c r="D142" s="100">
        <f t="shared" si="35"/>
        <v>3.6000000000000032E-2</v>
      </c>
      <c r="E142" s="4"/>
      <c r="F142" s="105">
        <v>3.0539999999999998</v>
      </c>
      <c r="G142" s="108">
        <v>3.0579999999999998</v>
      </c>
      <c r="H142" s="101">
        <v>2.984</v>
      </c>
      <c r="I142" s="107">
        <f>(H142-(G142-0.1*H142)/0.9-GasolineMGSData!AG144)*(Y$283/Y142)</f>
        <v>-0.66922489211976577</v>
      </c>
      <c r="J142" s="107">
        <f t="shared" si="43"/>
        <v>-0.4080228798779067</v>
      </c>
      <c r="K142">
        <v>2.948</v>
      </c>
      <c r="L142">
        <v>3.0209999999999999</v>
      </c>
      <c r="M142">
        <v>2.9750000000000001</v>
      </c>
      <c r="N142">
        <v>116.97</v>
      </c>
      <c r="O142" s="1">
        <f t="shared" si="30"/>
        <v>4.0147223732084525</v>
      </c>
      <c r="P142" s="1">
        <f t="shared" si="25"/>
        <v>4.1141371402519455</v>
      </c>
      <c r="Q142" s="1">
        <f t="shared" si="31"/>
        <v>4.0514922185533067</v>
      </c>
      <c r="R142" s="1">
        <f t="shared" si="46"/>
        <v>154.13840028859519</v>
      </c>
      <c r="S142" s="1">
        <f t="shared" si="36"/>
        <v>-9.9414767043493057E-2</v>
      </c>
      <c r="T142" s="1">
        <f t="shared" si="37"/>
        <v>-3.6769845344854168E-2</v>
      </c>
      <c r="U142" s="1">
        <f t="shared" si="38"/>
        <v>-6.8092306194173613E-2</v>
      </c>
      <c r="V142" s="1">
        <f t="shared" si="47"/>
        <v>0.17055108344374856</v>
      </c>
      <c r="W142" s="82">
        <f t="shared" si="32"/>
        <v>-0.19986831738387628</v>
      </c>
      <c r="X142" s="1">
        <f t="shared" si="40"/>
        <v>3.8188048019052512E-2</v>
      </c>
      <c r="Y142">
        <v>225.922</v>
      </c>
      <c r="Z142" s="1">
        <f t="shared" si="33"/>
        <v>-0.1334919218784146</v>
      </c>
      <c r="AA142" s="1">
        <f t="shared" si="34"/>
        <v>-4.9373724530373295E-2</v>
      </c>
      <c r="AB142" s="1">
        <f t="shared" si="39"/>
        <v>-9.1432823204393943E-2</v>
      </c>
      <c r="AC142" s="1">
        <f t="shared" si="48"/>
        <v>0.23030512503344172</v>
      </c>
      <c r="AE142" s="1"/>
      <c r="AF142" s="1"/>
    </row>
    <row r="143" spans="1:32">
      <c r="B143" s="63">
        <v>40770</v>
      </c>
      <c r="C143" s="20">
        <v>8</v>
      </c>
      <c r="D143" s="100">
        <f t="shared" si="35"/>
        <v>8.5999999999999854E-2</v>
      </c>
      <c r="E143" s="4"/>
      <c r="F143" s="105">
        <v>2.93</v>
      </c>
      <c r="G143" s="108">
        <v>2.9489999999999998</v>
      </c>
      <c r="H143" s="101">
        <v>2.9249999999999998</v>
      </c>
      <c r="I143" s="107">
        <f>(H143-(G143-0.1*H143)/0.9-GasolineMGSData!AG145)*(Y$283/Y143)</f>
        <v>-0.5920074029196456</v>
      </c>
      <c r="J143" s="107">
        <f t="shared" si="43"/>
        <v>-0.4080228798779067</v>
      </c>
      <c r="K143">
        <v>2.839</v>
      </c>
      <c r="L143">
        <v>2.835</v>
      </c>
      <c r="M143">
        <v>2.8010000000000002</v>
      </c>
      <c r="N143">
        <v>110.22</v>
      </c>
      <c r="O143" s="1">
        <f t="shared" si="30"/>
        <v>3.8556488512216114</v>
      </c>
      <c r="P143" s="1">
        <f t="shared" si="25"/>
        <v>3.850216447063497</v>
      </c>
      <c r="Q143" s="1">
        <f t="shared" si="31"/>
        <v>3.804041011719526</v>
      </c>
      <c r="R143" s="1">
        <f t="shared" si="46"/>
        <v>144.84409905316824</v>
      </c>
      <c r="S143" s="1">
        <f t="shared" si="36"/>
        <v>5.4324041581144122E-3</v>
      </c>
      <c r="T143" s="1">
        <f t="shared" si="37"/>
        <v>5.1607839502085362E-2</v>
      </c>
      <c r="U143" s="1">
        <f t="shared" si="38"/>
        <v>2.8520121830099887E-2</v>
      </c>
      <c r="V143" s="1">
        <f t="shared" si="47"/>
        <v>0.17055108344374856</v>
      </c>
      <c r="W143" s="82">
        <f t="shared" si="32"/>
        <v>-0.10289350460173488</v>
      </c>
      <c r="X143" s="1">
        <f t="shared" si="40"/>
        <v>3.8188048019052512E-2</v>
      </c>
      <c r="Y143">
        <v>226.54499999999999</v>
      </c>
      <c r="Z143" s="1">
        <f t="shared" si="33"/>
        <v>7.2744506505023829E-3</v>
      </c>
      <c r="AA143" s="1">
        <f t="shared" si="34"/>
        <v>6.9107281179770566E-2</v>
      </c>
      <c r="AB143" s="1">
        <f t="shared" si="39"/>
        <v>3.8190865915136471E-2</v>
      </c>
      <c r="AC143" s="1">
        <f t="shared" si="48"/>
        <v>0.23030512503344172</v>
      </c>
      <c r="AE143" s="1"/>
      <c r="AF143" s="1"/>
    </row>
    <row r="144" spans="1:32">
      <c r="B144" s="63">
        <v>40801</v>
      </c>
      <c r="C144" s="20">
        <v>9</v>
      </c>
      <c r="D144" s="100">
        <f t="shared" si="35"/>
        <v>0.13800000000000034</v>
      </c>
      <c r="E144" s="4"/>
      <c r="F144" s="105">
        <v>2.86</v>
      </c>
      <c r="G144" s="108">
        <v>2.8959999999999999</v>
      </c>
      <c r="H144" s="101">
        <v>3.0550000000000002</v>
      </c>
      <c r="I144" s="107">
        <f>(H144-(G144-0.1*H144)/0.9-GasolineMGSData!AG146)*(Y$283/Y144)</f>
        <v>-0.32616292516323264</v>
      </c>
      <c r="J144" s="107">
        <f t="shared" si="43"/>
        <v>-0.4080228798779067</v>
      </c>
      <c r="K144">
        <v>2.9169999999999998</v>
      </c>
      <c r="L144">
        <v>2.7679999999999998</v>
      </c>
      <c r="M144">
        <v>2.6920000000000002</v>
      </c>
      <c r="N144">
        <v>112.83</v>
      </c>
      <c r="O144" s="1">
        <f t="shared" si="30"/>
        <v>3.9555743425199101</v>
      </c>
      <c r="P144" s="1">
        <f t="shared" si="25"/>
        <v>3.7535240932790921</v>
      </c>
      <c r="Q144" s="1">
        <f t="shared" si="31"/>
        <v>3.6504649057468632</v>
      </c>
      <c r="R144" s="1">
        <f t="shared" si="46"/>
        <v>148.04918762037823</v>
      </c>
      <c r="S144" s="1">
        <f t="shared" si="36"/>
        <v>0.20205024924081805</v>
      </c>
      <c r="T144" s="1">
        <f t="shared" si="37"/>
        <v>0.30510943677304692</v>
      </c>
      <c r="U144" s="1">
        <f t="shared" si="38"/>
        <v>0.25357984300693248</v>
      </c>
      <c r="V144" s="1">
        <f t="shared" si="47"/>
        <v>0.17055108344374856</v>
      </c>
      <c r="W144" s="82">
        <f t="shared" si="32"/>
        <v>0.12236546064375048</v>
      </c>
      <c r="X144" s="1">
        <f t="shared" si="40"/>
        <v>3.8188048019052512E-2</v>
      </c>
      <c r="Y144">
        <v>226.88900000000001</v>
      </c>
      <c r="Z144" s="1">
        <f t="shared" si="33"/>
        <v>0.27015223197441163</v>
      </c>
      <c r="AA144" s="1">
        <f t="shared" si="34"/>
        <v>0.40794800130364112</v>
      </c>
      <c r="AB144" s="1">
        <f t="shared" si="39"/>
        <v>0.3390501166390264</v>
      </c>
      <c r="AC144" s="1">
        <f t="shared" si="48"/>
        <v>0.23030512503344172</v>
      </c>
      <c r="AE144" s="1"/>
      <c r="AF144" s="1"/>
    </row>
    <row r="145" spans="1:32">
      <c r="B145" s="63">
        <v>40831</v>
      </c>
      <c r="C145" s="20">
        <v>10</v>
      </c>
      <c r="D145" s="100">
        <f t="shared" si="35"/>
        <v>4.3000000000000149E-2</v>
      </c>
      <c r="E145" s="4"/>
      <c r="F145" s="105">
        <v>2.77</v>
      </c>
      <c r="G145" s="108">
        <v>2.8050000000000002</v>
      </c>
      <c r="H145" s="101">
        <v>2.992</v>
      </c>
      <c r="I145" s="107">
        <f>(H145-(G145-0.1*H145)/0.9-GasolineMGSData!AG147)*(Y$283/Y145)</f>
        <v>-0.28135823907623048</v>
      </c>
      <c r="J145" s="107">
        <f t="shared" si="43"/>
        <v>-0.4080228798779067</v>
      </c>
      <c r="K145">
        <v>2.9489999999999998</v>
      </c>
      <c r="L145">
        <v>2.7719999999999998</v>
      </c>
      <c r="M145">
        <v>2.6890000000000001</v>
      </c>
      <c r="N145">
        <v>109.55</v>
      </c>
      <c r="O145" s="1">
        <f t="shared" si="30"/>
        <v>4.0072333352471716</v>
      </c>
      <c r="P145" s="1">
        <f t="shared" si="25"/>
        <v>3.7667178044439336</v>
      </c>
      <c r="Q145" s="1">
        <f t="shared" si="31"/>
        <v>3.6539336854797035</v>
      </c>
      <c r="R145" s="1">
        <f t="shared" si="46"/>
        <v>144.04246977974657</v>
      </c>
      <c r="S145" s="1">
        <f t="shared" si="36"/>
        <v>0.24051553080323806</v>
      </c>
      <c r="T145" s="1">
        <f t="shared" si="37"/>
        <v>0.35329964976746808</v>
      </c>
      <c r="U145" s="1">
        <f t="shared" si="38"/>
        <v>0.29690759028535307</v>
      </c>
      <c r="V145" s="1">
        <f t="shared" si="47"/>
        <v>0.17055108344374856</v>
      </c>
      <c r="W145" s="82">
        <f t="shared" si="32"/>
        <v>0.16542199486796685</v>
      </c>
      <c r="X145" s="1">
        <f t="shared" si="40"/>
        <v>3.8188048019052512E-2</v>
      </c>
      <c r="Y145">
        <v>226.42099999999999</v>
      </c>
      <c r="Z145" s="1">
        <f t="shared" si="33"/>
        <v>0.32224711034339887</v>
      </c>
      <c r="AA145" s="1">
        <f t="shared" si="34"/>
        <v>0.47335733722759121</v>
      </c>
      <c r="AB145" s="1">
        <f t="shared" si="39"/>
        <v>0.39780222378549501</v>
      </c>
      <c r="AC145" s="1">
        <f t="shared" si="48"/>
        <v>0.23030512503344172</v>
      </c>
      <c r="AE145" s="1"/>
      <c r="AF145" s="1"/>
    </row>
    <row r="146" spans="1:32">
      <c r="B146" s="63">
        <v>40862</v>
      </c>
      <c r="C146" s="20">
        <v>11</v>
      </c>
      <c r="D146" s="100">
        <f t="shared" si="35"/>
        <v>0.14999999999999991</v>
      </c>
      <c r="E146" s="4"/>
      <c r="F146" s="105">
        <v>2.6669999999999998</v>
      </c>
      <c r="G146" s="108">
        <v>2.7010000000000001</v>
      </c>
      <c r="H146" s="101">
        <v>2.887</v>
      </c>
      <c r="I146" s="107">
        <f>(H146-(G146-0.1*H146)/0.9-GasolineMGSData!AG148)*(Y$283/Y146)</f>
        <v>-0.28102217204008995</v>
      </c>
      <c r="J146" s="107">
        <f t="shared" si="43"/>
        <v>-0.4080228798779067</v>
      </c>
      <c r="K146">
        <v>2.7370000000000001</v>
      </c>
      <c r="L146">
        <v>2.629</v>
      </c>
      <c r="M146">
        <v>2.5390000000000001</v>
      </c>
      <c r="N146">
        <v>110.77</v>
      </c>
      <c r="O146" s="1">
        <f t="shared" si="30"/>
        <v>3.7222982230473414</v>
      </c>
      <c r="P146" s="1">
        <f t="shared" si="25"/>
        <v>3.5754190823498213</v>
      </c>
      <c r="Q146" s="1">
        <f t="shared" si="31"/>
        <v>3.4530197984352213</v>
      </c>
      <c r="R146" s="1">
        <f t="shared" si="46"/>
        <v>145.76955960747912</v>
      </c>
      <c r="S146" s="1">
        <f t="shared" si="36"/>
        <v>0.14687914069752006</v>
      </c>
      <c r="T146" s="1">
        <f t="shared" si="37"/>
        <v>0.26927842461212004</v>
      </c>
      <c r="U146" s="1">
        <f t="shared" si="38"/>
        <v>0.20807878265482005</v>
      </c>
      <c r="V146" s="1">
        <f t="shared" si="47"/>
        <v>0.17055108344374856</v>
      </c>
      <c r="W146" s="82">
        <f t="shared" si="32"/>
        <v>7.6482177430048787E-2</v>
      </c>
      <c r="X146" s="1">
        <f t="shared" si="40"/>
        <v>3.8188048019052512E-2</v>
      </c>
      <c r="Y146">
        <v>226.23</v>
      </c>
      <c r="Z146" s="1">
        <f t="shared" si="33"/>
        <v>0.19695750678257426</v>
      </c>
      <c r="AA146" s="1">
        <f t="shared" si="34"/>
        <v>0.36108876243471938</v>
      </c>
      <c r="AB146" s="1">
        <f t="shared" si="39"/>
        <v>0.27902313460864681</v>
      </c>
      <c r="AC146" s="1">
        <f t="shared" si="48"/>
        <v>0.23030512503344172</v>
      </c>
      <c r="AE146" s="1"/>
      <c r="AF146" s="1"/>
    </row>
    <row r="147" spans="1:32">
      <c r="B147" s="63">
        <v>40892</v>
      </c>
      <c r="C147" s="20">
        <v>12</v>
      </c>
      <c r="D147" s="100">
        <f t="shared" si="35"/>
        <v>3.1000000000000139E-2</v>
      </c>
      <c r="E147" s="4"/>
      <c r="F147" s="105">
        <v>2.5870000000000002</v>
      </c>
      <c r="G147" s="108">
        <v>2.6139999999999999</v>
      </c>
      <c r="H147" s="101">
        <v>2.7330000000000001</v>
      </c>
      <c r="I147" s="107">
        <f>(H147-(G147-0.1*H147)/0.9-GasolineMGSData!AG149)*(Y$283/Y147)</f>
        <v>-0.37238711787842288</v>
      </c>
      <c r="J147" s="107">
        <f t="shared" si="43"/>
        <v>-0.4080228798779067</v>
      </c>
      <c r="K147">
        <v>2.702</v>
      </c>
      <c r="L147">
        <v>2.6339999999999999</v>
      </c>
      <c r="M147">
        <v>2.544</v>
      </c>
      <c r="N147">
        <v>107.87</v>
      </c>
      <c r="O147" s="1">
        <f t="shared" si="30"/>
        <v>3.6837846166117196</v>
      </c>
      <c r="P147" s="1">
        <f t="shared" si="25"/>
        <v>3.5910764915452513</v>
      </c>
      <c r="Q147" s="1">
        <f t="shared" si="31"/>
        <v>3.4683745613102199</v>
      </c>
      <c r="R147" s="1">
        <f t="shared" si="46"/>
        <v>142.30425382856535</v>
      </c>
      <c r="S147" s="1">
        <f t="shared" si="36"/>
        <v>9.2708125066468305E-2</v>
      </c>
      <c r="T147" s="1">
        <f t="shared" si="37"/>
        <v>0.2154100553014997</v>
      </c>
      <c r="U147" s="1">
        <f t="shared" si="38"/>
        <v>0.154059090183984</v>
      </c>
      <c r="V147" s="1">
        <f t="shared" si="47"/>
        <v>0.17055108344374856</v>
      </c>
      <c r="W147" s="82">
        <f t="shared" si="32"/>
        <v>2.2137097203020456E-2</v>
      </c>
      <c r="X147" s="1">
        <f t="shared" si="40"/>
        <v>3.8188048019052512E-2</v>
      </c>
      <c r="Y147">
        <v>225.672</v>
      </c>
      <c r="Z147" s="1">
        <f t="shared" si="33"/>
        <v>0.12462429962307696</v>
      </c>
      <c r="AA147" s="1">
        <f t="shared" si="34"/>
        <v>0.28956822559479622</v>
      </c>
      <c r="AB147" s="1">
        <f t="shared" si="39"/>
        <v>0.2070962626089366</v>
      </c>
      <c r="AC147" s="1">
        <f t="shared" si="48"/>
        <v>0.23030512503344172</v>
      </c>
      <c r="AE147" s="1"/>
      <c r="AF147" s="1"/>
    </row>
    <row r="148" spans="1:32">
      <c r="A148" s="64" t="s">
        <v>39</v>
      </c>
      <c r="B148" s="63">
        <v>40923</v>
      </c>
      <c r="C148" s="20">
        <v>1</v>
      </c>
      <c r="D148" s="100">
        <f t="shared" si="35"/>
        <v>-5.2999999999999936E-2</v>
      </c>
      <c r="E148" s="4"/>
      <c r="F148" s="105">
        <v>2.7210000000000001</v>
      </c>
      <c r="G148" s="108">
        <v>2.7469999999999999</v>
      </c>
      <c r="H148" s="101">
        <v>2.867</v>
      </c>
      <c r="I148" s="107">
        <f>(H148-(G148-0.1*H148)/0.9-GasolineMGSData!AG150)*(Y$283/Y148)</f>
        <v>-0.36795438586314821</v>
      </c>
      <c r="J148" s="107">
        <f>AVERAGE(I148:I159)</f>
        <v>-0.31030123919853303</v>
      </c>
      <c r="K148">
        <v>2.92</v>
      </c>
      <c r="L148">
        <v>2.8220000000000001</v>
      </c>
      <c r="M148">
        <v>2.7770000000000001</v>
      </c>
      <c r="N148">
        <v>110.69</v>
      </c>
      <c r="O148" s="1">
        <f t="shared" si="30"/>
        <v>3.9635555555555553</v>
      </c>
      <c r="P148" s="1">
        <f t="shared" si="25"/>
        <v>3.8305321156773209</v>
      </c>
      <c r="Q148" s="1">
        <f t="shared" si="31"/>
        <v>3.7694499238964991</v>
      </c>
      <c r="R148" s="1">
        <f t="shared" si="46"/>
        <v>145.38473337303952</v>
      </c>
      <c r="S148" s="1">
        <f t="shared" si="36"/>
        <v>0.1330234398782344</v>
      </c>
      <c r="T148" s="1">
        <f t="shared" si="37"/>
        <v>0.19410563165905614</v>
      </c>
      <c r="U148" s="1">
        <f t="shared" si="38"/>
        <v>0.16356453576864527</v>
      </c>
      <c r="V148" s="1">
        <f>AVERAGE(S148:T159)</f>
        <v>0.20637368276437038</v>
      </c>
      <c r="W148" s="82">
        <f t="shared" si="32"/>
        <v>3.2220481768248183E-2</v>
      </c>
      <c r="X148" s="1">
        <f>AVERAGE(W148:W159)</f>
        <v>7.6701026704389011E-2</v>
      </c>
      <c r="Y148">
        <v>226.66499999999999</v>
      </c>
      <c r="Z148" s="1">
        <f t="shared" si="33"/>
        <v>0.17803538169448666</v>
      </c>
      <c r="AA148" s="1">
        <f t="shared" si="34"/>
        <v>0.25978632226848541</v>
      </c>
      <c r="AB148" s="1">
        <f t="shared" si="39"/>
        <v>0.21891085198148602</v>
      </c>
      <c r="AC148" s="1">
        <f>AVERAGE(Z148:AA159)</f>
        <v>0.2728429990864682</v>
      </c>
      <c r="AE148" s="1"/>
      <c r="AF148" s="1"/>
    </row>
    <row r="149" spans="1:32">
      <c r="A149" s="64"/>
      <c r="B149" s="63">
        <v>40954</v>
      </c>
      <c r="C149" s="20">
        <v>2</v>
      </c>
      <c r="D149" s="100">
        <f t="shared" si="35"/>
        <v>-0.15300000000000002</v>
      </c>
      <c r="E149" s="4"/>
      <c r="F149" s="105">
        <v>2.899</v>
      </c>
      <c r="G149" s="108">
        <v>2.9359999999999999</v>
      </c>
      <c r="H149" s="101">
        <v>3.149</v>
      </c>
      <c r="I149" s="107">
        <f>(H149-(G149-0.1*H149)/0.9-GasolineMGSData!AG151)*(Y$283/Y149)</f>
        <v>-0.24174445238761835</v>
      </c>
      <c r="J149" s="107">
        <f t="shared" si="43"/>
        <v>-0.31030123919853303</v>
      </c>
      <c r="K149">
        <v>3.302</v>
      </c>
      <c r="L149">
        <v>3.044</v>
      </c>
      <c r="M149">
        <v>2.9990000000000001</v>
      </c>
      <c r="N149">
        <v>119.33</v>
      </c>
      <c r="O149" s="1">
        <f t="shared" si="30"/>
        <v>4.4624275442210628</v>
      </c>
      <c r="P149" s="1">
        <f t="shared" si="25"/>
        <v>4.1137581600874977</v>
      </c>
      <c r="Q149" s="1">
        <f t="shared" si="31"/>
        <v>4.0529437326223405</v>
      </c>
      <c r="R149" s="1">
        <f t="shared" si="46"/>
        <v>156.04579413431256</v>
      </c>
      <c r="S149" s="1">
        <f t="shared" si="36"/>
        <v>0.34866938413356507</v>
      </c>
      <c r="T149" s="1">
        <f t="shared" si="37"/>
        <v>0.40948381159872227</v>
      </c>
      <c r="U149" s="1">
        <f t="shared" si="38"/>
        <v>0.37907659786614367</v>
      </c>
      <c r="V149" s="1">
        <f>V148</f>
        <v>0.20637368276437038</v>
      </c>
      <c r="W149" s="82">
        <f t="shared" si="32"/>
        <v>0.24830831316463309</v>
      </c>
      <c r="X149" s="1">
        <f t="shared" ref="X149:X212" si="49">X148</f>
        <v>7.6701026704389011E-2</v>
      </c>
      <c r="Y149">
        <v>227.66300000000001</v>
      </c>
      <c r="Z149" s="1">
        <f t="shared" si="33"/>
        <v>0.46460509779327647</v>
      </c>
      <c r="AA149" s="1">
        <f t="shared" si="34"/>
        <v>0.54564087066419742</v>
      </c>
      <c r="AB149" s="1">
        <f t="shared" si="39"/>
        <v>0.50512298422873692</v>
      </c>
      <c r="AC149" s="1">
        <f>AC148</f>
        <v>0.2728429990864682</v>
      </c>
      <c r="AE149" s="1"/>
      <c r="AF149" s="1"/>
    </row>
    <row r="150" spans="1:32">
      <c r="B150" s="63">
        <v>40983</v>
      </c>
      <c r="C150" s="20">
        <v>3</v>
      </c>
      <c r="D150" s="100">
        <f t="shared" si="35"/>
        <v>3.1000000000000139E-2</v>
      </c>
      <c r="E150" s="4"/>
      <c r="F150" s="105">
        <v>3.1709999999999998</v>
      </c>
      <c r="G150" s="108">
        <v>3.2029999999999998</v>
      </c>
      <c r="H150" s="101">
        <v>3.4140000000000001</v>
      </c>
      <c r="I150" s="107">
        <f>(H150-(G150-0.1*H150)/0.9-GasolineMGSData!AG152)*(Y$283/Y150)</f>
        <v>-0.26076087449868429</v>
      </c>
      <c r="J150" s="107">
        <f t="shared" si="43"/>
        <v>-0.31030123919853303</v>
      </c>
      <c r="K150">
        <v>3.383</v>
      </c>
      <c r="L150">
        <v>3.1669999999999998</v>
      </c>
      <c r="M150">
        <v>3.169</v>
      </c>
      <c r="N150">
        <v>125.45</v>
      </c>
      <c r="O150" s="1">
        <f t="shared" si="30"/>
        <v>4.5374337073655582</v>
      </c>
      <c r="P150" s="1">
        <f t="shared" si="25"/>
        <v>4.2477246678175353</v>
      </c>
      <c r="Q150" s="1">
        <f t="shared" si="31"/>
        <v>4.2504071589244612</v>
      </c>
      <c r="R150" s="1">
        <f t="shared" si="46"/>
        <v>162.81232540803515</v>
      </c>
      <c r="S150" s="1">
        <f t="shared" si="36"/>
        <v>0.28970903954802285</v>
      </c>
      <c r="T150" s="1">
        <f t="shared" si="37"/>
        <v>0.28702654844109698</v>
      </c>
      <c r="U150" s="1">
        <f t="shared" si="38"/>
        <v>0.28836779399455992</v>
      </c>
      <c r="V150" s="1">
        <f t="shared" ref="V150:V159" si="50">V149</f>
        <v>0.20637368276437038</v>
      </c>
      <c r="W150" s="82">
        <f t="shared" si="32"/>
        <v>0.15858515118225608</v>
      </c>
      <c r="X150" s="1">
        <f t="shared" si="49"/>
        <v>7.6701026704389011E-2</v>
      </c>
      <c r="Y150">
        <v>229.392</v>
      </c>
      <c r="Z150" s="1">
        <f t="shared" si="33"/>
        <v>0.38313020229304795</v>
      </c>
      <c r="AA150" s="1">
        <f t="shared" si="34"/>
        <v>0.37958270041996456</v>
      </c>
      <c r="AB150" s="1">
        <f t="shared" si="39"/>
        <v>0.38135645135650625</v>
      </c>
      <c r="AC150" s="1">
        <f t="shared" ref="AC150:AC159" si="51">AC149</f>
        <v>0.2728429990864682</v>
      </c>
      <c r="AE150" s="1"/>
      <c r="AF150" s="1"/>
    </row>
    <row r="151" spans="1:32">
      <c r="B151" s="63">
        <v>41014</v>
      </c>
      <c r="C151" s="20">
        <v>4</v>
      </c>
      <c r="D151" s="100">
        <f t="shared" si="35"/>
        <v>4.4999999999999929E-2</v>
      </c>
      <c r="E151" s="4"/>
      <c r="F151" s="105">
        <v>3.1509999999999998</v>
      </c>
      <c r="G151" s="108">
        <v>3.1890000000000001</v>
      </c>
      <c r="H151" s="101">
        <v>3.2949999999999999</v>
      </c>
      <c r="I151" s="107">
        <f>(H151-(G151-0.1*H151)/0.9-GasolineMGSData!AG153)*(Y$283/Y151)</f>
        <v>-0.40817260764931579</v>
      </c>
      <c r="J151" s="107">
        <f t="shared" si="43"/>
        <v>-0.31030123919853303</v>
      </c>
      <c r="K151">
        <v>3.25</v>
      </c>
      <c r="L151">
        <v>3.206</v>
      </c>
      <c r="M151">
        <v>3.101</v>
      </c>
      <c r="N151">
        <v>119.75</v>
      </c>
      <c r="O151" s="1">
        <f t="shared" si="30"/>
        <v>4.3459188995371276</v>
      </c>
      <c r="P151" s="1">
        <f t="shared" ref="P151:P214" si="52">L151*($Y$289/$Y151)</f>
        <v>4.2870818436664706</v>
      </c>
      <c r="Q151" s="1">
        <f t="shared" si="31"/>
        <v>4.1466752330660404</v>
      </c>
      <c r="R151" s="1">
        <f t="shared" si="46"/>
        <v>154.94661646782711</v>
      </c>
      <c r="S151" s="1">
        <f t="shared" si="36"/>
        <v>5.8837055870657018E-2</v>
      </c>
      <c r="T151" s="1">
        <f t="shared" si="37"/>
        <v>0.19924366647108727</v>
      </c>
      <c r="U151" s="1">
        <f t="shared" si="38"/>
        <v>0.12904036117087214</v>
      </c>
      <c r="V151" s="1">
        <f t="shared" si="50"/>
        <v>0.20637368276437038</v>
      </c>
      <c r="W151" s="82">
        <f t="shared" si="32"/>
        <v>-3.513853575847492E-4</v>
      </c>
      <c r="X151" s="1">
        <f t="shared" si="49"/>
        <v>7.6701026704389011E-2</v>
      </c>
      <c r="Y151">
        <v>230.08500000000001</v>
      </c>
      <c r="Z151" s="1">
        <f t="shared" si="33"/>
        <v>7.7575616750723109E-2</v>
      </c>
      <c r="AA151" s="1">
        <f t="shared" si="34"/>
        <v>0.26269924763312885</v>
      </c>
      <c r="AB151" s="1">
        <f t="shared" si="39"/>
        <v>0.17013743219192598</v>
      </c>
      <c r="AC151" s="1">
        <f t="shared" si="51"/>
        <v>0.2728429990864682</v>
      </c>
      <c r="AE151" s="1"/>
      <c r="AF151" s="1"/>
    </row>
    <row r="152" spans="1:32">
      <c r="B152" s="63">
        <v>41044</v>
      </c>
      <c r="C152" s="20">
        <v>5</v>
      </c>
      <c r="D152" s="100">
        <f t="shared" si="35"/>
        <v>0.11100000000000021</v>
      </c>
      <c r="E152" s="4"/>
      <c r="F152" s="105">
        <v>2.96</v>
      </c>
      <c r="G152" s="108">
        <v>3.016</v>
      </c>
      <c r="H152" s="101">
        <v>3.3450000000000002</v>
      </c>
      <c r="I152" s="107">
        <f>(H152-(G152-0.1*H152)/0.9-GasolineMGSData!AG154)*(Y$283/Y152)</f>
        <v>-8.44400993345574E-2</v>
      </c>
      <c r="J152" s="107">
        <f t="shared" si="43"/>
        <v>-0.31030123919853303</v>
      </c>
      <c r="K152">
        <v>3.234</v>
      </c>
      <c r="L152">
        <v>2.8769999999999998</v>
      </c>
      <c r="M152">
        <v>2.78</v>
      </c>
      <c r="N152">
        <v>110.34</v>
      </c>
      <c r="O152" s="1">
        <f t="shared" si="30"/>
        <v>4.3296043078128053</v>
      </c>
      <c r="P152" s="1">
        <f t="shared" si="52"/>
        <v>3.8516609751321709</v>
      </c>
      <c r="Q152" s="1">
        <f t="shared" si="31"/>
        <v>3.7217996214346316</v>
      </c>
      <c r="R152" s="1">
        <f t="shared" si="46"/>
        <v>142.93858860387704</v>
      </c>
      <c r="S152" s="1">
        <f t="shared" si="36"/>
        <v>0.47794333268063438</v>
      </c>
      <c r="T152" s="1">
        <f t="shared" si="37"/>
        <v>0.60780468637817364</v>
      </c>
      <c r="U152" s="1">
        <f t="shared" si="38"/>
        <v>0.54287400952940401</v>
      </c>
      <c r="V152" s="1">
        <f t="shared" si="50"/>
        <v>0.20637368276437038</v>
      </c>
      <c r="W152" s="82">
        <f t="shared" si="32"/>
        <v>0.41333024606748897</v>
      </c>
      <c r="X152" s="1">
        <f t="shared" si="49"/>
        <v>7.6701026704389011E-2</v>
      </c>
      <c r="Y152">
        <v>229.815</v>
      </c>
      <c r="Z152" s="1">
        <f t="shared" si="33"/>
        <v>0.63090017288686684</v>
      </c>
      <c r="AA152" s="1">
        <f t="shared" si="34"/>
        <v>0.80232122826509111</v>
      </c>
      <c r="AB152" s="1">
        <f t="shared" si="39"/>
        <v>0.71661070057597898</v>
      </c>
      <c r="AC152" s="1">
        <f t="shared" si="51"/>
        <v>0.2728429990864682</v>
      </c>
      <c r="AE152" s="1"/>
      <c r="AF152" s="1"/>
    </row>
    <row r="153" spans="1:32">
      <c r="A153">
        <f>A141+1</f>
        <v>2012</v>
      </c>
      <c r="B153" s="63">
        <v>41075</v>
      </c>
      <c r="C153" s="20">
        <v>6</v>
      </c>
      <c r="D153" s="100">
        <f t="shared" si="35"/>
        <v>0.29400000000000004</v>
      </c>
      <c r="E153" s="4"/>
      <c r="F153" s="105">
        <v>2.706</v>
      </c>
      <c r="G153" s="108">
        <v>2.7570000000000001</v>
      </c>
      <c r="H153" s="101">
        <v>2.92</v>
      </c>
      <c r="I153" s="107">
        <f>(H153-(G153-0.1*H153)/0.9-GasolineMGSData!AG155)*(Y$283/Y153)</f>
        <v>-0.31812989558553267</v>
      </c>
      <c r="J153" s="107">
        <f t="shared" si="43"/>
        <v>-0.31030123919853303</v>
      </c>
      <c r="K153">
        <v>2.6259999999999999</v>
      </c>
      <c r="L153">
        <v>2.6019999999999999</v>
      </c>
      <c r="M153">
        <v>2.516</v>
      </c>
      <c r="N153">
        <v>95.16</v>
      </c>
      <c r="O153" s="1">
        <f t="shared" si="30"/>
        <v>3.5207908644837413</v>
      </c>
      <c r="P153" s="1">
        <f t="shared" si="52"/>
        <v>3.4886130348007214</v>
      </c>
      <c r="Q153" s="1">
        <f t="shared" si="31"/>
        <v>3.3733091451032342</v>
      </c>
      <c r="R153" s="1">
        <f t="shared" si="46"/>
        <v>123.45487916052956</v>
      </c>
      <c r="S153" s="1">
        <f t="shared" si="36"/>
        <v>3.2177829683019965E-2</v>
      </c>
      <c r="T153" s="1">
        <f t="shared" si="37"/>
        <v>0.14748171938050714</v>
      </c>
      <c r="U153" s="1">
        <f t="shared" si="38"/>
        <v>8.9829774531763551E-2</v>
      </c>
      <c r="V153" s="1">
        <f t="shared" si="50"/>
        <v>0.20637368276437038</v>
      </c>
      <c r="W153" s="82">
        <f t="shared" si="32"/>
        <v>-3.9904230470894669E-2</v>
      </c>
      <c r="X153" s="1">
        <f t="shared" si="49"/>
        <v>7.6701026704389011E-2</v>
      </c>
      <c r="Y153">
        <v>229.47800000000001</v>
      </c>
      <c r="Z153" s="1">
        <f t="shared" si="33"/>
        <v>4.2538121066638138E-2</v>
      </c>
      <c r="AA153" s="1">
        <f t="shared" si="34"/>
        <v>0.19496638822209009</v>
      </c>
      <c r="AB153" s="1">
        <f t="shared" si="39"/>
        <v>0.11875225464436412</v>
      </c>
      <c r="AC153" s="1">
        <f t="shared" si="51"/>
        <v>0.2728429990864682</v>
      </c>
      <c r="AE153" s="1"/>
      <c r="AF153" s="1"/>
    </row>
    <row r="154" spans="1:32">
      <c r="B154" s="63">
        <v>41105</v>
      </c>
      <c r="C154" s="20">
        <v>7</v>
      </c>
      <c r="D154" s="100">
        <f t="shared" si="35"/>
        <v>4.3000000000000149E-2</v>
      </c>
      <c r="E154" s="4"/>
      <c r="F154" s="105">
        <v>2.78</v>
      </c>
      <c r="G154" s="108">
        <v>2.806</v>
      </c>
      <c r="H154" s="101">
        <v>2.8620000000000001</v>
      </c>
      <c r="I154" s="107">
        <f>(H154-(G154-0.1*H154)/0.9-GasolineMGSData!AG156)*(Y$283/Y154)</f>
        <v>-0.4660844736002403</v>
      </c>
      <c r="J154" s="107">
        <f t="shared" si="43"/>
        <v>-0.31030123919853303</v>
      </c>
      <c r="K154">
        <v>2.819</v>
      </c>
      <c r="L154">
        <v>2.7469999999999999</v>
      </c>
      <c r="M154">
        <v>2.645</v>
      </c>
      <c r="N154">
        <v>102.62</v>
      </c>
      <c r="O154" s="1">
        <f t="shared" si="30"/>
        <v>3.7857241645715476</v>
      </c>
      <c r="P154" s="1">
        <f t="shared" si="52"/>
        <v>3.6890330897758217</v>
      </c>
      <c r="Q154" s="1">
        <f t="shared" si="31"/>
        <v>3.5520540671485437</v>
      </c>
      <c r="R154" s="1">
        <f t="shared" si="46"/>
        <v>133.35036847894406</v>
      </c>
      <c r="S154" s="1">
        <f t="shared" si="36"/>
        <v>9.6691074795725918E-2</v>
      </c>
      <c r="T154" s="1">
        <f t="shared" si="37"/>
        <v>0.23367009742300393</v>
      </c>
      <c r="U154" s="1">
        <f t="shared" si="38"/>
        <v>0.16518058610936492</v>
      </c>
      <c r="V154" s="1">
        <f t="shared" si="50"/>
        <v>0.20637368276437038</v>
      </c>
      <c r="W154" s="82">
        <f t="shared" si="32"/>
        <v>3.5234797297297032E-2</v>
      </c>
      <c r="X154" s="1">
        <f t="shared" si="49"/>
        <v>7.6701026704389011E-2</v>
      </c>
      <c r="Y154">
        <v>229.10400000000001</v>
      </c>
      <c r="Z154" s="1">
        <f t="shared" si="33"/>
        <v>0.1280313504925964</v>
      </c>
      <c r="AA154" s="1">
        <f t="shared" si="34"/>
        <v>0.30940909702377412</v>
      </c>
      <c r="AB154" s="1">
        <f t="shared" si="39"/>
        <v>0.21872022375818526</v>
      </c>
      <c r="AC154" s="1">
        <f t="shared" si="51"/>
        <v>0.2728429990864682</v>
      </c>
      <c r="AE154" s="1"/>
      <c r="AF154" s="1"/>
    </row>
    <row r="155" spans="1:32">
      <c r="B155" s="63">
        <v>41136</v>
      </c>
      <c r="C155" s="20">
        <v>8</v>
      </c>
      <c r="D155" s="100">
        <f t="shared" si="35"/>
        <v>4.7000000000000153E-2</v>
      </c>
      <c r="E155" s="4"/>
      <c r="F155" s="105">
        <v>3.0640000000000001</v>
      </c>
      <c r="G155" s="108">
        <v>3.0870000000000002</v>
      </c>
      <c r="H155" s="101">
        <v>3.1760000000000002</v>
      </c>
      <c r="I155" s="107">
        <f>(H155-(G155-0.1*H155)/0.9-GasolineMGSData!AG157)*(Y$283/Y155)</f>
        <v>-0.42853204174231124</v>
      </c>
      <c r="J155" s="107">
        <f t="shared" si="43"/>
        <v>-0.31030123919853303</v>
      </c>
      <c r="K155">
        <v>3.129</v>
      </c>
      <c r="L155">
        <v>3.0219999999999998</v>
      </c>
      <c r="M155">
        <v>2.968</v>
      </c>
      <c r="N155">
        <v>113.36</v>
      </c>
      <c r="O155" s="1">
        <f t="shared" si="30"/>
        <v>4.1787774015860819</v>
      </c>
      <c r="P155" s="1">
        <f t="shared" si="52"/>
        <v>4.035878973343924</v>
      </c>
      <c r="Q155" s="1">
        <f t="shared" si="31"/>
        <v>3.9637620095581627</v>
      </c>
      <c r="R155" s="1">
        <f t="shared" si="46"/>
        <v>146.49129894651858</v>
      </c>
      <c r="S155" s="1">
        <f t="shared" si="36"/>
        <v>0.14289842824215793</v>
      </c>
      <c r="T155" s="1">
        <f t="shared" si="37"/>
        <v>0.21501539202791919</v>
      </c>
      <c r="U155" s="1">
        <f t="shared" si="38"/>
        <v>0.17895691013503856</v>
      </c>
      <c r="V155" s="1">
        <f t="shared" si="50"/>
        <v>0.20637368276437038</v>
      </c>
      <c r="W155" s="82">
        <f t="shared" si="32"/>
        <v>4.9730287916867622E-2</v>
      </c>
      <c r="X155" s="1">
        <f t="shared" si="49"/>
        <v>7.6701026704389011E-2</v>
      </c>
      <c r="Y155">
        <v>230.37899999999999</v>
      </c>
      <c r="Z155" s="1">
        <f t="shared" si="33"/>
        <v>0.18816860862676615</v>
      </c>
      <c r="AA155" s="1">
        <f t="shared" si="34"/>
        <v>0.28313220550382484</v>
      </c>
      <c r="AB155" s="1">
        <f t="shared" si="39"/>
        <v>0.2356504070652955</v>
      </c>
      <c r="AC155" s="1">
        <f t="shared" si="51"/>
        <v>0.2728429990864682</v>
      </c>
      <c r="AE155" s="1"/>
      <c r="AF155" s="1"/>
    </row>
    <row r="156" spans="1:32">
      <c r="B156" s="63">
        <v>41167</v>
      </c>
      <c r="C156" s="20">
        <v>9</v>
      </c>
      <c r="D156" s="100">
        <f t="shared" si="35"/>
        <v>9.6000000000000085E-2</v>
      </c>
      <c r="E156" s="4"/>
      <c r="F156" s="105">
        <v>3.1240000000000001</v>
      </c>
      <c r="G156" s="108">
        <v>3.1629999999999998</v>
      </c>
      <c r="H156" s="101">
        <v>3.258</v>
      </c>
      <c r="I156" s="107">
        <f>(H156-(G156-0.1*H156)/0.9-GasolineMGSData!AG158)*(Y$283/Y156)</f>
        <v>-0.42256534290269776</v>
      </c>
      <c r="J156" s="107">
        <f t="shared" si="43"/>
        <v>-0.31030123919853303</v>
      </c>
      <c r="K156">
        <v>3.1619999999999999</v>
      </c>
      <c r="L156">
        <v>3.27</v>
      </c>
      <c r="M156">
        <v>3.0339999999999998</v>
      </c>
      <c r="N156">
        <v>112.86</v>
      </c>
      <c r="O156" s="1">
        <f t="shared" si="30"/>
        <v>4.2040893404261759</v>
      </c>
      <c r="P156" s="1">
        <f t="shared" si="52"/>
        <v>4.3476825247291568</v>
      </c>
      <c r="Q156" s="1">
        <f t="shared" si="31"/>
        <v>4.033904825696716</v>
      </c>
      <c r="R156" s="1">
        <f t="shared" si="46"/>
        <v>145.19726481912818</v>
      </c>
      <c r="S156" s="1">
        <f t="shared" si="36"/>
        <v>-0.14359318430298096</v>
      </c>
      <c r="T156" s="1">
        <f t="shared" si="37"/>
        <v>0.17018451472945983</v>
      </c>
      <c r="U156" s="1">
        <f t="shared" si="38"/>
        <v>1.3295665213239438E-2</v>
      </c>
      <c r="V156" s="1">
        <f t="shared" si="50"/>
        <v>0.20637368276437038</v>
      </c>
      <c r="W156" s="82">
        <f t="shared" si="32"/>
        <v>-0.11535688203036168</v>
      </c>
      <c r="X156" s="1">
        <f t="shared" si="49"/>
        <v>7.6701026704389011E-2</v>
      </c>
      <c r="Y156">
        <v>231.40700000000001</v>
      </c>
      <c r="Z156" s="1">
        <f t="shared" si="33"/>
        <v>-0.18824348083552014</v>
      </c>
      <c r="AA156" s="1">
        <f t="shared" si="34"/>
        <v>0.22310338469395102</v>
      </c>
      <c r="AB156" s="1">
        <f t="shared" si="39"/>
        <v>1.742995192921544E-2</v>
      </c>
      <c r="AC156" s="1">
        <f t="shared" si="51"/>
        <v>0.2728429990864682</v>
      </c>
      <c r="AE156" s="1"/>
      <c r="AF156" s="1"/>
    </row>
    <row r="157" spans="1:32">
      <c r="B157" s="63">
        <v>41197</v>
      </c>
      <c r="C157" s="20">
        <v>10</v>
      </c>
      <c r="D157" s="100">
        <f t="shared" si="35"/>
        <v>0.19500000000000028</v>
      </c>
      <c r="E157" s="4"/>
      <c r="F157" s="105">
        <v>2.8730000000000002</v>
      </c>
      <c r="G157" s="108">
        <v>2.9409999999999998</v>
      </c>
      <c r="H157" s="101">
        <v>3.33</v>
      </c>
      <c r="I157" s="107">
        <f>(H157-(G157-0.1*H157)/0.9-GasolineMGSData!AG159)*(Y$283/Y157)</f>
        <v>-5.6487691947648645E-3</v>
      </c>
      <c r="J157" s="107">
        <f t="shared" si="43"/>
        <v>-0.31030123919853303</v>
      </c>
      <c r="K157">
        <v>3.1349999999999998</v>
      </c>
      <c r="L157">
        <v>2.9750000000000001</v>
      </c>
      <c r="M157">
        <v>2.778</v>
      </c>
      <c r="N157">
        <v>111.71</v>
      </c>
      <c r="O157" s="1">
        <f t="shared" si="30"/>
        <v>4.1698127893756185</v>
      </c>
      <c r="P157" s="1">
        <f t="shared" si="52"/>
        <v>3.9569993774776604</v>
      </c>
      <c r="Q157" s="1">
        <f t="shared" si="31"/>
        <v>3.6949728640782995</v>
      </c>
      <c r="R157" s="1">
        <f t="shared" si="46"/>
        <v>143.77367772364332</v>
      </c>
      <c r="S157" s="1">
        <f t="shared" si="36"/>
        <v>0.2128134118979581</v>
      </c>
      <c r="T157" s="1">
        <f t="shared" si="37"/>
        <v>0.474839925297319</v>
      </c>
      <c r="U157" s="1">
        <f t="shared" si="38"/>
        <v>0.34382666859763855</v>
      </c>
      <c r="V157" s="1">
        <f t="shared" si="50"/>
        <v>0.20637368276437038</v>
      </c>
      <c r="W157" s="82">
        <f t="shared" si="32"/>
        <v>0.21512406567610662</v>
      </c>
      <c r="X157" s="1">
        <f t="shared" si="49"/>
        <v>7.6701026704389011E-2</v>
      </c>
      <c r="Y157">
        <v>231.31700000000001</v>
      </c>
      <c r="Z157" s="1">
        <f t="shared" si="33"/>
        <v>0.27909628377335116</v>
      </c>
      <c r="AA157" s="1">
        <f t="shared" si="34"/>
        <v>0.62273358316928973</v>
      </c>
      <c r="AB157" s="1">
        <f t="shared" si="39"/>
        <v>0.45091493347132044</v>
      </c>
      <c r="AC157" s="1">
        <f t="shared" si="51"/>
        <v>0.2728429990864682</v>
      </c>
      <c r="AE157" s="1"/>
      <c r="AF157" s="1"/>
    </row>
    <row r="158" spans="1:32">
      <c r="B158" s="63">
        <v>41228</v>
      </c>
      <c r="C158" s="20">
        <v>11</v>
      </c>
      <c r="D158" s="100">
        <f t="shared" si="35"/>
        <v>7.6000000000000068E-2</v>
      </c>
      <c r="E158" s="4"/>
      <c r="F158" s="105">
        <v>2.681</v>
      </c>
      <c r="G158" s="108">
        <v>2.7130000000000001</v>
      </c>
      <c r="H158" s="101">
        <v>2.8679999999999999</v>
      </c>
      <c r="I158" s="107">
        <f>(H158-(G158-0.1*H158)/0.9-GasolineMGSData!AG160)*(Y$283/Y158)</f>
        <v>-0.32219390825783312</v>
      </c>
      <c r="J158" s="107">
        <f t="shared" si="43"/>
        <v>-0.31030123919853303</v>
      </c>
      <c r="K158">
        <v>2.7919999999999998</v>
      </c>
      <c r="L158">
        <v>2.8170000000000002</v>
      </c>
      <c r="M158">
        <v>2.5219999999999998</v>
      </c>
      <c r="N158">
        <v>109.06</v>
      </c>
      <c r="O158" s="1">
        <f t="shared" si="30"/>
        <v>3.7312731332067877</v>
      </c>
      <c r="P158" s="1">
        <f t="shared" si="52"/>
        <v>3.7646835301731811</v>
      </c>
      <c r="Q158" s="1">
        <f t="shared" si="31"/>
        <v>3.3704408459697417</v>
      </c>
      <c r="R158" s="1">
        <f t="shared" si="46"/>
        <v>141.0312771641162</v>
      </c>
      <c r="S158" s="1">
        <f t="shared" si="36"/>
        <v>-3.3410396966393474E-2</v>
      </c>
      <c r="T158" s="1">
        <f t="shared" si="37"/>
        <v>0.36083228723704597</v>
      </c>
      <c r="U158" s="1">
        <f t="shared" si="38"/>
        <v>0.16371094513532625</v>
      </c>
      <c r="V158" s="1">
        <f t="shared" si="50"/>
        <v>0.20637368276437038</v>
      </c>
      <c r="W158" s="82">
        <f t="shared" si="32"/>
        <v>3.4395635063699415E-2</v>
      </c>
      <c r="X158" s="1">
        <f t="shared" si="49"/>
        <v>7.6701026704389011E-2</v>
      </c>
      <c r="Y158">
        <v>230.221</v>
      </c>
      <c r="Z158" s="1">
        <f t="shared" si="33"/>
        <v>-4.4024994483196682E-2</v>
      </c>
      <c r="AA158" s="1">
        <f t="shared" si="34"/>
        <v>0.47546994041851953</v>
      </c>
      <c r="AB158" s="1">
        <f t="shared" si="39"/>
        <v>0.21572247296766142</v>
      </c>
      <c r="AC158" s="1">
        <f t="shared" si="51"/>
        <v>0.2728429990864682</v>
      </c>
      <c r="AE158" s="1"/>
      <c r="AF158" s="1"/>
    </row>
    <row r="159" spans="1:32">
      <c r="A159" s="64"/>
      <c r="B159" s="63">
        <v>41258</v>
      </c>
      <c r="C159" s="20">
        <v>12</v>
      </c>
      <c r="D159" s="100">
        <f t="shared" si="35"/>
        <v>7.099999999999973E-2</v>
      </c>
      <c r="E159" s="4"/>
      <c r="F159" s="105">
        <v>2.5569999999999999</v>
      </c>
      <c r="G159" s="108">
        <v>2.59</v>
      </c>
      <c r="H159" s="101">
        <v>2.6859999999999999</v>
      </c>
      <c r="I159" s="107">
        <f>(H159-(G159-0.1*H159)/0.9-GasolineMGSData!AG161)*(Y$283/Y159)</f>
        <v>-0.39738801936569307</v>
      </c>
      <c r="J159" s="107">
        <f t="shared" si="43"/>
        <v>-0.31030123919853303</v>
      </c>
      <c r="K159">
        <v>2.6150000000000002</v>
      </c>
      <c r="L159">
        <v>2.7269999999999999</v>
      </c>
      <c r="M159">
        <v>2.4750000000000001</v>
      </c>
      <c r="N159">
        <v>109.49</v>
      </c>
      <c r="O159" s="1">
        <f t="shared" si="30"/>
        <v>3.5041644635694094</v>
      </c>
      <c r="P159" s="1">
        <f t="shared" si="52"/>
        <v>3.6542472245329938</v>
      </c>
      <c r="Q159" s="1">
        <f t="shared" si="31"/>
        <v>3.3165610123649287</v>
      </c>
      <c r="R159" s="1">
        <f t="shared" si="46"/>
        <v>141.96966646486732</v>
      </c>
      <c r="S159" s="1">
        <f t="shared" si="36"/>
        <v>-0.15008276096358442</v>
      </c>
      <c r="T159" s="1">
        <f t="shared" si="37"/>
        <v>0.18760345120448063</v>
      </c>
      <c r="U159" s="1">
        <f t="shared" si="38"/>
        <v>1.8760345120448108E-2</v>
      </c>
      <c r="V159" s="1">
        <f t="shared" si="50"/>
        <v>0.20637368276437038</v>
      </c>
      <c r="W159" s="82">
        <f t="shared" si="32"/>
        <v>-0.11090415982508786</v>
      </c>
      <c r="X159" s="1">
        <f t="shared" si="49"/>
        <v>7.6701026704389011E-2</v>
      </c>
      <c r="Y159">
        <v>229.601</v>
      </c>
      <c r="Z159" s="1">
        <f t="shared" si="33"/>
        <v>-0.19829859893552668</v>
      </c>
      <c r="AA159" s="1">
        <f t="shared" si="34"/>
        <v>0.24787324866940849</v>
      </c>
      <c r="AB159" s="1">
        <f t="shared" si="39"/>
        <v>2.4787324866940907E-2</v>
      </c>
      <c r="AC159" s="1">
        <f t="shared" si="51"/>
        <v>0.2728429990864682</v>
      </c>
      <c r="AE159" s="1"/>
      <c r="AF159" s="1"/>
    </row>
    <row r="160" spans="1:32">
      <c r="A160" s="64" t="s">
        <v>39</v>
      </c>
      <c r="B160" s="63">
        <v>41289</v>
      </c>
      <c r="C160" s="20">
        <v>1</v>
      </c>
      <c r="D160" s="100">
        <f t="shared" si="35"/>
        <v>-8.9999999999999858E-2</v>
      </c>
      <c r="E160" s="4"/>
      <c r="F160" s="105">
        <v>2.6419999999999999</v>
      </c>
      <c r="G160" s="108">
        <v>2.6760000000000002</v>
      </c>
      <c r="H160" s="101">
        <v>2.81</v>
      </c>
      <c r="I160" s="107">
        <f>(H160-(G160-0.1*H160)/0.9-GasolineMGSData!AG162)*(Y$283/Y160)</f>
        <v>-0.32396141269855261</v>
      </c>
      <c r="J160" s="107">
        <f>AVERAGE(I160:I171)</f>
        <v>-0.34034649243506593</v>
      </c>
      <c r="K160">
        <v>2.9</v>
      </c>
      <c r="L160">
        <v>2.8519999999999999</v>
      </c>
      <c r="M160">
        <v>2.669</v>
      </c>
      <c r="N160">
        <v>112.96</v>
      </c>
      <c r="O160" s="1">
        <f t="shared" si="30"/>
        <v>3.8746130797290252</v>
      </c>
      <c r="P160" s="1">
        <f t="shared" si="52"/>
        <v>3.810481552892131</v>
      </c>
      <c r="Q160" s="1">
        <f t="shared" si="31"/>
        <v>3.5659801068264723</v>
      </c>
      <c r="R160" s="1">
        <f t="shared" si="46"/>
        <v>146.03714851485148</v>
      </c>
      <c r="S160" s="1">
        <f t="shared" si="36"/>
        <v>6.413152683689427E-2</v>
      </c>
      <c r="T160" s="1">
        <f t="shared" si="37"/>
        <v>0.30863297290255298</v>
      </c>
      <c r="U160" s="1">
        <f t="shared" si="38"/>
        <v>0.18638224986972363</v>
      </c>
      <c r="V160" s="1">
        <f>AVERAGE(S160:T171)</f>
        <v>0.22126108119031454</v>
      </c>
      <c r="W160" s="82">
        <f t="shared" si="32"/>
        <v>5.710007165190184E-2</v>
      </c>
      <c r="X160" s="1">
        <f>AVERAGE(W160:W171)</f>
        <v>9.3462339168956257E-2</v>
      </c>
      <c r="Y160">
        <v>230.28</v>
      </c>
      <c r="Z160" s="1">
        <f t="shared" si="33"/>
        <v>8.4484681152600133E-2</v>
      </c>
      <c r="AA160" s="1">
        <f t="shared" si="34"/>
        <v>0.40658252804688721</v>
      </c>
      <c r="AB160" s="1">
        <f t="shared" si="39"/>
        <v>0.24553360459974366</v>
      </c>
      <c r="AC160" s="1">
        <f>AVERAGE(Z160:AA171)</f>
        <v>0.28826117026879916</v>
      </c>
      <c r="AE160" s="1"/>
      <c r="AF160" s="1"/>
    </row>
    <row r="161" spans="1:32">
      <c r="B161" s="63">
        <v>41320</v>
      </c>
      <c r="C161" s="20">
        <v>2</v>
      </c>
      <c r="D161" s="100">
        <f t="shared" si="35"/>
        <v>-7.8999999999999737E-2</v>
      </c>
      <c r="E161" s="4"/>
      <c r="F161" s="105">
        <v>2.9889999999999999</v>
      </c>
      <c r="G161" s="108">
        <v>3.02</v>
      </c>
      <c r="H161" s="101">
        <v>3.2530000000000001</v>
      </c>
      <c r="I161" s="107">
        <f>(H161-(G161-0.1*H161)/0.9-GasolineMGSData!AG163)*(Y$283/Y161)</f>
        <v>-0.19797878465477201</v>
      </c>
      <c r="J161" s="107">
        <f t="shared" si="43"/>
        <v>-0.34034649243506593</v>
      </c>
      <c r="K161">
        <v>3.3319999999999999</v>
      </c>
      <c r="L161">
        <v>3.0529999999999999</v>
      </c>
      <c r="M161">
        <v>2.9220000000000002</v>
      </c>
      <c r="N161">
        <v>116.05</v>
      </c>
      <c r="O161" s="1">
        <f t="shared" si="30"/>
        <v>4.4156326593902637</v>
      </c>
      <c r="P161" s="1">
        <f t="shared" si="52"/>
        <v>4.045896311260047</v>
      </c>
      <c r="Q161" s="1">
        <f t="shared" si="31"/>
        <v>3.872292506223995</v>
      </c>
      <c r="R161" s="1">
        <f t="shared" si="46"/>
        <v>148.81318345494174</v>
      </c>
      <c r="S161" s="1">
        <f t="shared" si="36"/>
        <v>0.36973634813021672</v>
      </c>
      <c r="T161" s="1">
        <f t="shared" si="37"/>
        <v>0.54334015316626871</v>
      </c>
      <c r="U161" s="1">
        <f t="shared" si="38"/>
        <v>0.45653825064824272</v>
      </c>
      <c r="V161" s="1">
        <f>V160</f>
        <v>0.22126108119031454</v>
      </c>
      <c r="W161" s="82">
        <f t="shared" si="32"/>
        <v>0.32830629592619037</v>
      </c>
      <c r="X161" s="1">
        <f t="shared" si="49"/>
        <v>9.3462339168956257E-2</v>
      </c>
      <c r="Y161">
        <v>232.166</v>
      </c>
      <c r="Z161" s="1">
        <f t="shared" si="33"/>
        <v>0.48312124849386617</v>
      </c>
      <c r="AA161" s="1">
        <f t="shared" si="34"/>
        <v>0.7099631250268289</v>
      </c>
      <c r="AB161" s="1">
        <f t="shared" si="39"/>
        <v>0.59654218676034754</v>
      </c>
      <c r="AC161" s="1">
        <f>AC160</f>
        <v>0.28826117026879916</v>
      </c>
      <c r="AE161" s="1"/>
      <c r="AF161" s="1"/>
    </row>
    <row r="162" spans="1:32">
      <c r="B162" s="63">
        <v>41348</v>
      </c>
      <c r="C162" s="20">
        <v>3</v>
      </c>
      <c r="D162" s="100">
        <f t="shared" si="35"/>
        <v>0.1419999999999999</v>
      </c>
      <c r="E162" s="4"/>
      <c r="F162" s="105">
        <v>2.9390000000000001</v>
      </c>
      <c r="G162" s="108">
        <v>2.9870000000000001</v>
      </c>
      <c r="H162" s="101">
        <v>3.1709999999999998</v>
      </c>
      <c r="I162" s="107">
        <f>(H162-(G162-0.1*H162)/0.9-GasolineMGSData!AG164)*(Y$283/Y162)</f>
        <v>-0.27142593566278767</v>
      </c>
      <c r="J162" s="107">
        <f t="shared" si="43"/>
        <v>-0.34034649243506593</v>
      </c>
      <c r="K162">
        <v>3.0289999999999999</v>
      </c>
      <c r="L162">
        <v>2.9140000000000001</v>
      </c>
      <c r="M162">
        <v>2.9009999999999998</v>
      </c>
      <c r="N162">
        <v>108.47</v>
      </c>
      <c r="O162" s="1">
        <f t="shared" si="30"/>
        <v>4.0036235259243984</v>
      </c>
      <c r="P162" s="1">
        <f t="shared" si="52"/>
        <v>3.851620651879728</v>
      </c>
      <c r="Q162" s="1">
        <f t="shared" si="31"/>
        <v>3.8344377182920693</v>
      </c>
      <c r="R162" s="1">
        <f t="shared" si="46"/>
        <v>138.73048923199858</v>
      </c>
      <c r="S162" s="1">
        <f t="shared" si="36"/>
        <v>0.15200287404467039</v>
      </c>
      <c r="T162" s="1">
        <f t="shared" si="37"/>
        <v>0.16918580763232915</v>
      </c>
      <c r="U162" s="1">
        <f t="shared" si="38"/>
        <v>0.16059434083849977</v>
      </c>
      <c r="V162" s="1">
        <f t="shared" ref="V162:V171" si="53">V161</f>
        <v>0.22126108119031454</v>
      </c>
      <c r="W162" s="82">
        <f t="shared" si="32"/>
        <v>3.2696775399209121E-2</v>
      </c>
      <c r="X162" s="1">
        <f t="shared" si="49"/>
        <v>9.3462339168956257E-2</v>
      </c>
      <c r="Y162">
        <v>232.773</v>
      </c>
      <c r="Z162" s="1">
        <f t="shared" si="33"/>
        <v>0.19809878241382525</v>
      </c>
      <c r="AA162" s="1">
        <f t="shared" si="34"/>
        <v>0.22049255781712773</v>
      </c>
      <c r="AB162" s="1">
        <f t="shared" si="39"/>
        <v>0.20929567011547651</v>
      </c>
      <c r="AC162" s="1">
        <f t="shared" ref="AC162:AC171" si="54">AC161</f>
        <v>0.28826117026879916</v>
      </c>
      <c r="AE162" s="1"/>
      <c r="AF162" s="1"/>
    </row>
    <row r="163" spans="1:32">
      <c r="B163" s="63">
        <v>41379</v>
      </c>
      <c r="C163" s="20">
        <v>4</v>
      </c>
      <c r="D163" s="100">
        <f t="shared" si="35"/>
        <v>0.13599999999999968</v>
      </c>
      <c r="E163" s="4"/>
      <c r="F163" s="105">
        <v>2.8069999999999999</v>
      </c>
      <c r="G163" s="108">
        <v>2.8530000000000002</v>
      </c>
      <c r="H163" s="101">
        <v>3.0419999999999998</v>
      </c>
      <c r="I163" s="107">
        <f>(H163-(G163-0.1*H163)/0.9-GasolineMGSData!AG165)*(Y$283/Y163)</f>
        <v>-0.25711443686495128</v>
      </c>
      <c r="J163" s="107">
        <f t="shared" si="43"/>
        <v>-0.34034649243506593</v>
      </c>
      <c r="K163">
        <v>2.9060000000000001</v>
      </c>
      <c r="L163">
        <v>2.706</v>
      </c>
      <c r="M163">
        <v>2.6850000000000001</v>
      </c>
      <c r="N163">
        <v>102.25</v>
      </c>
      <c r="O163" s="1">
        <f t="shared" si="30"/>
        <v>3.8450439984346176</v>
      </c>
      <c r="P163" s="1">
        <f t="shared" si="52"/>
        <v>3.5804160563537764</v>
      </c>
      <c r="Q163" s="1">
        <f t="shared" si="31"/>
        <v>3.5526301224352883</v>
      </c>
      <c r="R163" s="1">
        <f t="shared" si="46"/>
        <v>130.91136128086148</v>
      </c>
      <c r="S163" s="1">
        <f t="shared" si="36"/>
        <v>0.26462794208084128</v>
      </c>
      <c r="T163" s="1">
        <f t="shared" si="37"/>
        <v>0.29241387599932933</v>
      </c>
      <c r="U163" s="1">
        <f t="shared" si="38"/>
        <v>0.27852090904008531</v>
      </c>
      <c r="V163" s="1">
        <f t="shared" si="53"/>
        <v>0.22126108119031454</v>
      </c>
      <c r="W163" s="82">
        <f t="shared" si="32"/>
        <v>0.15049023786075866</v>
      </c>
      <c r="X163" s="1">
        <f t="shared" si="49"/>
        <v>9.3462339168956257E-2</v>
      </c>
      <c r="Y163">
        <v>232.53100000000001</v>
      </c>
      <c r="Z163" s="1">
        <f t="shared" si="33"/>
        <v>0.34523709266063562</v>
      </c>
      <c r="AA163" s="1">
        <f t="shared" si="34"/>
        <v>0.38148698739000197</v>
      </c>
      <c r="AB163" s="1">
        <f t="shared" si="39"/>
        <v>0.3633620400253188</v>
      </c>
      <c r="AC163" s="1">
        <f t="shared" si="54"/>
        <v>0.28826117026879916</v>
      </c>
      <c r="AE163" s="1"/>
      <c r="AF163" s="1"/>
    </row>
    <row r="164" spans="1:32">
      <c r="B164" s="63">
        <v>41409</v>
      </c>
      <c r="C164" s="20">
        <v>5</v>
      </c>
      <c r="D164" s="100">
        <f t="shared" si="35"/>
        <v>0.11299999999999999</v>
      </c>
      <c r="E164" s="4"/>
      <c r="F164" s="105">
        <v>2.9140000000000001</v>
      </c>
      <c r="G164" s="108">
        <v>2.9510000000000001</v>
      </c>
      <c r="H164" s="101">
        <v>3.1120000000000001</v>
      </c>
      <c r="I164" s="107">
        <f>(H164-(G164-0.1*H164)/0.9-GasolineMGSData!AG166)*(Y$283/Y164)</f>
        <v>-0.29817534634041865</v>
      </c>
      <c r="J164" s="107">
        <f t="shared" si="43"/>
        <v>-0.34034649243506593</v>
      </c>
      <c r="K164">
        <v>2.9990000000000001</v>
      </c>
      <c r="L164">
        <v>2.742</v>
      </c>
      <c r="M164">
        <v>2.7080000000000002</v>
      </c>
      <c r="N164">
        <v>102.56</v>
      </c>
      <c r="O164" s="1">
        <f t="shared" si="30"/>
        <v>3.9610437184743179</v>
      </c>
      <c r="P164" s="1">
        <f t="shared" si="52"/>
        <v>3.6216011590718837</v>
      </c>
      <c r="Q164" s="1">
        <f t="shared" si="31"/>
        <v>3.576694361329928</v>
      </c>
      <c r="R164" s="1">
        <f t="shared" si="46"/>
        <v>131.0748896091352</v>
      </c>
      <c r="S164" s="1">
        <f t="shared" si="36"/>
        <v>0.33944255940243417</v>
      </c>
      <c r="T164" s="1">
        <f t="shared" si="37"/>
        <v>0.38434935714438989</v>
      </c>
      <c r="U164" s="1">
        <f t="shared" si="38"/>
        <v>0.36189595827341203</v>
      </c>
      <c r="V164" s="1">
        <f t="shared" si="53"/>
        <v>0.22126108119031454</v>
      </c>
      <c r="W164" s="82">
        <f t="shared" si="32"/>
        <v>0.23409282877932541</v>
      </c>
      <c r="X164" s="1">
        <f t="shared" si="49"/>
        <v>9.3462339168956257E-2</v>
      </c>
      <c r="Y164">
        <v>232.94499999999999</v>
      </c>
      <c r="Z164" s="1">
        <f t="shared" si="33"/>
        <v>0.44205418939234853</v>
      </c>
      <c r="AA164" s="1">
        <f t="shared" si="34"/>
        <v>0.50053606658822269</v>
      </c>
      <c r="AB164" s="1">
        <f t="shared" si="39"/>
        <v>0.47129512799028561</v>
      </c>
      <c r="AC164" s="1">
        <f t="shared" si="54"/>
        <v>0.28826117026879916</v>
      </c>
      <c r="AE164" s="1"/>
      <c r="AF164" s="1"/>
    </row>
    <row r="165" spans="1:32">
      <c r="A165">
        <f>A153+1</f>
        <v>2013</v>
      </c>
      <c r="B165" s="63">
        <v>41440</v>
      </c>
      <c r="C165" s="20">
        <v>6</v>
      </c>
      <c r="D165" s="100">
        <f t="shared" si="35"/>
        <v>4.2000000000000259E-2</v>
      </c>
      <c r="E165" s="4"/>
      <c r="F165" s="105">
        <v>2.8359999999999999</v>
      </c>
      <c r="G165" s="108">
        <v>2.8820000000000001</v>
      </c>
      <c r="H165" s="101">
        <v>3.0630000000000002</v>
      </c>
      <c r="I165" s="107">
        <f>(H165-(G165-0.1*H165)/0.9-GasolineMGSData!AG167)*(Y$283/Y165)</f>
        <v>-0.26850005203388827</v>
      </c>
      <c r="J165" s="107">
        <f t="shared" si="43"/>
        <v>-0.34034649243506593</v>
      </c>
      <c r="K165">
        <v>3.0209999999999999</v>
      </c>
      <c r="L165">
        <v>2.74</v>
      </c>
      <c r="M165">
        <v>2.6880000000000002</v>
      </c>
      <c r="N165">
        <v>102.92</v>
      </c>
      <c r="O165" s="1">
        <f t="shared" si="30"/>
        <v>3.9805489028025214</v>
      </c>
      <c r="P165" s="1">
        <f t="shared" si="52"/>
        <v>3.6102959264081131</v>
      </c>
      <c r="Q165" s="1">
        <f t="shared" si="31"/>
        <v>3.5417793613813897</v>
      </c>
      <c r="R165" s="1">
        <f t="shared" si="46"/>
        <v>131.22009096203922</v>
      </c>
      <c r="S165" s="1">
        <f t="shared" si="36"/>
        <v>0.37025297639440824</v>
      </c>
      <c r="T165" s="1">
        <f t="shared" si="37"/>
        <v>0.43876954142113167</v>
      </c>
      <c r="U165" s="1">
        <f t="shared" si="38"/>
        <v>0.40451125890776995</v>
      </c>
      <c r="V165" s="1">
        <f t="shared" si="53"/>
        <v>0.22126108119031454</v>
      </c>
      <c r="W165" s="82">
        <f t="shared" si="32"/>
        <v>0.27701408541181272</v>
      </c>
      <c r="X165" s="1">
        <f t="shared" si="49"/>
        <v>9.3462339168956257E-2</v>
      </c>
      <c r="Y165">
        <v>233.50399999999999</v>
      </c>
      <c r="Z165" s="1">
        <f t="shared" si="33"/>
        <v>0.48102410955673941</v>
      </c>
      <c r="AA165" s="1">
        <f t="shared" si="34"/>
        <v>0.57003924726830713</v>
      </c>
      <c r="AB165" s="1">
        <f t="shared" si="39"/>
        <v>0.52553167841252324</v>
      </c>
      <c r="AC165" s="1">
        <f t="shared" si="54"/>
        <v>0.28826117026879916</v>
      </c>
      <c r="AE165" s="1"/>
      <c r="AF165" s="1"/>
    </row>
    <row r="166" spans="1:32">
      <c r="B166" s="63">
        <v>41470</v>
      </c>
      <c r="C166" s="20">
        <v>7</v>
      </c>
      <c r="D166" s="100">
        <f t="shared" si="35"/>
        <v>-1.4000000000000234E-2</v>
      </c>
      <c r="E166" s="4"/>
      <c r="F166" s="105">
        <v>2.9</v>
      </c>
      <c r="G166" s="108">
        <v>2.9420000000000002</v>
      </c>
      <c r="H166" s="101">
        <v>3.0329999999999999</v>
      </c>
      <c r="I166" s="107">
        <f>(H166-(G166-0.1*H166)/0.9-GasolineMGSData!AG168)*(Y$283/Y166)</f>
        <v>-0.44899157480432195</v>
      </c>
      <c r="J166" s="107">
        <f t="shared" si="43"/>
        <v>-0.34034649243506593</v>
      </c>
      <c r="K166">
        <v>3.0470000000000002</v>
      </c>
      <c r="L166">
        <v>2.9239999999999999</v>
      </c>
      <c r="M166">
        <v>2.8530000000000002</v>
      </c>
      <c r="N166">
        <v>107.93</v>
      </c>
      <c r="O166" s="1">
        <f t="shared" si="30"/>
        <v>4.0132259841778106</v>
      </c>
      <c r="P166" s="1">
        <f t="shared" si="52"/>
        <v>3.8512217846195993</v>
      </c>
      <c r="Q166" s="1">
        <f t="shared" si="31"/>
        <v>3.7577071653624206</v>
      </c>
      <c r="R166" s="1">
        <f t="shared" si="46"/>
        <v>137.55350361307558</v>
      </c>
      <c r="S166" s="1">
        <f t="shared" si="36"/>
        <v>0.16200419955821133</v>
      </c>
      <c r="T166" s="1">
        <f t="shared" si="37"/>
        <v>0.25551881881539007</v>
      </c>
      <c r="U166" s="1">
        <f t="shared" si="38"/>
        <v>0.2087615091868007</v>
      </c>
      <c r="V166" s="1">
        <f t="shared" si="53"/>
        <v>0.22126108119031454</v>
      </c>
      <c r="W166" s="82">
        <f t="shared" si="32"/>
        <v>8.131454947858649E-2</v>
      </c>
      <c r="X166" s="1">
        <f t="shared" si="49"/>
        <v>9.3462339168956257E-2</v>
      </c>
      <c r="Y166">
        <v>233.596</v>
      </c>
      <c r="Z166" s="1">
        <f t="shared" si="33"/>
        <v>0.21038921895313986</v>
      </c>
      <c r="AA166" s="1">
        <f t="shared" si="34"/>
        <v>0.33183340225129354</v>
      </c>
      <c r="AB166" s="1">
        <f t="shared" si="39"/>
        <v>0.27111131060221672</v>
      </c>
      <c r="AC166" s="1">
        <f t="shared" si="54"/>
        <v>0.28826117026879916</v>
      </c>
      <c r="AE166" s="1"/>
      <c r="AF166" s="1"/>
    </row>
    <row r="167" spans="1:32">
      <c r="B167" s="63">
        <v>41501</v>
      </c>
      <c r="C167" s="20">
        <v>8</v>
      </c>
      <c r="D167" s="100">
        <f t="shared" si="35"/>
        <v>6.2999999999999723E-2</v>
      </c>
      <c r="E167" s="4"/>
      <c r="F167" s="105">
        <v>2.8490000000000002</v>
      </c>
      <c r="G167" s="108">
        <v>2.89</v>
      </c>
      <c r="H167" s="101">
        <v>2.8879999999999999</v>
      </c>
      <c r="I167" s="107">
        <f>(H167-(G167-0.1*H167)/0.9-GasolineMGSData!AG169)*(Y$283/Y167)</f>
        <v>-0.57627121325471442</v>
      </c>
      <c r="J167" s="107">
        <f t="shared" si="43"/>
        <v>-0.34034649243506593</v>
      </c>
      <c r="K167">
        <v>2.8250000000000002</v>
      </c>
      <c r="L167">
        <v>2.9329999999999998</v>
      </c>
      <c r="M167">
        <v>2.8610000000000002</v>
      </c>
      <c r="N167">
        <v>111.28</v>
      </c>
      <c r="O167" s="1">
        <f t="shared" si="30"/>
        <v>3.7163576367064737</v>
      </c>
      <c r="P167" s="1">
        <f t="shared" si="52"/>
        <v>3.8584343180389684</v>
      </c>
      <c r="Q167" s="1">
        <f t="shared" si="31"/>
        <v>3.7637165304839724</v>
      </c>
      <c r="R167" s="1">
        <f t="shared" si="46"/>
        <v>141.65257840659834</v>
      </c>
      <c r="S167" s="1">
        <f t="shared" si="36"/>
        <v>-0.14207668133249474</v>
      </c>
      <c r="T167" s="1">
        <f t="shared" si="37"/>
        <v>-4.735889377749869E-2</v>
      </c>
      <c r="U167" s="1">
        <f t="shared" si="38"/>
        <v>-9.4717787554996713E-2</v>
      </c>
      <c r="V167" s="1">
        <f t="shared" si="53"/>
        <v>0.22126108119031454</v>
      </c>
      <c r="W167" s="82">
        <f t="shared" si="32"/>
        <v>-0.22201162149334894</v>
      </c>
      <c r="X167" s="1">
        <f t="shared" si="49"/>
        <v>9.3462339168956257E-2</v>
      </c>
      <c r="Y167">
        <v>233.87700000000001</v>
      </c>
      <c r="Z167" s="1">
        <f t="shared" si="33"/>
        <v>-0.18428835789354917</v>
      </c>
      <c r="AA167" s="1">
        <f t="shared" si="34"/>
        <v>-6.1429452631183636E-2</v>
      </c>
      <c r="AB167" s="1">
        <f t="shared" si="39"/>
        <v>-0.1228589052623664</v>
      </c>
      <c r="AC167" s="1">
        <f t="shared" si="54"/>
        <v>0.28826117026879916</v>
      </c>
      <c r="AE167" s="1"/>
      <c r="AF167" s="1"/>
    </row>
    <row r="168" spans="1:32">
      <c r="B168" s="63">
        <v>41532</v>
      </c>
      <c r="C168" s="20">
        <v>9</v>
      </c>
      <c r="D168" s="100">
        <f t="shared" si="35"/>
        <v>6.5999999999999837E-2</v>
      </c>
      <c r="E168" s="4"/>
      <c r="F168" s="105">
        <v>2.7360000000000002</v>
      </c>
      <c r="G168" s="108">
        <v>2.7919999999999998</v>
      </c>
      <c r="H168" s="101">
        <v>2.9729999999999999</v>
      </c>
      <c r="I168" s="107">
        <f>(H168-(G168-0.1*H168)/0.9-GasolineMGSData!AG170)*(Y$283/Y168)</f>
        <v>-0.31538071528862499</v>
      </c>
      <c r="J168" s="107">
        <f t="shared" si="43"/>
        <v>-0.34034649243506593</v>
      </c>
      <c r="K168">
        <v>2.907</v>
      </c>
      <c r="L168">
        <v>2.7970000000000002</v>
      </c>
      <c r="M168">
        <v>2.6040000000000001</v>
      </c>
      <c r="N168">
        <v>111.6</v>
      </c>
      <c r="O168" s="1">
        <f t="shared" si="30"/>
        <v>3.8197882416751727</v>
      </c>
      <c r="P168" s="1">
        <f t="shared" si="52"/>
        <v>3.67524861092723</v>
      </c>
      <c r="Q168" s="1">
        <f t="shared" si="31"/>
        <v>3.421647258796749</v>
      </c>
      <c r="R168" s="1">
        <f t="shared" si="46"/>
        <v>141.89489427672123</v>
      </c>
      <c r="S168" s="1">
        <f t="shared" si="36"/>
        <v>0.14453963074794274</v>
      </c>
      <c r="T168" s="1">
        <f t="shared" si="37"/>
        <v>0.3981409828784237</v>
      </c>
      <c r="U168" s="1">
        <f t="shared" si="38"/>
        <v>0.27134030681318322</v>
      </c>
      <c r="V168" s="1">
        <f t="shared" si="53"/>
        <v>0.22126108119031454</v>
      </c>
      <c r="W168" s="82">
        <f t="shared" si="32"/>
        <v>0.1441943441996337</v>
      </c>
      <c r="X168" s="1">
        <f t="shared" si="49"/>
        <v>9.3462339168956257E-2</v>
      </c>
      <c r="Y168">
        <v>234.149</v>
      </c>
      <c r="Z168" s="1">
        <f t="shared" si="33"/>
        <v>0.18726527126995268</v>
      </c>
      <c r="AA168" s="1">
        <f t="shared" si="34"/>
        <v>0.5158307017708692</v>
      </c>
      <c r="AB168" s="1">
        <f t="shared" si="39"/>
        <v>0.35154798652041097</v>
      </c>
      <c r="AC168" s="1">
        <f t="shared" si="54"/>
        <v>0.28826117026879916</v>
      </c>
      <c r="AE168" s="1"/>
      <c r="AF168" s="1"/>
    </row>
    <row r="169" spans="1:32">
      <c r="B169" s="63">
        <v>41562</v>
      </c>
      <c r="C169" s="20">
        <v>10</v>
      </c>
      <c r="D169" s="100">
        <f t="shared" si="35"/>
        <v>3.6999999999999922E-2</v>
      </c>
      <c r="E169" s="4"/>
      <c r="F169" s="105">
        <v>2.5870000000000002</v>
      </c>
      <c r="G169" s="108">
        <v>2.6320000000000001</v>
      </c>
      <c r="H169" s="101">
        <v>2.798</v>
      </c>
      <c r="I169" s="107">
        <f>(H169-(G169-0.1*H169)/0.9-GasolineMGSData!AG171)*(Y$283/Y169)</f>
        <v>-0.33052986092986575</v>
      </c>
      <c r="J169" s="107">
        <f t="shared" si="43"/>
        <v>-0.34034649243506593</v>
      </c>
      <c r="K169">
        <v>2.7610000000000001</v>
      </c>
      <c r="L169">
        <v>2.6850000000000001</v>
      </c>
      <c r="M169">
        <v>2.4900000000000002</v>
      </c>
      <c r="N169">
        <v>109.08</v>
      </c>
      <c r="O169" s="1">
        <f t="shared" si="30"/>
        <v>3.6373118400657689</v>
      </c>
      <c r="P169" s="1">
        <f t="shared" si="52"/>
        <v>3.5371902537401629</v>
      </c>
      <c r="Q169" s="1">
        <f t="shared" si="31"/>
        <v>3.2802993414573578</v>
      </c>
      <c r="R169" s="1">
        <f t="shared" si="46"/>
        <v>139.04890633965044</v>
      </c>
      <c r="S169" s="1">
        <f t="shared" si="36"/>
        <v>0.10012158632560597</v>
      </c>
      <c r="T169" s="1">
        <f t="shared" si="37"/>
        <v>0.35701249860841111</v>
      </c>
      <c r="U169" s="1">
        <f t="shared" si="38"/>
        <v>0.22856704246700854</v>
      </c>
      <c r="V169" s="1">
        <f t="shared" si="53"/>
        <v>0.22126108119031454</v>
      </c>
      <c r="W169" s="82">
        <f t="shared" si="32"/>
        <v>0.10109279756450537</v>
      </c>
      <c r="X169" s="1">
        <f t="shared" si="49"/>
        <v>9.3462339168956257E-2</v>
      </c>
      <c r="Y169">
        <v>233.54599999999999</v>
      </c>
      <c r="Z169" s="1">
        <f t="shared" si="33"/>
        <v>0.13005225862354655</v>
      </c>
      <c r="AA169" s="1">
        <f t="shared" si="34"/>
        <v>0.46373897482869936</v>
      </c>
      <c r="AB169" s="1">
        <f t="shared" si="39"/>
        <v>0.29689561672612297</v>
      </c>
      <c r="AC169" s="1">
        <f t="shared" si="54"/>
        <v>0.28826117026879916</v>
      </c>
      <c r="AE169" s="1"/>
      <c r="AF169" s="1"/>
    </row>
    <row r="170" spans="1:32">
      <c r="B170" s="63">
        <v>41593</v>
      </c>
      <c r="C170" s="20">
        <v>11</v>
      </c>
      <c r="D170" s="100">
        <f t="shared" si="35"/>
        <v>7.0000000000001172E-3</v>
      </c>
      <c r="E170" s="4"/>
      <c r="F170" s="105">
        <v>2.508</v>
      </c>
      <c r="G170" s="108">
        <v>2.544</v>
      </c>
      <c r="H170" s="101">
        <v>2.6579999999999999</v>
      </c>
      <c r="I170" s="107">
        <f>(H170-(G170-0.1*H170)/0.9-GasolineMGSData!AG172)*(Y$283/Y170)</f>
        <v>-0.3978972148008379</v>
      </c>
      <c r="J170" s="107">
        <f t="shared" si="43"/>
        <v>-0.34034649243506593</v>
      </c>
      <c r="K170">
        <v>2.6509999999999998</v>
      </c>
      <c r="L170">
        <v>2.673</v>
      </c>
      <c r="M170">
        <v>2.4510000000000001</v>
      </c>
      <c r="N170">
        <v>107.79</v>
      </c>
      <c r="O170" s="1">
        <f t="shared" si="30"/>
        <v>3.4995465763357632</v>
      </c>
      <c r="P170" s="1">
        <f t="shared" si="52"/>
        <v>3.5285884566373054</v>
      </c>
      <c r="Q170" s="1">
        <f t="shared" si="31"/>
        <v>3.2355294826853855</v>
      </c>
      <c r="R170" s="1">
        <f t="shared" si="46"/>
        <v>137.68570118720211</v>
      </c>
      <c r="S170" s="1">
        <f t="shared" si="36"/>
        <v>-2.90418803015422E-2</v>
      </c>
      <c r="T170" s="1">
        <f t="shared" si="37"/>
        <v>0.26401709365037762</v>
      </c>
      <c r="U170" s="1">
        <f t="shared" si="38"/>
        <v>0.11748760667441771</v>
      </c>
      <c r="V170" s="1">
        <f t="shared" si="53"/>
        <v>0.22126108119031454</v>
      </c>
      <c r="W170" s="82">
        <f t="shared" si="32"/>
        <v>-1.0247527556217884E-2</v>
      </c>
      <c r="X170" s="1">
        <f t="shared" si="49"/>
        <v>9.3462339168956257E-2</v>
      </c>
      <c r="Y170">
        <v>233.06899999999999</v>
      </c>
      <c r="Z170" s="1">
        <f t="shared" si="33"/>
        <v>-3.7800959947126157E-2</v>
      </c>
      <c r="AA170" s="1">
        <f t="shared" si="34"/>
        <v>0.34364509042841179</v>
      </c>
      <c r="AB170" s="1">
        <f t="shared" si="39"/>
        <v>0.15292206524064281</v>
      </c>
      <c r="AC170" s="1">
        <f t="shared" si="54"/>
        <v>0.28826117026879916</v>
      </c>
      <c r="AE170" s="1"/>
      <c r="AF170" s="1"/>
    </row>
    <row r="171" spans="1:32">
      <c r="A171" s="64"/>
      <c r="B171" s="63">
        <v>41623</v>
      </c>
      <c r="C171" s="20">
        <v>12</v>
      </c>
      <c r="D171" s="100">
        <f t="shared" si="35"/>
        <v>9.9999999999997868E-3</v>
      </c>
      <c r="E171" s="4"/>
      <c r="F171" s="105">
        <v>2.5419999999999998</v>
      </c>
      <c r="G171" s="108">
        <v>2.581</v>
      </c>
      <c r="H171" s="101">
        <v>2.6949999999999998</v>
      </c>
      <c r="I171" s="107">
        <f>(H171-(G171-0.1*H171)/0.9-GasolineMGSData!AG173)*(Y$283/Y171)</f>
        <v>-0.39793136188705586</v>
      </c>
      <c r="J171" s="107">
        <f t="shared" si="43"/>
        <v>-0.34034649243506593</v>
      </c>
      <c r="K171">
        <v>2.6850000000000001</v>
      </c>
      <c r="L171">
        <v>2.7360000000000002</v>
      </c>
      <c r="M171">
        <v>2.52</v>
      </c>
      <c r="N171">
        <v>110.76</v>
      </c>
      <c r="O171" s="1">
        <f t="shared" si="30"/>
        <v>3.5447336611613869</v>
      </c>
      <c r="P171" s="1">
        <f t="shared" si="52"/>
        <v>3.6120637977421062</v>
      </c>
      <c r="Q171" s="1">
        <f t="shared" si="31"/>
        <v>3.326900866341413</v>
      </c>
      <c r="R171" s="1">
        <f t="shared" si="46"/>
        <v>141.49157627795014</v>
      </c>
      <c r="S171" s="1">
        <f t="shared" si="36"/>
        <v>-6.7330136580719291E-2</v>
      </c>
      <c r="T171" s="1">
        <f t="shared" si="37"/>
        <v>0.21783279481997386</v>
      </c>
      <c r="U171" s="1">
        <f t="shared" si="38"/>
        <v>7.5251329119627286E-2</v>
      </c>
      <c r="V171" s="1">
        <f t="shared" si="53"/>
        <v>0.22126108119031454</v>
      </c>
      <c r="W171" s="82">
        <f t="shared" si="32"/>
        <v>-5.2494767194881692E-2</v>
      </c>
      <c r="X171" s="1">
        <f t="shared" si="49"/>
        <v>9.3462339168956257E-2</v>
      </c>
      <c r="Y171">
        <v>233.04900000000001</v>
      </c>
      <c r="Z171" s="1">
        <f t="shared" si="33"/>
        <v>-8.764453923225049E-2</v>
      </c>
      <c r="AA171" s="1">
        <f t="shared" si="34"/>
        <v>0.28355586222198648</v>
      </c>
      <c r="AB171" s="1">
        <f t="shared" si="39"/>
        <v>9.7955661494867993E-2</v>
      </c>
      <c r="AC171" s="1">
        <f t="shared" si="54"/>
        <v>0.28826117026879916</v>
      </c>
      <c r="AE171" s="1"/>
      <c r="AF171" s="1"/>
    </row>
    <row r="172" spans="1:32">
      <c r="A172" s="64" t="s">
        <v>39</v>
      </c>
      <c r="B172" s="63">
        <v>41654</v>
      </c>
      <c r="C172" s="20">
        <v>1</v>
      </c>
      <c r="D172" s="100">
        <f t="shared" si="35"/>
        <v>5.3999999999999826E-2</v>
      </c>
      <c r="E172" s="4"/>
      <c r="F172" s="105">
        <v>2.5659999999999998</v>
      </c>
      <c r="G172" s="108">
        <v>2.6040000000000001</v>
      </c>
      <c r="H172" s="101">
        <v>2.6819999999999999</v>
      </c>
      <c r="I172" s="107">
        <f>(H172-(G172-0.1*H172)/0.9-GasolineMGSData!AG174)*(Y$283/Y172)</f>
        <v>-0.43299332578442157</v>
      </c>
      <c r="J172" s="107">
        <f>AVERAGE(I172:I183)</f>
        <v>-0.3275245104643556</v>
      </c>
      <c r="K172">
        <v>2.6280000000000001</v>
      </c>
      <c r="L172">
        <v>2.6720000000000002</v>
      </c>
      <c r="M172">
        <v>2.548</v>
      </c>
      <c r="N172">
        <v>108.12</v>
      </c>
      <c r="O172" s="1">
        <f t="shared" si="30"/>
        <v>3.4566228389678351</v>
      </c>
      <c r="P172" s="1">
        <f t="shared" si="52"/>
        <v>3.5144962807161546</v>
      </c>
      <c r="Q172" s="1">
        <f t="shared" si="31"/>
        <v>3.351398399425435</v>
      </c>
      <c r="R172" s="1">
        <f t="shared" si="46"/>
        <v>137.60714666803469</v>
      </c>
      <c r="S172" s="1">
        <f t="shared" si="36"/>
        <v>-5.7873441748319543E-2</v>
      </c>
      <c r="T172" s="1">
        <f t="shared" si="37"/>
        <v>0.10522443954240002</v>
      </c>
      <c r="U172" s="1">
        <f t="shared" si="38"/>
        <v>2.3675498897040237E-2</v>
      </c>
      <c r="V172" s="1">
        <f>AVERAGE(S172:T183)</f>
        <v>0.15274636043110498</v>
      </c>
      <c r="W172" s="82">
        <f t="shared" si="32"/>
        <v>-0.10359711178371697</v>
      </c>
      <c r="X172" s="1">
        <f>AVERAGE(W172:W183)</f>
        <v>2.6985072675612898E-2</v>
      </c>
      <c r="Y172">
        <v>233.916</v>
      </c>
      <c r="Z172" s="1">
        <f t="shared" si="33"/>
        <v>-7.505540839059946E-2</v>
      </c>
      <c r="AA172" s="1">
        <f t="shared" si="34"/>
        <v>0.13646437889200011</v>
      </c>
      <c r="AB172" s="1">
        <f t="shared" si="39"/>
        <v>3.0704485250700325E-2</v>
      </c>
      <c r="AC172" s="1">
        <f>AVERAGE(Z172:AA183)</f>
        <v>0.19516581058649321</v>
      </c>
      <c r="AE172" s="1"/>
      <c r="AF172" s="1"/>
    </row>
    <row r="173" spans="1:32">
      <c r="B173" s="63">
        <v>41685</v>
      </c>
      <c r="C173" s="20">
        <v>2</v>
      </c>
      <c r="D173" s="100">
        <f t="shared" si="35"/>
        <v>-5.0000000000000266E-2</v>
      </c>
      <c r="E173" s="4"/>
      <c r="F173" s="105">
        <v>2.6659999999999999</v>
      </c>
      <c r="G173" s="108">
        <v>2.6989999999999998</v>
      </c>
      <c r="H173" s="101">
        <v>2.819</v>
      </c>
      <c r="I173" s="107">
        <f>(H173-(G173-0.1*H173)/0.9-GasolineMGSData!AG175)*(Y$283/Y173)</f>
        <v>-0.37376582405324921</v>
      </c>
      <c r="J173" s="107">
        <f t="shared" ref="J173:J231" si="55">J172</f>
        <v>-0.3275245104643556</v>
      </c>
      <c r="K173">
        <v>2.8690000000000002</v>
      </c>
      <c r="L173">
        <v>2.7949999999999999</v>
      </c>
      <c r="M173">
        <v>2.6949999999999998</v>
      </c>
      <c r="N173">
        <v>108.9</v>
      </c>
      <c r="O173" s="1">
        <f t="shared" ref="O173:O236" si="56">K173*($Y$289/$Y173)</f>
        <v>3.7597084048538854</v>
      </c>
      <c r="P173" s="1">
        <f t="shared" si="52"/>
        <v>3.6627343992912542</v>
      </c>
      <c r="Q173" s="1">
        <f t="shared" ref="Q173:Q236" si="57">M173*($Y$289/$Y173)</f>
        <v>3.5316884458282396</v>
      </c>
      <c r="R173" s="1">
        <f t="shared" si="46"/>
        <v>138.08923166695772</v>
      </c>
      <c r="S173" s="1">
        <f t="shared" si="36"/>
        <v>9.6974005562631138E-2</v>
      </c>
      <c r="T173" s="1">
        <f t="shared" si="37"/>
        <v>0.22801995902564576</v>
      </c>
      <c r="U173" s="1">
        <f t="shared" si="38"/>
        <v>0.16249698229413845</v>
      </c>
      <c r="V173" s="1">
        <f>V172</f>
        <v>0.15274636043110498</v>
      </c>
      <c r="W173" s="82">
        <f t="shared" ref="W173:W236" si="58">U173-0.1*$Y$278/Y173</f>
        <v>3.5693280120623533E-2</v>
      </c>
      <c r="X173" s="1">
        <f t="shared" si="49"/>
        <v>2.6985072675612898E-2</v>
      </c>
      <c r="Y173">
        <v>234.78100000000001</v>
      </c>
      <c r="Z173" s="1">
        <f t="shared" ref="Z173:Z236" si="59">S173*(Y$283/Y173)</f>
        <v>0.1253011327556168</v>
      </c>
      <c r="AA173" s="1">
        <f t="shared" ref="AA173:AA236" si="60">T173*(Y$283/Y173)</f>
        <v>0.29462698783077407</v>
      </c>
      <c r="AB173" s="1">
        <f t="shared" si="39"/>
        <v>0.20996406029319542</v>
      </c>
      <c r="AC173" s="1">
        <f>AC172</f>
        <v>0.19516581058649321</v>
      </c>
      <c r="AE173" s="1"/>
      <c r="AF173" s="1"/>
    </row>
    <row r="174" spans="1:32">
      <c r="B174" s="63">
        <v>41713</v>
      </c>
      <c r="C174" s="20">
        <v>3</v>
      </c>
      <c r="D174" s="100">
        <f t="shared" ref="D174:D237" si="61">H174-K174</f>
        <v>0.13300000000000001</v>
      </c>
      <c r="E174" s="4"/>
      <c r="F174" s="105">
        <v>2.8180000000000001</v>
      </c>
      <c r="G174" s="108">
        <v>2.855</v>
      </c>
      <c r="H174" s="101">
        <v>3.0270000000000001</v>
      </c>
      <c r="I174" s="107">
        <f>(H174-(G174-0.1*H174)/0.9-GasolineMGSData!AG176)*(Y$283/Y174)</f>
        <v>-0.30878122264772512</v>
      </c>
      <c r="J174" s="107">
        <f t="shared" si="55"/>
        <v>-0.3275245104643556</v>
      </c>
      <c r="K174">
        <v>2.8940000000000001</v>
      </c>
      <c r="L174">
        <v>2.7530000000000001</v>
      </c>
      <c r="M174">
        <v>2.714</v>
      </c>
      <c r="N174">
        <v>107.48</v>
      </c>
      <c r="O174" s="1">
        <f t="shared" si="56"/>
        <v>3.7682025028248822</v>
      </c>
      <c r="P174" s="1">
        <f t="shared" si="52"/>
        <v>3.5846100519270565</v>
      </c>
      <c r="Q174" s="1">
        <f t="shared" si="57"/>
        <v>3.5338291612531894</v>
      </c>
      <c r="R174" s="1">
        <f t="shared" si="46"/>
        <v>135.41653066320205</v>
      </c>
      <c r="S174" s="1">
        <f t="shared" ref="S174:S237" si="62">O174-P174</f>
        <v>0.18359245089782572</v>
      </c>
      <c r="T174" s="1">
        <f t="shared" ref="T174:T237" si="63">O174-Q174</f>
        <v>0.23437334157169287</v>
      </c>
      <c r="U174" s="1">
        <f t="shared" ref="U174:U237" si="64">AVERAGE(S174:T174)</f>
        <v>0.2089828962347593</v>
      </c>
      <c r="V174" s="1">
        <f t="shared" ref="V174:V183" si="65">V173</f>
        <v>0.15274636043110498</v>
      </c>
      <c r="W174" s="82">
        <f t="shared" si="58"/>
        <v>8.2990590072494624E-2</v>
      </c>
      <c r="X174" s="1">
        <f t="shared" si="49"/>
        <v>2.6985072675612898E-2</v>
      </c>
      <c r="Y174">
        <v>236.29300000000001</v>
      </c>
      <c r="Z174" s="1">
        <f t="shared" si="59"/>
        <v>0.23570379436427277</v>
      </c>
      <c r="AA174" s="1">
        <f t="shared" si="60"/>
        <v>0.3008984608905616</v>
      </c>
      <c r="AB174" s="1">
        <f t="shared" ref="AB174:AB237" si="66">AVERAGE(Z174:AA174)</f>
        <v>0.2683011276274172</v>
      </c>
      <c r="AC174" s="1">
        <f t="shared" ref="AC174:AC183" si="67">AC173</f>
        <v>0.19516581058649321</v>
      </c>
      <c r="AE174" s="1"/>
      <c r="AF174" s="1"/>
    </row>
    <row r="175" spans="1:32">
      <c r="B175" s="63">
        <v>41744</v>
      </c>
      <c r="C175" s="20">
        <v>4</v>
      </c>
      <c r="D175" s="100">
        <f t="shared" si="61"/>
        <v>4.5999999999999819E-2</v>
      </c>
      <c r="E175" s="4"/>
      <c r="F175" s="105">
        <v>2.9430000000000001</v>
      </c>
      <c r="G175" s="108">
        <v>2.9809999999999999</v>
      </c>
      <c r="H175" s="101">
        <v>3.2149999999999999</v>
      </c>
      <c r="I175" s="107">
        <f>(H175-(G175-0.1*H175)/0.9-GasolineMGSData!AG177)*(Y$283/Y175)</f>
        <v>-0.22972915611624026</v>
      </c>
      <c r="J175" s="107">
        <f t="shared" si="55"/>
        <v>-0.3275245104643556</v>
      </c>
      <c r="K175">
        <v>3.169</v>
      </c>
      <c r="L175">
        <v>2.8959999999999999</v>
      </c>
      <c r="M175">
        <v>2.8010000000000002</v>
      </c>
      <c r="N175">
        <v>107.76</v>
      </c>
      <c r="O175" s="1">
        <f t="shared" si="56"/>
        <v>4.1127142766754403</v>
      </c>
      <c r="P175" s="1">
        <f t="shared" si="52"/>
        <v>3.7584160761287708</v>
      </c>
      <c r="Q175" s="1">
        <f t="shared" si="57"/>
        <v>3.6351254935209556</v>
      </c>
      <c r="R175" s="1">
        <f t="shared" si="46"/>
        <v>135.32318181818184</v>
      </c>
      <c r="S175" s="1">
        <f t="shared" si="62"/>
        <v>0.3542982005466695</v>
      </c>
      <c r="T175" s="1">
        <f t="shared" si="63"/>
        <v>0.47758878315448472</v>
      </c>
      <c r="U175" s="1">
        <f t="shared" si="64"/>
        <v>0.41594349185057711</v>
      </c>
      <c r="V175" s="1">
        <f t="shared" si="65"/>
        <v>0.15274636043110498</v>
      </c>
      <c r="W175" s="82">
        <f t="shared" si="58"/>
        <v>0.2903651865256125</v>
      </c>
      <c r="X175" s="1">
        <f t="shared" si="49"/>
        <v>2.6985072675612898E-2</v>
      </c>
      <c r="Y175">
        <v>237.072</v>
      </c>
      <c r="Z175" s="1">
        <f t="shared" si="59"/>
        <v>0.45336844929995651</v>
      </c>
      <c r="AA175" s="1">
        <f t="shared" si="60"/>
        <v>0.61113402689517926</v>
      </c>
      <c r="AB175" s="1">
        <f t="shared" si="66"/>
        <v>0.53225123809756791</v>
      </c>
      <c r="AC175" s="1">
        <f t="shared" si="67"/>
        <v>0.19516581058649321</v>
      </c>
      <c r="AE175" s="1"/>
      <c r="AF175" s="1"/>
    </row>
    <row r="176" spans="1:32">
      <c r="B176" s="63">
        <v>41774</v>
      </c>
      <c r="C176" s="20">
        <v>5</v>
      </c>
      <c r="D176" s="100">
        <f t="shared" si="61"/>
        <v>8.9999999999999858E-2</v>
      </c>
      <c r="E176" s="4"/>
      <c r="F176" s="105">
        <v>2.9060000000000001</v>
      </c>
      <c r="G176" s="108">
        <v>2.9510000000000001</v>
      </c>
      <c r="H176" s="101">
        <v>3.1259999999999999</v>
      </c>
      <c r="I176" s="107">
        <f>(H176-(G176-0.1*H176)/0.9-GasolineMGSData!AG178)*(Y$283/Y176)</f>
        <v>-0.31297007151966222</v>
      </c>
      <c r="J176" s="107">
        <f t="shared" si="55"/>
        <v>-0.3275245104643556</v>
      </c>
      <c r="K176">
        <v>3.036</v>
      </c>
      <c r="L176">
        <v>2.8620000000000001</v>
      </c>
      <c r="M176">
        <v>2.762</v>
      </c>
      <c r="N176">
        <v>109.54</v>
      </c>
      <c r="O176" s="1">
        <f t="shared" si="56"/>
        <v>3.9263940983606558</v>
      </c>
      <c r="P176" s="1">
        <f t="shared" si="52"/>
        <v>3.701363606557377</v>
      </c>
      <c r="Q176" s="1">
        <f t="shared" si="57"/>
        <v>3.5720357377049181</v>
      </c>
      <c r="R176" s="1">
        <f t="shared" si="46"/>
        <v>137.07970970996217</v>
      </c>
      <c r="S176" s="1">
        <f t="shared" si="62"/>
        <v>0.22503049180327883</v>
      </c>
      <c r="T176" s="1">
        <f t="shared" si="63"/>
        <v>0.35435836065573767</v>
      </c>
      <c r="U176" s="1">
        <f t="shared" si="64"/>
        <v>0.28969442622950825</v>
      </c>
      <c r="V176" s="1">
        <f t="shared" si="65"/>
        <v>0.15274636043110498</v>
      </c>
      <c r="W176" s="82">
        <f t="shared" si="58"/>
        <v>0.16455319041614128</v>
      </c>
      <c r="X176" s="1">
        <f t="shared" si="49"/>
        <v>2.6985072675612898E-2</v>
      </c>
      <c r="Y176">
        <v>237.9</v>
      </c>
      <c r="Z176" s="1">
        <f t="shared" si="59"/>
        <v>0.28695218614929835</v>
      </c>
      <c r="AA176" s="1">
        <f t="shared" si="60"/>
        <v>0.451867235660389</v>
      </c>
      <c r="AB176" s="1">
        <f t="shared" si="66"/>
        <v>0.36940971090484365</v>
      </c>
      <c r="AC176" s="1">
        <f t="shared" si="67"/>
        <v>0.19516581058649321</v>
      </c>
      <c r="AE176" s="1"/>
      <c r="AF176" s="1"/>
    </row>
    <row r="177" spans="1:32">
      <c r="A177">
        <f>A165+1</f>
        <v>2014</v>
      </c>
      <c r="B177" s="63">
        <v>41805</v>
      </c>
      <c r="C177" s="20">
        <v>6</v>
      </c>
      <c r="D177" s="100">
        <f t="shared" si="61"/>
        <v>2.1999999999999797E-2</v>
      </c>
      <c r="E177" s="4"/>
      <c r="F177" s="105">
        <v>2.9580000000000002</v>
      </c>
      <c r="G177" s="108">
        <v>3.0009999999999999</v>
      </c>
      <c r="H177" s="101">
        <v>3.1379999999999999</v>
      </c>
      <c r="I177" s="107">
        <f>(H177-(G177-0.1*H177)/0.9-GasolineMGSData!AG179)*(Y$283/Y177)</f>
        <v>-0.36359143240967096</v>
      </c>
      <c r="J177" s="107">
        <f t="shared" si="55"/>
        <v>-0.3275245104643556</v>
      </c>
      <c r="K177">
        <v>3.1160000000000001</v>
      </c>
      <c r="L177">
        <v>2.8959999999999999</v>
      </c>
      <c r="M177">
        <v>2.8490000000000002</v>
      </c>
      <c r="N177">
        <v>111.8</v>
      </c>
      <c r="O177" s="1">
        <f t="shared" si="56"/>
        <v>4.0223662368938884</v>
      </c>
      <c r="P177" s="1">
        <f t="shared" si="52"/>
        <v>3.7383737554700578</v>
      </c>
      <c r="Q177" s="1">
        <f t="shared" si="57"/>
        <v>3.6777026344386039</v>
      </c>
      <c r="R177" s="1">
        <f t="shared" si="46"/>
        <v>139.64785959730307</v>
      </c>
      <c r="S177" s="1">
        <f t="shared" si="62"/>
        <v>0.2839924814238306</v>
      </c>
      <c r="T177" s="1">
        <f t="shared" si="63"/>
        <v>0.34466360245528449</v>
      </c>
      <c r="U177" s="1">
        <f t="shared" si="64"/>
        <v>0.31432804193955755</v>
      </c>
      <c r="V177" s="1">
        <f t="shared" si="65"/>
        <v>0.15274636043110498</v>
      </c>
      <c r="W177" s="82">
        <f t="shared" si="58"/>
        <v>0.18941940187041348</v>
      </c>
      <c r="X177" s="1">
        <f t="shared" si="49"/>
        <v>2.6985072675612898E-2</v>
      </c>
      <c r="Y177">
        <v>238.34299999999999</v>
      </c>
      <c r="Z177" s="1">
        <f t="shared" si="59"/>
        <v>0.3614656656254957</v>
      </c>
      <c r="AA177" s="1">
        <f t="shared" si="60"/>
        <v>0.43868787600912329</v>
      </c>
      <c r="AB177" s="1">
        <f t="shared" si="66"/>
        <v>0.40007677081730952</v>
      </c>
      <c r="AC177" s="1">
        <f t="shared" si="67"/>
        <v>0.19516581058649321</v>
      </c>
      <c r="AE177" s="1"/>
      <c r="AF177" s="1"/>
    </row>
    <row r="178" spans="1:32">
      <c r="B178" s="63">
        <v>41835</v>
      </c>
      <c r="C178" s="20">
        <v>7</v>
      </c>
      <c r="D178" s="100">
        <f t="shared" si="61"/>
        <v>0.12000000000000011</v>
      </c>
      <c r="E178" s="4"/>
      <c r="F178" s="105">
        <v>2.7970000000000002</v>
      </c>
      <c r="G178" s="108">
        <v>2.855</v>
      </c>
      <c r="H178" s="101">
        <v>3.028</v>
      </c>
      <c r="I178" s="107">
        <f>(H178-(G178-0.1*H178)/0.9-GasolineMGSData!AG180)*(Y$283/Y178)</f>
        <v>-0.26092413574566381</v>
      </c>
      <c r="J178" s="107">
        <f t="shared" si="55"/>
        <v>-0.3275245104643556</v>
      </c>
      <c r="K178">
        <v>2.9079999999999999</v>
      </c>
      <c r="L178">
        <v>2.802</v>
      </c>
      <c r="M178">
        <v>2.7130000000000001</v>
      </c>
      <c r="N178">
        <v>106.77</v>
      </c>
      <c r="O178" s="1">
        <f t="shared" si="56"/>
        <v>3.7553295613850999</v>
      </c>
      <c r="P178" s="1">
        <f t="shared" si="52"/>
        <v>3.6184434081846804</v>
      </c>
      <c r="Q178" s="1">
        <f t="shared" si="57"/>
        <v>3.5035106946484786</v>
      </c>
      <c r="R178" s="1">
        <f t="shared" si="46"/>
        <v>133.41701351521513</v>
      </c>
      <c r="S178" s="1">
        <f t="shared" si="62"/>
        <v>0.13688615320041952</v>
      </c>
      <c r="T178" s="1">
        <f t="shared" si="63"/>
        <v>0.25181886673662124</v>
      </c>
      <c r="U178" s="1">
        <f t="shared" si="64"/>
        <v>0.19435250996852038</v>
      </c>
      <c r="V178" s="1">
        <f t="shared" si="65"/>
        <v>0.15274636043110498</v>
      </c>
      <c r="W178" s="82">
        <f t="shared" si="58"/>
        <v>6.9395112277019846E-2</v>
      </c>
      <c r="X178" s="1">
        <f t="shared" si="49"/>
        <v>2.6985072675612898E-2</v>
      </c>
      <c r="Y178">
        <v>238.25</v>
      </c>
      <c r="Z178" s="1">
        <f t="shared" si="59"/>
        <v>0.17429672232251361</v>
      </c>
      <c r="AA178" s="1">
        <f t="shared" si="60"/>
        <v>0.32064019672537936</v>
      </c>
      <c r="AB178" s="1">
        <f t="shared" si="66"/>
        <v>0.24746845952394647</v>
      </c>
      <c r="AC178" s="1">
        <f t="shared" si="67"/>
        <v>0.19516581058649321</v>
      </c>
      <c r="AE178" s="1"/>
      <c r="AF178" s="1"/>
    </row>
    <row r="179" spans="1:32">
      <c r="B179" s="63">
        <v>41866</v>
      </c>
      <c r="C179" s="20">
        <v>8</v>
      </c>
      <c r="D179" s="100">
        <f t="shared" si="61"/>
        <v>8.8000000000000078E-2</v>
      </c>
      <c r="E179" s="4"/>
      <c r="F179" s="105">
        <v>2.71</v>
      </c>
      <c r="G179" s="108">
        <v>2.7589999999999999</v>
      </c>
      <c r="H179" s="101">
        <v>2.8959999999999999</v>
      </c>
      <c r="I179" s="107">
        <f>(H179-(G179-0.1*H179)/0.9-GasolineMGSData!AG181)*(Y$283/Y179)</f>
        <v>-0.30573134788398071</v>
      </c>
      <c r="J179" s="107">
        <f t="shared" si="55"/>
        <v>-0.3275245104643556</v>
      </c>
      <c r="K179">
        <v>2.8079999999999998</v>
      </c>
      <c r="L179">
        <v>2.7050000000000001</v>
      </c>
      <c r="M179">
        <v>2.6309999999999998</v>
      </c>
      <c r="N179">
        <v>101.61</v>
      </c>
      <c r="O179" s="1">
        <f t="shared" si="56"/>
        <v>3.6322594218253363</v>
      </c>
      <c r="P179" s="1">
        <f t="shared" si="52"/>
        <v>3.4990248347712019</v>
      </c>
      <c r="Q179" s="1">
        <f t="shared" si="57"/>
        <v>3.4033028984410469</v>
      </c>
      <c r="R179" s="1">
        <f t="shared" si="46"/>
        <v>127.18167057666112</v>
      </c>
      <c r="S179" s="1">
        <f t="shared" si="62"/>
        <v>0.13323458705413449</v>
      </c>
      <c r="T179" s="1">
        <f t="shared" si="63"/>
        <v>0.2289565233842894</v>
      </c>
      <c r="U179" s="1">
        <f t="shared" si="64"/>
        <v>0.18109555521921195</v>
      </c>
      <c r="V179" s="1">
        <f t="shared" si="65"/>
        <v>0.15274636043110498</v>
      </c>
      <c r="W179" s="82">
        <f t="shared" si="58"/>
        <v>5.5929065132939798E-2</v>
      </c>
      <c r="X179" s="1">
        <f t="shared" si="49"/>
        <v>2.6985072675612898E-2</v>
      </c>
      <c r="Y179">
        <v>237.852</v>
      </c>
      <c r="Z179" s="1">
        <f t="shared" si="59"/>
        <v>0.16993106651406506</v>
      </c>
      <c r="AA179" s="1">
        <f t="shared" si="60"/>
        <v>0.29201746381543225</v>
      </c>
      <c r="AB179" s="1">
        <f t="shared" si="66"/>
        <v>0.23097426516474867</v>
      </c>
      <c r="AC179" s="1">
        <f t="shared" si="67"/>
        <v>0.19516581058649321</v>
      </c>
      <c r="AE179" s="1"/>
      <c r="AF179" s="1"/>
    </row>
    <row r="180" spans="1:32">
      <c r="B180" s="63">
        <v>41897</v>
      </c>
      <c r="C180" s="20">
        <v>9</v>
      </c>
      <c r="D180" s="100">
        <f t="shared" si="61"/>
        <v>5.2999999999999936E-2</v>
      </c>
      <c r="E180" s="4"/>
      <c r="F180" s="105">
        <v>2.6190000000000002</v>
      </c>
      <c r="G180" s="108">
        <v>2.669</v>
      </c>
      <c r="H180" s="101">
        <v>2.7719999999999998</v>
      </c>
      <c r="I180" s="107">
        <f>(H180-(G180-0.1*H180)/0.9-GasolineMGSData!AG182)*(Y$283/Y180)</f>
        <v>-0.34745226163035703</v>
      </c>
      <c r="J180" s="107">
        <f t="shared" si="55"/>
        <v>-0.3275245104643556</v>
      </c>
      <c r="K180">
        <v>2.7189999999999999</v>
      </c>
      <c r="L180">
        <v>2.7210000000000001</v>
      </c>
      <c r="M180">
        <v>2.605</v>
      </c>
      <c r="N180">
        <v>97.09</v>
      </c>
      <c r="O180" s="1">
        <f t="shared" si="56"/>
        <v>3.5144894950657681</v>
      </c>
      <c r="P180" s="1">
        <f t="shared" si="52"/>
        <v>3.5170746289348864</v>
      </c>
      <c r="Q180" s="1">
        <f t="shared" si="57"/>
        <v>3.3671368645260489</v>
      </c>
      <c r="R180" s="1">
        <f t="shared" si="46"/>
        <v>121.43275871630166</v>
      </c>
      <c r="S180" s="1">
        <f t="shared" si="62"/>
        <v>-2.5851338691182946E-3</v>
      </c>
      <c r="T180" s="1">
        <f t="shared" si="63"/>
        <v>0.14735263053971925</v>
      </c>
      <c r="U180" s="1">
        <f t="shared" si="64"/>
        <v>7.238374833530048E-2</v>
      </c>
      <c r="V180" s="1">
        <f t="shared" si="65"/>
        <v>0.15274636043110498</v>
      </c>
      <c r="W180" s="82">
        <f t="shared" si="58"/>
        <v>-5.2688616188648091E-2</v>
      </c>
      <c r="X180" s="1">
        <f t="shared" si="49"/>
        <v>2.6985072675612898E-2</v>
      </c>
      <c r="Y180">
        <v>238.03100000000001</v>
      </c>
      <c r="Z180" s="1">
        <f t="shared" si="59"/>
        <v>-3.2946715593235049E-3</v>
      </c>
      <c r="AA180" s="1">
        <f t="shared" si="60"/>
        <v>0.18779627888140979</v>
      </c>
      <c r="AB180" s="1">
        <f t="shared" si="66"/>
        <v>9.2250803661043143E-2</v>
      </c>
      <c r="AC180" s="1">
        <f t="shared" si="67"/>
        <v>0.19516581058649321</v>
      </c>
      <c r="AE180" s="1"/>
      <c r="AF180" s="1"/>
    </row>
    <row r="181" spans="1:32">
      <c r="B181" s="63">
        <v>41927</v>
      </c>
      <c r="C181" s="20">
        <v>10</v>
      </c>
      <c r="D181" s="100">
        <f t="shared" si="61"/>
        <v>0.11699999999999999</v>
      </c>
      <c r="E181" s="4"/>
      <c r="F181" s="105">
        <v>2.2719999999999998</v>
      </c>
      <c r="G181" s="108">
        <v>2.3330000000000002</v>
      </c>
      <c r="H181" s="101">
        <v>2.4550000000000001</v>
      </c>
      <c r="I181" s="107">
        <f>(H181-(G181-0.1*H181)/0.9-GasolineMGSData!AG183)*(Y$283/Y181)</f>
        <v>-0.31076354493744851</v>
      </c>
      <c r="J181" s="107">
        <f t="shared" si="55"/>
        <v>-0.3275245104643556</v>
      </c>
      <c r="K181">
        <v>2.3380000000000001</v>
      </c>
      <c r="L181">
        <v>2.3980000000000001</v>
      </c>
      <c r="M181">
        <v>2.1789999999999998</v>
      </c>
      <c r="N181">
        <v>87.43</v>
      </c>
      <c r="O181" s="1">
        <f t="shared" si="56"/>
        <v>3.0296327721925769</v>
      </c>
      <c r="P181" s="1">
        <f t="shared" si="52"/>
        <v>3.1073821162180493</v>
      </c>
      <c r="Q181" s="1">
        <f t="shared" si="57"/>
        <v>2.8235970105250745</v>
      </c>
      <c r="R181" s="1">
        <f t="shared" si="46"/>
        <v>109.62617972227956</v>
      </c>
      <c r="S181" s="1">
        <f t="shared" si="62"/>
        <v>-7.77493440254724E-2</v>
      </c>
      <c r="T181" s="1">
        <f t="shared" si="63"/>
        <v>0.20603576166750237</v>
      </c>
      <c r="U181" s="1">
        <f t="shared" si="64"/>
        <v>6.4143208821014985E-2</v>
      </c>
      <c r="V181" s="1">
        <f t="shared" si="65"/>
        <v>0.15274636043110498</v>
      </c>
      <c r="W181" s="82">
        <f t="shared" si="58"/>
        <v>-6.124416361668325E-2</v>
      </c>
      <c r="X181" s="1">
        <f t="shared" si="49"/>
        <v>2.6985072675612898E-2</v>
      </c>
      <c r="Y181">
        <v>237.43299999999999</v>
      </c>
      <c r="Z181" s="1">
        <f t="shared" si="59"/>
        <v>-9.9338652384459547E-2</v>
      </c>
      <c r="AA181" s="1">
        <f t="shared" si="60"/>
        <v>0.26324742881881846</v>
      </c>
      <c r="AB181" s="1">
        <f t="shared" si="66"/>
        <v>8.1954388217179458E-2</v>
      </c>
      <c r="AC181" s="1">
        <f t="shared" si="67"/>
        <v>0.19516581058649321</v>
      </c>
      <c r="AE181" s="1"/>
      <c r="AF181" s="1"/>
    </row>
    <row r="182" spans="1:32">
      <c r="B182" s="63">
        <v>41958</v>
      </c>
      <c r="C182" s="20">
        <v>11</v>
      </c>
      <c r="D182" s="100">
        <f t="shared" si="61"/>
        <v>0.15399999999999991</v>
      </c>
      <c r="E182" s="4"/>
      <c r="F182" s="105">
        <v>2.069</v>
      </c>
      <c r="G182" s="108">
        <v>2.1110000000000002</v>
      </c>
      <c r="H182" s="101">
        <v>2.1779999999999999</v>
      </c>
      <c r="I182" s="107">
        <f>(H182-(G182-0.1*H182)/0.9-GasolineMGSData!AG184)*(Y$283/Y182)</f>
        <v>-0.37518485106017718</v>
      </c>
      <c r="J182" s="107">
        <f t="shared" si="55"/>
        <v>-0.3275245104643556</v>
      </c>
      <c r="K182">
        <v>2.024</v>
      </c>
      <c r="L182">
        <v>2.165</v>
      </c>
      <c r="M182">
        <v>1.9370000000000001</v>
      </c>
      <c r="N182">
        <v>79.44</v>
      </c>
      <c r="O182" s="1">
        <f t="shared" si="56"/>
        <v>2.636982710215074</v>
      </c>
      <c r="P182" s="1">
        <f t="shared" si="52"/>
        <v>2.8206855571223497</v>
      </c>
      <c r="Q182" s="1">
        <f t="shared" si="57"/>
        <v>2.5236341451020743</v>
      </c>
      <c r="R182" s="1">
        <f t="shared" si="46"/>
        <v>100.14847212165098</v>
      </c>
      <c r="S182" s="1">
        <f t="shared" si="62"/>
        <v>-0.18370284690727567</v>
      </c>
      <c r="T182" s="1">
        <f t="shared" si="63"/>
        <v>0.11334856511299973</v>
      </c>
      <c r="U182" s="1">
        <f t="shared" si="64"/>
        <v>-3.5177140897137971E-2</v>
      </c>
      <c r="V182" s="1">
        <f t="shared" si="65"/>
        <v>0.15274636043110498</v>
      </c>
      <c r="W182" s="82">
        <f t="shared" si="58"/>
        <v>-0.16124520751553045</v>
      </c>
      <c r="X182" s="1">
        <f t="shared" si="49"/>
        <v>2.6985072675612898E-2</v>
      </c>
      <c r="Y182">
        <v>236.15100000000001</v>
      </c>
      <c r="Z182" s="1">
        <f t="shared" si="59"/>
        <v>-0.23598734177001945</v>
      </c>
      <c r="AA182" s="1">
        <f t="shared" si="60"/>
        <v>0.14560921087937351</v>
      </c>
      <c r="AB182" s="1">
        <f t="shared" si="66"/>
        <v>-4.5189065445322973E-2</v>
      </c>
      <c r="AC182" s="1">
        <f t="shared" si="67"/>
        <v>0.19516581058649321</v>
      </c>
      <c r="AE182" s="1"/>
      <c r="AF182" s="1"/>
    </row>
    <row r="183" spans="1:32">
      <c r="A183" s="64"/>
      <c r="B183" s="63">
        <v>41988</v>
      </c>
      <c r="C183" s="20">
        <v>12</v>
      </c>
      <c r="D183" s="100">
        <f t="shared" si="61"/>
        <v>0.23100000000000009</v>
      </c>
      <c r="E183" s="4"/>
      <c r="F183" s="105">
        <v>1.577</v>
      </c>
      <c r="G183" s="108">
        <v>1.6339999999999999</v>
      </c>
      <c r="H183" s="101">
        <v>1.7390000000000001</v>
      </c>
      <c r="I183" s="107">
        <f>(H183-(G183-0.1*H183)/0.9-GasolineMGSData!AG185)*(Y$283/Y183)</f>
        <v>-0.30840695178367128</v>
      </c>
      <c r="J183" s="107">
        <f t="shared" si="55"/>
        <v>-0.3275245104643556</v>
      </c>
      <c r="K183">
        <v>1.508</v>
      </c>
      <c r="L183">
        <v>1.6830000000000001</v>
      </c>
      <c r="M183">
        <v>1.423</v>
      </c>
      <c r="N183">
        <v>62.34</v>
      </c>
      <c r="O183" s="1">
        <f t="shared" si="56"/>
        <v>1.9759120828577756</v>
      </c>
      <c r="P183" s="1">
        <f t="shared" si="52"/>
        <v>2.2052122250992285</v>
      </c>
      <c r="Q183" s="1">
        <f t="shared" si="57"/>
        <v>1.8645377280547843</v>
      </c>
      <c r="R183" s="1">
        <f t="shared" si="46"/>
        <v>79.038991789176023</v>
      </c>
      <c r="S183" s="1">
        <f t="shared" si="62"/>
        <v>-0.2293001422414529</v>
      </c>
      <c r="T183" s="1">
        <f t="shared" si="63"/>
        <v>0.11137435480299129</v>
      </c>
      <c r="U183" s="1">
        <f t="shared" si="64"/>
        <v>-5.8962893719230802E-2</v>
      </c>
      <c r="V183" s="1">
        <f t="shared" si="65"/>
        <v>0.15274636043110498</v>
      </c>
      <c r="W183" s="82">
        <f t="shared" si="58"/>
        <v>-0.18574985520331169</v>
      </c>
      <c r="X183" s="1">
        <f t="shared" si="49"/>
        <v>2.6985072675612898E-2</v>
      </c>
      <c r="Y183">
        <v>234.81200000000001</v>
      </c>
      <c r="Z183" s="1">
        <f t="shared" si="59"/>
        <v>-0.29624201084609764</v>
      </c>
      <c r="AA183" s="1">
        <f t="shared" si="60"/>
        <v>0.14388897669667583</v>
      </c>
      <c r="AB183" s="1">
        <f t="shared" si="66"/>
        <v>-7.6176517074710903E-2</v>
      </c>
      <c r="AC183" s="1">
        <f t="shared" si="67"/>
        <v>0.19516581058649321</v>
      </c>
      <c r="AE183" s="1"/>
      <c r="AF183" s="1"/>
    </row>
    <row r="184" spans="1:32">
      <c r="A184" s="64" t="s">
        <v>39</v>
      </c>
      <c r="B184" s="63">
        <v>42019</v>
      </c>
      <c r="C184" s="20">
        <v>1</v>
      </c>
      <c r="D184" s="100">
        <f t="shared" si="61"/>
        <v>0.2390000000000001</v>
      </c>
      <c r="E184" s="4"/>
      <c r="F184" s="105">
        <v>1.3180000000000001</v>
      </c>
      <c r="G184" s="108">
        <v>1.3660000000000001</v>
      </c>
      <c r="H184" s="101">
        <v>1.54</v>
      </c>
      <c r="I184" s="107">
        <f>(H184-(G184-0.1*H184)/0.9-GasolineMGSData!AG186)*(Y$283/Y184)</f>
        <v>-0.31322184041811141</v>
      </c>
      <c r="J184" s="107">
        <f>AVERAGE(I184:I195)</f>
        <v>3.9601007715427468E-2</v>
      </c>
      <c r="K184">
        <v>1.3009999999999999</v>
      </c>
      <c r="L184">
        <v>1.3640000000000001</v>
      </c>
      <c r="M184">
        <v>1.2709999999999999</v>
      </c>
      <c r="N184">
        <v>47.76</v>
      </c>
      <c r="O184" s="1">
        <f t="shared" si="56"/>
        <v>1.7127427548169287</v>
      </c>
      <c r="P184" s="1">
        <f t="shared" si="52"/>
        <v>1.7956811049733212</v>
      </c>
      <c r="Q184" s="1">
        <f t="shared" si="57"/>
        <v>1.6732483023615037</v>
      </c>
      <c r="R184" s="1">
        <f t="shared" si="46"/>
        <v>60.839758158720109</v>
      </c>
      <c r="S184" s="1">
        <f t="shared" si="62"/>
        <v>-8.2938350156392504E-2</v>
      </c>
      <c r="T184" s="1">
        <f t="shared" si="63"/>
        <v>3.9494452455425044E-2</v>
      </c>
      <c r="U184" s="1">
        <f t="shared" si="64"/>
        <v>-2.172194885048373E-2</v>
      </c>
      <c r="V184" s="1">
        <f>AVERAGE(S184:T195)</f>
        <v>0.47083083792860309</v>
      </c>
      <c r="W184" s="82">
        <f t="shared" si="58"/>
        <v>-0.14910837715601161</v>
      </c>
      <c r="X184" s="1">
        <f>AVERAGE(W184:W195)</f>
        <v>0.34521838800290089</v>
      </c>
      <c r="Y184">
        <v>233.70699999999999</v>
      </c>
      <c r="Z184" s="1">
        <f t="shared" si="59"/>
        <v>-0.10765799363516583</v>
      </c>
      <c r="AA184" s="1">
        <f t="shared" si="60"/>
        <v>5.1265711254840925E-2</v>
      </c>
      <c r="AB184" s="1">
        <f t="shared" si="66"/>
        <v>-2.8196141190162453E-2</v>
      </c>
      <c r="AC184" s="1">
        <f>AVERAGE(Z184:AA195)</f>
        <v>0.60153474250531824</v>
      </c>
      <c r="AE184" s="1"/>
      <c r="AF184" s="1"/>
    </row>
    <row r="185" spans="1:32">
      <c r="B185" s="63">
        <v>42050</v>
      </c>
      <c r="C185" s="20">
        <v>2</v>
      </c>
      <c r="D185" s="100">
        <f t="shared" si="61"/>
        <v>1.2000000000000011E-2</v>
      </c>
      <c r="E185" s="4"/>
      <c r="F185" s="105">
        <v>1.589</v>
      </c>
      <c r="G185" s="108">
        <v>1.637</v>
      </c>
      <c r="H185" s="101">
        <v>1.954</v>
      </c>
      <c r="I185" s="107">
        <f>(H185-(G185-0.1*H185)/0.9-GasolineMGSData!AG187)*(Y$283/Y185)</f>
        <v>-0.113700926878766</v>
      </c>
      <c r="J185" s="107">
        <f t="shared" si="55"/>
        <v>3.9601007715427468E-2</v>
      </c>
      <c r="K185">
        <v>1.9419999999999999</v>
      </c>
      <c r="L185">
        <v>1.607</v>
      </c>
      <c r="M185">
        <v>1.603</v>
      </c>
      <c r="N185">
        <v>58.1</v>
      </c>
      <c r="O185" s="1">
        <f t="shared" si="56"/>
        <v>2.5455521084516999</v>
      </c>
      <c r="P185" s="1">
        <f t="shared" si="52"/>
        <v>2.1064378157991155</v>
      </c>
      <c r="Q185" s="1">
        <f t="shared" si="57"/>
        <v>2.1011946600659499</v>
      </c>
      <c r="R185" s="1">
        <f t="shared" si="46"/>
        <v>73.691469483048039</v>
      </c>
      <c r="S185" s="1">
        <f t="shared" si="62"/>
        <v>0.43911429265258439</v>
      </c>
      <c r="T185" s="1">
        <f t="shared" si="63"/>
        <v>0.44435744838574998</v>
      </c>
      <c r="U185" s="1">
        <f t="shared" si="64"/>
        <v>0.44173587051916718</v>
      </c>
      <c r="V185" s="1">
        <f>V184</f>
        <v>0.47083083792860309</v>
      </c>
      <c r="W185" s="82">
        <f t="shared" si="58"/>
        <v>0.314900294816847</v>
      </c>
      <c r="X185" s="1">
        <f t="shared" si="49"/>
        <v>0.34521838800290089</v>
      </c>
      <c r="Y185">
        <v>234.72200000000001</v>
      </c>
      <c r="Z185" s="1">
        <f t="shared" si="59"/>
        <v>0.56752681538997596</v>
      </c>
      <c r="AA185" s="1">
        <f t="shared" si="60"/>
        <v>0.57430325497672252</v>
      </c>
      <c r="AB185" s="1">
        <f t="shared" si="66"/>
        <v>0.57091503518334918</v>
      </c>
      <c r="AC185" s="1">
        <f>AC184</f>
        <v>0.60153474250531824</v>
      </c>
      <c r="AE185" s="1"/>
      <c r="AF185" s="1"/>
    </row>
    <row r="186" spans="1:32">
      <c r="B186" s="63">
        <v>42078</v>
      </c>
      <c r="C186" s="20">
        <v>3</v>
      </c>
      <c r="D186" s="100">
        <f t="shared" si="61"/>
        <v>0.20700000000000029</v>
      </c>
      <c r="E186" s="4"/>
      <c r="F186" s="105">
        <v>1.696</v>
      </c>
      <c r="G186" s="108">
        <v>1.77</v>
      </c>
      <c r="H186" s="101">
        <v>2.2240000000000002</v>
      </c>
      <c r="I186" s="107">
        <f>(H186-(G186-0.1*H186)/0.9-GasolineMGSData!AG188)*(Y$283/Y186)</f>
        <v>5.4146390788074435E-2</v>
      </c>
      <c r="J186" s="107">
        <f t="shared" si="55"/>
        <v>3.9601007715427468E-2</v>
      </c>
      <c r="K186">
        <v>2.0169999999999999</v>
      </c>
      <c r="L186">
        <v>1.6439999999999999</v>
      </c>
      <c r="M186">
        <v>1.6779999999999999</v>
      </c>
      <c r="N186">
        <v>55.89</v>
      </c>
      <c r="O186" s="1">
        <f t="shared" si="56"/>
        <v>2.6282188515113143</v>
      </c>
      <c r="P186" s="1">
        <f t="shared" si="52"/>
        <v>2.1421873038594947</v>
      </c>
      <c r="Q186" s="1">
        <f t="shared" si="57"/>
        <v>2.1864904476132798</v>
      </c>
      <c r="R186" s="1">
        <f t="shared" si="46"/>
        <v>70.468991440756582</v>
      </c>
      <c r="S186" s="1">
        <f t="shared" si="62"/>
        <v>0.48603154765181955</v>
      </c>
      <c r="T186" s="1">
        <f t="shared" si="63"/>
        <v>0.44172840389803447</v>
      </c>
      <c r="U186" s="1">
        <f t="shared" si="64"/>
        <v>0.46387997577492701</v>
      </c>
      <c r="V186" s="1">
        <f t="shared" ref="V186:V195" si="68">V185</f>
        <v>0.47083083792860309</v>
      </c>
      <c r="W186" s="82">
        <f t="shared" si="58"/>
        <v>0.33779482379647546</v>
      </c>
      <c r="X186" s="1">
        <f t="shared" si="49"/>
        <v>0.34521838800290089</v>
      </c>
      <c r="Y186">
        <v>236.119</v>
      </c>
      <c r="Z186" s="1">
        <f t="shared" si="59"/>
        <v>0.62444779280912988</v>
      </c>
      <c r="AA186" s="1">
        <f t="shared" si="60"/>
        <v>0.56752761866567036</v>
      </c>
      <c r="AB186" s="1">
        <f t="shared" si="66"/>
        <v>0.59598770573740012</v>
      </c>
      <c r="AC186" s="1">
        <f t="shared" ref="AC186:AC195" si="69">AC185</f>
        <v>0.60153474250531824</v>
      </c>
      <c r="AE186" s="1"/>
      <c r="AF186" s="1"/>
    </row>
    <row r="187" spans="1:32">
      <c r="B187" s="63">
        <v>42109</v>
      </c>
      <c r="C187" s="20">
        <v>4</v>
      </c>
      <c r="D187" s="100">
        <f t="shared" si="61"/>
        <v>8.2000000000000295E-2</v>
      </c>
      <c r="E187" s="4"/>
      <c r="F187" s="105">
        <v>1.7709999999999999</v>
      </c>
      <c r="G187" s="108">
        <v>1.835</v>
      </c>
      <c r="H187" s="101">
        <v>2.2360000000000002</v>
      </c>
      <c r="I187" s="107">
        <f>(H187-(G187-0.1*H187)/0.9-GasolineMGSData!AG189)*(Y$283/Y187)</f>
        <v>-1.5729756051622593E-2</v>
      </c>
      <c r="J187" s="107">
        <f t="shared" si="55"/>
        <v>3.9601007715427468E-2</v>
      </c>
      <c r="K187">
        <v>2.1539999999999999</v>
      </c>
      <c r="L187">
        <v>1.7929999999999999</v>
      </c>
      <c r="M187">
        <v>1.734</v>
      </c>
      <c r="N187">
        <v>59.52</v>
      </c>
      <c r="O187" s="1">
        <f t="shared" si="56"/>
        <v>2.8010403002548614</v>
      </c>
      <c r="P187" s="1">
        <f t="shared" si="52"/>
        <v>2.3315994699893068</v>
      </c>
      <c r="Q187" s="1">
        <f t="shared" si="57"/>
        <v>2.2548764534085097</v>
      </c>
      <c r="R187" s="1">
        <f t="shared" si="46"/>
        <v>74.893633193715971</v>
      </c>
      <c r="S187" s="1">
        <f t="shared" si="62"/>
        <v>0.46944083026555461</v>
      </c>
      <c r="T187" s="1">
        <f t="shared" si="63"/>
        <v>0.54616384684635166</v>
      </c>
      <c r="U187" s="1">
        <f t="shared" si="64"/>
        <v>0.50780233855595314</v>
      </c>
      <c r="V187" s="1">
        <f t="shared" si="68"/>
        <v>0.47083083792860309</v>
      </c>
      <c r="W187" s="82">
        <f t="shared" si="58"/>
        <v>0.38197298171167227</v>
      </c>
      <c r="X187" s="1">
        <f t="shared" si="49"/>
        <v>0.34521838800290089</v>
      </c>
      <c r="Y187">
        <v>236.59899999999999</v>
      </c>
      <c r="Z187" s="1">
        <f t="shared" si="59"/>
        <v>0.60190862426235714</v>
      </c>
      <c r="AA187" s="1">
        <f t="shared" si="60"/>
        <v>0.70028150191188376</v>
      </c>
      <c r="AB187" s="1">
        <f t="shared" si="66"/>
        <v>0.6510950630871204</v>
      </c>
      <c r="AC187" s="1">
        <f t="shared" si="69"/>
        <v>0.60153474250531824</v>
      </c>
      <c r="AE187" s="1"/>
      <c r="AF187" s="1"/>
    </row>
    <row r="188" spans="1:32">
      <c r="B188" s="63">
        <v>42139</v>
      </c>
      <c r="C188" s="20">
        <v>5</v>
      </c>
      <c r="D188" s="100">
        <f t="shared" si="61"/>
        <v>0.17399999999999993</v>
      </c>
      <c r="E188" s="4"/>
      <c r="F188" s="105">
        <v>1.9990000000000001</v>
      </c>
      <c r="G188" s="108">
        <v>2.08</v>
      </c>
      <c r="H188" s="101">
        <v>2.6459999999999999</v>
      </c>
      <c r="I188" s="107">
        <f>(H188-(G188-0.1*H188)/0.9-GasolineMGSData!AG190)*(Y$283/Y188)</f>
        <v>0.19404264710546515</v>
      </c>
      <c r="J188" s="107">
        <f t="shared" si="55"/>
        <v>3.9601007715427468E-2</v>
      </c>
      <c r="K188">
        <v>2.472</v>
      </c>
      <c r="L188">
        <v>1.9379999999999999</v>
      </c>
      <c r="M188">
        <v>1.8839999999999999</v>
      </c>
      <c r="N188">
        <v>64.08</v>
      </c>
      <c r="O188" s="1">
        <f t="shared" si="56"/>
        <v>3.1982620718656039</v>
      </c>
      <c r="P188" s="1">
        <f t="shared" si="52"/>
        <v>2.5073753621664805</v>
      </c>
      <c r="Q188" s="1">
        <f t="shared" si="57"/>
        <v>2.4375104139946591</v>
      </c>
      <c r="R188" s="1">
        <f t="shared" si="46"/>
        <v>80.222538971005662</v>
      </c>
      <c r="S188" s="1">
        <f t="shared" si="62"/>
        <v>0.69088670969912336</v>
      </c>
      <c r="T188" s="1">
        <f t="shared" si="63"/>
        <v>0.76075165787094479</v>
      </c>
      <c r="U188" s="1">
        <f t="shared" si="64"/>
        <v>0.72581918378503407</v>
      </c>
      <c r="V188" s="1">
        <f t="shared" si="68"/>
        <v>0.47083083792860309</v>
      </c>
      <c r="W188" s="82">
        <f t="shared" si="58"/>
        <v>0.60062795567797156</v>
      </c>
      <c r="X188" s="1">
        <f t="shared" si="49"/>
        <v>0.34521838800290089</v>
      </c>
      <c r="Y188">
        <v>237.80500000000001</v>
      </c>
      <c r="Z188" s="1">
        <f t="shared" si="59"/>
        <v>0.88135011843508404</v>
      </c>
      <c r="AA188" s="1">
        <f t="shared" si="60"/>
        <v>0.97047541131054194</v>
      </c>
      <c r="AB188" s="1">
        <f t="shared" si="66"/>
        <v>0.92591276487281293</v>
      </c>
      <c r="AC188" s="1">
        <f t="shared" si="69"/>
        <v>0.60153474250531824</v>
      </c>
      <c r="AE188" s="1"/>
      <c r="AF188" s="1"/>
    </row>
    <row r="189" spans="1:32">
      <c r="A189">
        <f>A177+1</f>
        <v>2015</v>
      </c>
      <c r="B189" s="63">
        <v>42170</v>
      </c>
      <c r="C189" s="20">
        <v>6</v>
      </c>
      <c r="D189" s="100">
        <f t="shared" si="61"/>
        <v>0.24500000000000011</v>
      </c>
      <c r="E189" s="4"/>
      <c r="F189" s="105">
        <v>2.0510000000000002</v>
      </c>
      <c r="G189" s="108">
        <v>2.121</v>
      </c>
      <c r="H189" s="101">
        <v>2.4319999999999999</v>
      </c>
      <c r="I189" s="107">
        <f>(H189-(G189-0.1*H189)/0.9-GasolineMGSData!AG191)*(Y$283/Y189)</f>
        <v>-0.15761227603859262</v>
      </c>
      <c r="J189" s="107">
        <f t="shared" si="55"/>
        <v>3.9601007715427468E-2</v>
      </c>
      <c r="K189">
        <v>2.1869999999999998</v>
      </c>
      <c r="L189">
        <v>2.0049999999999999</v>
      </c>
      <c r="M189">
        <v>1.9450000000000001</v>
      </c>
      <c r="N189">
        <v>61.48</v>
      </c>
      <c r="O189" s="1">
        <f t="shared" si="56"/>
        <v>2.819653521232997</v>
      </c>
      <c r="P189" s="1">
        <f t="shared" si="52"/>
        <v>2.5850047142533876</v>
      </c>
      <c r="Q189" s="1">
        <f t="shared" si="57"/>
        <v>2.5076479646996708</v>
      </c>
      <c r="R189" s="1">
        <f t="shared" si="46"/>
        <v>76.698900761823353</v>
      </c>
      <c r="S189" s="1">
        <f t="shared" si="62"/>
        <v>0.23464880697960933</v>
      </c>
      <c r="T189" s="1">
        <f t="shared" si="63"/>
        <v>0.31200555653332618</v>
      </c>
      <c r="U189" s="1">
        <f t="shared" si="64"/>
        <v>0.27332718175646775</v>
      </c>
      <c r="V189" s="1">
        <f t="shared" si="68"/>
        <v>0.47083083792860309</v>
      </c>
      <c r="W189" s="82">
        <f t="shared" si="58"/>
        <v>0.14857295149976091</v>
      </c>
      <c r="X189" s="1">
        <f t="shared" si="49"/>
        <v>0.34521838800290089</v>
      </c>
      <c r="Y189">
        <v>238.63800000000001</v>
      </c>
      <c r="Z189" s="1">
        <f t="shared" si="59"/>
        <v>0.29829183127479791</v>
      </c>
      <c r="AA189" s="1">
        <f t="shared" si="60"/>
        <v>0.39662979762912626</v>
      </c>
      <c r="AB189" s="1">
        <f t="shared" si="66"/>
        <v>0.34746081445196209</v>
      </c>
      <c r="AC189" s="1">
        <f t="shared" si="69"/>
        <v>0.60153474250531824</v>
      </c>
      <c r="AE189" s="1"/>
      <c r="AF189" s="1"/>
    </row>
    <row r="190" spans="1:32">
      <c r="B190" s="63">
        <v>42200</v>
      </c>
      <c r="C190" s="20">
        <v>7</v>
      </c>
      <c r="D190" s="100">
        <f t="shared" si="61"/>
        <v>4.9000000000000377E-2</v>
      </c>
      <c r="E190" s="4"/>
      <c r="F190" s="105">
        <v>1.9710000000000001</v>
      </c>
      <c r="G190" s="108">
        <v>2.0720000000000001</v>
      </c>
      <c r="H190" s="101">
        <v>2.7120000000000002</v>
      </c>
      <c r="I190" s="107">
        <f>(H190-(G190-0.1*H190)/0.9-GasolineMGSData!AG192)*(Y$283/Y190)</f>
        <v>0.38247782077901021</v>
      </c>
      <c r="J190" s="107">
        <f t="shared" si="55"/>
        <v>3.9601007715427468E-2</v>
      </c>
      <c r="K190">
        <v>2.6629999999999998</v>
      </c>
      <c r="L190">
        <v>1.86</v>
      </c>
      <c r="M190">
        <v>1.86</v>
      </c>
      <c r="N190">
        <v>56.56</v>
      </c>
      <c r="O190" s="1">
        <f t="shared" si="56"/>
        <v>3.4331202200675452</v>
      </c>
      <c r="P190" s="1">
        <f t="shared" si="52"/>
        <v>2.397898463884955</v>
      </c>
      <c r="Q190" s="1">
        <f t="shared" si="57"/>
        <v>2.397898463884955</v>
      </c>
      <c r="R190" s="1">
        <f t="shared" si="46"/>
        <v>70.556262036253329</v>
      </c>
      <c r="S190" s="1">
        <f t="shared" si="62"/>
        <v>1.0352217561825903</v>
      </c>
      <c r="T190" s="1">
        <f t="shared" si="63"/>
        <v>1.0352217561825903</v>
      </c>
      <c r="U190" s="1">
        <f t="shared" si="64"/>
        <v>1.0352217561825903</v>
      </c>
      <c r="V190" s="1">
        <f t="shared" si="68"/>
        <v>0.47083083792860309</v>
      </c>
      <c r="W190" s="82">
        <f t="shared" si="58"/>
        <v>0.91047588978185945</v>
      </c>
      <c r="X190" s="1">
        <f t="shared" si="49"/>
        <v>0.34521838800290089</v>
      </c>
      <c r="Y190">
        <v>238.654</v>
      </c>
      <c r="Z190" s="1">
        <f t="shared" si="59"/>
        <v>1.3159133206265938</v>
      </c>
      <c r="AA190" s="1">
        <f t="shared" si="60"/>
        <v>1.3159133206265938</v>
      </c>
      <c r="AB190" s="1">
        <f t="shared" si="66"/>
        <v>1.3159133206265938</v>
      </c>
      <c r="AC190" s="1">
        <f t="shared" si="69"/>
        <v>0.60153474250531824</v>
      </c>
      <c r="AE190" s="1"/>
      <c r="AF190" s="1"/>
    </row>
    <row r="191" spans="1:32">
      <c r="B191" s="63">
        <v>42231</v>
      </c>
      <c r="C191" s="20">
        <v>8</v>
      </c>
      <c r="D191" s="100">
        <f t="shared" si="61"/>
        <v>0.24099999999999966</v>
      </c>
      <c r="E191" s="4"/>
      <c r="F191" s="105">
        <v>1.742</v>
      </c>
      <c r="G191" s="108">
        <v>1.8380000000000001</v>
      </c>
      <c r="H191" s="101">
        <v>2.3159999999999998</v>
      </c>
      <c r="I191" s="107">
        <f>(H191-(G191-0.1*H191)/0.9-GasolineMGSData!AG193)*(Y$283/Y191)</f>
        <v>0.16346221583347936</v>
      </c>
      <c r="J191" s="107">
        <f t="shared" si="55"/>
        <v>3.9601007715427468E-2</v>
      </c>
      <c r="K191">
        <v>2.0750000000000002</v>
      </c>
      <c r="L191">
        <v>1.62</v>
      </c>
      <c r="M191">
        <v>1.5740000000000001</v>
      </c>
      <c r="N191">
        <v>46.52</v>
      </c>
      <c r="O191" s="1">
        <f t="shared" si="56"/>
        <v>2.678868917739472</v>
      </c>
      <c r="P191" s="1">
        <f t="shared" si="52"/>
        <v>2.0914542875845519</v>
      </c>
      <c r="Q191" s="1">
        <f t="shared" si="57"/>
        <v>2.032067313986472</v>
      </c>
      <c r="R191" s="1">
        <f t="shared" si="46"/>
        <v>58.114082646570111</v>
      </c>
      <c r="S191" s="1">
        <f t="shared" si="62"/>
        <v>0.58741463015492013</v>
      </c>
      <c r="T191" s="1">
        <f t="shared" si="63"/>
        <v>0.646801603753</v>
      </c>
      <c r="U191" s="1">
        <f t="shared" si="64"/>
        <v>0.61710811695396006</v>
      </c>
      <c r="V191" s="1">
        <f t="shared" si="68"/>
        <v>0.47083083792860309</v>
      </c>
      <c r="W191" s="82">
        <f t="shared" si="58"/>
        <v>0.49218532536632009</v>
      </c>
      <c r="X191" s="1">
        <f t="shared" si="49"/>
        <v>0.34521838800290089</v>
      </c>
      <c r="Y191">
        <v>238.316</v>
      </c>
      <c r="Z191" s="1">
        <f t="shared" si="59"/>
        <v>0.74774612047737898</v>
      </c>
      <c r="AA191" s="1">
        <f t="shared" si="60"/>
        <v>0.82334243155860853</v>
      </c>
      <c r="AB191" s="1">
        <f t="shared" si="66"/>
        <v>0.78554427601799381</v>
      </c>
      <c r="AC191" s="1">
        <f t="shared" si="69"/>
        <v>0.60153474250531824</v>
      </c>
      <c r="AE191" s="1"/>
      <c r="AF191" s="1"/>
    </row>
    <row r="192" spans="1:32">
      <c r="B192" s="63">
        <v>42262</v>
      </c>
      <c r="C192" s="20">
        <v>9</v>
      </c>
      <c r="D192" s="100">
        <f t="shared" si="61"/>
        <v>0.29299999999999993</v>
      </c>
      <c r="E192" s="4"/>
      <c r="F192" s="105">
        <v>1.53</v>
      </c>
      <c r="G192" s="108">
        <v>1.609</v>
      </c>
      <c r="H192" s="101">
        <v>2.008</v>
      </c>
      <c r="I192" s="107">
        <f>(H192-(G192-0.1*H192)/0.9-GasolineMGSData!AG194)*(Y$283/Y192)</f>
        <v>7.0445233925658671E-2</v>
      </c>
      <c r="J192" s="107">
        <f t="shared" si="55"/>
        <v>3.9601007715427468E-2</v>
      </c>
      <c r="K192">
        <v>1.7150000000000001</v>
      </c>
      <c r="L192">
        <v>1.46</v>
      </c>
      <c r="M192">
        <v>1.353</v>
      </c>
      <c r="N192">
        <v>47.62</v>
      </c>
      <c r="O192" s="1">
        <f t="shared" si="56"/>
        <v>2.2175534892517179</v>
      </c>
      <c r="P192" s="1">
        <f t="shared" si="52"/>
        <v>1.8878297925991299</v>
      </c>
      <c r="Q192" s="1">
        <f t="shared" si="57"/>
        <v>1.7494751434154951</v>
      </c>
      <c r="R192" s="1">
        <f t="shared" si="46"/>
        <v>59.580986446447703</v>
      </c>
      <c r="S192" s="1">
        <f t="shared" si="62"/>
        <v>0.32972369665258805</v>
      </c>
      <c r="T192" s="1">
        <f t="shared" si="63"/>
        <v>0.46807834583622276</v>
      </c>
      <c r="U192" s="1">
        <f t="shared" si="64"/>
        <v>0.39890102124440541</v>
      </c>
      <c r="V192" s="1">
        <f t="shared" si="68"/>
        <v>0.47083083792860309</v>
      </c>
      <c r="W192" s="82">
        <f t="shared" si="58"/>
        <v>0.27378345205824894</v>
      </c>
      <c r="X192" s="1">
        <f t="shared" si="49"/>
        <v>0.34521838800290089</v>
      </c>
      <c r="Y192">
        <v>237.94499999999999</v>
      </c>
      <c r="Z192" s="1">
        <f t="shared" si="59"/>
        <v>0.42037432930979457</v>
      </c>
      <c r="AA192" s="1">
        <f t="shared" si="60"/>
        <v>0.59676669494174728</v>
      </c>
      <c r="AB192" s="1">
        <f t="shared" si="66"/>
        <v>0.50857051212577087</v>
      </c>
      <c r="AC192" s="1">
        <f t="shared" si="69"/>
        <v>0.60153474250531824</v>
      </c>
      <c r="AE192" s="1"/>
      <c r="AF192" s="1"/>
    </row>
    <row r="193" spans="1:32">
      <c r="B193" s="63">
        <v>42292</v>
      </c>
      <c r="C193" s="20">
        <v>10</v>
      </c>
      <c r="D193" s="100">
        <f t="shared" si="61"/>
        <v>0.24399999999999999</v>
      </c>
      <c r="E193" s="4"/>
      <c r="F193" s="105">
        <v>1.4910000000000001</v>
      </c>
      <c r="G193" s="108">
        <v>1.5580000000000001</v>
      </c>
      <c r="H193" s="101">
        <v>1.913</v>
      </c>
      <c r="I193" s="107">
        <f>(H193-(G193-0.1*H193)/0.9-GasolineMGSData!AG195)*(Y$283/Y193)</f>
        <v>1.8334707224465455E-2</v>
      </c>
      <c r="J193" s="107">
        <f t="shared" si="55"/>
        <v>3.9601007715427468E-2</v>
      </c>
      <c r="K193">
        <v>1.669</v>
      </c>
      <c r="L193">
        <v>1.397</v>
      </c>
      <c r="M193">
        <v>1.3069999999999999</v>
      </c>
      <c r="N193">
        <v>48.43</v>
      </c>
      <c r="O193" s="1">
        <f t="shared" si="56"/>
        <v>2.1590448078103583</v>
      </c>
      <c r="P193" s="1">
        <f t="shared" si="52"/>
        <v>1.8071813040809293</v>
      </c>
      <c r="Q193" s="1">
        <f t="shared" si="57"/>
        <v>1.6907558800528091</v>
      </c>
      <c r="R193" s="1">
        <f t="shared" si="46"/>
        <v>60.621699349977717</v>
      </c>
      <c r="S193" s="1">
        <f t="shared" si="62"/>
        <v>0.35186350372942909</v>
      </c>
      <c r="T193" s="1">
        <f t="shared" si="63"/>
        <v>0.46828892775754927</v>
      </c>
      <c r="U193" s="1">
        <f t="shared" si="64"/>
        <v>0.41007621574348918</v>
      </c>
      <c r="V193" s="1">
        <f t="shared" si="68"/>
        <v>0.47083083792860309</v>
      </c>
      <c r="W193" s="82">
        <f t="shared" si="58"/>
        <v>0.28490235790748314</v>
      </c>
      <c r="X193" s="1">
        <f t="shared" si="49"/>
        <v>0.34521838800290089</v>
      </c>
      <c r="Y193">
        <v>237.83799999999999</v>
      </c>
      <c r="Z193" s="1">
        <f t="shared" si="59"/>
        <v>0.4488028325241164</v>
      </c>
      <c r="AA193" s="1">
        <f t="shared" si="60"/>
        <v>0.59730376975636112</v>
      </c>
      <c r="AB193" s="1">
        <f t="shared" si="66"/>
        <v>0.52305330114023874</v>
      </c>
      <c r="AC193" s="1">
        <f t="shared" si="69"/>
        <v>0.60153474250531824</v>
      </c>
      <c r="AE193" s="1"/>
      <c r="AF193" s="1"/>
    </row>
    <row r="194" spans="1:32">
      <c r="B194" s="63">
        <v>42323</v>
      </c>
      <c r="C194" s="20">
        <v>11</v>
      </c>
      <c r="D194" s="100">
        <f t="shared" si="61"/>
        <v>0.27600000000000002</v>
      </c>
      <c r="E194" s="4"/>
      <c r="F194" s="105">
        <v>1.3540000000000001</v>
      </c>
      <c r="G194" s="108">
        <v>1.4259999999999999</v>
      </c>
      <c r="H194" s="101">
        <v>1.7829999999999999</v>
      </c>
      <c r="I194" s="107">
        <f>(H194-(G194-0.1*H194)/0.9-GasolineMGSData!AG196)*(Y$283/Y194)</f>
        <v>2.6891385827397644E-2</v>
      </c>
      <c r="J194" s="107">
        <f t="shared" si="55"/>
        <v>3.9601007715427468E-2</v>
      </c>
      <c r="K194">
        <v>1.5069999999999999</v>
      </c>
      <c r="L194">
        <v>1.377</v>
      </c>
      <c r="M194">
        <v>1.246</v>
      </c>
      <c r="N194">
        <v>44.27</v>
      </c>
      <c r="O194" s="1">
        <f t="shared" si="56"/>
        <v>1.9536024749721912</v>
      </c>
      <c r="P194" s="1">
        <f t="shared" si="52"/>
        <v>1.7850767140256851</v>
      </c>
      <c r="Q194" s="1">
        <f t="shared" si="57"/>
        <v>1.615254601071898</v>
      </c>
      <c r="R194" s="1">
        <f t="shared" si="46"/>
        <v>55.531676483972092</v>
      </c>
      <c r="S194" s="1">
        <f t="shared" si="62"/>
        <v>0.16852576094650606</v>
      </c>
      <c r="T194" s="1">
        <f t="shared" si="63"/>
        <v>0.33834787390029319</v>
      </c>
      <c r="U194" s="1">
        <f t="shared" si="64"/>
        <v>0.25343681742339963</v>
      </c>
      <c r="V194" s="1">
        <f t="shared" si="68"/>
        <v>0.47083083792860309</v>
      </c>
      <c r="W194" s="82">
        <f t="shared" si="58"/>
        <v>0.12799819875619364</v>
      </c>
      <c r="X194" s="1">
        <f t="shared" si="49"/>
        <v>0.34521838800290089</v>
      </c>
      <c r="Y194">
        <v>237.33600000000001</v>
      </c>
      <c r="Z194" s="1">
        <f t="shared" si="59"/>
        <v>0.21540971625886893</v>
      </c>
      <c r="AA194" s="1">
        <f t="shared" si="60"/>
        <v>0.43247643033511413</v>
      </c>
      <c r="AB194" s="1">
        <f t="shared" si="66"/>
        <v>0.32394307329699151</v>
      </c>
      <c r="AC194" s="1">
        <f t="shared" si="69"/>
        <v>0.60153474250531824</v>
      </c>
      <c r="AE194" s="1"/>
      <c r="AF194" s="1"/>
    </row>
    <row r="195" spans="1:32">
      <c r="A195" s="64"/>
      <c r="B195" s="63">
        <v>42353</v>
      </c>
      <c r="C195" s="20">
        <v>12</v>
      </c>
      <c r="D195" s="100">
        <f t="shared" si="61"/>
        <v>0.16199999999999992</v>
      </c>
      <c r="E195" s="4"/>
      <c r="F195" s="105">
        <v>1.282</v>
      </c>
      <c r="G195" s="108">
        <v>1.3560000000000001</v>
      </c>
      <c r="H195" s="101">
        <v>1.8089999999999999</v>
      </c>
      <c r="I195" s="107">
        <f>(H195-(G195-0.1*H195)/0.9-GasolineMGSData!AG197)*(Y$283/Y195)</f>
        <v>0.16567649048867136</v>
      </c>
      <c r="J195" s="107">
        <f t="shared" si="55"/>
        <v>3.9601007715427468E-2</v>
      </c>
      <c r="K195">
        <v>1.647</v>
      </c>
      <c r="L195">
        <v>1.276</v>
      </c>
      <c r="M195">
        <v>1.181</v>
      </c>
      <c r="N195">
        <v>38.01</v>
      </c>
      <c r="O195" s="1">
        <f t="shared" si="56"/>
        <v>2.1424125864073567</v>
      </c>
      <c r="P195" s="1">
        <f t="shared" si="52"/>
        <v>1.6598169157594336</v>
      </c>
      <c r="Q195" s="1">
        <f t="shared" si="57"/>
        <v>1.536241204946623</v>
      </c>
      <c r="R195" s="1">
        <f t="shared" si="46"/>
        <v>47.842702082232321</v>
      </c>
      <c r="S195" s="1">
        <f t="shared" si="62"/>
        <v>0.48259567064792308</v>
      </c>
      <c r="T195" s="1">
        <f t="shared" si="63"/>
        <v>0.60617138146073368</v>
      </c>
      <c r="U195" s="1">
        <f t="shared" si="64"/>
        <v>0.54438352605432838</v>
      </c>
      <c r="V195" s="1">
        <f t="shared" si="68"/>
        <v>0.47083083792860309</v>
      </c>
      <c r="W195" s="82">
        <f t="shared" si="58"/>
        <v>0.41851480181798972</v>
      </c>
      <c r="X195" s="1">
        <f t="shared" si="49"/>
        <v>0.34521838800290089</v>
      </c>
      <c r="Y195">
        <v>236.52500000000001</v>
      </c>
      <c r="Z195" s="1">
        <f t="shared" si="59"/>
        <v>0.618969117153645</v>
      </c>
      <c r="AA195" s="1">
        <f t="shared" si="60"/>
        <v>0.77746525227385066</v>
      </c>
      <c r="AB195" s="1">
        <f t="shared" si="66"/>
        <v>0.69821718471374783</v>
      </c>
      <c r="AC195" s="1">
        <f t="shared" si="69"/>
        <v>0.60153474250531824</v>
      </c>
      <c r="AE195" s="1"/>
      <c r="AF195" s="1"/>
    </row>
    <row r="196" spans="1:32">
      <c r="A196" s="64" t="s">
        <v>39</v>
      </c>
      <c r="B196" s="63">
        <v>42384</v>
      </c>
      <c r="C196" s="20">
        <v>1</v>
      </c>
      <c r="D196" s="100">
        <f t="shared" si="61"/>
        <v>0.33199999999999985</v>
      </c>
      <c r="E196" s="4"/>
      <c r="F196" s="105">
        <v>1.101</v>
      </c>
      <c r="G196" s="108">
        <v>1.1870000000000001</v>
      </c>
      <c r="H196" s="101">
        <v>1.6519999999999999</v>
      </c>
      <c r="I196" s="107">
        <f>(H196-(G196-0.1*H196)/0.9-GasolineMGSData!AG198)*(Y$283/Y196)</f>
        <v>0.15959118440115241</v>
      </c>
      <c r="J196" s="107">
        <f>AVERAGE(I196:I207)</f>
        <v>-8.9000588984693138E-2</v>
      </c>
      <c r="K196">
        <v>1.32</v>
      </c>
      <c r="L196">
        <v>1.121</v>
      </c>
      <c r="M196">
        <v>1.0209999999999999</v>
      </c>
      <c r="N196">
        <v>30.7</v>
      </c>
      <c r="O196" s="1">
        <f t="shared" si="56"/>
        <v>1.7142182039203768</v>
      </c>
      <c r="P196" s="1">
        <f t="shared" si="52"/>
        <v>1.455786823177835</v>
      </c>
      <c r="Q196" s="1">
        <f t="shared" si="57"/>
        <v>1.3259218077293216</v>
      </c>
      <c r="R196" s="1">
        <f t="shared" ref="R196:R259" si="70">N196*($Y$278/Y196)</f>
        <v>38.577925087372741</v>
      </c>
      <c r="S196" s="1">
        <f t="shared" si="62"/>
        <v>0.25843138074254179</v>
      </c>
      <c r="T196" s="1">
        <f t="shared" si="63"/>
        <v>0.38829639619105527</v>
      </c>
      <c r="U196" s="1">
        <f t="shared" si="64"/>
        <v>0.32336388846679853</v>
      </c>
      <c r="V196" s="1">
        <f>AVERAGE(S196:T207)</f>
        <v>0.11910580861619451</v>
      </c>
      <c r="W196" s="82">
        <f t="shared" si="58"/>
        <v>0.19770289469685473</v>
      </c>
      <c r="X196" s="1">
        <f>AVERAGE(W196:W207)</f>
        <v>-4.9426950026812315E-3</v>
      </c>
      <c r="Y196">
        <v>236.916</v>
      </c>
      <c r="Z196" s="1">
        <f t="shared" si="59"/>
        <v>0.33091272415623979</v>
      </c>
      <c r="AA196" s="1">
        <f t="shared" si="60"/>
        <v>0.49720052523977742</v>
      </c>
      <c r="AB196" s="1">
        <f t="shared" si="66"/>
        <v>0.41405662469800864</v>
      </c>
      <c r="AC196" s="1">
        <f>AVERAGE(Z196:AA207)</f>
        <v>0.1510884344973131</v>
      </c>
      <c r="AE196" s="1"/>
      <c r="AF196" s="1"/>
    </row>
    <row r="197" spans="1:32">
      <c r="B197" s="63">
        <v>42415</v>
      </c>
      <c r="C197" s="20">
        <v>2</v>
      </c>
      <c r="D197" s="100">
        <f t="shared" si="61"/>
        <v>0.38800000000000012</v>
      </c>
      <c r="E197" s="4"/>
      <c r="F197" s="105">
        <v>0.97699999999999998</v>
      </c>
      <c r="G197" s="108">
        <v>1.046</v>
      </c>
      <c r="H197" s="101">
        <v>1.3580000000000001</v>
      </c>
      <c r="I197" s="107">
        <f>(H197-(G197-0.1*H197)/0.9-GasolineMGSData!AG199)*(Y$283/Y197)</f>
        <v>-4.7720365834728842E-2</v>
      </c>
      <c r="J197" s="107">
        <f t="shared" si="55"/>
        <v>-8.9000588984693138E-2</v>
      </c>
      <c r="K197">
        <v>0.97</v>
      </c>
      <c r="L197">
        <v>1.0580000000000001</v>
      </c>
      <c r="M197">
        <v>0.93600000000000005</v>
      </c>
      <c r="N197">
        <v>32.18</v>
      </c>
      <c r="O197" s="1">
        <f t="shared" si="56"/>
        <v>1.2586546807191568</v>
      </c>
      <c r="P197" s="1">
        <f t="shared" si="52"/>
        <v>1.3728419094854309</v>
      </c>
      <c r="Q197" s="1">
        <f t="shared" si="57"/>
        <v>1.2145368877867329</v>
      </c>
      <c r="R197" s="1">
        <f t="shared" si="70"/>
        <v>40.404451839012111</v>
      </c>
      <c r="S197" s="1">
        <f t="shared" si="62"/>
        <v>-0.11418722876627418</v>
      </c>
      <c r="T197" s="1">
        <f t="shared" si="63"/>
        <v>4.4117792932423905E-2</v>
      </c>
      <c r="U197" s="1">
        <f t="shared" si="64"/>
        <v>-3.503471791692514E-2</v>
      </c>
      <c r="V197" s="1">
        <f>V196</f>
        <v>0.11910580861619451</v>
      </c>
      <c r="W197" s="82">
        <f t="shared" si="58"/>
        <v>-0.1605923681313817</v>
      </c>
      <c r="X197" s="1">
        <f t="shared" si="49"/>
        <v>-4.9426950026812315E-3</v>
      </c>
      <c r="Y197">
        <v>237.11099999999999</v>
      </c>
      <c r="Z197" s="1">
        <f t="shared" si="59"/>
        <v>-0.14609267507717161</v>
      </c>
      <c r="AA197" s="1">
        <f t="shared" si="60"/>
        <v>5.6444897188906946E-2</v>
      </c>
      <c r="AB197" s="1">
        <f t="shared" si="66"/>
        <v>-4.4823888944132334E-2</v>
      </c>
      <c r="AC197" s="1">
        <f>AC196</f>
        <v>0.1510884344973131</v>
      </c>
      <c r="AE197" s="1"/>
      <c r="AF197" s="1"/>
    </row>
    <row r="198" spans="1:32">
      <c r="B198" s="63">
        <v>42444</v>
      </c>
      <c r="C198" s="20">
        <v>3</v>
      </c>
      <c r="D198" s="100">
        <f t="shared" si="61"/>
        <v>0.22299999999999986</v>
      </c>
      <c r="E198" s="4"/>
      <c r="F198" s="105">
        <v>1.2729999999999999</v>
      </c>
      <c r="G198" s="108">
        <v>1.335</v>
      </c>
      <c r="H198" s="101">
        <v>1.7509999999999999</v>
      </c>
      <c r="I198" s="107">
        <f>(H198-(G198-0.1*H198)/0.9-GasolineMGSData!AG200)*(Y$283/Y198)</f>
        <v>9.3241446418978163E-2</v>
      </c>
      <c r="J198" s="107">
        <f t="shared" si="55"/>
        <v>-8.9000588984693138E-2</v>
      </c>
      <c r="K198">
        <v>1.528</v>
      </c>
      <c r="L198">
        <v>1.2010000000000001</v>
      </c>
      <c r="M198">
        <v>1.214</v>
      </c>
      <c r="N198">
        <v>38.21</v>
      </c>
      <c r="O198" s="1">
        <f t="shared" si="56"/>
        <v>1.9742045924109317</v>
      </c>
      <c r="P198" s="1">
        <f t="shared" si="52"/>
        <v>1.5517144734852939</v>
      </c>
      <c r="Q198" s="1">
        <f t="shared" si="57"/>
        <v>1.5685107167453343</v>
      </c>
      <c r="R198" s="1">
        <f t="shared" si="70"/>
        <v>47.769881032368602</v>
      </c>
      <c r="S198" s="1">
        <f t="shared" si="62"/>
        <v>0.42249011892563781</v>
      </c>
      <c r="T198" s="1">
        <f t="shared" si="63"/>
        <v>0.40569387566559745</v>
      </c>
      <c r="U198" s="1">
        <f t="shared" si="64"/>
        <v>0.41409199729561763</v>
      </c>
      <c r="V198" s="1">
        <f t="shared" ref="V198:V207" si="71">V197</f>
        <v>0.11910580861619451</v>
      </c>
      <c r="W198" s="82">
        <f t="shared" si="58"/>
        <v>0.28907268027816513</v>
      </c>
      <c r="X198" s="1">
        <f t="shared" si="49"/>
        <v>-4.9426950026812315E-3</v>
      </c>
      <c r="Y198">
        <v>238.13200000000001</v>
      </c>
      <c r="Z198" s="1">
        <f t="shared" si="59"/>
        <v>0.53822195231064396</v>
      </c>
      <c r="AA198" s="1">
        <f t="shared" si="60"/>
        <v>0.51682474931358502</v>
      </c>
      <c r="AB198" s="1">
        <f t="shared" si="66"/>
        <v>0.52752335081211443</v>
      </c>
      <c r="AC198" s="1">
        <f t="shared" ref="AC198:AC207" si="72">AC197</f>
        <v>0.1510884344973131</v>
      </c>
      <c r="AE198" s="1"/>
      <c r="AF198" s="1"/>
    </row>
    <row r="199" spans="1:32">
      <c r="B199" s="63">
        <v>42475</v>
      </c>
      <c r="C199" s="20">
        <v>4</v>
      </c>
      <c r="D199" s="100">
        <f t="shared" si="61"/>
        <v>0.26800000000000002</v>
      </c>
      <c r="E199" s="4"/>
      <c r="F199" s="105">
        <v>1.4119999999999999</v>
      </c>
      <c r="G199" s="108">
        <v>1.476</v>
      </c>
      <c r="H199" s="101">
        <v>1.819</v>
      </c>
      <c r="I199" s="107">
        <f>(H199-(G199-0.1*H199)/0.9-GasolineMGSData!AG201)*(Y$283/Y199)</f>
        <v>-1.7649863355985757E-2</v>
      </c>
      <c r="J199" s="107">
        <f t="shared" si="55"/>
        <v>-8.9000588984693138E-2</v>
      </c>
      <c r="K199">
        <v>1.5509999999999999</v>
      </c>
      <c r="L199">
        <v>1.448</v>
      </c>
      <c r="M199">
        <v>1.337</v>
      </c>
      <c r="N199">
        <v>41.58</v>
      </c>
      <c r="O199" s="1">
        <f t="shared" si="56"/>
        <v>1.99446512804009</v>
      </c>
      <c r="P199" s="1">
        <f t="shared" si="52"/>
        <v>1.8620151549980981</v>
      </c>
      <c r="Q199" s="1">
        <f t="shared" si="57"/>
        <v>1.7192778054091555</v>
      </c>
      <c r="R199" s="1">
        <f t="shared" si="70"/>
        <v>51.737739874028776</v>
      </c>
      <c r="S199" s="1">
        <f t="shared" si="62"/>
        <v>0.13244997304199191</v>
      </c>
      <c r="T199" s="1">
        <f t="shared" si="63"/>
        <v>0.27518732263093448</v>
      </c>
      <c r="U199" s="1">
        <f t="shared" si="64"/>
        <v>0.2038186478364632</v>
      </c>
      <c r="V199" s="1">
        <f t="shared" si="71"/>
        <v>0.11910580861619451</v>
      </c>
      <c r="W199" s="82">
        <f t="shared" si="58"/>
        <v>7.9389259010035129E-2</v>
      </c>
      <c r="X199" s="1">
        <f t="shared" si="49"/>
        <v>-4.9426950026812315E-3</v>
      </c>
      <c r="Y199">
        <v>239.261</v>
      </c>
      <c r="Z199" s="1">
        <f t="shared" si="59"/>
        <v>0.16793552301435585</v>
      </c>
      <c r="AA199" s="1">
        <f t="shared" si="60"/>
        <v>0.34891458179681678</v>
      </c>
      <c r="AB199" s="1">
        <f t="shared" si="66"/>
        <v>0.25842505240558633</v>
      </c>
      <c r="AC199" s="1">
        <f t="shared" si="72"/>
        <v>0.1510884344973131</v>
      </c>
      <c r="AE199" s="1"/>
      <c r="AF199" s="1"/>
    </row>
    <row r="200" spans="1:32">
      <c r="B200" s="63">
        <v>42505</v>
      </c>
      <c r="C200" s="20">
        <v>5</v>
      </c>
      <c r="D200" s="100">
        <f t="shared" si="61"/>
        <v>0.30699999999999994</v>
      </c>
      <c r="E200" s="4"/>
      <c r="F200" s="105">
        <v>1.5589999999999999</v>
      </c>
      <c r="G200" s="108">
        <v>1.613</v>
      </c>
      <c r="H200" s="101">
        <v>1.837</v>
      </c>
      <c r="I200" s="107">
        <f>(H200-(G200-0.1*H200)/0.9-GasolineMGSData!AG202)*(Y$283/Y200)</f>
        <v>-0.18596327840010823</v>
      </c>
      <c r="J200" s="107">
        <f t="shared" si="55"/>
        <v>-8.9000588984693138E-2</v>
      </c>
      <c r="K200">
        <v>1.53</v>
      </c>
      <c r="L200">
        <v>1.5660000000000001</v>
      </c>
      <c r="M200">
        <v>1.4339999999999999</v>
      </c>
      <c r="N200">
        <v>46.74</v>
      </c>
      <c r="O200" s="1">
        <f t="shared" si="56"/>
        <v>1.9595329040207468</v>
      </c>
      <c r="P200" s="1">
        <f t="shared" si="52"/>
        <v>2.0056395605859407</v>
      </c>
      <c r="Q200" s="1">
        <f t="shared" si="57"/>
        <v>1.8365818198468959</v>
      </c>
      <c r="R200" s="1">
        <f t="shared" si="70"/>
        <v>57.92394814947405</v>
      </c>
      <c r="S200" s="1">
        <f t="shared" si="62"/>
        <v>-4.6106656565193971E-2</v>
      </c>
      <c r="T200" s="1">
        <f t="shared" si="63"/>
        <v>0.12295108417385081</v>
      </c>
      <c r="U200" s="1">
        <f t="shared" si="64"/>
        <v>3.842221380432842E-2</v>
      </c>
      <c r="V200" s="1">
        <f t="shared" si="71"/>
        <v>0.11910580861619451</v>
      </c>
      <c r="W200" s="82">
        <f t="shared" si="58"/>
        <v>-8.5505788227066629E-2</v>
      </c>
      <c r="X200" s="1">
        <f t="shared" si="49"/>
        <v>-4.9426950026812315E-3</v>
      </c>
      <c r="Y200">
        <v>240.22900000000001</v>
      </c>
      <c r="Z200" s="1">
        <f t="shared" si="59"/>
        <v>-5.8223834989060183E-2</v>
      </c>
      <c r="AA200" s="1">
        <f t="shared" si="60"/>
        <v>0.15526355997082744</v>
      </c>
      <c r="AB200" s="1">
        <f t="shared" si="66"/>
        <v>4.8519862490883629E-2</v>
      </c>
      <c r="AC200" s="1">
        <f t="shared" si="72"/>
        <v>0.1510884344973131</v>
      </c>
      <c r="AE200" s="1"/>
      <c r="AF200" s="1"/>
    </row>
    <row r="201" spans="1:32">
      <c r="A201">
        <f>A189+1</f>
        <v>2016</v>
      </c>
      <c r="B201" s="63">
        <v>42536</v>
      </c>
      <c r="C201" s="20">
        <v>6</v>
      </c>
      <c r="D201" s="100">
        <f t="shared" si="61"/>
        <v>0.26600000000000001</v>
      </c>
      <c r="E201" s="4"/>
      <c r="F201" s="105">
        <v>1.585</v>
      </c>
      <c r="G201" s="108">
        <v>1.643</v>
      </c>
      <c r="H201" s="101">
        <v>1.9079999999999999</v>
      </c>
      <c r="I201" s="107">
        <f>(H201-(G201-0.1*H201)/0.9-GasolineMGSData!AG203)*(Y$283/Y201)</f>
        <v>-0.1287991883378771</v>
      </c>
      <c r="J201" s="107">
        <f t="shared" si="55"/>
        <v>-8.9000588984693138E-2</v>
      </c>
      <c r="K201">
        <v>1.6419999999999999</v>
      </c>
      <c r="L201">
        <v>1.506</v>
      </c>
      <c r="M201">
        <v>1.4870000000000001</v>
      </c>
      <c r="N201">
        <v>48.25</v>
      </c>
      <c r="O201" s="1">
        <f t="shared" si="56"/>
        <v>2.0960915035391547</v>
      </c>
      <c r="P201" s="1">
        <f t="shared" si="52"/>
        <v>1.922481001418981</v>
      </c>
      <c r="Q201" s="1">
        <f t="shared" si="57"/>
        <v>1.8982265930345452</v>
      </c>
      <c r="R201" s="1">
        <f t="shared" si="70"/>
        <v>59.599514351625196</v>
      </c>
      <c r="S201" s="1">
        <f t="shared" si="62"/>
        <v>0.1736105021201737</v>
      </c>
      <c r="T201" s="1">
        <f t="shared" si="63"/>
        <v>0.19786491050460953</v>
      </c>
      <c r="U201" s="1">
        <f t="shared" si="64"/>
        <v>0.18573770631239161</v>
      </c>
      <c r="V201" s="1">
        <f t="shared" si="71"/>
        <v>0.11910580861619451</v>
      </c>
      <c r="W201" s="82">
        <f t="shared" si="58"/>
        <v>6.2215396775344572E-2</v>
      </c>
      <c r="X201" s="1">
        <f t="shared" si="49"/>
        <v>-4.9426950026812315E-3</v>
      </c>
      <c r="Y201">
        <v>241.018</v>
      </c>
      <c r="Z201" s="1">
        <f t="shared" si="59"/>
        <v>0.21851896022156958</v>
      </c>
      <c r="AA201" s="1">
        <f t="shared" si="60"/>
        <v>0.24904734437017095</v>
      </c>
      <c r="AB201" s="1">
        <f t="shared" si="66"/>
        <v>0.23378315229587027</v>
      </c>
      <c r="AC201" s="1">
        <f t="shared" si="72"/>
        <v>0.1510884344973131</v>
      </c>
      <c r="AE201" s="1"/>
      <c r="AF201" s="1"/>
    </row>
    <row r="202" spans="1:32">
      <c r="B202" s="63">
        <v>42566</v>
      </c>
      <c r="C202" s="20">
        <v>7</v>
      </c>
      <c r="D202" s="100">
        <f t="shared" si="61"/>
        <v>0.33899999999999997</v>
      </c>
      <c r="E202" s="4"/>
      <c r="F202" s="105">
        <v>1.421</v>
      </c>
      <c r="G202" s="108">
        <v>1.49</v>
      </c>
      <c r="H202" s="101">
        <v>1.7509999999999999</v>
      </c>
      <c r="I202" s="107">
        <f>(H202-(G202-0.1*H202)/0.9-GasolineMGSData!AG204)*(Y$283/Y202)</f>
        <v>-9.7957144000238056E-2</v>
      </c>
      <c r="J202" s="107">
        <f t="shared" si="55"/>
        <v>-8.9000588984693138E-2</v>
      </c>
      <c r="K202">
        <v>1.4119999999999999</v>
      </c>
      <c r="L202">
        <v>1.3540000000000001</v>
      </c>
      <c r="M202">
        <v>1.3580000000000001</v>
      </c>
      <c r="N202">
        <v>44.95</v>
      </c>
      <c r="O202" s="1">
        <f t="shared" si="56"/>
        <v>1.8054069019399239</v>
      </c>
      <c r="P202" s="1">
        <f t="shared" si="52"/>
        <v>1.7312471283474911</v>
      </c>
      <c r="Q202" s="1">
        <f t="shared" si="57"/>
        <v>1.7363615954917968</v>
      </c>
      <c r="R202" s="1">
        <f t="shared" si="70"/>
        <v>55.613267990425065</v>
      </c>
      <c r="S202" s="1">
        <f t="shared" si="62"/>
        <v>7.4159773592432865E-2</v>
      </c>
      <c r="T202" s="1">
        <f t="shared" si="63"/>
        <v>6.9045306448127119E-2</v>
      </c>
      <c r="U202" s="1">
        <f t="shared" si="64"/>
        <v>7.1602540020279992E-2</v>
      </c>
      <c r="V202" s="1">
        <f t="shared" si="71"/>
        <v>0.11910580861619451</v>
      </c>
      <c r="W202" s="82">
        <f t="shared" si="58"/>
        <v>-5.2119969413368647E-2</v>
      </c>
      <c r="X202" s="1">
        <f t="shared" si="49"/>
        <v>-4.9426950026812315E-3</v>
      </c>
      <c r="Y202">
        <v>240.62799999999999</v>
      </c>
      <c r="Z202" s="1">
        <f t="shared" si="59"/>
        <v>9.3494237563048407E-2</v>
      </c>
      <c r="AA202" s="1">
        <f t="shared" si="60"/>
        <v>8.704635911042434E-2</v>
      </c>
      <c r="AB202" s="1">
        <f t="shared" si="66"/>
        <v>9.0270298336736374E-2</v>
      </c>
      <c r="AC202" s="1">
        <f t="shared" si="72"/>
        <v>0.1510884344973131</v>
      </c>
      <c r="AE202" s="1"/>
      <c r="AF202" s="1"/>
    </row>
    <row r="203" spans="1:32">
      <c r="B203" s="63">
        <v>42597</v>
      </c>
      <c r="C203" s="20">
        <v>8</v>
      </c>
      <c r="D203" s="100">
        <f t="shared" si="61"/>
        <v>0.25700000000000012</v>
      </c>
      <c r="E203" s="4"/>
      <c r="F203" s="105">
        <v>1.458</v>
      </c>
      <c r="G203" s="108">
        <v>1.508</v>
      </c>
      <c r="H203" s="101">
        <v>1.645</v>
      </c>
      <c r="I203" s="107">
        <f>(H203-(G203-0.1*H203)/0.9-GasolineMGSData!AG205)*(Y$283/Y203)</f>
        <v>-0.2590993428945273</v>
      </c>
      <c r="J203" s="107">
        <f t="shared" si="55"/>
        <v>-8.9000588984693138E-2</v>
      </c>
      <c r="K203">
        <v>1.3879999999999999</v>
      </c>
      <c r="L203">
        <v>1.379</v>
      </c>
      <c r="M203">
        <v>1.429</v>
      </c>
      <c r="N203">
        <v>45.84</v>
      </c>
      <c r="O203" s="1">
        <f t="shared" si="56"/>
        <v>1.7730916383294097</v>
      </c>
      <c r="P203" s="1">
        <f t="shared" si="52"/>
        <v>1.7615946464382248</v>
      </c>
      <c r="Q203" s="1">
        <f t="shared" si="57"/>
        <v>1.8254668236114746</v>
      </c>
      <c r="R203" s="1">
        <f t="shared" si="70"/>
        <v>56.662357908897278</v>
      </c>
      <c r="S203" s="1">
        <f t="shared" si="62"/>
        <v>1.1496991891184916E-2</v>
      </c>
      <c r="T203" s="1">
        <f t="shared" si="63"/>
        <v>-5.2375185282064862E-2</v>
      </c>
      <c r="U203" s="1">
        <f t="shared" si="64"/>
        <v>-2.0439096695439973E-2</v>
      </c>
      <c r="V203" s="1">
        <f t="shared" si="71"/>
        <v>0.11910580861619451</v>
      </c>
      <c r="W203" s="82">
        <f t="shared" si="58"/>
        <v>-0.14404807991729268</v>
      </c>
      <c r="X203" s="1">
        <f t="shared" si="49"/>
        <v>-4.9426950026812315E-3</v>
      </c>
      <c r="Y203">
        <v>240.84899999999999</v>
      </c>
      <c r="Z203" s="1">
        <f t="shared" si="59"/>
        <v>1.4481114520241022E-2</v>
      </c>
      <c r="AA203" s="1">
        <f t="shared" si="60"/>
        <v>-6.5969521703320516E-2</v>
      </c>
      <c r="AB203" s="1">
        <f t="shared" si="66"/>
        <v>-2.5744203591539748E-2</v>
      </c>
      <c r="AC203" s="1">
        <f t="shared" si="72"/>
        <v>0.1510884344973131</v>
      </c>
      <c r="AE203" s="1"/>
      <c r="AF203" s="1"/>
    </row>
    <row r="204" spans="1:32">
      <c r="B204" s="63">
        <v>42628</v>
      </c>
      <c r="C204" s="20">
        <v>9</v>
      </c>
      <c r="D204" s="100">
        <f t="shared" si="61"/>
        <v>0.23699999999999988</v>
      </c>
      <c r="E204" s="4"/>
      <c r="F204" s="105">
        <v>1.4490000000000001</v>
      </c>
      <c r="G204" s="108">
        <v>1.514</v>
      </c>
      <c r="H204" s="101">
        <v>1.7889999999999999</v>
      </c>
      <c r="I204" s="107">
        <f>(H204-(G204-0.1*H204)/0.9-GasolineMGSData!AG206)*(Y$283/Y204)</f>
        <v>-7.4508838963855628E-2</v>
      </c>
      <c r="J204" s="107">
        <f t="shared" si="55"/>
        <v>-8.9000588984693138E-2</v>
      </c>
      <c r="K204">
        <v>1.552</v>
      </c>
      <c r="L204">
        <v>1.4379999999999999</v>
      </c>
      <c r="M204">
        <v>1.393</v>
      </c>
      <c r="N204">
        <v>46.57</v>
      </c>
      <c r="O204" s="1">
        <f t="shared" si="56"/>
        <v>1.9778376658879668</v>
      </c>
      <c r="P204" s="1">
        <f t="shared" si="52"/>
        <v>1.8325583528008351</v>
      </c>
      <c r="Q204" s="1">
        <f t="shared" si="57"/>
        <v>1.7752112555295989</v>
      </c>
      <c r="R204" s="1">
        <f t="shared" si="70"/>
        <v>57.426650057159904</v>
      </c>
      <c r="S204" s="1">
        <f t="shared" si="62"/>
        <v>0.14527931308713171</v>
      </c>
      <c r="T204" s="1">
        <f t="shared" si="63"/>
        <v>0.20262641035836793</v>
      </c>
      <c r="U204" s="1">
        <f t="shared" si="64"/>
        <v>0.17395286172274982</v>
      </c>
      <c r="V204" s="1">
        <f t="shared" si="71"/>
        <v>0.11910580861619451</v>
      </c>
      <c r="W204" s="82">
        <f t="shared" si="58"/>
        <v>5.0640321338038835E-2</v>
      </c>
      <c r="X204" s="1">
        <f t="shared" si="49"/>
        <v>-4.9426950026812315E-3</v>
      </c>
      <c r="Y204">
        <v>241.428</v>
      </c>
      <c r="Z204" s="1">
        <f t="shared" si="59"/>
        <v>0.18254870295098971</v>
      </c>
      <c r="AA204" s="1">
        <f t="shared" si="60"/>
        <v>0.25460740148427513</v>
      </c>
      <c r="AB204" s="1">
        <f t="shared" si="66"/>
        <v>0.21857805221763243</v>
      </c>
      <c r="AC204" s="1">
        <f t="shared" si="72"/>
        <v>0.1510884344973131</v>
      </c>
      <c r="AE204" s="1"/>
      <c r="AF204" s="1"/>
    </row>
    <row r="205" spans="1:32">
      <c r="B205" s="63">
        <v>42658</v>
      </c>
      <c r="C205" s="20">
        <v>10</v>
      </c>
      <c r="D205" s="100">
        <f t="shared" si="61"/>
        <v>0.20199999999999996</v>
      </c>
      <c r="E205" s="4"/>
      <c r="F205" s="105">
        <v>1.5049999999999999</v>
      </c>
      <c r="G205" s="108">
        <v>1.5680000000000001</v>
      </c>
      <c r="H205" s="101">
        <v>1.821</v>
      </c>
      <c r="I205" s="107">
        <f>(H205-(G205-0.1*H205)/0.9-GasolineMGSData!AG207)*(Y$283/Y205)</f>
        <v>-0.10521671403843505</v>
      </c>
      <c r="J205" s="107">
        <f t="shared" si="55"/>
        <v>-8.9000588984693138E-2</v>
      </c>
      <c r="K205">
        <v>1.619</v>
      </c>
      <c r="L205">
        <v>1.522</v>
      </c>
      <c r="M205">
        <v>1.4890000000000001</v>
      </c>
      <c r="N205">
        <v>49.52</v>
      </c>
      <c r="O205" s="1">
        <f t="shared" si="56"/>
        <v>2.0606520069995735</v>
      </c>
      <c r="P205" s="1">
        <f t="shared" si="52"/>
        <v>1.9371910776117056</v>
      </c>
      <c r="Q205" s="1">
        <f t="shared" si="57"/>
        <v>1.8951889057581011</v>
      </c>
      <c r="R205" s="1">
        <f t="shared" si="70"/>
        <v>60.988332885173065</v>
      </c>
      <c r="S205" s="1">
        <f t="shared" si="62"/>
        <v>0.1234609293878679</v>
      </c>
      <c r="T205" s="1">
        <f t="shared" si="63"/>
        <v>0.16546310124147245</v>
      </c>
      <c r="U205" s="1">
        <f t="shared" si="64"/>
        <v>0.14446201531467018</v>
      </c>
      <c r="V205" s="1">
        <f t="shared" si="71"/>
        <v>0.11910580861619451</v>
      </c>
      <c r="W205" s="82">
        <f t="shared" si="58"/>
        <v>2.1303023220217293E-2</v>
      </c>
      <c r="X205" s="1">
        <f t="shared" si="49"/>
        <v>-4.9426950026812315E-3</v>
      </c>
      <c r="Y205">
        <v>241.72900000000001</v>
      </c>
      <c r="Z205" s="1">
        <f t="shared" si="59"/>
        <v>0.15493994482206011</v>
      </c>
      <c r="AA205" s="1">
        <f t="shared" si="60"/>
        <v>0.20765147244193624</v>
      </c>
      <c r="AB205" s="1">
        <f t="shared" si="66"/>
        <v>0.18129570863199818</v>
      </c>
      <c r="AC205" s="1">
        <f t="shared" si="72"/>
        <v>0.1510884344973131</v>
      </c>
      <c r="AE205" s="1"/>
      <c r="AF205" s="1"/>
    </row>
    <row r="206" spans="1:32">
      <c r="B206" s="63">
        <v>42689</v>
      </c>
      <c r="C206" s="20">
        <v>11</v>
      </c>
      <c r="D206" s="100">
        <f t="shared" si="61"/>
        <v>0.22100000000000009</v>
      </c>
      <c r="E206" s="4"/>
      <c r="F206" s="105">
        <v>1.361</v>
      </c>
      <c r="G206" s="108">
        <v>1.427</v>
      </c>
      <c r="H206" s="101">
        <v>1.655</v>
      </c>
      <c r="I206" s="107">
        <f>(H206-(G206-0.1*H206)/0.9-GasolineMGSData!AG208)*(Y$283/Y206)</f>
        <v>-0.14076901343574738</v>
      </c>
      <c r="J206" s="107">
        <f t="shared" si="55"/>
        <v>-8.9000588984693138E-2</v>
      </c>
      <c r="K206">
        <v>1.4339999999999999</v>
      </c>
      <c r="L206">
        <v>1.462</v>
      </c>
      <c r="M206">
        <v>1.3169999999999999</v>
      </c>
      <c r="N206">
        <v>44.73</v>
      </c>
      <c r="O206" s="1">
        <f t="shared" si="56"/>
        <v>1.8280287131297308</v>
      </c>
      <c r="P206" s="1">
        <f t="shared" si="52"/>
        <v>1.863722439745932</v>
      </c>
      <c r="Q206" s="1">
        <f t="shared" si="57"/>
        <v>1.6788799269120331</v>
      </c>
      <c r="R206" s="1">
        <f t="shared" si="70"/>
        <v>55.174839467501954</v>
      </c>
      <c r="S206" s="1">
        <f t="shared" si="62"/>
        <v>-3.5693726616201182E-2</v>
      </c>
      <c r="T206" s="1">
        <f t="shared" si="63"/>
        <v>0.14914878621769767</v>
      </c>
      <c r="U206" s="1">
        <f t="shared" si="64"/>
        <v>5.6727529800748244E-2</v>
      </c>
      <c r="V206" s="1">
        <f t="shared" si="71"/>
        <v>0.11910580861619451</v>
      </c>
      <c r="W206" s="82">
        <f t="shared" si="58"/>
        <v>-6.6623329728654757E-2</v>
      </c>
      <c r="X206" s="1">
        <f t="shared" si="49"/>
        <v>-4.9426950026812315E-3</v>
      </c>
      <c r="Y206">
        <v>241.35300000000001</v>
      </c>
      <c r="Z206" s="1">
        <f t="shared" si="59"/>
        <v>-4.4864393595565995E-2</v>
      </c>
      <c r="AA206" s="1">
        <f t="shared" si="60"/>
        <v>0.18746907323861489</v>
      </c>
      <c r="AB206" s="1">
        <f t="shared" si="66"/>
        <v>7.1302339821524452E-2</v>
      </c>
      <c r="AC206" s="1">
        <f t="shared" si="72"/>
        <v>0.1510884344973131</v>
      </c>
      <c r="AE206" s="1"/>
      <c r="AF206" s="1"/>
    </row>
    <row r="207" spans="1:32">
      <c r="A207" s="64"/>
      <c r="B207" s="63">
        <v>42719</v>
      </c>
      <c r="C207" s="20">
        <v>12</v>
      </c>
      <c r="D207" s="100">
        <f t="shared" si="61"/>
        <v>0.22100000000000009</v>
      </c>
      <c r="E207" s="4"/>
      <c r="F207" s="105">
        <v>1.5409999999999999</v>
      </c>
      <c r="G207" s="108">
        <v>1.585</v>
      </c>
      <c r="H207" s="101">
        <v>1.7210000000000001</v>
      </c>
      <c r="I207" s="107">
        <f>(H207-(G207-0.1*H207)/0.9-GasolineMGSData!AG209)*(Y$283/Y207)</f>
        <v>-0.2631559493749448</v>
      </c>
      <c r="J207" s="107">
        <f t="shared" si="55"/>
        <v>-8.9000588984693138E-2</v>
      </c>
      <c r="K207">
        <v>1.5</v>
      </c>
      <c r="L207">
        <v>1.6339999999999999</v>
      </c>
      <c r="M207">
        <v>1.5660000000000001</v>
      </c>
      <c r="N207">
        <v>53.31</v>
      </c>
      <c r="O207" s="1">
        <f t="shared" si="56"/>
        <v>1.9115382385102224</v>
      </c>
      <c r="P207" s="1">
        <f t="shared" si="52"/>
        <v>2.0823023211504688</v>
      </c>
      <c r="Q207" s="1">
        <f t="shared" si="57"/>
        <v>1.9956459210046724</v>
      </c>
      <c r="R207" s="1">
        <f t="shared" si="70"/>
        <v>65.73682614566421</v>
      </c>
      <c r="S207" s="1">
        <f t="shared" si="62"/>
        <v>-0.17076408264024634</v>
      </c>
      <c r="T207" s="1">
        <f t="shared" si="63"/>
        <v>-8.4107682494449998E-2</v>
      </c>
      <c r="U207" s="1">
        <f t="shared" si="64"/>
        <v>-0.12743588256734817</v>
      </c>
      <c r="V207" s="1">
        <f t="shared" si="71"/>
        <v>0.11910580861619451</v>
      </c>
      <c r="W207" s="82">
        <f t="shared" si="58"/>
        <v>-0.25074637993306609</v>
      </c>
      <c r="X207" s="1">
        <f t="shared" si="49"/>
        <v>-4.9426950026812315E-3</v>
      </c>
      <c r="Y207">
        <v>241.43199999999999</v>
      </c>
      <c r="Z207" s="1">
        <f t="shared" si="59"/>
        <v>-0.21456768117727992</v>
      </c>
      <c r="AA207" s="1">
        <f t="shared" si="60"/>
        <v>-0.1056825892365711</v>
      </c>
      <c r="AB207" s="1">
        <f t="shared" si="66"/>
        <v>-0.16012513520692551</v>
      </c>
      <c r="AC207" s="1">
        <f t="shared" si="72"/>
        <v>0.1510884344973131</v>
      </c>
      <c r="AE207" s="1"/>
      <c r="AF207" s="1"/>
    </row>
    <row r="208" spans="1:32">
      <c r="A208" s="64" t="s">
        <v>39</v>
      </c>
      <c r="B208" s="63">
        <v>42750</v>
      </c>
      <c r="C208" s="20">
        <v>1</v>
      </c>
      <c r="D208" s="100">
        <f t="shared" si="61"/>
        <v>0.24</v>
      </c>
      <c r="E208" s="4"/>
      <c r="F208" s="105">
        <v>1.571</v>
      </c>
      <c r="G208" s="108">
        <v>1.627</v>
      </c>
      <c r="H208" s="101">
        <v>1.8520000000000001</v>
      </c>
      <c r="I208" s="107">
        <f>(H208-(G208-0.1*H208)/0.9-GasolineMGSData!AG210)*(Y$283/Y208)</f>
        <v>-0.16423391584976535</v>
      </c>
      <c r="J208" s="107">
        <f>AVERAGE(I208:I219)</f>
        <v>-0.11774402127571149</v>
      </c>
      <c r="K208">
        <v>1.6120000000000001</v>
      </c>
      <c r="L208">
        <v>1.62</v>
      </c>
      <c r="M208">
        <v>1.593</v>
      </c>
      <c r="N208">
        <v>54.58</v>
      </c>
      <c r="O208" s="1">
        <f t="shared" si="56"/>
        <v>2.0423640848463389</v>
      </c>
      <c r="P208" s="1">
        <f t="shared" si="52"/>
        <v>2.0524998867562463</v>
      </c>
      <c r="Q208" s="1">
        <f t="shared" si="57"/>
        <v>2.0182915553103085</v>
      </c>
      <c r="R208" s="1">
        <f t="shared" si="70"/>
        <v>66.912919176903216</v>
      </c>
      <c r="S208" s="1">
        <f t="shared" si="62"/>
        <v>-1.0135801909907372E-2</v>
      </c>
      <c r="T208" s="1">
        <f t="shared" si="63"/>
        <v>2.4072529536030451E-2</v>
      </c>
      <c r="U208" s="1">
        <f t="shared" si="64"/>
        <v>6.96836381306154E-3</v>
      </c>
      <c r="V208" s="1">
        <f>AVERAGE(S208:T219)</f>
        <v>0.13728044558701993</v>
      </c>
      <c r="W208" s="82">
        <f t="shared" si="58"/>
        <v>-0.11562767718529542</v>
      </c>
      <c r="X208" s="1">
        <f>AVERAGE(W208:W219)</f>
        <v>1.5821715405793205E-2</v>
      </c>
      <c r="Y208">
        <v>242.839</v>
      </c>
      <c r="Z208" s="1">
        <f t="shared" si="59"/>
        <v>-1.2661999410289244E-2</v>
      </c>
      <c r="AA208" s="1">
        <f t="shared" si="60"/>
        <v>3.0072248599437509E-2</v>
      </c>
      <c r="AB208" s="1">
        <f t="shared" si="66"/>
        <v>8.7051245945741328E-3</v>
      </c>
      <c r="AC208" s="1">
        <f>AVERAGE(Z208:AA219)</f>
        <v>0.17028385179537567</v>
      </c>
      <c r="AE208" s="1"/>
      <c r="AF208" s="1"/>
    </row>
    <row r="209" spans="1:32">
      <c r="B209" s="63">
        <v>42781</v>
      </c>
      <c r="C209" s="20">
        <v>2</v>
      </c>
      <c r="D209" s="100">
        <f t="shared" si="61"/>
        <v>0.21300000000000008</v>
      </c>
      <c r="E209" s="4"/>
      <c r="F209" s="105">
        <v>1.56</v>
      </c>
      <c r="G209" s="108">
        <v>1.625</v>
      </c>
      <c r="H209" s="101">
        <v>1.9690000000000001</v>
      </c>
      <c r="I209" s="107">
        <f>(H209-(G209-0.1*H209)/0.9-GasolineMGSData!AG211)*(Y$283/Y209)</f>
        <v>-4.5738687342868033E-3</v>
      </c>
      <c r="J209" s="107">
        <f t="shared" si="55"/>
        <v>-0.11774402127571149</v>
      </c>
      <c r="K209">
        <v>1.756</v>
      </c>
      <c r="L209">
        <v>1.5469999999999999</v>
      </c>
      <c r="M209">
        <v>1.5429999999999999</v>
      </c>
      <c r="N209">
        <v>54.87</v>
      </c>
      <c r="O209" s="1">
        <f t="shared" si="56"/>
        <v>2.2178309626728732</v>
      </c>
      <c r="P209" s="1">
        <f t="shared" si="52"/>
        <v>1.9538636100540629</v>
      </c>
      <c r="Q209" s="1">
        <f t="shared" si="57"/>
        <v>1.9488116033053777</v>
      </c>
      <c r="R209" s="1">
        <f t="shared" si="70"/>
        <v>67.057477001514755</v>
      </c>
      <c r="S209" s="1">
        <f t="shared" si="62"/>
        <v>0.26396735261881021</v>
      </c>
      <c r="T209" s="1">
        <f t="shared" si="63"/>
        <v>0.26901935936749544</v>
      </c>
      <c r="U209" s="1">
        <f t="shared" si="64"/>
        <v>0.26649335599315283</v>
      </c>
      <c r="V209" s="1">
        <f>V208</f>
        <v>0.13728044558701993</v>
      </c>
      <c r="W209" s="82">
        <f t="shared" si="58"/>
        <v>0.14428180687429959</v>
      </c>
      <c r="X209" s="1">
        <f t="shared" si="49"/>
        <v>1.5821715405793205E-2</v>
      </c>
      <c r="Y209">
        <v>243.60300000000001</v>
      </c>
      <c r="Z209" s="1">
        <f t="shared" si="59"/>
        <v>0.32872307809222429</v>
      </c>
      <c r="AA209" s="1">
        <f t="shared" si="60"/>
        <v>0.33501442886910882</v>
      </c>
      <c r="AB209" s="1">
        <f t="shared" si="66"/>
        <v>0.33186875348066658</v>
      </c>
      <c r="AC209" s="1">
        <f>AC208</f>
        <v>0.17028385179537567</v>
      </c>
      <c r="AE209" s="1"/>
      <c r="AF209" s="1"/>
    </row>
    <row r="210" spans="1:32">
      <c r="B210" s="63">
        <v>42809</v>
      </c>
      <c r="C210" s="20">
        <v>3</v>
      </c>
      <c r="D210" s="100">
        <f t="shared" si="61"/>
        <v>0.28000000000000003</v>
      </c>
      <c r="E210" s="4"/>
      <c r="F210" s="105">
        <v>1.5620000000000001</v>
      </c>
      <c r="G210" s="108">
        <v>1.6339999999999999</v>
      </c>
      <c r="H210" s="101">
        <v>2</v>
      </c>
      <c r="I210" s="107">
        <f>(H210-(G210-0.1*H210)/0.9-GasolineMGSData!AG212)*(Y$283/Y210)</f>
        <v>2.0928574234217512E-2</v>
      </c>
      <c r="J210" s="107">
        <f t="shared" si="55"/>
        <v>-0.11774402127571149</v>
      </c>
      <c r="K210">
        <v>1.72</v>
      </c>
      <c r="L210">
        <v>1.492</v>
      </c>
      <c r="M210">
        <v>1.5229999999999999</v>
      </c>
      <c r="N210">
        <v>51.59</v>
      </c>
      <c r="O210" s="1">
        <f t="shared" si="56"/>
        <v>2.1705986439760294</v>
      </c>
      <c r="P210" s="1">
        <f t="shared" si="52"/>
        <v>1.8828681260536257</v>
      </c>
      <c r="Q210" s="1">
        <f t="shared" si="57"/>
        <v>1.9219893806834261</v>
      </c>
      <c r="R210" s="1">
        <f t="shared" si="70"/>
        <v>62.997733766473488</v>
      </c>
      <c r="S210" s="1">
        <f t="shared" si="62"/>
        <v>0.28773051792240367</v>
      </c>
      <c r="T210" s="1">
        <f t="shared" si="63"/>
        <v>0.24860926329260336</v>
      </c>
      <c r="U210" s="1">
        <f t="shared" si="64"/>
        <v>0.26816989060750351</v>
      </c>
      <c r="V210" s="1">
        <f t="shared" ref="V210:V219" si="73">V209</f>
        <v>0.13728044558701993</v>
      </c>
      <c r="W210" s="82">
        <f t="shared" si="58"/>
        <v>0.14605759410338742</v>
      </c>
      <c r="X210" s="1">
        <f t="shared" si="49"/>
        <v>1.5821715405793205E-2</v>
      </c>
      <c r="Y210">
        <v>243.80099999999999</v>
      </c>
      <c r="Z210" s="1">
        <f t="shared" si="59"/>
        <v>0.35802475424011443</v>
      </c>
      <c r="AA210" s="1">
        <f t="shared" si="60"/>
        <v>0.30934594993553771</v>
      </c>
      <c r="AB210" s="1">
        <f t="shared" si="66"/>
        <v>0.33368535208782607</v>
      </c>
      <c r="AC210" s="1">
        <f t="shared" ref="AC210:AC219" si="74">AC209</f>
        <v>0.17028385179537567</v>
      </c>
      <c r="AE210" s="1"/>
      <c r="AF210" s="1"/>
    </row>
    <row r="211" spans="1:32">
      <c r="B211" s="63">
        <v>42840</v>
      </c>
      <c r="C211" s="20">
        <v>4</v>
      </c>
      <c r="D211" s="100">
        <f t="shared" si="61"/>
        <v>0.24600000000000022</v>
      </c>
      <c r="E211" s="4"/>
      <c r="F211" s="105">
        <v>1.66</v>
      </c>
      <c r="G211" s="108">
        <v>1.7230000000000001</v>
      </c>
      <c r="H211" s="101">
        <v>2.0230000000000001</v>
      </c>
      <c r="I211" s="107">
        <f>(H211-(G211-0.1*H211)/0.9-GasolineMGSData!AG213)*(Y$283/Y211)</f>
        <v>-6.7978465450075659E-2</v>
      </c>
      <c r="J211" s="107">
        <f t="shared" si="55"/>
        <v>-0.11774402127571149</v>
      </c>
      <c r="K211">
        <v>1.7769999999999999</v>
      </c>
      <c r="L211">
        <v>1.611</v>
      </c>
      <c r="M211">
        <v>1.621</v>
      </c>
      <c r="N211">
        <v>52.31</v>
      </c>
      <c r="O211" s="1">
        <f t="shared" si="56"/>
        <v>2.2359006355204398</v>
      </c>
      <c r="P211" s="1">
        <f t="shared" si="52"/>
        <v>2.0270320336654071</v>
      </c>
      <c r="Q211" s="1">
        <f t="shared" si="57"/>
        <v>2.0396144795602886</v>
      </c>
      <c r="R211" s="1">
        <f t="shared" si="70"/>
        <v>63.688073195269183</v>
      </c>
      <c r="S211" s="1">
        <f t="shared" si="62"/>
        <v>0.20886860185503275</v>
      </c>
      <c r="T211" s="1">
        <f t="shared" si="63"/>
        <v>0.1962861559601512</v>
      </c>
      <c r="U211" s="1">
        <f t="shared" si="64"/>
        <v>0.20257737890759198</v>
      </c>
      <c r="V211" s="1">
        <f t="shared" si="73"/>
        <v>0.13728044558701993</v>
      </c>
      <c r="W211" s="82">
        <f t="shared" si="58"/>
        <v>8.082613976542187E-2</v>
      </c>
      <c r="X211" s="1">
        <f t="shared" si="49"/>
        <v>1.5821715405793205E-2</v>
      </c>
      <c r="Y211">
        <v>244.524</v>
      </c>
      <c r="Z211" s="1">
        <f t="shared" si="59"/>
        <v>0.25912796152749135</v>
      </c>
      <c r="AA211" s="1">
        <f t="shared" si="60"/>
        <v>0.24351784336318458</v>
      </c>
      <c r="AB211" s="1">
        <f t="shared" si="66"/>
        <v>0.25132290244533795</v>
      </c>
      <c r="AC211" s="1">
        <f t="shared" si="74"/>
        <v>0.17028385179537567</v>
      </c>
      <c r="AE211" s="1"/>
      <c r="AF211" s="1"/>
    </row>
    <row r="212" spans="1:32">
      <c r="B212" s="63">
        <v>42870</v>
      </c>
      <c r="C212" s="20">
        <v>5</v>
      </c>
      <c r="D212" s="100">
        <f t="shared" si="61"/>
        <v>0.31199999999999983</v>
      </c>
      <c r="E212" s="4"/>
      <c r="F212" s="105">
        <v>1.5960000000000001</v>
      </c>
      <c r="G212" s="108">
        <v>1.6679999999999999</v>
      </c>
      <c r="H212" s="101">
        <v>2.0579999999999998</v>
      </c>
      <c r="I212" s="107">
        <f>(H212-(G212-0.1*H212)/0.9-GasolineMGSData!AG214)*(Y$283/Y212)</f>
        <v>5.8281001584480518E-2</v>
      </c>
      <c r="J212" s="107">
        <f t="shared" si="55"/>
        <v>-0.11774402127571149</v>
      </c>
      <c r="K212">
        <v>1.746</v>
      </c>
      <c r="L212">
        <v>1.54</v>
      </c>
      <c r="M212">
        <v>1.5189999999999999</v>
      </c>
      <c r="N212">
        <v>50.33</v>
      </c>
      <c r="O212" s="1">
        <f t="shared" si="56"/>
        <v>2.1950189226626566</v>
      </c>
      <c r="P212" s="1">
        <f t="shared" si="52"/>
        <v>1.9360418905501096</v>
      </c>
      <c r="Q212" s="1">
        <f t="shared" si="57"/>
        <v>1.9096413193153352</v>
      </c>
      <c r="R212" s="1">
        <f t="shared" si="70"/>
        <v>61.225068258060823</v>
      </c>
      <c r="S212" s="1">
        <f t="shared" si="62"/>
        <v>0.25897703211254708</v>
      </c>
      <c r="T212" s="1">
        <f t="shared" si="63"/>
        <v>0.28537760334732143</v>
      </c>
      <c r="U212" s="1">
        <f t="shared" si="64"/>
        <v>0.27217731772993425</v>
      </c>
      <c r="V212" s="1">
        <f t="shared" si="73"/>
        <v>0.13728044558701993</v>
      </c>
      <c r="W212" s="82">
        <f t="shared" si="58"/>
        <v>0.15053005315997431</v>
      </c>
      <c r="X212" s="1">
        <f t="shared" si="49"/>
        <v>1.5821715405793205E-2</v>
      </c>
      <c r="Y212">
        <v>244.733</v>
      </c>
      <c r="Z212" s="1">
        <f t="shared" si="59"/>
        <v>0.32101943502820873</v>
      </c>
      <c r="AA212" s="1">
        <f t="shared" si="60"/>
        <v>0.35374471723982243</v>
      </c>
      <c r="AB212" s="1">
        <f t="shared" si="66"/>
        <v>0.33738207613401561</v>
      </c>
      <c r="AC212" s="1">
        <f t="shared" si="74"/>
        <v>0.17028385179537567</v>
      </c>
      <c r="AE212" s="1"/>
      <c r="AF212" s="1"/>
    </row>
    <row r="213" spans="1:32">
      <c r="A213">
        <f>A201+1</f>
        <v>2017</v>
      </c>
      <c r="B213" s="63">
        <v>42901</v>
      </c>
      <c r="C213" s="20">
        <v>6</v>
      </c>
      <c r="D213" s="100">
        <f t="shared" si="61"/>
        <v>0.29600000000000004</v>
      </c>
      <c r="E213" s="4"/>
      <c r="F213" s="105">
        <v>1.5</v>
      </c>
      <c r="G213" s="108">
        <v>1.5740000000000001</v>
      </c>
      <c r="H213" s="101">
        <v>1.915</v>
      </c>
      <c r="I213" s="107">
        <f>(H213-(G213-0.1*H213)/0.9-GasolineMGSData!AG215)*(Y$283/Y213)</f>
        <v>-7.09348087505137E-3</v>
      </c>
      <c r="J213" s="107">
        <f t="shared" si="55"/>
        <v>-0.11774402127571149</v>
      </c>
      <c r="K213">
        <v>1.619</v>
      </c>
      <c r="L213">
        <v>1.4450000000000001</v>
      </c>
      <c r="M213">
        <v>1.4319999999999999</v>
      </c>
      <c r="N213">
        <v>46.37</v>
      </c>
      <c r="O213" s="1">
        <f t="shared" si="56"/>
        <v>2.0335137025167884</v>
      </c>
      <c r="P213" s="1">
        <f t="shared" si="52"/>
        <v>1.8149643608009633</v>
      </c>
      <c r="Q213" s="1">
        <f t="shared" si="57"/>
        <v>1.798635961707252</v>
      </c>
      <c r="R213" s="1">
        <f t="shared" si="70"/>
        <v>56.356714784348142</v>
      </c>
      <c r="S213" s="1">
        <f t="shared" si="62"/>
        <v>0.21854934171582507</v>
      </c>
      <c r="T213" s="1">
        <f t="shared" si="63"/>
        <v>0.23487774080953638</v>
      </c>
      <c r="U213" s="1">
        <f t="shared" si="64"/>
        <v>0.22671354126268073</v>
      </c>
      <c r="V213" s="1">
        <f t="shared" si="73"/>
        <v>0.13728044558701993</v>
      </c>
      <c r="W213" s="82">
        <f t="shared" si="58"/>
        <v>0.1051765242595577</v>
      </c>
      <c r="X213" s="1">
        <f t="shared" ref="X213:X243" si="75">X212</f>
        <v>1.5821715405793205E-2</v>
      </c>
      <c r="Y213">
        <v>244.95500000000001</v>
      </c>
      <c r="Z213" s="1">
        <f t="shared" si="59"/>
        <v>0.27066107632396907</v>
      </c>
      <c r="AA213" s="1">
        <f t="shared" si="60"/>
        <v>0.29088288087690961</v>
      </c>
      <c r="AB213" s="1">
        <f t="shared" si="66"/>
        <v>0.28077197860043934</v>
      </c>
      <c r="AC213" s="1">
        <f t="shared" si="74"/>
        <v>0.17028385179537567</v>
      </c>
      <c r="AE213" s="1"/>
      <c r="AF213" s="1"/>
    </row>
    <row r="214" spans="1:32">
      <c r="B214" s="63">
        <v>42931</v>
      </c>
      <c r="C214" s="20">
        <v>7</v>
      </c>
      <c r="D214" s="100">
        <f t="shared" si="61"/>
        <v>0.24199999999999999</v>
      </c>
      <c r="E214" s="4"/>
      <c r="F214" s="105">
        <v>1.5569999999999999</v>
      </c>
      <c r="G214" s="108">
        <v>1.621</v>
      </c>
      <c r="H214" s="101">
        <v>1.911</v>
      </c>
      <c r="I214" s="107">
        <f>(H214-(G214-0.1*H214)/0.9-GasolineMGSData!AG216)*(Y$283/Y214)</f>
        <v>-0.1127171780365587</v>
      </c>
      <c r="J214" s="107">
        <f t="shared" si="55"/>
        <v>-0.11774402127571149</v>
      </c>
      <c r="K214">
        <v>1.669</v>
      </c>
      <c r="L214">
        <v>1.5620000000000001</v>
      </c>
      <c r="M214">
        <v>1.518</v>
      </c>
      <c r="N214">
        <v>48.48</v>
      </c>
      <c r="O214" s="1">
        <f t="shared" si="56"/>
        <v>2.0977625313539172</v>
      </c>
      <c r="P214" s="1">
        <f t="shared" si="52"/>
        <v>1.9632744601406944</v>
      </c>
      <c r="Q214" s="1">
        <f t="shared" si="57"/>
        <v>1.9079709542212382</v>
      </c>
      <c r="R214" s="1">
        <f t="shared" si="70"/>
        <v>58.961824940968846</v>
      </c>
      <c r="S214" s="1">
        <f t="shared" si="62"/>
        <v>0.13448807121322282</v>
      </c>
      <c r="T214" s="1">
        <f t="shared" si="63"/>
        <v>0.18979157713267902</v>
      </c>
      <c r="U214" s="1">
        <f t="shared" si="64"/>
        <v>0.16213982417295092</v>
      </c>
      <c r="V214" s="1">
        <f t="shared" si="73"/>
        <v>0.13728044558701993</v>
      </c>
      <c r="W214" s="82">
        <f t="shared" si="58"/>
        <v>4.0518898139599316E-2</v>
      </c>
      <c r="X214" s="1">
        <f t="shared" si="75"/>
        <v>1.5821715405793205E-2</v>
      </c>
      <c r="Y214">
        <v>244.786</v>
      </c>
      <c r="Z214" s="1">
        <f t="shared" si="59"/>
        <v>0.16667090743529822</v>
      </c>
      <c r="AA214" s="1">
        <f t="shared" si="60"/>
        <v>0.23520847684794435</v>
      </c>
      <c r="AB214" s="1">
        <f t="shared" si="66"/>
        <v>0.20093969214162127</v>
      </c>
      <c r="AC214" s="1">
        <f t="shared" si="74"/>
        <v>0.17028385179537567</v>
      </c>
      <c r="AE214" s="1"/>
      <c r="AF214" s="1"/>
    </row>
    <row r="215" spans="1:32">
      <c r="B215" s="63">
        <v>42962</v>
      </c>
      <c r="C215" s="20">
        <v>8</v>
      </c>
      <c r="D215" s="100">
        <f t="shared" si="61"/>
        <v>0.18600000000000017</v>
      </c>
      <c r="E215" s="4"/>
      <c r="F215" s="105">
        <v>1.6479999999999999</v>
      </c>
      <c r="G215" s="108">
        <v>1.7110000000000001</v>
      </c>
      <c r="H215" s="101">
        <v>1.9930000000000001</v>
      </c>
      <c r="I215" s="107">
        <f>(H215-(G215-0.1*H215)/0.9-GasolineMGSData!AG217)*(Y$283/Y215)</f>
        <v>-0.10607003023402113</v>
      </c>
      <c r="J215" s="107">
        <f t="shared" si="55"/>
        <v>-0.11774402127571149</v>
      </c>
      <c r="K215">
        <v>1.8069999999999999</v>
      </c>
      <c r="L215">
        <v>1.6879999999999999</v>
      </c>
      <c r="M215">
        <v>1.6379999999999999</v>
      </c>
      <c r="N215">
        <v>51.7</v>
      </c>
      <c r="O215" s="1">
        <f t="shared" si="56"/>
        <v>2.2644336975957056</v>
      </c>
      <c r="P215" s="1">
        <f t="shared" ref="P215:P278" si="76">L215*($Y$289/$Y215)</f>
        <v>2.1153093976433595</v>
      </c>
      <c r="Q215" s="1">
        <f t="shared" si="57"/>
        <v>2.052652128755819</v>
      </c>
      <c r="R215" s="1">
        <f t="shared" si="70"/>
        <v>62.690295659399077</v>
      </c>
      <c r="S215" s="1">
        <f t="shared" si="62"/>
        <v>0.14912429995234611</v>
      </c>
      <c r="T215" s="1">
        <f t="shared" si="63"/>
        <v>0.21178156883988652</v>
      </c>
      <c r="U215" s="1">
        <f t="shared" si="64"/>
        <v>0.18045293439611632</v>
      </c>
      <c r="V215" s="1">
        <f t="shared" si="73"/>
        <v>0.13728044558701993</v>
      </c>
      <c r="W215" s="82">
        <f t="shared" si="58"/>
        <v>5.919510913615679E-2</v>
      </c>
      <c r="X215" s="1">
        <f t="shared" si="75"/>
        <v>1.5821715405793205E-2</v>
      </c>
      <c r="Y215">
        <v>245.51900000000001</v>
      </c>
      <c r="Z215" s="1">
        <f t="shared" si="59"/>
        <v>0.18425781714019512</v>
      </c>
      <c r="AA215" s="1">
        <f t="shared" si="60"/>
        <v>0.26167706803943686</v>
      </c>
      <c r="AB215" s="1">
        <f t="shared" si="66"/>
        <v>0.22296744258981599</v>
      </c>
      <c r="AC215" s="1">
        <f t="shared" si="74"/>
        <v>0.17028385179537567</v>
      </c>
      <c r="AE215" s="1"/>
      <c r="AF215" s="1"/>
    </row>
    <row r="216" spans="1:32">
      <c r="B216" s="63">
        <v>42993</v>
      </c>
      <c r="C216" s="20">
        <v>9</v>
      </c>
      <c r="D216" s="100">
        <f t="shared" si="61"/>
        <v>0.26600000000000001</v>
      </c>
      <c r="E216" s="4"/>
      <c r="F216" s="105">
        <v>1.7629999999999999</v>
      </c>
      <c r="G216" s="108">
        <v>1.8260000000000001</v>
      </c>
      <c r="H216" s="101">
        <v>2.089</v>
      </c>
      <c r="I216" s="107">
        <f>(H216-(G216-0.1*H216)/0.9-GasolineMGSData!AG218)*(Y$283/Y216)</f>
        <v>-0.13870607195299203</v>
      </c>
      <c r="J216" s="107">
        <f t="shared" si="55"/>
        <v>-0.11774402127571149</v>
      </c>
      <c r="K216">
        <v>1.823</v>
      </c>
      <c r="L216">
        <v>1.867</v>
      </c>
      <c r="M216">
        <v>1.7529999999999999</v>
      </c>
      <c r="N216">
        <v>56.15</v>
      </c>
      <c r="O216" s="1">
        <f t="shared" si="56"/>
        <v>2.2724516062377695</v>
      </c>
      <c r="P216" s="1">
        <f t="shared" si="76"/>
        <v>2.327299587957167</v>
      </c>
      <c r="Q216" s="1">
        <f t="shared" si="57"/>
        <v>2.185193453502364</v>
      </c>
      <c r="R216" s="1">
        <f t="shared" si="70"/>
        <v>67.727657311633237</v>
      </c>
      <c r="S216" s="1">
        <f t="shared" si="62"/>
        <v>-5.4847981719397421E-2</v>
      </c>
      <c r="T216" s="1">
        <f t="shared" si="63"/>
        <v>8.7258152735405492E-2</v>
      </c>
      <c r="U216" s="1">
        <f t="shared" si="64"/>
        <v>1.6205085508004036E-2</v>
      </c>
      <c r="V216" s="1">
        <f t="shared" si="73"/>
        <v>0.13728044558701993</v>
      </c>
      <c r="W216" s="82">
        <f t="shared" si="58"/>
        <v>-0.10441407266053244</v>
      </c>
      <c r="X216" s="1">
        <f t="shared" si="75"/>
        <v>1.5821715405793205E-2</v>
      </c>
      <c r="Y216">
        <v>246.81899999999999</v>
      </c>
      <c r="Z216" s="1">
        <f t="shared" si="59"/>
        <v>-6.7413158137507895E-2</v>
      </c>
      <c r="AA216" s="1">
        <f t="shared" si="60"/>
        <v>0.10724820612785409</v>
      </c>
      <c r="AB216" s="1">
        <f t="shared" si="66"/>
        <v>1.9917523995173096E-2</v>
      </c>
      <c r="AC216" s="1">
        <f t="shared" si="74"/>
        <v>0.17028385179537567</v>
      </c>
      <c r="AE216" s="1"/>
      <c r="AF216" s="1"/>
    </row>
    <row r="217" spans="1:32">
      <c r="B217" s="63">
        <v>43023</v>
      </c>
      <c r="C217" s="20">
        <v>10</v>
      </c>
      <c r="D217" s="100">
        <f t="shared" si="61"/>
        <v>0.22500000000000009</v>
      </c>
      <c r="E217" s="4"/>
      <c r="F217" s="105">
        <v>1.67</v>
      </c>
      <c r="G217" s="108">
        <v>1.73</v>
      </c>
      <c r="H217" s="101">
        <v>1.986</v>
      </c>
      <c r="I217" s="107">
        <f>(H217-(G217-0.1*H217)/0.9-GasolineMGSData!AG219)*(Y$283/Y217)</f>
        <v>-0.14614818942223917</v>
      </c>
      <c r="J217" s="107">
        <f t="shared" si="55"/>
        <v>-0.11774402127571149</v>
      </c>
      <c r="K217">
        <v>1.7609999999999999</v>
      </c>
      <c r="L217">
        <v>1.7150000000000001</v>
      </c>
      <c r="M217">
        <v>1.6519999999999999</v>
      </c>
      <c r="N217">
        <v>57.51</v>
      </c>
      <c r="O217" s="1">
        <f t="shared" si="56"/>
        <v>2.1965541285073154</v>
      </c>
      <c r="P217" s="1">
        <f t="shared" si="76"/>
        <v>2.1391767918171753</v>
      </c>
      <c r="Q217" s="1">
        <f t="shared" si="57"/>
        <v>2.0605947872198098</v>
      </c>
      <c r="R217" s="1">
        <f t="shared" si="70"/>
        <v>69.411949137081763</v>
      </c>
      <c r="S217" s="1">
        <f t="shared" si="62"/>
        <v>5.7377336690140002E-2</v>
      </c>
      <c r="T217" s="1">
        <f t="shared" si="63"/>
        <v>0.13595934128750553</v>
      </c>
      <c r="U217" s="1">
        <f t="shared" si="64"/>
        <v>9.6668338988822766E-2</v>
      </c>
      <c r="V217" s="1">
        <f t="shared" si="73"/>
        <v>0.13728044558701993</v>
      </c>
      <c r="W217" s="82">
        <f t="shared" si="58"/>
        <v>-2.4027103781272471E-2</v>
      </c>
      <c r="X217" s="1">
        <f t="shared" si="75"/>
        <v>1.5821715405793205E-2</v>
      </c>
      <c r="Y217" s="2">
        <v>246.66300000000001</v>
      </c>
      <c r="Z217" s="1">
        <f t="shared" si="59"/>
        <v>7.0566566490843544E-2</v>
      </c>
      <c r="AA217" s="1">
        <f t="shared" si="60"/>
        <v>0.16721208146743347</v>
      </c>
      <c r="AB217" s="1">
        <f t="shared" si="66"/>
        <v>0.11888932397913851</v>
      </c>
      <c r="AC217" s="1">
        <f t="shared" si="74"/>
        <v>0.17028385179537567</v>
      </c>
      <c r="AE217" s="1"/>
      <c r="AF217" s="1"/>
    </row>
    <row r="218" spans="1:32">
      <c r="B218" s="63">
        <v>43054</v>
      </c>
      <c r="C218" s="20">
        <v>11</v>
      </c>
      <c r="D218" s="100">
        <f t="shared" si="61"/>
        <v>0.19999999999999996</v>
      </c>
      <c r="E218" s="4"/>
      <c r="F218" s="105">
        <v>1.748</v>
      </c>
      <c r="G218" s="108">
        <v>1.806</v>
      </c>
      <c r="H218" s="101">
        <v>2.036</v>
      </c>
      <c r="I218" s="107">
        <f>(H218-(G218-0.1*H218)/0.9-GasolineMGSData!AG220)*(Y$283/Y218)</f>
        <v>-0.35433110829104708</v>
      </c>
      <c r="J218" s="107">
        <f t="shared" si="55"/>
        <v>-0.11774402127571149</v>
      </c>
      <c r="K218">
        <v>1.8360000000000001</v>
      </c>
      <c r="L218">
        <v>1.83</v>
      </c>
      <c r="M218">
        <v>1.7569999999999999</v>
      </c>
      <c r="N218">
        <v>62.71</v>
      </c>
      <c r="O218" s="1">
        <f t="shared" si="56"/>
        <v>2.2900484292716152</v>
      </c>
      <c r="P218" s="1">
        <f t="shared" si="76"/>
        <v>2.2825646108753026</v>
      </c>
      <c r="Q218" s="1">
        <f t="shared" si="57"/>
        <v>2.1915114870535009</v>
      </c>
      <c r="R218" s="1">
        <f t="shared" si="70"/>
        <v>75.686271116354305</v>
      </c>
      <c r="S218" s="1">
        <f t="shared" si="62"/>
        <v>7.4838183963126248E-3</v>
      </c>
      <c r="T218" s="1">
        <f t="shared" si="63"/>
        <v>9.8536942218114376E-2</v>
      </c>
      <c r="U218" s="1">
        <f t="shared" si="64"/>
        <v>5.30103803072135E-2</v>
      </c>
      <c r="V218" s="1">
        <f t="shared" si="73"/>
        <v>0.13728044558701993</v>
      </c>
      <c r="W218" s="82">
        <f t="shared" si="58"/>
        <v>-6.7682126655558478E-2</v>
      </c>
      <c r="X218" s="1">
        <f t="shared" si="75"/>
        <v>1.5821715405793205E-2</v>
      </c>
      <c r="Y218" s="2">
        <v>246.66900000000001</v>
      </c>
      <c r="Z218" s="1">
        <f t="shared" si="59"/>
        <v>9.2038869909092207E-3</v>
      </c>
      <c r="AA218" s="1">
        <f t="shared" si="60"/>
        <v>0.12118451204696913</v>
      </c>
      <c r="AB218" s="1">
        <f t="shared" si="66"/>
        <v>6.5194199518939178E-2</v>
      </c>
      <c r="AC218" s="1">
        <f t="shared" si="74"/>
        <v>0.17028385179537567</v>
      </c>
      <c r="AE218" s="1"/>
      <c r="AF218" s="1"/>
    </row>
    <row r="219" spans="1:32">
      <c r="A219" s="64"/>
      <c r="B219" s="63">
        <v>43084</v>
      </c>
      <c r="C219" s="20">
        <v>12</v>
      </c>
      <c r="D219" s="100">
        <f t="shared" si="61"/>
        <v>0.27500000000000013</v>
      </c>
      <c r="E219" s="4"/>
      <c r="F219" s="105">
        <v>1.6619999999999999</v>
      </c>
      <c r="G219" s="108">
        <v>1.72</v>
      </c>
      <c r="H219" s="101">
        <v>1.921</v>
      </c>
      <c r="I219" s="107">
        <f>(H219-(G219-0.1*H219)/0.9-GasolineMGSData!AG221)*(Y$283/Y219)</f>
        <v>-0.39028552228119839</v>
      </c>
      <c r="J219" s="107">
        <f t="shared" si="55"/>
        <v>-0.11774402127571149</v>
      </c>
      <c r="K219">
        <v>1.6459999999999999</v>
      </c>
      <c r="L219">
        <v>1.7569999999999999</v>
      </c>
      <c r="M219">
        <v>1.702</v>
      </c>
      <c r="N219">
        <v>64.37</v>
      </c>
      <c r="O219" s="1">
        <f t="shared" si="56"/>
        <v>2.0542684120004542</v>
      </c>
      <c r="P219" s="1">
        <f t="shared" si="76"/>
        <v>2.1928004859567425</v>
      </c>
      <c r="Q219" s="1">
        <f t="shared" si="57"/>
        <v>2.1241584673297527</v>
      </c>
      <c r="R219" s="1">
        <f t="shared" si="70"/>
        <v>77.735462145673452</v>
      </c>
      <c r="S219" s="1">
        <f t="shared" si="62"/>
        <v>-0.1385320739562883</v>
      </c>
      <c r="T219" s="1">
        <f t="shared" si="63"/>
        <v>-6.9890055329298484E-2</v>
      </c>
      <c r="U219" s="1">
        <f t="shared" si="64"/>
        <v>-0.10421106464279339</v>
      </c>
      <c r="V219" s="1">
        <f t="shared" si="73"/>
        <v>0.13728044558701993</v>
      </c>
      <c r="W219" s="82">
        <f t="shared" si="58"/>
        <v>-0.22497456028621959</v>
      </c>
      <c r="X219" s="1">
        <f t="shared" si="75"/>
        <v>1.5821715405793205E-2</v>
      </c>
      <c r="Y219" s="2">
        <v>246.524</v>
      </c>
      <c r="Z219" s="1">
        <f t="shared" si="59"/>
        <v>-0.17047226862942955</v>
      </c>
      <c r="AA219" s="1">
        <f t="shared" si="60"/>
        <v>-8.600402741664899E-2</v>
      </c>
      <c r="AB219" s="1">
        <f t="shared" si="66"/>
        <v>-0.12823814802303926</v>
      </c>
      <c r="AC219" s="1">
        <f t="shared" si="74"/>
        <v>0.17028385179537567</v>
      </c>
      <c r="AE219" s="1"/>
      <c r="AF219" s="1"/>
    </row>
    <row r="220" spans="1:32">
      <c r="A220" s="64" t="s">
        <v>39</v>
      </c>
      <c r="B220" s="63">
        <v>43115</v>
      </c>
      <c r="C220" s="20">
        <v>1</v>
      </c>
      <c r="D220" s="100">
        <f t="shared" si="61"/>
        <v>0.16199999999999992</v>
      </c>
      <c r="E220" s="4"/>
      <c r="F220" s="105">
        <v>1.7909999999999999</v>
      </c>
      <c r="G220" s="108">
        <v>1.849</v>
      </c>
      <c r="H220" s="101">
        <v>2.1059999999999999</v>
      </c>
      <c r="I220" s="107">
        <f>(H220-(G220-0.1*H220)/0.9-GasolineMGSData!AG222)*(Y$283/Y220)</f>
        <v>-0.33649553153876111</v>
      </c>
      <c r="J220" s="107">
        <f>AVERAGE(I220:I231)</f>
        <v>-0.22806374211936095</v>
      </c>
      <c r="K220">
        <v>1.944</v>
      </c>
      <c r="L220">
        <v>1.899</v>
      </c>
      <c r="M220">
        <v>1.857</v>
      </c>
      <c r="N220">
        <v>69.08</v>
      </c>
      <c r="O220" s="1">
        <f t="shared" si="56"/>
        <v>2.4130377339460276</v>
      </c>
      <c r="P220" s="1">
        <f t="shared" si="76"/>
        <v>2.3571803789935735</v>
      </c>
      <c r="Q220" s="1">
        <f t="shared" si="57"/>
        <v>2.3050468477046158</v>
      </c>
      <c r="R220" s="1">
        <f t="shared" si="70"/>
        <v>82.971415638225338</v>
      </c>
      <c r="S220" s="1">
        <f t="shared" si="62"/>
        <v>5.5857354952454141E-2</v>
      </c>
      <c r="T220" s="1">
        <f t="shared" si="63"/>
        <v>0.10799088624141184</v>
      </c>
      <c r="U220" s="1">
        <f t="shared" si="64"/>
        <v>8.1924120596932992E-2</v>
      </c>
      <c r="V220" s="1">
        <f>AVERAGE(S220:T231)</f>
        <v>0.1832571391284902</v>
      </c>
      <c r="W220" s="82">
        <f t="shared" si="58"/>
        <v>-3.8185050853885405E-2</v>
      </c>
      <c r="X220" s="1">
        <f>AVERAGE(W220:W231)</f>
        <v>6.469347951675411E-2</v>
      </c>
      <c r="Y220" s="34">
        <v>247.86699999999999</v>
      </c>
      <c r="Z220" s="1">
        <f t="shared" si="59"/>
        <v>6.83634964333346E-2</v>
      </c>
      <c r="AA220" s="1">
        <f t="shared" si="60"/>
        <v>0.13216942643778085</v>
      </c>
      <c r="AB220" s="1">
        <f t="shared" si="66"/>
        <v>0.10026646143555773</v>
      </c>
      <c r="AC220" s="1">
        <f>AVERAGE(Z220:AA231)</f>
        <v>0.22131250508165656</v>
      </c>
      <c r="AE220" s="1"/>
      <c r="AF220" s="1"/>
    </row>
    <row r="221" spans="1:32">
      <c r="B221" s="63">
        <v>43146</v>
      </c>
      <c r="C221" s="20">
        <v>2</v>
      </c>
      <c r="D221" s="100">
        <f t="shared" si="61"/>
        <v>0.29799999999999982</v>
      </c>
      <c r="E221" s="4"/>
      <c r="F221" s="105">
        <v>1.75</v>
      </c>
      <c r="G221" s="108">
        <v>1.823</v>
      </c>
      <c r="H221" s="101">
        <v>2.1749999999999998</v>
      </c>
      <c r="I221" s="107">
        <f>(H221-(G221-0.1*H221)/0.9-GasolineMGSData!AG223)*(Y$283/Y221)</f>
        <v>-0.22855882220811921</v>
      </c>
      <c r="J221" s="107">
        <f t="shared" si="55"/>
        <v>-0.22806374211936095</v>
      </c>
      <c r="K221">
        <v>1.877</v>
      </c>
      <c r="L221">
        <v>1.8169999999999999</v>
      </c>
      <c r="M221">
        <v>1.7649999999999999</v>
      </c>
      <c r="N221">
        <v>65.319999999999993</v>
      </c>
      <c r="O221" s="1">
        <f t="shared" si="56"/>
        <v>2.3193547839078521</v>
      </c>
      <c r="P221" s="1">
        <f t="shared" si="76"/>
        <v>2.2452145137776061</v>
      </c>
      <c r="Q221" s="1">
        <f t="shared" si="57"/>
        <v>2.18095961299806</v>
      </c>
      <c r="R221" s="1">
        <f t="shared" si="70"/>
        <v>78.101146306492993</v>
      </c>
      <c r="S221" s="1">
        <f t="shared" si="62"/>
        <v>7.4140270130246044E-2</v>
      </c>
      <c r="T221" s="1">
        <f t="shared" si="63"/>
        <v>0.13839517090979214</v>
      </c>
      <c r="U221" s="1">
        <f t="shared" si="64"/>
        <v>0.10626772052001909</v>
      </c>
      <c r="V221" s="1">
        <f>V220</f>
        <v>0.1832571391284902</v>
      </c>
      <c r="W221" s="82">
        <f t="shared" si="58"/>
        <v>-1.329925178018454E-2</v>
      </c>
      <c r="X221" s="1">
        <f t="shared" si="75"/>
        <v>6.469347951675411E-2</v>
      </c>
      <c r="Y221" s="34">
        <v>248.99100000000001</v>
      </c>
      <c r="Z221" s="1">
        <f t="shared" si="59"/>
        <v>9.0330231885979134E-2</v>
      </c>
      <c r="AA221" s="1">
        <f t="shared" si="60"/>
        <v>0.16861643285382713</v>
      </c>
      <c r="AB221" s="1">
        <f t="shared" si="66"/>
        <v>0.12947333236990313</v>
      </c>
      <c r="AC221" s="1">
        <f>AC220</f>
        <v>0.22131250508165656</v>
      </c>
      <c r="AE221" s="1"/>
      <c r="AF221" s="1"/>
    </row>
    <row r="222" spans="1:32">
      <c r="B222" s="63">
        <v>43174</v>
      </c>
      <c r="C222" s="20">
        <v>3</v>
      </c>
      <c r="D222" s="100">
        <f t="shared" si="61"/>
        <v>0.22799999999999976</v>
      </c>
      <c r="E222" s="4"/>
      <c r="F222" s="105">
        <v>1.82</v>
      </c>
      <c r="G222" s="108">
        <v>1.889</v>
      </c>
      <c r="H222" s="101">
        <v>2.3079999999999998</v>
      </c>
      <c r="I222" s="107">
        <f>(H222-(G222-0.1*H222)/0.9-GasolineMGSData!AG224)*(Y$283/Y222)</f>
        <v>-0.1290723045581523</v>
      </c>
      <c r="J222" s="107">
        <f t="shared" si="55"/>
        <v>-0.22806374211936095</v>
      </c>
      <c r="K222">
        <v>2.08</v>
      </c>
      <c r="L222">
        <v>1.8340000000000001</v>
      </c>
      <c r="M222">
        <v>1.82</v>
      </c>
      <c r="N222">
        <v>66.02</v>
      </c>
      <c r="O222" s="1">
        <f t="shared" si="56"/>
        <v>2.5643976053279047</v>
      </c>
      <c r="P222" s="1">
        <f t="shared" si="76"/>
        <v>2.2611082731593162</v>
      </c>
      <c r="Q222" s="1">
        <f t="shared" si="57"/>
        <v>2.2438479046619166</v>
      </c>
      <c r="R222" s="1">
        <f t="shared" si="70"/>
        <v>78.760028771328052</v>
      </c>
      <c r="S222" s="1">
        <f t="shared" si="62"/>
        <v>0.30328933216858855</v>
      </c>
      <c r="T222" s="1">
        <f t="shared" si="63"/>
        <v>0.32054970066598809</v>
      </c>
      <c r="U222" s="1">
        <f t="shared" si="64"/>
        <v>0.31191951641728832</v>
      </c>
      <c r="V222" s="1">
        <f t="shared" ref="V222:V279" si="77">V221</f>
        <v>0.1832571391284902</v>
      </c>
      <c r="W222" s="82">
        <f t="shared" si="58"/>
        <v>0.19262229016565541</v>
      </c>
      <c r="X222" s="1">
        <f t="shared" si="75"/>
        <v>6.469347951675411E-2</v>
      </c>
      <c r="Y222" s="34">
        <v>249.554</v>
      </c>
      <c r="Z222" s="1">
        <f t="shared" si="59"/>
        <v>0.36868478034677676</v>
      </c>
      <c r="AA222" s="1">
        <f t="shared" si="60"/>
        <v>0.38966684101691879</v>
      </c>
      <c r="AB222" s="1">
        <f t="shared" si="66"/>
        <v>0.3791758106818478</v>
      </c>
      <c r="AC222" s="1">
        <f t="shared" ref="AC222:AC283" si="78">AC221</f>
        <v>0.22131250508165656</v>
      </c>
      <c r="AE222" s="1"/>
      <c r="AF222" s="1"/>
    </row>
    <row r="223" spans="1:32">
      <c r="B223" s="63">
        <v>43205</v>
      </c>
      <c r="C223" s="20">
        <v>4</v>
      </c>
      <c r="D223" s="100">
        <f t="shared" si="61"/>
        <v>0.2370000000000001</v>
      </c>
      <c r="E223" s="4"/>
      <c r="F223" s="105">
        <v>1.9850000000000001</v>
      </c>
      <c r="G223" s="108">
        <v>2.0539999999999998</v>
      </c>
      <c r="H223" s="101">
        <v>2.4500000000000002</v>
      </c>
      <c r="I223" s="107">
        <f>(H223-(G223-0.1*H223)/0.9-GasolineMGSData!AG225)*(Y$283/Y223)</f>
        <v>-0.17070103709760961</v>
      </c>
      <c r="J223" s="107">
        <f t="shared" si="55"/>
        <v>-0.22806374211936095</v>
      </c>
      <c r="K223">
        <v>2.2130000000000001</v>
      </c>
      <c r="L223">
        <v>1.9950000000000001</v>
      </c>
      <c r="M223">
        <v>1.9650000000000001</v>
      </c>
      <c r="N223">
        <v>72.11</v>
      </c>
      <c r="O223" s="1">
        <f t="shared" si="56"/>
        <v>2.7175685223471939</v>
      </c>
      <c r="P223" s="1">
        <f t="shared" si="76"/>
        <v>2.4498640768561466</v>
      </c>
      <c r="Q223" s="1">
        <f t="shared" si="57"/>
        <v>2.4130240155500391</v>
      </c>
      <c r="R223" s="1">
        <f t="shared" si="70"/>
        <v>85.684625617651051</v>
      </c>
      <c r="S223" s="1">
        <f t="shared" si="62"/>
        <v>0.26770444549104733</v>
      </c>
      <c r="T223" s="1">
        <f t="shared" si="63"/>
        <v>0.30454450679715483</v>
      </c>
      <c r="U223" s="1">
        <f t="shared" si="64"/>
        <v>0.28612447614410108</v>
      </c>
      <c r="V223" s="1">
        <f t="shared" si="77"/>
        <v>0.1832571391284902</v>
      </c>
      <c r="W223" s="82">
        <f t="shared" si="58"/>
        <v>0.16729958969610348</v>
      </c>
      <c r="X223" s="1">
        <f t="shared" si="75"/>
        <v>6.469347951675411E-2</v>
      </c>
      <c r="Y223" s="34">
        <v>250.54599999999999</v>
      </c>
      <c r="Z223" s="1">
        <f t="shared" si="59"/>
        <v>0.32413857613971325</v>
      </c>
      <c r="AA223" s="1">
        <f t="shared" si="60"/>
        <v>0.36874480221398581</v>
      </c>
      <c r="AB223" s="1">
        <f t="shared" si="66"/>
        <v>0.34644168917684953</v>
      </c>
      <c r="AC223" s="1">
        <f t="shared" si="78"/>
        <v>0.22131250508165656</v>
      </c>
      <c r="AE223" s="1"/>
      <c r="AF223" s="1"/>
    </row>
    <row r="224" spans="1:32">
      <c r="B224" s="63">
        <v>43235</v>
      </c>
      <c r="C224" s="20">
        <v>5</v>
      </c>
      <c r="D224" s="100">
        <f t="shared" si="61"/>
        <v>0.25099999999999989</v>
      </c>
      <c r="E224" s="4"/>
      <c r="F224" s="105">
        <v>2.14</v>
      </c>
      <c r="G224" s="108">
        <v>2.2050000000000001</v>
      </c>
      <c r="H224" s="101">
        <v>2.5459999999999998</v>
      </c>
      <c r="I224" s="107">
        <f>(H224-(G224-0.1*H224)/0.9-GasolineMGSData!AG226)*(Y$283/Y224)</f>
        <v>-0.25357297243831389</v>
      </c>
      <c r="J224" s="107">
        <f t="shared" si="55"/>
        <v>-0.22806374211936095</v>
      </c>
      <c r="K224">
        <v>2.2949999999999999</v>
      </c>
      <c r="L224">
        <v>2.129</v>
      </c>
      <c r="M224">
        <v>2.0910000000000002</v>
      </c>
      <c r="N224">
        <v>76.98</v>
      </c>
      <c r="O224" s="1">
        <f t="shared" si="56"/>
        <v>2.8065923056743562</v>
      </c>
      <c r="P224" s="1">
        <f t="shared" si="76"/>
        <v>2.6035882434774313</v>
      </c>
      <c r="Q224" s="1">
        <f t="shared" si="57"/>
        <v>2.5571174340588585</v>
      </c>
      <c r="R224" s="1">
        <f t="shared" si="70"/>
        <v>91.092551234558101</v>
      </c>
      <c r="S224" s="1">
        <f t="shared" si="62"/>
        <v>0.20300406219692491</v>
      </c>
      <c r="T224" s="1">
        <f t="shared" si="63"/>
        <v>0.24947487161549775</v>
      </c>
      <c r="U224" s="1">
        <f t="shared" si="64"/>
        <v>0.22623946690621133</v>
      </c>
      <c r="V224" s="1">
        <f t="shared" si="77"/>
        <v>0.1832571391284902</v>
      </c>
      <c r="W224" s="82">
        <f t="shared" si="58"/>
        <v>0.10790671653655934</v>
      </c>
      <c r="X224" s="1">
        <f t="shared" si="75"/>
        <v>6.469347951675411E-2</v>
      </c>
      <c r="Y224" s="34">
        <v>251.58799999999999</v>
      </c>
      <c r="Z224" s="1">
        <f t="shared" si="59"/>
        <v>0.24478083740180667</v>
      </c>
      <c r="AA224" s="1">
        <f t="shared" si="60"/>
        <v>0.30081500499981023</v>
      </c>
      <c r="AB224" s="1">
        <f t="shared" si="66"/>
        <v>0.27279792120080848</v>
      </c>
      <c r="AC224" s="1">
        <f t="shared" si="78"/>
        <v>0.22131250508165656</v>
      </c>
      <c r="AE224" s="1"/>
      <c r="AF224" s="1"/>
    </row>
    <row r="225" spans="1:32">
      <c r="A225">
        <f>A213+1</f>
        <v>2018</v>
      </c>
      <c r="B225" s="63">
        <v>43266</v>
      </c>
      <c r="C225" s="20">
        <v>6</v>
      </c>
      <c r="D225" s="100">
        <f t="shared" si="61"/>
        <v>0.31599999999999984</v>
      </c>
      <c r="E225" s="4"/>
      <c r="F225" s="105">
        <v>2.0649999999999999</v>
      </c>
      <c r="G225" s="108">
        <v>2.1349999999999998</v>
      </c>
      <c r="H225" s="101">
        <v>2.452</v>
      </c>
      <c r="I225" s="107">
        <f>(H225-(G225-0.1*H225)/0.9-GasolineMGSData!AG227)*(Y$283/Y225)</f>
        <v>-0.29406165331952289</v>
      </c>
      <c r="J225" s="107">
        <f t="shared" si="55"/>
        <v>-0.22806374211936095</v>
      </c>
      <c r="K225">
        <v>2.1360000000000001</v>
      </c>
      <c r="L225">
        <v>2.0299999999999998</v>
      </c>
      <c r="M225">
        <v>2.0019999999999998</v>
      </c>
      <c r="N225">
        <v>74.41</v>
      </c>
      <c r="O225" s="1">
        <f t="shared" si="56"/>
        <v>2.6079918409136909</v>
      </c>
      <c r="P225" s="1">
        <f t="shared" si="76"/>
        <v>2.4785690248383854</v>
      </c>
      <c r="Q225" s="1">
        <f t="shared" si="57"/>
        <v>2.4443818658750973</v>
      </c>
      <c r="R225" s="1">
        <f t="shared" si="70"/>
        <v>87.911279897138371</v>
      </c>
      <c r="S225" s="1">
        <f t="shared" si="62"/>
        <v>0.12942281607530548</v>
      </c>
      <c r="T225" s="1">
        <f t="shared" si="63"/>
        <v>0.16360997503859354</v>
      </c>
      <c r="U225" s="1">
        <f t="shared" si="64"/>
        <v>0.14651639555694951</v>
      </c>
      <c r="V225" s="1">
        <f t="shared" si="77"/>
        <v>0.1832571391284902</v>
      </c>
      <c r="W225" s="82">
        <f t="shared" si="58"/>
        <v>2.8371952743969558E-2</v>
      </c>
      <c r="X225" s="1">
        <f t="shared" si="75"/>
        <v>6.469347951675411E-2</v>
      </c>
      <c r="Y225" s="34">
        <v>251.989</v>
      </c>
      <c r="Z225" s="1">
        <f t="shared" si="59"/>
        <v>0.15580876051356565</v>
      </c>
      <c r="AA225" s="1">
        <f t="shared" si="60"/>
        <v>0.19696579159262051</v>
      </c>
      <c r="AB225" s="1">
        <f t="shared" si="66"/>
        <v>0.17638727605309307</v>
      </c>
      <c r="AC225" s="1">
        <f t="shared" si="78"/>
        <v>0.22131250508165656</v>
      </c>
      <c r="AE225" s="1"/>
      <c r="AF225" s="1"/>
    </row>
    <row r="226" spans="1:32">
      <c r="B226" s="63">
        <v>43296</v>
      </c>
      <c r="C226" s="20">
        <v>7</v>
      </c>
      <c r="D226" s="100">
        <f t="shared" si="61"/>
        <v>0.29299999999999971</v>
      </c>
      <c r="E226" s="4"/>
      <c r="F226" s="105">
        <v>2.0840000000000001</v>
      </c>
      <c r="G226" s="108">
        <v>2.1480000000000001</v>
      </c>
      <c r="H226" s="101">
        <v>2.4329999999999998</v>
      </c>
      <c r="I226" s="107">
        <f>(H226-(G226-0.1*H226)/0.9-GasolineMGSData!AG228)*(Y$283/Y226)</f>
        <v>-0.37016144919958305</v>
      </c>
      <c r="J226" s="107">
        <f t="shared" si="55"/>
        <v>-0.22806374211936095</v>
      </c>
      <c r="K226">
        <v>2.14</v>
      </c>
      <c r="L226">
        <v>2.0739999999999998</v>
      </c>
      <c r="M226">
        <v>2.0430000000000001</v>
      </c>
      <c r="N226">
        <v>74.25</v>
      </c>
      <c r="O226" s="1">
        <f t="shared" si="56"/>
        <v>2.6126994595366781</v>
      </c>
      <c r="P226" s="1">
        <f t="shared" si="76"/>
        <v>2.5321208780743314</v>
      </c>
      <c r="Q226" s="1">
        <f t="shared" si="57"/>
        <v>2.4942733625389875</v>
      </c>
      <c r="R226" s="1">
        <f t="shared" si="70"/>
        <v>87.716331158781941</v>
      </c>
      <c r="S226" s="1">
        <f t="shared" si="62"/>
        <v>8.0578581462346754E-2</v>
      </c>
      <c r="T226" s="1">
        <f t="shared" si="63"/>
        <v>0.11842609699769069</v>
      </c>
      <c r="U226" s="1">
        <f t="shared" si="64"/>
        <v>9.9502339230018721E-2</v>
      </c>
      <c r="V226" s="1">
        <f t="shared" si="77"/>
        <v>0.1832571391284902</v>
      </c>
      <c r="W226" s="82">
        <f t="shared" si="58"/>
        <v>-1.8634133711101744E-2</v>
      </c>
      <c r="X226" s="1">
        <f t="shared" si="75"/>
        <v>6.469347951675411E-2</v>
      </c>
      <c r="Y226" s="34">
        <v>252.006</v>
      </c>
      <c r="Z226" s="1">
        <f t="shared" si="59"/>
        <v>9.699991352651087E-2</v>
      </c>
      <c r="AA226" s="1">
        <f t="shared" si="60"/>
        <v>0.14256047897078022</v>
      </c>
      <c r="AB226" s="1">
        <f t="shared" si="66"/>
        <v>0.11978019624864555</v>
      </c>
      <c r="AC226" s="1">
        <f t="shared" si="78"/>
        <v>0.22131250508165656</v>
      </c>
      <c r="AE226" s="1"/>
      <c r="AF226" s="1"/>
    </row>
    <row r="227" spans="1:32">
      <c r="B227" s="63">
        <v>43327</v>
      </c>
      <c r="C227" s="20">
        <v>8</v>
      </c>
      <c r="D227" s="100">
        <f t="shared" si="61"/>
        <v>0.30699999999999994</v>
      </c>
      <c r="E227" s="4"/>
      <c r="F227" s="105">
        <v>2.0529999999999999</v>
      </c>
      <c r="G227" s="108">
        <v>2.1179999999999999</v>
      </c>
      <c r="H227" s="101">
        <v>2.3849999999999998</v>
      </c>
      <c r="I227" s="107">
        <f>(H227-(G227-0.1*H227)/0.9-GasolineMGSData!AG229)*(Y$283/Y227)</f>
        <v>-0.3962343346310136</v>
      </c>
      <c r="J227" s="107">
        <f t="shared" si="55"/>
        <v>-0.22806374211936095</v>
      </c>
      <c r="K227">
        <v>2.0779999999999998</v>
      </c>
      <c r="L227">
        <v>2.077</v>
      </c>
      <c r="M227" s="65">
        <v>2.0529999999999999</v>
      </c>
      <c r="N227">
        <v>72.53</v>
      </c>
      <c r="O227" s="1">
        <f t="shared" si="56"/>
        <v>2.5355957976727765</v>
      </c>
      <c r="P227" s="1">
        <f t="shared" si="76"/>
        <v>2.534375587953011</v>
      </c>
      <c r="Q227" s="1">
        <f t="shared" si="57"/>
        <v>2.5050905546786382</v>
      </c>
      <c r="R227" s="1">
        <f t="shared" si="70"/>
        <v>85.636808951956411</v>
      </c>
      <c r="S227" s="1">
        <f t="shared" si="62"/>
        <v>1.2202097197655526E-3</v>
      </c>
      <c r="T227" s="1">
        <f t="shared" si="63"/>
        <v>3.0505242994138371E-2</v>
      </c>
      <c r="U227" s="1">
        <f t="shared" si="64"/>
        <v>1.5862726356951962E-2</v>
      </c>
      <c r="V227" s="1">
        <f t="shared" si="77"/>
        <v>0.1832571391284902</v>
      </c>
      <c r="W227" s="82">
        <f t="shared" si="58"/>
        <v>-0.10220815321282113</v>
      </c>
      <c r="X227" s="1">
        <f t="shared" si="75"/>
        <v>6.469347951675411E-2</v>
      </c>
      <c r="Y227" s="2">
        <v>252.14599999999999</v>
      </c>
      <c r="Z227" s="1">
        <f t="shared" si="59"/>
        <v>1.4680640629525644E-3</v>
      </c>
      <c r="AA227" s="1">
        <f t="shared" si="60"/>
        <v>3.670160157381358E-2</v>
      </c>
      <c r="AB227" s="1">
        <f t="shared" si="66"/>
        <v>1.9084832818383073E-2</v>
      </c>
      <c r="AC227" s="1">
        <f t="shared" si="78"/>
        <v>0.22131250508165656</v>
      </c>
      <c r="AE227" s="1"/>
      <c r="AF227" s="1"/>
    </row>
    <row r="228" spans="1:32">
      <c r="B228" s="63">
        <v>43358</v>
      </c>
      <c r="C228" s="20">
        <v>9</v>
      </c>
      <c r="D228" s="100">
        <f t="shared" si="61"/>
        <v>0.27299999999999969</v>
      </c>
      <c r="E228" s="4"/>
      <c r="F228" s="105">
        <v>2.069</v>
      </c>
      <c r="G228" s="108">
        <v>2.1360000000000001</v>
      </c>
      <c r="H228" s="101">
        <v>2.4969999999999999</v>
      </c>
      <c r="I228" s="107">
        <f>(H228-(G228-0.1*H228)/0.9-GasolineMGSData!AG230)*(Y$283/Y228)</f>
        <v>-0.27289136739324105</v>
      </c>
      <c r="J228" s="107">
        <f t="shared" si="55"/>
        <v>-0.22806374211936095</v>
      </c>
      <c r="K228" s="65">
        <v>2.2240000000000002</v>
      </c>
      <c r="L228" s="65">
        <v>2.093</v>
      </c>
      <c r="M228" s="65">
        <v>2.0449999999999999</v>
      </c>
      <c r="N228">
        <v>78.89</v>
      </c>
      <c r="O228" s="1">
        <f t="shared" si="56"/>
        <v>2.7105966352267283</v>
      </c>
      <c r="P228" s="1">
        <f t="shared" si="76"/>
        <v>2.5509346931337866</v>
      </c>
      <c r="Q228" s="1">
        <f t="shared" si="57"/>
        <v>2.4924326074814114</v>
      </c>
      <c r="R228" s="1">
        <f t="shared" si="70"/>
        <v>93.038004389179164</v>
      </c>
      <c r="S228" s="1">
        <f t="shared" si="62"/>
        <v>0.15966194209294171</v>
      </c>
      <c r="T228" s="1">
        <f t="shared" si="63"/>
        <v>0.21816402774531696</v>
      </c>
      <c r="U228" s="1">
        <f t="shared" si="64"/>
        <v>0.18891298491912933</v>
      </c>
      <c r="V228" s="1">
        <f t="shared" si="77"/>
        <v>0.1832571391284902</v>
      </c>
      <c r="W228" s="82">
        <f t="shared" si="58"/>
        <v>7.097914743759913E-2</v>
      </c>
      <c r="X228" s="1">
        <f t="shared" si="75"/>
        <v>6.469347951675411E-2</v>
      </c>
      <c r="Y228" s="2">
        <v>252.43899999999999</v>
      </c>
      <c r="Z228" s="1">
        <f t="shared" si="59"/>
        <v>0.19187021711835758</v>
      </c>
      <c r="AA228" s="1">
        <f t="shared" si="60"/>
        <v>0.2621738081235569</v>
      </c>
      <c r="AB228" s="1">
        <f t="shared" si="66"/>
        <v>0.22702201262095723</v>
      </c>
      <c r="AC228" s="1">
        <f t="shared" si="78"/>
        <v>0.22131250508165656</v>
      </c>
      <c r="AE228" s="1"/>
      <c r="AF228" s="1"/>
    </row>
    <row r="229" spans="1:32">
      <c r="B229" s="63">
        <v>43388</v>
      </c>
      <c r="C229" s="20">
        <v>10</v>
      </c>
      <c r="D229" s="100">
        <f t="shared" si="61"/>
        <v>0.32399999999999984</v>
      </c>
      <c r="E229" s="4"/>
      <c r="F229" s="105">
        <v>2.0049999999999999</v>
      </c>
      <c r="G229" s="108">
        <v>2.09</v>
      </c>
      <c r="H229" s="101">
        <v>2.5779999999999998</v>
      </c>
      <c r="I229" s="107">
        <f>(H229-(G229-0.1*H229)/0.9-GasolineMGSData!AG231)*(Y$283/Y229)</f>
        <v>-0.1103064065188151</v>
      </c>
      <c r="J229" s="107">
        <f t="shared" si="55"/>
        <v>-0.22806374211936095</v>
      </c>
      <c r="K229" s="65">
        <v>2.254</v>
      </c>
      <c r="L229" s="65">
        <v>2.028</v>
      </c>
      <c r="M229" s="65">
        <v>1.9690000000000001</v>
      </c>
      <c r="N229">
        <v>81.03</v>
      </c>
      <c r="O229" s="1">
        <f t="shared" si="56"/>
        <v>2.7423154160982266</v>
      </c>
      <c r="P229" s="1">
        <f t="shared" si="76"/>
        <v>2.4673538881309685</v>
      </c>
      <c r="Q229" s="1">
        <f t="shared" si="57"/>
        <v>2.3955718963165076</v>
      </c>
      <c r="R229" s="1">
        <f t="shared" si="70"/>
        <v>95.393251201138867</v>
      </c>
      <c r="S229" s="1">
        <f t="shared" si="62"/>
        <v>0.27496152796725815</v>
      </c>
      <c r="T229" s="1">
        <f t="shared" si="63"/>
        <v>0.34674351978171902</v>
      </c>
      <c r="U229" s="1">
        <f t="shared" si="64"/>
        <v>0.31085252387448858</v>
      </c>
      <c r="V229" s="1">
        <f t="shared" si="77"/>
        <v>0.1832571391284902</v>
      </c>
      <c r="W229" s="82">
        <f t="shared" si="58"/>
        <v>0.19312668011151329</v>
      </c>
      <c r="X229" s="1">
        <f t="shared" si="75"/>
        <v>6.469347951675411E-2</v>
      </c>
      <c r="Y229" s="2">
        <v>252.88499999999999</v>
      </c>
      <c r="Z229" s="1">
        <f t="shared" si="59"/>
        <v>0.32984619099089046</v>
      </c>
      <c r="AA229" s="1">
        <f t="shared" si="60"/>
        <v>0.41595647978939687</v>
      </c>
      <c r="AB229" s="1">
        <f t="shared" si="66"/>
        <v>0.3729013353901437</v>
      </c>
      <c r="AC229" s="1">
        <f t="shared" si="78"/>
        <v>0.22131250508165656</v>
      </c>
      <c r="AE229" s="1"/>
      <c r="AF229" s="1"/>
    </row>
    <row r="230" spans="1:32">
      <c r="B230" s="63">
        <f>B229+30.48</f>
        <v>43418.48</v>
      </c>
      <c r="C230" s="20">
        <v>11</v>
      </c>
      <c r="D230" s="100">
        <f t="shared" si="61"/>
        <v>0.47399999999999998</v>
      </c>
      <c r="E230" s="4"/>
      <c r="F230" s="105">
        <v>1.643</v>
      </c>
      <c r="G230" s="108">
        <v>1.732</v>
      </c>
      <c r="H230" s="101">
        <v>2.2130000000000001</v>
      </c>
      <c r="I230" s="107">
        <f>(H230-(G230-0.1*H230)/0.9-GasolineMGSData!AG232)*(Y$283/Y230)</f>
        <v>-0.12212806263475255</v>
      </c>
      <c r="J230" s="107">
        <f t="shared" si="55"/>
        <v>-0.22806374211936095</v>
      </c>
      <c r="K230" s="65">
        <v>1.7390000000000001</v>
      </c>
      <c r="L230" s="65">
        <v>1.625</v>
      </c>
      <c r="M230" s="65">
        <v>1.546</v>
      </c>
      <c r="N230">
        <v>64.75</v>
      </c>
      <c r="O230" s="1">
        <f t="shared" si="56"/>
        <v>2.12285397043303</v>
      </c>
      <c r="P230" s="1">
        <f t="shared" si="76"/>
        <v>1.9836904554075179</v>
      </c>
      <c r="Q230" s="1">
        <f t="shared" si="57"/>
        <v>1.887252580960014</v>
      </c>
      <c r="R230" s="1">
        <f t="shared" si="70"/>
        <v>76.48365425054952</v>
      </c>
      <c r="S230" s="1">
        <f t="shared" si="62"/>
        <v>0.13916351502551216</v>
      </c>
      <c r="T230" s="1">
        <f t="shared" si="63"/>
        <v>0.23560138947301601</v>
      </c>
      <c r="U230" s="1">
        <f t="shared" si="64"/>
        <v>0.18738245224926409</v>
      </c>
      <c r="V230" s="1">
        <f t="shared" si="77"/>
        <v>0.1832571391284902</v>
      </c>
      <c r="W230" s="82">
        <f t="shared" si="58"/>
        <v>6.9260978503241644E-2</v>
      </c>
      <c r="X230" s="1">
        <f t="shared" si="75"/>
        <v>6.469347951675411E-2</v>
      </c>
      <c r="Y230" s="2">
        <v>252.03800000000001</v>
      </c>
      <c r="Z230" s="1">
        <f t="shared" si="59"/>
        <v>0.16750276310986614</v>
      </c>
      <c r="AA230" s="1">
        <f t="shared" si="60"/>
        <v>0.28357923930003631</v>
      </c>
      <c r="AB230" s="1">
        <f t="shared" si="66"/>
        <v>0.22554100120495124</v>
      </c>
      <c r="AC230" s="1">
        <f t="shared" si="78"/>
        <v>0.22131250508165656</v>
      </c>
      <c r="AE230" s="1"/>
      <c r="AF230" s="1"/>
    </row>
    <row r="231" spans="1:32">
      <c r="A231" s="64"/>
      <c r="B231" s="63">
        <f t="shared" ref="B231:B291" si="79">B230+30.48</f>
        <v>43448.960000000006</v>
      </c>
      <c r="C231" s="20">
        <v>12</v>
      </c>
      <c r="D231" s="100">
        <f t="shared" si="61"/>
        <v>0.45000000000000018</v>
      </c>
      <c r="E231" s="4"/>
      <c r="F231" s="105">
        <v>1.425</v>
      </c>
      <c r="G231" s="108">
        <v>1.514</v>
      </c>
      <c r="H231" s="101">
        <v>2.0470000000000002</v>
      </c>
      <c r="I231" s="107">
        <f>(H231-(G231-0.1*H231)/0.9-GasolineMGSData!AG233)*(Y$283/Y231)</f>
        <v>-5.2580963894446872E-2</v>
      </c>
      <c r="J231" s="107">
        <f t="shared" si="55"/>
        <v>-0.22806374211936095</v>
      </c>
      <c r="K231" s="65">
        <v>1.597</v>
      </c>
      <c r="L231" s="65">
        <v>1.4490000000000001</v>
      </c>
      <c r="M231" s="65">
        <v>1.357</v>
      </c>
      <c r="N231">
        <v>57.36</v>
      </c>
      <c r="O231" s="1">
        <f t="shared" si="56"/>
        <v>1.9557565566625403</v>
      </c>
      <c r="P231" s="1">
        <f t="shared" si="76"/>
        <v>1.7745092364458492</v>
      </c>
      <c r="Q231" s="1">
        <f t="shared" si="57"/>
        <v>1.6618419833381761</v>
      </c>
      <c r="R231" s="1">
        <f t="shared" si="70"/>
        <v>67.971576027034658</v>
      </c>
      <c r="S231" s="1">
        <f t="shared" si="62"/>
        <v>0.1812473202166911</v>
      </c>
      <c r="T231" s="1">
        <f t="shared" si="63"/>
        <v>0.29391457332436421</v>
      </c>
      <c r="U231" s="1">
        <f t="shared" si="64"/>
        <v>0.23758094677052766</v>
      </c>
      <c r="V231" s="1">
        <f t="shared" si="77"/>
        <v>0.1832571391284902</v>
      </c>
      <c r="W231" s="82">
        <f t="shared" si="58"/>
        <v>0.11908098856440026</v>
      </c>
      <c r="X231" s="1">
        <f t="shared" si="75"/>
        <v>6.469347951675411E-2</v>
      </c>
      <c r="Y231" s="2">
        <v>251.233</v>
      </c>
      <c r="Z231" s="1">
        <f t="shared" si="59"/>
        <v>0.21885552774872755</v>
      </c>
      <c r="AA231" s="1">
        <f t="shared" si="60"/>
        <v>0.35490085580874769</v>
      </c>
      <c r="AB231" s="1">
        <f t="shared" si="66"/>
        <v>0.28687819177873763</v>
      </c>
      <c r="AC231" s="1">
        <f t="shared" si="78"/>
        <v>0.22131250508165656</v>
      </c>
      <c r="AE231" s="1"/>
      <c r="AF231" s="1"/>
    </row>
    <row r="232" spans="1:32">
      <c r="A232" s="64" t="s">
        <v>39</v>
      </c>
      <c r="B232" s="63">
        <f t="shared" si="79"/>
        <v>43479.44000000001</v>
      </c>
      <c r="C232" s="20">
        <v>1</v>
      </c>
      <c r="D232" s="100">
        <f t="shared" si="61"/>
        <v>0.38700000000000001</v>
      </c>
      <c r="E232" s="4"/>
      <c r="F232" s="105">
        <v>1.405</v>
      </c>
      <c r="G232" s="108">
        <v>1.4830000000000001</v>
      </c>
      <c r="H232" s="101">
        <v>1.994</v>
      </c>
      <c r="I232" s="107">
        <f>(H232-(G232-0.1*H232)/0.9-GasolineMGSData!AG234)*(Y$283/Y232)</f>
        <v>-8.5204502372513924E-2</v>
      </c>
      <c r="J232" s="107">
        <f>AVERAGE(I232:I243)</f>
        <v>-6.9635168076438089E-2</v>
      </c>
      <c r="K232" s="65">
        <v>1.607</v>
      </c>
      <c r="L232" s="65">
        <v>1.425</v>
      </c>
      <c r="M232" s="65">
        <v>1.353</v>
      </c>
      <c r="N232">
        <v>59.41</v>
      </c>
      <c r="O232" s="1">
        <f t="shared" si="56"/>
        <v>1.9642579495614036</v>
      </c>
      <c r="P232" s="1">
        <f t="shared" si="76"/>
        <v>1.7417968750000001</v>
      </c>
      <c r="Q232" s="1">
        <f t="shared" si="57"/>
        <v>1.6537902960526316</v>
      </c>
      <c r="R232" s="1">
        <f t="shared" si="70"/>
        <v>70.266854619565223</v>
      </c>
      <c r="S232" s="1">
        <f t="shared" si="62"/>
        <v>0.22246107456140352</v>
      </c>
      <c r="T232" s="1">
        <f t="shared" si="63"/>
        <v>0.31046765350877203</v>
      </c>
      <c r="U232" s="1">
        <f t="shared" si="64"/>
        <v>0.26646436403508778</v>
      </c>
      <c r="V232" s="1">
        <f>AVERAGE(S232:T243)</f>
        <v>0.29407629942014529</v>
      </c>
      <c r="W232" s="82">
        <f t="shared" si="58"/>
        <v>0.14818990751334862</v>
      </c>
      <c r="X232" s="1">
        <f>AVERAGE(W232:W243)</f>
        <v>0.17762167648588703</v>
      </c>
      <c r="Y232" s="34">
        <v>251.71199999999999</v>
      </c>
      <c r="Z232" s="1">
        <f t="shared" si="59"/>
        <v>0.26810981980267551</v>
      </c>
      <c r="AA232" s="1">
        <f t="shared" si="60"/>
        <v>0.37417524302131649</v>
      </c>
      <c r="AB232" s="1">
        <f t="shared" si="66"/>
        <v>0.321142531411996</v>
      </c>
      <c r="AC232" s="1">
        <f>AVERAGE(Z232:AA243)</f>
        <v>0.34900695306130447</v>
      </c>
      <c r="AE232" s="1"/>
      <c r="AF232" s="1"/>
    </row>
    <row r="233" spans="1:32">
      <c r="B233" s="63">
        <f t="shared" si="79"/>
        <v>43509.920000000013</v>
      </c>
      <c r="C233" s="20">
        <v>2</v>
      </c>
      <c r="D233" s="100">
        <f t="shared" si="61"/>
        <v>0.31200000000000006</v>
      </c>
      <c r="E233" s="4"/>
      <c r="F233" s="105">
        <v>1.5549999999999999</v>
      </c>
      <c r="G233" s="108">
        <v>1.6240000000000001</v>
      </c>
      <c r="H233" s="101">
        <v>2.129</v>
      </c>
      <c r="I233" s="107">
        <f>(H233-(G233-0.1*H233)/0.9-GasolineMGSData!AG235)*(Y$283/Y233)</f>
        <v>-9.3973813934859332E-2</v>
      </c>
      <c r="J233" s="107">
        <f t="shared" ref="J233:J279" si="80">J232</f>
        <v>-6.9635168076438089E-2</v>
      </c>
      <c r="K233" s="65">
        <v>1.8169999999999999</v>
      </c>
      <c r="L233" s="65">
        <v>1.5680000000000001</v>
      </c>
      <c r="M233" s="65">
        <v>1.47</v>
      </c>
      <c r="N233">
        <v>63.96</v>
      </c>
      <c r="O233" s="1">
        <f t="shared" si="56"/>
        <v>2.2115952740766529</v>
      </c>
      <c r="P233" s="1">
        <f t="shared" si="76"/>
        <v>1.9085203025603699</v>
      </c>
      <c r="Q233" s="1">
        <f t="shared" si="57"/>
        <v>1.7892377836503466</v>
      </c>
      <c r="R233" s="1">
        <f t="shared" si="70"/>
        <v>75.329918821407105</v>
      </c>
      <c r="S233" s="1">
        <f t="shared" si="62"/>
        <v>0.30307497151628304</v>
      </c>
      <c r="T233" s="1">
        <f t="shared" si="63"/>
        <v>0.42235749042630633</v>
      </c>
      <c r="U233" s="1">
        <f t="shared" si="64"/>
        <v>0.36271623097129468</v>
      </c>
      <c r="V233" s="1">
        <f t="shared" si="77"/>
        <v>0.29407629942014529</v>
      </c>
      <c r="W233" s="82">
        <f t="shared" si="58"/>
        <v>0.24493962243250933</v>
      </c>
      <c r="X233" s="1">
        <f t="shared" si="75"/>
        <v>0.17762167648588703</v>
      </c>
      <c r="Y233" s="34">
        <v>252.77600000000001</v>
      </c>
      <c r="Z233" s="1">
        <f t="shared" si="59"/>
        <v>0.36372809358520652</v>
      </c>
      <c r="AA233" s="1">
        <f t="shared" si="60"/>
        <v>0.50688212238581021</v>
      </c>
      <c r="AB233" s="1">
        <f t="shared" si="66"/>
        <v>0.43530510798550837</v>
      </c>
      <c r="AC233" s="1">
        <f t="shared" si="78"/>
        <v>0.34900695306130447</v>
      </c>
      <c r="AE233" s="1"/>
      <c r="AF233" s="1"/>
    </row>
    <row r="234" spans="1:32">
      <c r="B234" s="63">
        <f t="shared" si="79"/>
        <v>43540.400000000016</v>
      </c>
      <c r="C234" s="20">
        <v>3</v>
      </c>
      <c r="D234" s="100">
        <f t="shared" si="61"/>
        <v>0.32799999999999985</v>
      </c>
      <c r="E234" s="4"/>
      <c r="F234" s="105">
        <v>1.82</v>
      </c>
      <c r="G234" s="108">
        <v>1.881</v>
      </c>
      <c r="H234" s="101">
        <v>2.3319999999999999</v>
      </c>
      <c r="I234" s="107">
        <f>(H234-(G234-0.1*H234)/0.9-GasolineMGSData!AG236)*(Y$283/Y234)</f>
        <v>-0.16964146412821854</v>
      </c>
      <c r="J234" s="107">
        <f t="shared" si="80"/>
        <v>-6.9635168076438089E-2</v>
      </c>
      <c r="K234" s="65">
        <v>2.004</v>
      </c>
      <c r="L234" s="65">
        <v>1.8120000000000001</v>
      </c>
      <c r="M234" s="65">
        <v>1.8169999999999999</v>
      </c>
      <c r="N234">
        <v>66.14</v>
      </c>
      <c r="O234" s="1">
        <f t="shared" si="56"/>
        <v>2.4255225529303464</v>
      </c>
      <c r="P234" s="1">
        <f t="shared" si="76"/>
        <v>2.1931371586376187</v>
      </c>
      <c r="Q234" s="1">
        <f t="shared" si="57"/>
        <v>2.1991888616139916</v>
      </c>
      <c r="R234" s="1">
        <f t="shared" si="70"/>
        <v>77.460466636769183</v>
      </c>
      <c r="S234" s="1">
        <f t="shared" si="62"/>
        <v>0.23238539429272764</v>
      </c>
      <c r="T234" s="1">
        <f t="shared" si="63"/>
        <v>0.22633369131635472</v>
      </c>
      <c r="U234" s="1">
        <f t="shared" si="64"/>
        <v>0.22935954280454118</v>
      </c>
      <c r="V234" s="1">
        <f t="shared" si="77"/>
        <v>0.29407629942014529</v>
      </c>
      <c r="W234" s="82">
        <f t="shared" si="58"/>
        <v>0.11224362711544351</v>
      </c>
      <c r="X234" s="1">
        <f t="shared" si="75"/>
        <v>0.17762167648588703</v>
      </c>
      <c r="Y234" s="34">
        <v>254.202</v>
      </c>
      <c r="Z234" s="1">
        <f t="shared" si="59"/>
        <v>0.27732720580020903</v>
      </c>
      <c r="AA234" s="1">
        <f t="shared" si="60"/>
        <v>0.27010514314916217</v>
      </c>
      <c r="AB234" s="1">
        <f t="shared" si="66"/>
        <v>0.2737161744746856</v>
      </c>
      <c r="AC234" s="1">
        <f t="shared" si="78"/>
        <v>0.34900695306130447</v>
      </c>
      <c r="AE234" s="1"/>
      <c r="AF234" s="1"/>
    </row>
    <row r="235" spans="1:32">
      <c r="B235" s="63">
        <f t="shared" si="79"/>
        <v>43570.880000000019</v>
      </c>
      <c r="C235" s="20">
        <v>4</v>
      </c>
      <c r="D235" s="100">
        <f t="shared" si="61"/>
        <v>0.31199999999999983</v>
      </c>
      <c r="E235" s="4"/>
      <c r="F235" s="105">
        <v>2.052</v>
      </c>
      <c r="G235" s="108">
        <v>2.1379999999999999</v>
      </c>
      <c r="H235" s="101">
        <v>2.8239999999999998</v>
      </c>
      <c r="I235" s="107">
        <f>(H235-(G235-0.1*H235)/0.9-GasolineMGSData!AG237)*(Y$283/Y235)</f>
        <v>0.13017197265059191</v>
      </c>
      <c r="J235" s="107">
        <f t="shared" si="80"/>
        <v>-6.9635168076438089E-2</v>
      </c>
      <c r="K235" s="65">
        <v>2.512</v>
      </c>
      <c r="L235" s="65">
        <v>2.0419999999999998</v>
      </c>
      <c r="M235" s="65">
        <v>2.0059999999999998</v>
      </c>
      <c r="N235">
        <v>71.23</v>
      </c>
      <c r="O235" s="1">
        <f t="shared" si="56"/>
        <v>3.0243615759074616</v>
      </c>
      <c r="P235" s="1">
        <f t="shared" si="76"/>
        <v>2.458497746020317</v>
      </c>
      <c r="Q235" s="1">
        <f t="shared" si="57"/>
        <v>2.4151549845821525</v>
      </c>
      <c r="R235" s="1">
        <f t="shared" si="70"/>
        <v>82.982275462926737</v>
      </c>
      <c r="S235" s="1">
        <f t="shared" si="62"/>
        <v>0.56586382988714456</v>
      </c>
      <c r="T235" s="1">
        <f t="shared" si="63"/>
        <v>0.60920659132530908</v>
      </c>
      <c r="U235" s="1">
        <f t="shared" si="64"/>
        <v>0.58753521060622682</v>
      </c>
      <c r="V235" s="1">
        <f t="shared" si="77"/>
        <v>0.29407629942014529</v>
      </c>
      <c r="W235" s="82">
        <f t="shared" si="58"/>
        <v>0.47103615759074635</v>
      </c>
      <c r="X235" s="1">
        <f t="shared" si="75"/>
        <v>0.17762167648588703</v>
      </c>
      <c r="Y235" s="2">
        <v>255.548</v>
      </c>
      <c r="Z235" s="1">
        <f t="shared" si="59"/>
        <v>0.67174131288859174</v>
      </c>
      <c r="AA235" s="1">
        <f t="shared" si="60"/>
        <v>0.72319383898218625</v>
      </c>
      <c r="AB235" s="1">
        <f t="shared" si="66"/>
        <v>0.69746757593538899</v>
      </c>
      <c r="AC235" s="1">
        <f t="shared" si="78"/>
        <v>0.34900695306130447</v>
      </c>
      <c r="AE235" s="1"/>
      <c r="AF235" s="1"/>
    </row>
    <row r="236" spans="1:32">
      <c r="B236" s="63">
        <f t="shared" si="79"/>
        <v>43601.360000000022</v>
      </c>
      <c r="C236" s="20">
        <v>5</v>
      </c>
      <c r="D236" s="100">
        <f t="shared" si="61"/>
        <v>0.49700000000000033</v>
      </c>
      <c r="E236" s="4"/>
      <c r="F236" s="105">
        <v>2.02</v>
      </c>
      <c r="G236" s="108">
        <v>2.11</v>
      </c>
      <c r="H236" s="101">
        <v>2.7360000000000002</v>
      </c>
      <c r="I236" s="107">
        <f>(H236-(G236-0.1*H236)/0.9-GasolineMGSData!AG238)*(Y$283/Y236)</f>
        <v>2.8376600613508957E-2</v>
      </c>
      <c r="J236" s="107">
        <f t="shared" si="80"/>
        <v>-6.9635168076438089E-2</v>
      </c>
      <c r="K236" s="65">
        <v>2.2389999999999999</v>
      </c>
      <c r="L236" s="65">
        <v>1.9159999999999999</v>
      </c>
      <c r="M236" s="65">
        <v>1.881</v>
      </c>
      <c r="N236">
        <v>71.319999999999993</v>
      </c>
      <c r="O236" s="1">
        <f t="shared" si="56"/>
        <v>2.6899527084016683</v>
      </c>
      <c r="P236" s="1">
        <f t="shared" si="76"/>
        <v>2.3018978960686005</v>
      </c>
      <c r="Q236" s="1">
        <f t="shared" si="57"/>
        <v>2.2598486129984541</v>
      </c>
      <c r="R236" s="1">
        <f t="shared" si="70"/>
        <v>82.910627899348668</v>
      </c>
      <c r="S236" s="1">
        <f t="shared" si="62"/>
        <v>0.38805481233306782</v>
      </c>
      <c r="T236" s="1">
        <f t="shared" si="63"/>
        <v>0.43010409540321426</v>
      </c>
      <c r="U236" s="1">
        <f t="shared" si="64"/>
        <v>0.40907945386814104</v>
      </c>
      <c r="V236" s="1">
        <f t="shared" si="77"/>
        <v>0.29407629942014529</v>
      </c>
      <c r="W236" s="82">
        <f t="shared" si="58"/>
        <v>0.29282787240522923</v>
      </c>
      <c r="X236" s="1">
        <f t="shared" si="75"/>
        <v>0.17762167648588703</v>
      </c>
      <c r="Y236" s="2">
        <v>256.09199999999998</v>
      </c>
      <c r="Z236" s="1">
        <f t="shared" si="59"/>
        <v>0.45968430108631453</v>
      </c>
      <c r="AA236" s="1">
        <f t="shared" si="60"/>
        <v>0.50949529346408828</v>
      </c>
      <c r="AB236" s="1">
        <f t="shared" si="66"/>
        <v>0.48458979727520141</v>
      </c>
      <c r="AC236" s="1">
        <f t="shared" si="78"/>
        <v>0.34900695306130447</v>
      </c>
      <c r="AE236" s="1"/>
      <c r="AF236" s="1"/>
    </row>
    <row r="237" spans="1:32">
      <c r="A237">
        <v>2019</v>
      </c>
      <c r="B237" s="63">
        <f t="shared" si="79"/>
        <v>43631.840000000026</v>
      </c>
      <c r="C237" s="20">
        <v>6</v>
      </c>
      <c r="D237" s="100">
        <f t="shared" si="61"/>
        <v>0.56499999999999995</v>
      </c>
      <c r="E237" s="4"/>
      <c r="F237" s="105">
        <v>1.8220000000000001</v>
      </c>
      <c r="G237" s="108">
        <v>1.909</v>
      </c>
      <c r="H237" s="101">
        <v>2.4159999999999999</v>
      </c>
      <c r="I237" s="107">
        <f>(H237-(G237-0.1*H237)/0.9-GasolineMGSData!AG239)*(Y$283/Y237)</f>
        <v>-0.11869940124735032</v>
      </c>
      <c r="J237" s="107">
        <f t="shared" si="80"/>
        <v>-6.9635168076438089E-2</v>
      </c>
      <c r="K237" s="65">
        <v>1.851</v>
      </c>
      <c r="L237" s="65">
        <v>1.74</v>
      </c>
      <c r="M237" s="65">
        <v>1.722</v>
      </c>
      <c r="N237">
        <v>64.22</v>
      </c>
      <c r="O237" s="1">
        <f t="shared" ref="O237:O288" si="81">K237*($Y$289/$Y237)</f>
        <v>2.2233635937737906</v>
      </c>
      <c r="P237" s="1">
        <f t="shared" si="76"/>
        <v>2.0900338482800627</v>
      </c>
      <c r="Q237" s="1">
        <f t="shared" ref="Q237:Q288" si="82">M237*($Y$289/$Y237)</f>
        <v>2.0684128084702689</v>
      </c>
      <c r="R237" s="1">
        <f t="shared" si="70"/>
        <v>74.641900891299002</v>
      </c>
      <c r="S237" s="1">
        <f t="shared" si="62"/>
        <v>0.13332974549372789</v>
      </c>
      <c r="T237" s="1">
        <f t="shared" si="63"/>
        <v>0.15495078530352169</v>
      </c>
      <c r="U237" s="1">
        <f t="shared" si="64"/>
        <v>0.14414026539862479</v>
      </c>
      <c r="V237" s="1">
        <f t="shared" si="77"/>
        <v>0.29407629942014529</v>
      </c>
      <c r="W237" s="82">
        <f t="shared" ref="W237:W277" si="83">U237-0.1*$Y$278/Y237</f>
        <v>2.7911830500930893E-2</v>
      </c>
      <c r="X237" s="1">
        <f t="shared" si="75"/>
        <v>0.17762167648588703</v>
      </c>
      <c r="Y237" s="2">
        <v>256.14299999999997</v>
      </c>
      <c r="Z237" s="1">
        <f t="shared" ref="Z237:Z282" si="84">S237*(Y$283/Y237)</f>
        <v>0.15790910382955528</v>
      </c>
      <c r="AA237" s="1">
        <f t="shared" ref="AA237:AA282" si="85">T237*(Y$283/Y237)</f>
        <v>0.18351598553164544</v>
      </c>
      <c r="AB237" s="1">
        <f t="shared" si="66"/>
        <v>0.17071254468060038</v>
      </c>
      <c r="AC237" s="1">
        <f t="shared" si="78"/>
        <v>0.34900695306130447</v>
      </c>
      <c r="AE237" s="1"/>
      <c r="AF237" s="1"/>
    </row>
    <row r="238" spans="1:32">
      <c r="B238" s="63">
        <f t="shared" si="79"/>
        <v>43662.320000000029</v>
      </c>
      <c r="C238" s="20">
        <v>7</v>
      </c>
      <c r="D238" s="100">
        <f t="shared" ref="D238:D270" si="86">H238-K238</f>
        <v>0.47399999999999975</v>
      </c>
      <c r="E238" s="4"/>
      <c r="F238" s="105">
        <v>1.9059999999999999</v>
      </c>
      <c r="G238" s="108">
        <v>1.984</v>
      </c>
      <c r="H238" s="101">
        <v>2.3929999999999998</v>
      </c>
      <c r="I238" s="107">
        <f>(H238-(G238-0.1*H238)/0.9-GasolineMGSData!AG240)*(Y$283/Y238)</f>
        <v>-0.32168562168635662</v>
      </c>
      <c r="J238" s="107">
        <f t="shared" si="80"/>
        <v>-6.9635168076438089E-2</v>
      </c>
      <c r="K238" s="65">
        <v>1.919</v>
      </c>
      <c r="L238" s="65">
        <v>1.89</v>
      </c>
      <c r="M238" s="65">
        <v>1.8540000000000001</v>
      </c>
      <c r="N238">
        <v>63.92</v>
      </c>
      <c r="O238" s="1">
        <f t="shared" si="81"/>
        <v>2.301197910130139</v>
      </c>
      <c r="P238" s="1">
        <f t="shared" si="76"/>
        <v>2.2664221209723618</v>
      </c>
      <c r="Q238" s="1">
        <f t="shared" si="82"/>
        <v>2.223252175810984</v>
      </c>
      <c r="R238" s="1">
        <f t="shared" si="70"/>
        <v>74.169283044459434</v>
      </c>
      <c r="S238" s="1">
        <f t="shared" ref="S238:S279" si="87">O238-P238</f>
        <v>3.4775789157777126E-2</v>
      </c>
      <c r="T238" s="1">
        <f t="shared" ref="T238:T279" si="88">O238-Q238</f>
        <v>7.7945734319154969E-2</v>
      </c>
      <c r="U238" s="1">
        <f t="shared" ref="U238:U279" si="89">AVERAGE(S238:T238)</f>
        <v>5.6360761738466048E-2</v>
      </c>
      <c r="V238" s="1">
        <f t="shared" si="77"/>
        <v>0.29407629942014529</v>
      </c>
      <c r="W238" s="82">
        <f t="shared" si="83"/>
        <v>-5.9673786203429183E-2</v>
      </c>
      <c r="X238" s="1">
        <f t="shared" si="75"/>
        <v>0.17762167648588703</v>
      </c>
      <c r="Y238" s="2">
        <v>256.57100000000003</v>
      </c>
      <c r="Z238" s="1">
        <f t="shared" si="84"/>
        <v>4.1118005254961558E-2</v>
      </c>
      <c r="AA238" s="1">
        <f t="shared" si="85"/>
        <v>9.2161046261119955E-2</v>
      </c>
      <c r="AB238" s="1">
        <f t="shared" ref="AB238:AB243" si="90">AVERAGE(Z238:AA238)</f>
        <v>6.663952575804076E-2</v>
      </c>
      <c r="AC238" s="1">
        <f t="shared" si="78"/>
        <v>0.34900695306130447</v>
      </c>
      <c r="AE238" s="1"/>
      <c r="AF238" s="1"/>
    </row>
    <row r="239" spans="1:32">
      <c r="B239" s="63">
        <f t="shared" si="79"/>
        <v>43692.800000000032</v>
      </c>
      <c r="C239" s="20">
        <v>8</v>
      </c>
      <c r="D239" s="100">
        <f t="shared" si="86"/>
        <v>0.46800000000000019</v>
      </c>
      <c r="E239" s="4"/>
      <c r="F239" s="105">
        <v>1.736</v>
      </c>
      <c r="G239" s="108">
        <v>1.82</v>
      </c>
      <c r="H239" s="101">
        <v>2.2770000000000001</v>
      </c>
      <c r="I239" s="107">
        <f>(H239-(G239-0.1*H239)/0.9-GasolineMGSData!AG241)*(Y$283/Y239)</f>
        <v>-0.25362086752432256</v>
      </c>
      <c r="J239" s="107">
        <f t="shared" si="80"/>
        <v>-6.9635168076438089E-2</v>
      </c>
      <c r="K239" s="65">
        <v>1.8089999999999999</v>
      </c>
      <c r="L239" s="65">
        <v>1.694</v>
      </c>
      <c r="M239" s="65">
        <v>1.69</v>
      </c>
      <c r="N239">
        <v>59.04</v>
      </c>
      <c r="O239" s="1">
        <f t="shared" si="81"/>
        <v>2.1693996640135951</v>
      </c>
      <c r="P239" s="1">
        <f t="shared" si="76"/>
        <v>2.0314886848198066</v>
      </c>
      <c r="Q239" s="1">
        <f t="shared" si="82"/>
        <v>2.0266917811956748</v>
      </c>
      <c r="R239" s="1">
        <f t="shared" si="70"/>
        <v>68.510268399348305</v>
      </c>
      <c r="S239" s="1">
        <f t="shared" si="87"/>
        <v>0.13791097919378847</v>
      </c>
      <c r="T239" s="1">
        <f t="shared" si="88"/>
        <v>0.14270788281792024</v>
      </c>
      <c r="U239" s="1">
        <f t="shared" si="89"/>
        <v>0.14030943100585436</v>
      </c>
      <c r="V239" s="1">
        <f t="shared" si="77"/>
        <v>0.29407629942014529</v>
      </c>
      <c r="W239" s="82">
        <f t="shared" si="83"/>
        <v>2.4269003500183101E-2</v>
      </c>
      <c r="X239" s="1">
        <f t="shared" si="75"/>
        <v>0.17762167648588703</v>
      </c>
      <c r="Y239" s="2">
        <v>256.55799999999999</v>
      </c>
      <c r="Z239" s="1">
        <f t="shared" si="84"/>
        <v>0.16307068335879316</v>
      </c>
      <c r="AA239" s="1">
        <f t="shared" si="85"/>
        <v>0.16874270712779466</v>
      </c>
      <c r="AB239" s="1">
        <f t="shared" si="90"/>
        <v>0.16590669524329391</v>
      </c>
      <c r="AC239" s="1">
        <f t="shared" si="78"/>
        <v>0.34900695306130447</v>
      </c>
      <c r="AE239" s="1"/>
      <c r="AF239" s="1"/>
    </row>
    <row r="240" spans="1:32">
      <c r="B240" s="63">
        <f t="shared" si="79"/>
        <v>43723.280000000035</v>
      </c>
      <c r="C240" s="20">
        <v>9</v>
      </c>
      <c r="D240" s="100">
        <f t="shared" si="86"/>
        <v>0.45999999999999996</v>
      </c>
      <c r="E240" s="4"/>
      <c r="F240" s="105">
        <v>1.762</v>
      </c>
      <c r="G240" s="108">
        <v>1.8540000000000001</v>
      </c>
      <c r="H240" s="101">
        <v>2.5190000000000001</v>
      </c>
      <c r="I240" s="107">
        <f>(H240-(G240-0.1*H240)/0.9-GasolineMGSData!AG242)*(Y$283/Y240)</f>
        <v>1.4389499958388393E-2</v>
      </c>
      <c r="J240" s="107">
        <f t="shared" si="80"/>
        <v>-6.9635168076438089E-2</v>
      </c>
      <c r="K240" s="65">
        <v>2.0590000000000002</v>
      </c>
      <c r="L240" s="65">
        <v>1.726</v>
      </c>
      <c r="M240" s="65">
        <v>1.681</v>
      </c>
      <c r="N240">
        <v>62.83</v>
      </c>
      <c r="O240" s="1">
        <f t="shared" si="81"/>
        <v>2.4672731588766119</v>
      </c>
      <c r="P240" s="1">
        <f t="shared" si="76"/>
        <v>2.0682435513458146</v>
      </c>
      <c r="Q240" s="1">
        <f t="shared" si="82"/>
        <v>2.0143206314092206</v>
      </c>
      <c r="R240" s="1">
        <f t="shared" si="70"/>
        <v>72.851125491219392</v>
      </c>
      <c r="S240" s="1">
        <f t="shared" si="87"/>
        <v>0.3990296075307973</v>
      </c>
      <c r="T240" s="1">
        <f t="shared" si="88"/>
        <v>0.45295252746739134</v>
      </c>
      <c r="U240" s="1">
        <f t="shared" si="89"/>
        <v>0.42599106749909432</v>
      </c>
      <c r="V240" s="1">
        <f t="shared" si="77"/>
        <v>0.29407629942014529</v>
      </c>
      <c r="W240" s="82">
        <f t="shared" si="83"/>
        <v>0.31004148053232783</v>
      </c>
      <c r="X240" s="1">
        <f t="shared" si="75"/>
        <v>0.17762167648588703</v>
      </c>
      <c r="Y240" s="2">
        <v>256.75900000000001</v>
      </c>
      <c r="Z240" s="1">
        <f t="shared" si="84"/>
        <v>0.47145696481667737</v>
      </c>
      <c r="AA240" s="1">
        <f t="shared" si="85"/>
        <v>0.53516736546757948</v>
      </c>
      <c r="AB240" s="1">
        <f t="shared" si="90"/>
        <v>0.5033121651421284</v>
      </c>
      <c r="AC240" s="1">
        <f t="shared" si="78"/>
        <v>0.34900695306130447</v>
      </c>
      <c r="AE240" s="1"/>
      <c r="AF240" s="1"/>
    </row>
    <row r="241" spans="1:32">
      <c r="B241" s="63">
        <f t="shared" si="79"/>
        <v>43753.760000000038</v>
      </c>
      <c r="C241" s="20">
        <v>10</v>
      </c>
      <c r="D241" s="100">
        <f t="shared" si="86"/>
        <v>0.54499999999999993</v>
      </c>
      <c r="E241" s="4"/>
      <c r="F241" s="105">
        <v>1.7629999999999999</v>
      </c>
      <c r="G241" s="108">
        <v>1.871</v>
      </c>
      <c r="H241" s="101">
        <v>2.7639999999999998</v>
      </c>
      <c r="I241" s="107">
        <f>(H241-(G241-0.1*H241)/0.9-GasolineMGSData!AG243)*(Y$283/Y241)</f>
        <v>0.3056984157184735</v>
      </c>
      <c r="J241" s="107">
        <f t="shared" si="80"/>
        <v>-6.9635168076438089E-2</v>
      </c>
      <c r="K241" s="65">
        <v>2.2189999999999999</v>
      </c>
      <c r="L241" s="65">
        <v>1.728</v>
      </c>
      <c r="M241" s="65">
        <v>1.6459999999999999</v>
      </c>
      <c r="N241">
        <v>59.71</v>
      </c>
      <c r="O241" s="1">
        <f t="shared" si="81"/>
        <v>2.652933983819449</v>
      </c>
      <c r="P241" s="1">
        <f t="shared" si="76"/>
        <v>2.0659170455340279</v>
      </c>
      <c r="Q241" s="1">
        <f t="shared" si="82"/>
        <v>1.9678816301788251</v>
      </c>
      <c r="R241" s="1">
        <f t="shared" si="70"/>
        <v>69.075578443030011</v>
      </c>
      <c r="S241" s="1">
        <f t="shared" si="87"/>
        <v>0.58701693828542112</v>
      </c>
      <c r="T241" s="1">
        <f t="shared" si="88"/>
        <v>0.68505235364062389</v>
      </c>
      <c r="U241" s="1">
        <f t="shared" si="89"/>
        <v>0.6360346459630225</v>
      </c>
      <c r="V241" s="1">
        <f t="shared" si="77"/>
        <v>0.29407629942014529</v>
      </c>
      <c r="W241" s="82">
        <f t="shared" si="83"/>
        <v>0.52034953719894617</v>
      </c>
      <c r="X241" s="1">
        <f t="shared" si="75"/>
        <v>0.17762167648588703</v>
      </c>
      <c r="Y241" s="2">
        <f>257.346</f>
        <v>257.346</v>
      </c>
      <c r="Z241" s="1">
        <f t="shared" si="84"/>
        <v>0.69198363078921055</v>
      </c>
      <c r="AA241" s="1">
        <f t="shared" si="85"/>
        <v>0.80754912513689958</v>
      </c>
      <c r="AB241" s="1">
        <f t="shared" si="90"/>
        <v>0.74976637796305501</v>
      </c>
      <c r="AC241" s="1">
        <f t="shared" si="78"/>
        <v>0.34900695306130447</v>
      </c>
      <c r="AE241" s="1"/>
      <c r="AF241" s="1"/>
    </row>
    <row r="242" spans="1:32">
      <c r="B242" s="63">
        <f t="shared" si="79"/>
        <v>43784.240000000042</v>
      </c>
      <c r="C242" s="20">
        <v>11</v>
      </c>
      <c r="D242" s="100">
        <f t="shared" si="86"/>
        <v>0.55799999999999983</v>
      </c>
      <c r="E242" s="4"/>
      <c r="F242" s="105">
        <v>1.7250000000000001</v>
      </c>
      <c r="G242" s="108">
        <v>1.819</v>
      </c>
      <c r="H242" s="101">
        <v>2.4769999999999999</v>
      </c>
      <c r="I242" s="107">
        <f>(H242-(G242-0.1*H242)/0.9-GasolineMGSData!AG244)*(Y$283/Y242)</f>
        <v>4.082058562621854E-3</v>
      </c>
      <c r="J242" s="107">
        <f t="shared" si="80"/>
        <v>-6.9635168076438089E-2</v>
      </c>
      <c r="K242" s="65">
        <v>1.919</v>
      </c>
      <c r="L242" s="65">
        <v>1.724</v>
      </c>
      <c r="M242" s="65">
        <v>1.6359999999999999</v>
      </c>
      <c r="N242">
        <v>63.21</v>
      </c>
      <c r="O242" s="1">
        <f t="shared" si="81"/>
        <v>2.2954987753102545</v>
      </c>
      <c r="P242" s="1">
        <f t="shared" si="76"/>
        <v>2.0622406923579359</v>
      </c>
      <c r="Q242" s="1">
        <f t="shared" si="82"/>
        <v>1.9569755062050944</v>
      </c>
      <c r="R242" s="1">
        <f t="shared" si="70"/>
        <v>73.163790822991501</v>
      </c>
      <c r="S242" s="1">
        <f t="shared" si="87"/>
        <v>0.23325808295231854</v>
      </c>
      <c r="T242" s="1">
        <f t="shared" si="88"/>
        <v>0.33852326910516006</v>
      </c>
      <c r="U242" s="1">
        <f t="shared" si="89"/>
        <v>0.2858906760287393</v>
      </c>
      <c r="V242" s="1">
        <f t="shared" si="77"/>
        <v>0.29407629942014529</v>
      </c>
      <c r="W242" s="82">
        <f t="shared" si="83"/>
        <v>0.17014349864700934</v>
      </c>
      <c r="X242" s="1">
        <f t="shared" si="75"/>
        <v>0.17762167648588703</v>
      </c>
      <c r="Y242" s="2">
        <v>257.20800000000003</v>
      </c>
      <c r="Z242" s="1">
        <f t="shared" si="84"/>
        <v>0.27511536118108376</v>
      </c>
      <c r="AA242" s="1">
        <f t="shared" si="85"/>
        <v>0.39926998571408612</v>
      </c>
      <c r="AB242" s="1">
        <f t="shared" si="90"/>
        <v>0.33719267344758497</v>
      </c>
      <c r="AC242" s="1">
        <f t="shared" si="78"/>
        <v>0.34900695306130447</v>
      </c>
      <c r="AE242" s="1"/>
      <c r="AF242" s="1"/>
    </row>
    <row r="243" spans="1:32">
      <c r="B243" s="63">
        <f t="shared" si="79"/>
        <v>43814.720000000045</v>
      </c>
      <c r="C243" s="20">
        <v>12</v>
      </c>
      <c r="D243" s="100">
        <f t="shared" si="86"/>
        <v>0.53400000000000003</v>
      </c>
      <c r="E243" s="4"/>
      <c r="F243" s="105">
        <v>1.6819999999999999</v>
      </c>
      <c r="G243" s="108">
        <v>1.7569999999999999</v>
      </c>
      <c r="H243" s="101">
        <v>2.1930000000000001</v>
      </c>
      <c r="I243" s="107">
        <f>(H243-(G243-0.1*H243)/0.9-GasolineMGSData!AG245)*(Y$283/Y243)</f>
        <v>-0.27551489352722036</v>
      </c>
      <c r="J243" s="107">
        <f t="shared" si="80"/>
        <v>-6.9635168076438089E-2</v>
      </c>
      <c r="K243" s="65">
        <v>1.659</v>
      </c>
      <c r="L243" s="65">
        <v>1.7130000000000001</v>
      </c>
      <c r="M243" s="65">
        <v>1.63</v>
      </c>
      <c r="N243">
        <v>67.31</v>
      </c>
      <c r="O243" s="1">
        <f t="shared" si="81"/>
        <v>1.9862950687618204</v>
      </c>
      <c r="P243" s="1">
        <f t="shared" si="76"/>
        <v>2.05094843447197</v>
      </c>
      <c r="Q243" s="1">
        <f t="shared" si="82"/>
        <v>1.9515738168063694</v>
      </c>
      <c r="R243" s="1">
        <f t="shared" si="70"/>
        <v>77.98036925914684</v>
      </c>
      <c r="S243" s="1">
        <f t="shared" si="87"/>
        <v>-6.4653365710149568E-2</v>
      </c>
      <c r="T243" s="1">
        <f t="shared" si="88"/>
        <v>3.4721251955450949E-2</v>
      </c>
      <c r="U243" s="1">
        <f t="shared" si="89"/>
        <v>-1.496605687734931E-2</v>
      </c>
      <c r="V243" s="1">
        <f t="shared" si="77"/>
        <v>0.29407629942014529</v>
      </c>
      <c r="W243" s="82">
        <f t="shared" si="83"/>
        <v>-0.13081863340260091</v>
      </c>
      <c r="X243" s="1">
        <f t="shared" si="75"/>
        <v>0.17762167648588703</v>
      </c>
      <c r="Y243" s="2">
        <v>256.97399999999999</v>
      </c>
      <c r="Z243" s="1">
        <f t="shared" si="84"/>
        <v>-7.6324604753508538E-2</v>
      </c>
      <c r="AA243" s="1">
        <f t="shared" si="85"/>
        <v>4.0989139589847484E-2</v>
      </c>
      <c r="AB243" s="1">
        <f t="shared" si="90"/>
        <v>-1.7667732581830527E-2</v>
      </c>
      <c r="AC243" s="1">
        <f t="shared" si="78"/>
        <v>0.34900695306130447</v>
      </c>
      <c r="AE243" s="1"/>
      <c r="AF243" s="1"/>
    </row>
    <row r="244" spans="1:32">
      <c r="A244" s="64" t="s">
        <v>39</v>
      </c>
      <c r="B244" s="63">
        <f t="shared" si="79"/>
        <v>43845.200000000048</v>
      </c>
      <c r="C244" s="20">
        <v>1</v>
      </c>
      <c r="D244" s="100">
        <f t="shared" si="86"/>
        <v>0.42199999999999993</v>
      </c>
      <c r="E244" s="4"/>
      <c r="F244" s="105">
        <v>1.6619999999999999</v>
      </c>
      <c r="G244" s="108">
        <v>1.7430000000000001</v>
      </c>
      <c r="H244" s="101">
        <v>2.2709999999999999</v>
      </c>
      <c r="I244" s="107">
        <f>(H244-(G244-0.1*H244)/0.9-GasolineMGSData!AG246)*(Y$283/Y244)</f>
        <v>-0.18915756058007299</v>
      </c>
      <c r="J244" s="107">
        <f>AVERAGE(I244:I255)</f>
        <v>-0.23377081721028814</v>
      </c>
      <c r="K244" s="85">
        <v>1.849</v>
      </c>
      <c r="L244" s="85">
        <v>1.6579999999999999</v>
      </c>
      <c r="M244" s="85">
        <v>1.587</v>
      </c>
      <c r="N244">
        <v>63.65</v>
      </c>
      <c r="O244" s="1">
        <f t="shared" si="81"/>
        <v>2.2052233739451332</v>
      </c>
      <c r="P244" s="1">
        <f t="shared" si="76"/>
        <v>1.9774258269340352</v>
      </c>
      <c r="Q244" s="1">
        <f t="shared" si="82"/>
        <v>1.8927471576262449</v>
      </c>
      <c r="R244" s="1">
        <f t="shared" si="70"/>
        <v>73.455175775571675</v>
      </c>
      <c r="S244" s="1">
        <f t="shared" si="87"/>
        <v>0.227797547011098</v>
      </c>
      <c r="T244" s="1">
        <f t="shared" si="88"/>
        <v>0.31247621631888833</v>
      </c>
      <c r="U244" s="1">
        <f t="shared" si="89"/>
        <v>0.27013688166499317</v>
      </c>
      <c r="V244" s="1">
        <f>AVERAGE(S244:T255)</f>
        <v>0.16169524941210253</v>
      </c>
      <c r="W244" s="82">
        <f t="shared" si="83"/>
        <v>0.15473204933887896</v>
      </c>
      <c r="X244" s="1">
        <f>AVERAGE(W244:W255)</f>
        <v>4.6661511132291104E-2</v>
      </c>
      <c r="Y244" s="2">
        <v>257.971</v>
      </c>
      <c r="Z244" s="1">
        <f t="shared" si="84"/>
        <v>0.2678802937304105</v>
      </c>
      <c r="AA244" s="1">
        <f t="shared" si="85"/>
        <v>0.3674588322375264</v>
      </c>
      <c r="AB244" s="1">
        <f t="shared" ref="AB244:AB284" si="91">AVERAGE(Z244:AA244)</f>
        <v>0.31766956298396842</v>
      </c>
      <c r="AC244" s="1">
        <f>AVERAGE(Z244:AA255)</f>
        <v>0.18944088793561586</v>
      </c>
      <c r="AE244" s="1"/>
      <c r="AF244" s="1"/>
    </row>
    <row r="245" spans="1:32">
      <c r="B245" s="63">
        <f t="shared" si="79"/>
        <v>43875.680000000051</v>
      </c>
      <c r="C245" s="20">
        <v>2</v>
      </c>
      <c r="D245" s="100">
        <f t="shared" si="86"/>
        <v>0.3839999999999999</v>
      </c>
      <c r="E245" s="4"/>
      <c r="F245" s="105">
        <v>1.5840000000000001</v>
      </c>
      <c r="G245" s="108">
        <v>1.669</v>
      </c>
      <c r="H245" s="101">
        <v>2.2349999999999999</v>
      </c>
      <c r="I245" s="107">
        <f>(H245-(G245-0.1*H245)/0.9-GasolineMGSData!AG247)*(Y$283/Y245)</f>
        <v>-0.1452592763476252</v>
      </c>
      <c r="J245" s="107">
        <f t="shared" si="80"/>
        <v>-0.23377081721028814</v>
      </c>
      <c r="K245" s="85">
        <v>1.851</v>
      </c>
      <c r="L245" s="85">
        <v>1.58</v>
      </c>
      <c r="M245" s="85">
        <v>1.4530000000000001</v>
      </c>
      <c r="N245">
        <v>55.66</v>
      </c>
      <c r="O245" s="1">
        <f t="shared" si="81"/>
        <v>2.2015750121773014</v>
      </c>
      <c r="P245" s="1">
        <f t="shared" si="76"/>
        <v>1.8792482545867837</v>
      </c>
      <c r="Q245" s="1">
        <f t="shared" si="82"/>
        <v>1.72819475564215</v>
      </c>
      <c r="R245" s="1">
        <f t="shared" si="70"/>
        <v>64.058769048778785</v>
      </c>
      <c r="S245" s="1">
        <f t="shared" si="87"/>
        <v>0.32232675759051777</v>
      </c>
      <c r="T245" s="1">
        <f t="shared" si="88"/>
        <v>0.47338025653515148</v>
      </c>
      <c r="U245" s="1">
        <f t="shared" si="89"/>
        <v>0.39785350706283462</v>
      </c>
      <c r="V245" s="1">
        <f t="shared" si="77"/>
        <v>0.16169524941210253</v>
      </c>
      <c r="W245" s="82">
        <f t="shared" si="83"/>
        <v>0.28276409087746129</v>
      </c>
      <c r="X245" s="1">
        <f t="shared" ref="X245:X255" si="92">X244</f>
        <v>4.6661511132291104E-2</v>
      </c>
      <c r="Y245" s="2">
        <v>258.678</v>
      </c>
      <c r="Z245" s="1">
        <f t="shared" si="84"/>
        <v>0.37800668074955057</v>
      </c>
      <c r="AA245" s="1">
        <f t="shared" si="85"/>
        <v>0.55515372301963506</v>
      </c>
      <c r="AB245" s="1">
        <f t="shared" si="91"/>
        <v>0.46658020188459282</v>
      </c>
      <c r="AC245" s="1">
        <f t="shared" si="78"/>
        <v>0.18944088793561586</v>
      </c>
      <c r="AE245" s="1"/>
      <c r="AF245" s="1"/>
    </row>
    <row r="246" spans="1:32">
      <c r="B246" s="63">
        <f t="shared" si="79"/>
        <v>43906.160000000054</v>
      </c>
      <c r="C246" s="20">
        <v>3</v>
      </c>
      <c r="D246" s="100">
        <f t="shared" si="86"/>
        <v>0.78300000000000003</v>
      </c>
      <c r="E246" s="4"/>
      <c r="F246" s="105">
        <v>1.028</v>
      </c>
      <c r="G246" s="108">
        <v>1.127</v>
      </c>
      <c r="H246" s="101">
        <v>1.7130000000000001</v>
      </c>
      <c r="I246" s="107">
        <f>(H246-(G246-0.1*H246)/0.9-GasolineMGSData!AG248)*(Y$283/Y246)</f>
        <v>-9.9130987365159531E-2</v>
      </c>
      <c r="J246" s="107">
        <f t="shared" si="80"/>
        <v>-0.23377081721028814</v>
      </c>
      <c r="K246" s="85">
        <v>0.93</v>
      </c>
      <c r="L246" s="85">
        <v>0.89100000000000001</v>
      </c>
      <c r="M246" s="85">
        <v>0.83799999999999997</v>
      </c>
      <c r="N246">
        <v>32.01</v>
      </c>
      <c r="O246" s="1">
        <f t="shared" si="81"/>
        <v>1.108552505666079</v>
      </c>
      <c r="P246" s="1">
        <f t="shared" si="76"/>
        <v>1.0620648199445983</v>
      </c>
      <c r="Q246" s="1">
        <f t="shared" si="82"/>
        <v>0.99888924704104753</v>
      </c>
      <c r="R246" s="1">
        <f t="shared" si="70"/>
        <v>36.920477732793515</v>
      </c>
      <c r="S246" s="1">
        <f t="shared" si="87"/>
        <v>4.6487685721480654E-2</v>
      </c>
      <c r="T246" s="1">
        <f t="shared" si="88"/>
        <v>0.10966325862503146</v>
      </c>
      <c r="U246" s="1">
        <f t="shared" si="89"/>
        <v>7.8075472173256055E-2</v>
      </c>
      <c r="V246" s="1">
        <f t="shared" si="77"/>
        <v>0.16169524941210253</v>
      </c>
      <c r="W246" s="82">
        <f t="shared" si="83"/>
        <v>-3.7264976851403508E-2</v>
      </c>
      <c r="X246" s="1">
        <f t="shared" si="92"/>
        <v>4.6661511132291104E-2</v>
      </c>
      <c r="Y246" s="2">
        <v>258.11500000000001</v>
      </c>
      <c r="Z246" s="1">
        <f t="shared" si="84"/>
        <v>5.4637056364510134E-2</v>
      </c>
      <c r="AA246" s="1">
        <f t="shared" si="85"/>
        <v>0.12888741501371642</v>
      </c>
      <c r="AB246" s="1">
        <f t="shared" si="91"/>
        <v>9.1762235689113278E-2</v>
      </c>
      <c r="AC246" s="1">
        <f t="shared" si="78"/>
        <v>0.18944088793561586</v>
      </c>
      <c r="AE246" s="1"/>
      <c r="AF246" s="1"/>
    </row>
    <row r="247" spans="1:32">
      <c r="B247" s="63">
        <f t="shared" si="79"/>
        <v>43936.640000000058</v>
      </c>
      <c r="C247" s="20">
        <v>4</v>
      </c>
      <c r="D247" s="100">
        <f t="shared" si="86"/>
        <v>0.6110000000000001</v>
      </c>
      <c r="E247" s="4"/>
      <c r="F247" s="105">
        <v>0.56299999999999994</v>
      </c>
      <c r="G247" s="108">
        <v>0.64500000000000002</v>
      </c>
      <c r="H247" s="101">
        <v>1.08</v>
      </c>
      <c r="I247" s="107">
        <f>(H247-(G247-0.1*H247)/0.9-GasolineMGSData!AG249)*(Y$283/Y247)</f>
        <v>-0.27537427156104233</v>
      </c>
      <c r="J247" s="107">
        <f t="shared" si="80"/>
        <v>-0.23377081721028814</v>
      </c>
      <c r="K247" s="85">
        <v>0.46899999999999997</v>
      </c>
      <c r="L247" s="85">
        <v>0.59299999999999997</v>
      </c>
      <c r="M247" s="85">
        <v>0.54600000000000004</v>
      </c>
      <c r="N247">
        <v>18.38</v>
      </c>
      <c r="O247" s="1">
        <f t="shared" si="81"/>
        <v>0.56280768285690874</v>
      </c>
      <c r="P247" s="1">
        <f t="shared" si="76"/>
        <v>0.7116097141453025</v>
      </c>
      <c r="Q247" s="1">
        <f t="shared" si="82"/>
        <v>0.65520894422147591</v>
      </c>
      <c r="R247" s="1">
        <f t="shared" si="70"/>
        <v>21.342289177772834</v>
      </c>
      <c r="S247" s="1">
        <f t="shared" si="87"/>
        <v>-0.14880203128839375</v>
      </c>
      <c r="T247" s="1">
        <f t="shared" si="88"/>
        <v>-9.2401261364567167E-2</v>
      </c>
      <c r="U247" s="1">
        <f t="shared" si="89"/>
        <v>-0.12060164632648046</v>
      </c>
      <c r="V247" s="1">
        <f t="shared" si="77"/>
        <v>0.16169524941210253</v>
      </c>
      <c r="W247" s="82">
        <f t="shared" si="83"/>
        <v>-0.23671856241882452</v>
      </c>
      <c r="X247" s="1">
        <f t="shared" si="92"/>
        <v>4.6661511132291104E-2</v>
      </c>
      <c r="Y247" s="2">
        <v>256.38900000000001</v>
      </c>
      <c r="Z247" s="1">
        <f t="shared" si="84"/>
        <v>-0.17606461516578711</v>
      </c>
      <c r="AA247" s="1">
        <f t="shared" si="85"/>
        <v>-0.10933044651423887</v>
      </c>
      <c r="AB247" s="1">
        <f t="shared" si="91"/>
        <v>-0.14269753084001299</v>
      </c>
      <c r="AC247" s="1">
        <f t="shared" si="78"/>
        <v>0.18944088793561586</v>
      </c>
      <c r="AE247" s="1"/>
      <c r="AF247" s="1"/>
    </row>
    <row r="248" spans="1:32">
      <c r="B248" s="63">
        <f t="shared" si="79"/>
        <v>43967.120000000061</v>
      </c>
      <c r="C248" s="20">
        <v>5</v>
      </c>
      <c r="D248" s="100">
        <f t="shared" si="86"/>
        <v>0.46300000000000008</v>
      </c>
      <c r="E248" s="4"/>
      <c r="F248" s="105">
        <v>0.98299999999999998</v>
      </c>
      <c r="G248" s="108">
        <v>1.0489999999999999</v>
      </c>
      <c r="H248" s="101">
        <v>1.4950000000000001</v>
      </c>
      <c r="I248" s="107">
        <f>(H248-(G248-0.1*H248)/0.9-GasolineMGSData!AG250)*(Y$283/Y248)</f>
        <v>-0.26898342772610478</v>
      </c>
      <c r="J248" s="107">
        <f t="shared" si="80"/>
        <v>-0.23377081721028814</v>
      </c>
      <c r="K248" s="85">
        <v>1.032</v>
      </c>
      <c r="L248" s="85">
        <v>0.876</v>
      </c>
      <c r="M248" s="85">
        <v>0.83</v>
      </c>
      <c r="N248" s="2">
        <v>29.38</v>
      </c>
      <c r="O248" s="1">
        <f t="shared" si="81"/>
        <v>1.2383927549006608</v>
      </c>
      <c r="P248" s="1">
        <f t="shared" si="76"/>
        <v>1.0511938500900957</v>
      </c>
      <c r="Q248" s="1">
        <f t="shared" si="82"/>
        <v>0.99599417303057014</v>
      </c>
      <c r="R248" s="1">
        <f t="shared" si="70"/>
        <v>34.114484660327463</v>
      </c>
      <c r="S248" s="1">
        <f t="shared" si="87"/>
        <v>0.18719890481056511</v>
      </c>
      <c r="T248" s="1">
        <f t="shared" si="88"/>
        <v>0.24239858187009067</v>
      </c>
      <c r="U248" s="1">
        <f t="shared" si="89"/>
        <v>0.21479874334032789</v>
      </c>
      <c r="V248" s="1">
        <f t="shared" si="77"/>
        <v>0.16169524941210253</v>
      </c>
      <c r="W248" s="82">
        <f t="shared" si="83"/>
        <v>9.8684091671412066E-2</v>
      </c>
      <c r="X248" s="1">
        <f t="shared" si="92"/>
        <v>4.6661511132291104E-2</v>
      </c>
      <c r="Y248" s="2">
        <v>256.39400000000001</v>
      </c>
      <c r="Z248" s="1">
        <f t="shared" si="84"/>
        <v>0.22149200589735901</v>
      </c>
      <c r="AA248" s="1">
        <f t="shared" si="85"/>
        <v>0.28680375122606738</v>
      </c>
      <c r="AB248" s="1">
        <f t="shared" si="91"/>
        <v>0.25414787856171317</v>
      </c>
      <c r="AC248" s="1">
        <f t="shared" si="78"/>
        <v>0.18944088793561586</v>
      </c>
      <c r="AE248" s="1"/>
      <c r="AF248" s="1"/>
    </row>
    <row r="249" spans="1:32">
      <c r="A249">
        <v>2020</v>
      </c>
      <c r="B249" s="63">
        <f t="shared" si="79"/>
        <v>43997.600000000064</v>
      </c>
      <c r="C249" s="20">
        <v>6</v>
      </c>
      <c r="D249" s="100">
        <f t="shared" si="86"/>
        <v>0.45999999999999996</v>
      </c>
      <c r="E249" s="4"/>
      <c r="F249" s="105">
        <v>1.242</v>
      </c>
      <c r="G249" s="108">
        <v>1.3109999999999999</v>
      </c>
      <c r="H249" s="101">
        <v>1.7609999999999999</v>
      </c>
      <c r="I249" s="107">
        <f>(H249-(G249-0.1*H249)/0.9-GasolineMGSData!AG251)*(Y$283/Y249)</f>
        <v>-0.26197347340167793</v>
      </c>
      <c r="J249" s="107">
        <f t="shared" si="80"/>
        <v>-0.23377081721028814</v>
      </c>
      <c r="K249" s="85">
        <v>1.3009999999999999</v>
      </c>
      <c r="L249" s="85">
        <v>1.121</v>
      </c>
      <c r="M249" s="85">
        <v>1.095</v>
      </c>
      <c r="N249" s="2">
        <v>40.270000000000003</v>
      </c>
      <c r="O249" s="1">
        <f t="shared" si="81"/>
        <v>1.5526944495087218</v>
      </c>
      <c r="P249" s="1">
        <f t="shared" si="76"/>
        <v>1.3378712358949094</v>
      </c>
      <c r="Q249" s="1">
        <f t="shared" si="82"/>
        <v>1.3068412161506919</v>
      </c>
      <c r="R249" s="1">
        <f t="shared" si="70"/>
        <v>46.504893268734705</v>
      </c>
      <c r="S249" s="1">
        <f t="shared" si="87"/>
        <v>0.2148232136138124</v>
      </c>
      <c r="T249" s="1">
        <f t="shared" si="88"/>
        <v>0.24585323335802989</v>
      </c>
      <c r="U249" s="1">
        <f t="shared" si="89"/>
        <v>0.23033822348592115</v>
      </c>
      <c r="V249" s="1">
        <f t="shared" si="77"/>
        <v>0.16169524941210253</v>
      </c>
      <c r="W249" s="82">
        <f t="shared" si="83"/>
        <v>0.11485549870634651</v>
      </c>
      <c r="X249" s="1">
        <f t="shared" si="92"/>
        <v>4.6661511132291104E-2</v>
      </c>
      <c r="Y249" s="2">
        <v>257.79700000000003</v>
      </c>
      <c r="Z249" s="1">
        <f t="shared" si="84"/>
        <v>0.25279353348381467</v>
      </c>
      <c r="AA249" s="1">
        <f t="shared" si="85"/>
        <v>0.2893081549870325</v>
      </c>
      <c r="AB249" s="1">
        <f t="shared" si="91"/>
        <v>0.27105084423542358</v>
      </c>
      <c r="AC249" s="1">
        <f t="shared" si="78"/>
        <v>0.18944088793561586</v>
      </c>
      <c r="AE249" s="1"/>
      <c r="AF249" s="1"/>
    </row>
    <row r="250" spans="1:32">
      <c r="B250" s="63">
        <f t="shared" si="79"/>
        <v>44028.080000000067</v>
      </c>
      <c r="C250" s="20">
        <v>7</v>
      </c>
      <c r="D250" s="100">
        <f t="shared" si="86"/>
        <v>0.504</v>
      </c>
      <c r="E250" s="4"/>
      <c r="F250" s="105">
        <v>1.3049999999999999</v>
      </c>
      <c r="G250" s="108">
        <v>1.38</v>
      </c>
      <c r="H250" s="101">
        <v>1.8320000000000001</v>
      </c>
      <c r="I250" s="107">
        <f>(H250-(G250-0.1*H250)/0.9-GasolineMGSData!AG252)*(Y$283/Y250)</f>
        <v>-0.29572130223457455</v>
      </c>
      <c r="J250" s="107">
        <f t="shared" si="80"/>
        <v>-0.23377081721028814</v>
      </c>
      <c r="K250" s="85">
        <v>1.3280000000000001</v>
      </c>
      <c r="L250" s="85">
        <v>1.22</v>
      </c>
      <c r="M250" s="85">
        <v>1.1659999999999999</v>
      </c>
      <c r="N250" s="2">
        <v>43.24</v>
      </c>
      <c r="O250" s="1">
        <f t="shared" si="81"/>
        <v>1.5769413780726436</v>
      </c>
      <c r="P250" s="1">
        <f t="shared" si="76"/>
        <v>1.448696145518543</v>
      </c>
      <c r="Q250" s="1">
        <f t="shared" si="82"/>
        <v>1.3845735292414927</v>
      </c>
      <c r="R250" s="1">
        <f t="shared" si="70"/>
        <v>49.683419361561711</v>
      </c>
      <c r="S250" s="1">
        <f t="shared" si="87"/>
        <v>0.12824523255410059</v>
      </c>
      <c r="T250" s="1">
        <f t="shared" si="88"/>
        <v>0.19236784883115088</v>
      </c>
      <c r="U250" s="1">
        <f t="shared" si="89"/>
        <v>0.16030654069262573</v>
      </c>
      <c r="V250" s="1">
        <f t="shared" si="77"/>
        <v>0.16169524941210253</v>
      </c>
      <c r="W250" s="82">
        <f t="shared" si="83"/>
        <v>4.5405015804647675E-2</v>
      </c>
      <c r="X250" s="1">
        <f t="shared" si="92"/>
        <v>4.6661511132291104E-2</v>
      </c>
      <c r="Y250" s="2">
        <v>259.101</v>
      </c>
      <c r="Z250" s="1">
        <f t="shared" si="84"/>
        <v>0.1501532548439011</v>
      </c>
      <c r="AA250" s="1">
        <f t="shared" si="85"/>
        <v>0.22522988226585164</v>
      </c>
      <c r="AB250" s="1">
        <f t="shared" si="91"/>
        <v>0.18769156855487637</v>
      </c>
      <c r="AC250" s="1">
        <f t="shared" si="78"/>
        <v>0.18944088793561586</v>
      </c>
      <c r="AE250" s="1"/>
      <c r="AF250" s="1"/>
    </row>
    <row r="251" spans="1:32">
      <c r="B251" s="63">
        <f t="shared" si="79"/>
        <v>44058.56000000007</v>
      </c>
      <c r="C251" s="20">
        <v>8</v>
      </c>
      <c r="D251" s="100">
        <f t="shared" si="86"/>
        <v>0.47199999999999998</v>
      </c>
      <c r="E251" s="4"/>
      <c r="F251" s="105">
        <v>1.3109999999999999</v>
      </c>
      <c r="G251" s="108">
        <v>1.389</v>
      </c>
      <c r="H251" s="101">
        <v>1.889</v>
      </c>
      <c r="I251" s="107">
        <f>(H251-(G251-0.1*H251)/0.9-GasolineMGSData!AG253)*(Y$283/Y251)</f>
        <v>-0.23003870668324042</v>
      </c>
      <c r="J251" s="107">
        <f t="shared" si="80"/>
        <v>-0.23377081721028814</v>
      </c>
      <c r="K251" s="85">
        <v>1.417</v>
      </c>
      <c r="L251" s="85">
        <v>1.248</v>
      </c>
      <c r="M251" s="85">
        <v>1.244</v>
      </c>
      <c r="N251" s="2">
        <v>44.74</v>
      </c>
      <c r="O251" s="1">
        <f t="shared" si="81"/>
        <v>1.6773359559553396</v>
      </c>
      <c r="P251" s="1">
        <f t="shared" si="76"/>
        <v>1.4772867135019505</v>
      </c>
      <c r="Q251" s="1">
        <f t="shared" si="82"/>
        <v>1.4725518201894443</v>
      </c>
      <c r="R251" s="1">
        <f t="shared" si="70"/>
        <v>51.245354842681152</v>
      </c>
      <c r="S251" s="1">
        <f t="shared" si="87"/>
        <v>0.20004924245338906</v>
      </c>
      <c r="T251" s="1">
        <f t="shared" si="88"/>
        <v>0.20478413576589527</v>
      </c>
      <c r="U251" s="1">
        <f t="shared" si="89"/>
        <v>0.20241668910964217</v>
      </c>
      <c r="V251" s="1">
        <f t="shared" si="77"/>
        <v>0.16169524941210253</v>
      </c>
      <c r="W251" s="82">
        <f t="shared" si="83"/>
        <v>8.7876334074592638E-2</v>
      </c>
      <c r="X251" s="1">
        <f t="shared" si="92"/>
        <v>4.6661511132291104E-2</v>
      </c>
      <c r="Y251" s="2">
        <v>259.91800000000001</v>
      </c>
      <c r="Z251" s="1">
        <f t="shared" si="84"/>
        <v>0.23348724727947842</v>
      </c>
      <c r="AA251" s="1">
        <f t="shared" si="85"/>
        <v>0.2390135726588743</v>
      </c>
      <c r="AB251" s="1">
        <f t="shared" si="91"/>
        <v>0.23625040996917634</v>
      </c>
      <c r="AC251" s="1">
        <f t="shared" si="78"/>
        <v>0.18944088793561586</v>
      </c>
      <c r="AE251" s="1"/>
      <c r="AF251" s="1"/>
    </row>
    <row r="252" spans="1:32">
      <c r="B252" s="63">
        <f t="shared" si="79"/>
        <v>44089.040000000074</v>
      </c>
      <c r="C252" s="20">
        <v>9</v>
      </c>
      <c r="D252" s="100">
        <f t="shared" si="86"/>
        <v>0.53500000000000014</v>
      </c>
      <c r="E252" s="4"/>
      <c r="F252" s="105">
        <v>1.276</v>
      </c>
      <c r="G252" s="108">
        <v>1.3540000000000001</v>
      </c>
      <c r="H252" s="101">
        <v>1.8340000000000001</v>
      </c>
      <c r="I252" s="107">
        <f>(H252-(G252-0.1*H252)/0.9-GasolineMGSData!AG254)*(Y$283/Y252)</f>
        <v>-0.26330547003400162</v>
      </c>
      <c r="J252" s="107">
        <f t="shared" si="80"/>
        <v>-0.23377081721028814</v>
      </c>
      <c r="K252" s="85">
        <v>1.2989999999999999</v>
      </c>
      <c r="L252" s="85">
        <v>1.2270000000000001</v>
      </c>
      <c r="M252" s="85">
        <v>1.1759999999999999</v>
      </c>
      <c r="N252" s="2">
        <v>40.909999999999997</v>
      </c>
      <c r="O252" s="1">
        <f t="shared" si="81"/>
        <v>1.5355180152143844</v>
      </c>
      <c r="P252" s="1">
        <f t="shared" si="76"/>
        <v>1.45040847164592</v>
      </c>
      <c r="Q252" s="1">
        <f t="shared" si="82"/>
        <v>1.3901225449515906</v>
      </c>
      <c r="R252" s="1">
        <f t="shared" si="70"/>
        <v>46.793288035961275</v>
      </c>
      <c r="S252" s="1">
        <f t="shared" si="87"/>
        <v>8.5109543568464341E-2</v>
      </c>
      <c r="T252" s="1">
        <f t="shared" si="88"/>
        <v>0.14539547026279376</v>
      </c>
      <c r="U252" s="1">
        <f t="shared" si="89"/>
        <v>0.11525250691562905</v>
      </c>
      <c r="V252" s="1">
        <f t="shared" si="77"/>
        <v>0.16169524941210253</v>
      </c>
      <c r="W252" s="82">
        <f t="shared" si="83"/>
        <v>8.7145573997203518E-4</v>
      </c>
      <c r="X252" s="1">
        <f t="shared" si="92"/>
        <v>4.6661511132291104E-2</v>
      </c>
      <c r="Y252" s="2">
        <v>260.27999999999997</v>
      </c>
      <c r="Z252" s="1">
        <f t="shared" si="84"/>
        <v>9.9197350797449096E-2</v>
      </c>
      <c r="AA252" s="1">
        <f t="shared" si="85"/>
        <v>0.1694621409456428</v>
      </c>
      <c r="AB252" s="1">
        <f t="shared" si="91"/>
        <v>0.13432974587154595</v>
      </c>
      <c r="AC252" s="1">
        <f t="shared" si="78"/>
        <v>0.18944088793561586</v>
      </c>
      <c r="AE252" s="1"/>
      <c r="AF252" s="1"/>
    </row>
    <row r="253" spans="1:32">
      <c r="B253" s="63">
        <f t="shared" si="79"/>
        <v>44119.520000000077</v>
      </c>
      <c r="C253" s="20">
        <v>10</v>
      </c>
      <c r="D253" s="100">
        <f t="shared" si="86"/>
        <v>0.53199999999999981</v>
      </c>
      <c r="E253" s="4"/>
      <c r="F253" s="105">
        <v>1.2370000000000001</v>
      </c>
      <c r="G253" s="108">
        <v>1.3120000000000001</v>
      </c>
      <c r="H253" s="101">
        <v>1.7789999999999999</v>
      </c>
      <c r="I253" s="107">
        <f>(H253-(G253-0.1*H253)/0.9-GasolineMGSData!AG255)*(Y$283/Y253)</f>
        <v>-0.27377535688691429</v>
      </c>
      <c r="J253" s="107">
        <f t="shared" si="80"/>
        <v>-0.23377081721028814</v>
      </c>
      <c r="K253" s="85">
        <v>1.2470000000000001</v>
      </c>
      <c r="L253" s="85">
        <v>1.2010000000000001</v>
      </c>
      <c r="M253" s="85">
        <v>1.143</v>
      </c>
      <c r="N253" s="2">
        <v>40.19</v>
      </c>
      <c r="O253" s="1">
        <f t="shared" si="81"/>
        <v>1.4734386262039727</v>
      </c>
      <c r="P253" s="1">
        <f t="shared" si="76"/>
        <v>1.4190856375869858</v>
      </c>
      <c r="Q253" s="1">
        <f t="shared" si="82"/>
        <v>1.3505536084612195</v>
      </c>
      <c r="R253" s="1">
        <f t="shared" si="70"/>
        <v>45.950677796211806</v>
      </c>
      <c r="S253" s="1">
        <f t="shared" si="87"/>
        <v>5.4352988616986897E-2</v>
      </c>
      <c r="T253" s="1">
        <f t="shared" si="88"/>
        <v>0.12288501774275318</v>
      </c>
      <c r="U253" s="1">
        <f t="shared" si="89"/>
        <v>8.8619003179870037E-2</v>
      </c>
      <c r="V253" s="1">
        <f t="shared" si="77"/>
        <v>0.16169524941210253</v>
      </c>
      <c r="W253" s="82">
        <f t="shared" si="83"/>
        <v>-2.5714606663901587E-2</v>
      </c>
      <c r="X253" s="1">
        <f t="shared" si="92"/>
        <v>4.6661511132291104E-2</v>
      </c>
      <c r="Y253" s="2">
        <v>260.38799999999998</v>
      </c>
      <c r="Z253" s="1">
        <f t="shared" si="84"/>
        <v>6.3323523687017061E-2</v>
      </c>
      <c r="AA253" s="1">
        <f t="shared" si="85"/>
        <v>0.14316622746629964</v>
      </c>
      <c r="AB253" s="1">
        <f t="shared" si="91"/>
        <v>0.10324487557665835</v>
      </c>
      <c r="AC253" s="1">
        <f t="shared" si="78"/>
        <v>0.18944088793561586</v>
      </c>
      <c r="AE253" s="1"/>
      <c r="AF253" s="1"/>
    </row>
    <row r="254" spans="1:32">
      <c r="B254" s="63">
        <f t="shared" si="79"/>
        <v>44150.00000000008</v>
      </c>
      <c r="C254" s="20">
        <v>11</v>
      </c>
      <c r="D254" s="100">
        <f t="shared" si="86"/>
        <v>0.48799999999999999</v>
      </c>
      <c r="E254" s="4"/>
      <c r="F254" s="105">
        <v>1.212</v>
      </c>
      <c r="G254" s="108">
        <v>1.2869999999999999</v>
      </c>
      <c r="H254" s="101">
        <v>1.8</v>
      </c>
      <c r="I254" s="107">
        <f>(H254-(G254-0.1*H254)/0.9-GasolineMGSData!AG256)*(Y$283/Y254)</f>
        <v>-0.22038786741435865</v>
      </c>
      <c r="J254" s="107">
        <f t="shared" si="80"/>
        <v>-0.23377081721028814</v>
      </c>
      <c r="K254" s="85">
        <v>1.3120000000000001</v>
      </c>
      <c r="L254" s="85">
        <v>1.19</v>
      </c>
      <c r="M254" s="85">
        <v>1.1279999999999999</v>
      </c>
      <c r="N254" s="2">
        <v>42.69</v>
      </c>
      <c r="O254" s="1">
        <f t="shared" si="81"/>
        <v>1.5511889604924893</v>
      </c>
      <c r="P254" s="1">
        <f t="shared" si="76"/>
        <v>1.4069473041052303</v>
      </c>
      <c r="Q254" s="1">
        <f t="shared" si="82"/>
        <v>1.3336441672526889</v>
      </c>
      <c r="R254" s="1">
        <f t="shared" si="70"/>
        <v>48.838840367522458</v>
      </c>
      <c r="S254" s="1">
        <f t="shared" si="87"/>
        <v>0.14424165638725905</v>
      </c>
      <c r="T254" s="1">
        <f t="shared" si="88"/>
        <v>0.21754479323980047</v>
      </c>
      <c r="U254" s="1">
        <f t="shared" si="89"/>
        <v>0.18089322481352976</v>
      </c>
      <c r="V254" s="1">
        <f t="shared" si="77"/>
        <v>0.16169524941210253</v>
      </c>
      <c r="W254" s="82">
        <f t="shared" si="83"/>
        <v>6.6489757098555619E-2</v>
      </c>
      <c r="X254" s="1">
        <f t="shared" si="92"/>
        <v>4.6661511132291104E-2</v>
      </c>
      <c r="Y254" s="2">
        <v>260.22899999999998</v>
      </c>
      <c r="Z254" s="1">
        <f t="shared" si="84"/>
        <v>0.16815028919377958</v>
      </c>
      <c r="AA254" s="1">
        <f t="shared" si="85"/>
        <v>0.25360371484963473</v>
      </c>
      <c r="AB254" s="1">
        <f t="shared" si="91"/>
        <v>0.21087700202170717</v>
      </c>
      <c r="AC254" s="1">
        <f t="shared" si="78"/>
        <v>0.18944088793561586</v>
      </c>
      <c r="AE254" s="1"/>
      <c r="AF254" s="1"/>
    </row>
    <row r="255" spans="1:32">
      <c r="B255" s="63">
        <f t="shared" si="79"/>
        <v>44180.480000000083</v>
      </c>
      <c r="C255" s="20">
        <v>12</v>
      </c>
      <c r="D255" s="100">
        <f t="shared" si="86"/>
        <v>0.42800000000000016</v>
      </c>
      <c r="E255" s="4"/>
      <c r="F255" s="105">
        <v>1.325</v>
      </c>
      <c r="G255" s="108">
        <v>1.3939999999999999</v>
      </c>
      <c r="H255" s="101">
        <v>1.86</v>
      </c>
      <c r="I255" s="107">
        <f>(H255-(G255-0.1*H255)/0.9-GasolineMGSData!AG257)*(Y$283/Y255)</f>
        <v>-0.28214210628868558</v>
      </c>
      <c r="J255" s="107">
        <f t="shared" si="80"/>
        <v>-0.23377081721028814</v>
      </c>
      <c r="K255" s="85">
        <v>1.4319999999999999</v>
      </c>
      <c r="L255" s="85">
        <v>1.359</v>
      </c>
      <c r="M255" s="85">
        <v>1.298</v>
      </c>
      <c r="N255" s="2">
        <v>49.99</v>
      </c>
      <c r="O255" s="1">
        <f t="shared" si="81"/>
        <v>1.6914735136712302</v>
      </c>
      <c r="P255" s="1">
        <f t="shared" si="76"/>
        <v>1.6052461627648058</v>
      </c>
      <c r="Q255" s="1">
        <f t="shared" si="82"/>
        <v>1.5331931709114923</v>
      </c>
      <c r="R255" s="1">
        <f t="shared" si="70"/>
        <v>57.136500725600257</v>
      </c>
      <c r="S255" s="1">
        <f t="shared" si="87"/>
        <v>8.6227350906424416E-2</v>
      </c>
      <c r="T255" s="1">
        <f t="shared" si="88"/>
        <v>0.1582803427597379</v>
      </c>
      <c r="U255" s="1">
        <f t="shared" si="89"/>
        <v>0.12225384683308116</v>
      </c>
      <c r="V255" s="1">
        <f t="shared" si="77"/>
        <v>0.16169524941210253</v>
      </c>
      <c r="W255" s="82">
        <f t="shared" si="83"/>
        <v>7.9579862097559767E-3</v>
      </c>
      <c r="X255" s="1">
        <f t="shared" si="92"/>
        <v>4.6661511132291104E-2</v>
      </c>
      <c r="Y255" s="2">
        <v>260.47399999999999</v>
      </c>
      <c r="Z255" s="1">
        <f t="shared" si="84"/>
        <v>0.10042533171458813</v>
      </c>
      <c r="AA255" s="1">
        <f t="shared" si="85"/>
        <v>0.18434238972266856</v>
      </c>
      <c r="AB255" s="1">
        <f t="shared" si="91"/>
        <v>0.14238386071862835</v>
      </c>
      <c r="AC255" s="1">
        <f t="shared" si="78"/>
        <v>0.18944088793561586</v>
      </c>
      <c r="AE255" s="1"/>
      <c r="AF255" s="1"/>
    </row>
    <row r="256" spans="1:32">
      <c r="A256" s="64" t="s">
        <v>39</v>
      </c>
      <c r="B256" s="63">
        <f t="shared" si="79"/>
        <v>44210.960000000086</v>
      </c>
      <c r="C256" s="20">
        <v>1</v>
      </c>
      <c r="D256" s="100">
        <f t="shared" si="86"/>
        <v>0.40200000000000014</v>
      </c>
      <c r="E256" s="4"/>
      <c r="F256" s="105">
        <v>1.5049999999999999</v>
      </c>
      <c r="G256" s="108">
        <v>1.575</v>
      </c>
      <c r="H256" s="101">
        <v>2.056</v>
      </c>
      <c r="I256" s="107">
        <f>(H256-(G256-0.1*H256)/0.9-GasolineMGSData!AG258)*(Y$283/Y256)</f>
        <v>-0.29505153730274697</v>
      </c>
      <c r="J256" s="107">
        <f>AVERAGE(I256:I267)</f>
        <v>-0.20270307732089587</v>
      </c>
      <c r="K256" s="85">
        <v>1.6539999999999999</v>
      </c>
      <c r="L256" s="85">
        <v>1.5629999999999999</v>
      </c>
      <c r="M256" s="85">
        <v>1.5</v>
      </c>
      <c r="N256" s="2">
        <v>54.77</v>
      </c>
      <c r="O256" s="1">
        <f t="shared" si="81"/>
        <v>1.9454237447530793</v>
      </c>
      <c r="P256" s="1">
        <f t="shared" si="76"/>
        <v>1.8383901529921782</v>
      </c>
      <c r="Q256" s="1">
        <f t="shared" si="82"/>
        <v>1.7642899740807854</v>
      </c>
      <c r="R256" s="1">
        <f t="shared" si="70"/>
        <v>62.334684611326473</v>
      </c>
      <c r="S256" s="1">
        <f t="shared" si="87"/>
        <v>0.1070335917609011</v>
      </c>
      <c r="T256" s="1">
        <f t="shared" si="88"/>
        <v>0.18113377067229397</v>
      </c>
      <c r="U256" s="1">
        <f t="shared" si="89"/>
        <v>0.14408368121659754</v>
      </c>
      <c r="V256" s="1">
        <f>AVERAGE(S256:T267)</f>
        <v>0.13658187463906432</v>
      </c>
      <c r="W256" s="82">
        <f t="shared" si="83"/>
        <v>3.0271951051677917E-2</v>
      </c>
      <c r="X256" s="1">
        <f>AVERAGE(W256:W267)</f>
        <v>2.6666571061011623E-2</v>
      </c>
      <c r="Y256" s="2">
        <v>261.58199999999999</v>
      </c>
      <c r="Z256" s="1">
        <f t="shared" si="84"/>
        <v>0.12412945652744546</v>
      </c>
      <c r="AA256" s="1">
        <f t="shared" si="85"/>
        <v>0.210065234123369</v>
      </c>
      <c r="AB256" s="1">
        <f t="shared" si="91"/>
        <v>0.16709734532540724</v>
      </c>
      <c r="AC256" s="1">
        <f>AVERAGE(Z256:AA267)</f>
        <v>0.15292001985122386</v>
      </c>
      <c r="AE256" s="1"/>
      <c r="AF256" s="1"/>
    </row>
    <row r="257" spans="1:32">
      <c r="B257" s="63">
        <f t="shared" si="79"/>
        <v>44241.44000000009</v>
      </c>
      <c r="C257" s="20">
        <v>2</v>
      </c>
      <c r="D257" s="100">
        <f t="shared" si="86"/>
        <v>0.42999999999999972</v>
      </c>
      <c r="E257" s="4"/>
      <c r="F257" s="105">
        <v>1.7130000000000001</v>
      </c>
      <c r="G257" s="108">
        <v>1.784</v>
      </c>
      <c r="H257" s="101">
        <v>2.2519999999999998</v>
      </c>
      <c r="I257" s="107">
        <f>(H257-(G257-0.1*H257)/0.9-GasolineMGSData!AG259)*(Y$283/Y257)</f>
        <v>-0.31801252671141372</v>
      </c>
      <c r="J257" s="107">
        <f t="shared" si="80"/>
        <v>-0.20270307732089587</v>
      </c>
      <c r="K257" s="85">
        <v>1.8220000000000001</v>
      </c>
      <c r="L257" s="85">
        <v>1.7609999999999999</v>
      </c>
      <c r="M257" s="85">
        <v>1.6859999999999999</v>
      </c>
      <c r="N257" s="2">
        <v>62.28</v>
      </c>
      <c r="O257" s="1">
        <f t="shared" si="81"/>
        <v>2.1313563612583359</v>
      </c>
      <c r="P257" s="1">
        <f t="shared" si="76"/>
        <v>2.0599992053654939</v>
      </c>
      <c r="Q257" s="1">
        <f t="shared" si="82"/>
        <v>1.972264997300524</v>
      </c>
      <c r="R257" s="1">
        <f t="shared" si="70"/>
        <v>70.496023329556607</v>
      </c>
      <c r="S257" s="1">
        <f t="shared" si="87"/>
        <v>7.1357155892842083E-2</v>
      </c>
      <c r="T257" s="1">
        <f t="shared" si="88"/>
        <v>0.15909136395781198</v>
      </c>
      <c r="U257" s="1">
        <f t="shared" si="89"/>
        <v>0.11522425992532703</v>
      </c>
      <c r="V257" s="1">
        <f t="shared" si="77"/>
        <v>0.13658187463906432</v>
      </c>
      <c r="W257" s="82">
        <f t="shared" si="83"/>
        <v>2.0321864995778149E-3</v>
      </c>
      <c r="X257" s="1">
        <f t="shared" ref="X257:X279" si="93">X256</f>
        <v>2.6666571061011623E-2</v>
      </c>
      <c r="Y257" s="2">
        <v>263.01400000000001</v>
      </c>
      <c r="Z257" s="1">
        <f t="shared" si="84"/>
        <v>8.230406321762436E-2</v>
      </c>
      <c r="AA257" s="1">
        <f t="shared" si="85"/>
        <v>0.18349758356716264</v>
      </c>
      <c r="AB257" s="1">
        <f t="shared" si="91"/>
        <v>0.13290082339239351</v>
      </c>
      <c r="AC257" s="1">
        <f t="shared" si="78"/>
        <v>0.15292001985122386</v>
      </c>
      <c r="AE257" s="1"/>
      <c r="AF257" s="1"/>
    </row>
    <row r="258" spans="1:32">
      <c r="B258" s="63">
        <f t="shared" si="79"/>
        <v>44271.920000000093</v>
      </c>
      <c r="C258" s="20">
        <v>3</v>
      </c>
      <c r="D258" s="100">
        <f t="shared" si="86"/>
        <v>0.44700000000000006</v>
      </c>
      <c r="E258" s="4"/>
      <c r="F258" s="105">
        <v>1.9339999999999999</v>
      </c>
      <c r="G258" s="108">
        <v>2.0110000000000001</v>
      </c>
      <c r="H258" s="101">
        <v>2.5129999999999999</v>
      </c>
      <c r="I258" s="107">
        <f>(H258-(G258-0.1*H258)/0.9-GasolineMGSData!AG260)*(Y$283/Y258)</f>
        <v>-0.28403777599962915</v>
      </c>
      <c r="J258" s="107">
        <f t="shared" si="80"/>
        <v>-0.20270307732089587</v>
      </c>
      <c r="K258" s="85">
        <v>2.0659999999999998</v>
      </c>
      <c r="L258" s="85">
        <v>1.986</v>
      </c>
      <c r="M258" s="85">
        <v>1.9450000000000001</v>
      </c>
      <c r="N258" s="2">
        <v>65.41</v>
      </c>
      <c r="O258" s="1">
        <f t="shared" si="81"/>
        <v>2.3997866405916706</v>
      </c>
      <c r="P258" s="1">
        <f t="shared" si="76"/>
        <v>2.30686169807118</v>
      </c>
      <c r="Q258" s="1">
        <f t="shared" si="82"/>
        <v>2.2592376650294286</v>
      </c>
      <c r="R258" s="1">
        <f t="shared" si="70"/>
        <v>73.518185837199908</v>
      </c>
      <c r="S258" s="1">
        <f t="shared" si="87"/>
        <v>9.292494252049055E-2</v>
      </c>
      <c r="T258" s="1">
        <f t="shared" si="88"/>
        <v>0.140548975562242</v>
      </c>
      <c r="U258" s="1">
        <f t="shared" si="89"/>
        <v>0.11673695904136627</v>
      </c>
      <c r="V258" s="1">
        <f t="shared" si="77"/>
        <v>0.13658187463906432</v>
      </c>
      <c r="W258" s="82">
        <f t="shared" si="83"/>
        <v>4.3410167738232169E-3</v>
      </c>
      <c r="X258" s="1">
        <f t="shared" si="93"/>
        <v>2.6666571061011623E-2</v>
      </c>
      <c r="Y258" s="2">
        <v>264.87700000000001</v>
      </c>
      <c r="Z258" s="1">
        <f t="shared" si="84"/>
        <v>0.1064267163167945</v>
      </c>
      <c r="AA258" s="1">
        <f t="shared" si="85"/>
        <v>0.16097040842915172</v>
      </c>
      <c r="AB258" s="1">
        <f t="shared" si="91"/>
        <v>0.13369856237297312</v>
      </c>
      <c r="AC258" s="1">
        <f t="shared" si="78"/>
        <v>0.15292001985122386</v>
      </c>
      <c r="AE258" s="1"/>
      <c r="AF258" s="1"/>
    </row>
    <row r="259" spans="1:32">
      <c r="B259" s="63">
        <f t="shared" si="79"/>
        <v>44302.400000000096</v>
      </c>
      <c r="C259" s="20">
        <v>4</v>
      </c>
      <c r="D259" s="100">
        <f t="shared" si="86"/>
        <v>0.5129999999999999</v>
      </c>
      <c r="E259" s="4"/>
      <c r="F259" s="105">
        <v>1.97</v>
      </c>
      <c r="G259" s="108">
        <v>2.0550000000000002</v>
      </c>
      <c r="H259" s="101">
        <v>2.6120000000000001</v>
      </c>
      <c r="I259" s="107">
        <f>(H259-(G259-0.1*H259)/0.9-GasolineMGSData!AG261)*(Y$283/Y259)</f>
        <v>-0.20269982362388989</v>
      </c>
      <c r="J259" s="107">
        <f t="shared" si="80"/>
        <v>-0.20270307732089587</v>
      </c>
      <c r="K259" s="85">
        <v>2.0990000000000002</v>
      </c>
      <c r="L259" s="85">
        <v>1.988</v>
      </c>
      <c r="M259" s="85">
        <v>1.958</v>
      </c>
      <c r="N259" s="2">
        <v>64.81</v>
      </c>
      <c r="O259" s="1">
        <f t="shared" si="81"/>
        <v>2.4182428609944058</v>
      </c>
      <c r="P259" s="1">
        <f t="shared" si="76"/>
        <v>2.290360556291986</v>
      </c>
      <c r="Q259" s="1">
        <f t="shared" si="82"/>
        <v>2.2557977712372779</v>
      </c>
      <c r="R259" s="1">
        <f t="shared" si="70"/>
        <v>72.249994046147989</v>
      </c>
      <c r="S259" s="1">
        <f t="shared" si="87"/>
        <v>0.12788230470241979</v>
      </c>
      <c r="T259" s="1">
        <f t="shared" si="88"/>
        <v>0.1624450897571279</v>
      </c>
      <c r="U259" s="1">
        <f t="shared" si="89"/>
        <v>0.14516369722977385</v>
      </c>
      <c r="V259" s="1">
        <f t="shared" si="77"/>
        <v>0.13658187463906432</v>
      </c>
      <c r="W259" s="82">
        <f t="shared" si="83"/>
        <v>3.3683996495090948E-2</v>
      </c>
      <c r="X259" s="1">
        <f t="shared" si="93"/>
        <v>2.6666571061011623E-2</v>
      </c>
      <c r="Y259" s="2">
        <v>267.05399999999997</v>
      </c>
      <c r="Z259" s="1">
        <f t="shared" si="84"/>
        <v>0.14526934478210465</v>
      </c>
      <c r="AA259" s="1">
        <f t="shared" si="85"/>
        <v>0.18453132985834922</v>
      </c>
      <c r="AB259" s="1">
        <f t="shared" si="91"/>
        <v>0.16490033732022694</v>
      </c>
      <c r="AC259" s="1">
        <f t="shared" si="78"/>
        <v>0.15292001985122386</v>
      </c>
      <c r="AE259" s="1"/>
      <c r="AF259" s="1"/>
    </row>
    <row r="260" spans="1:32">
      <c r="B260" s="63">
        <f t="shared" si="79"/>
        <v>44332.880000000099</v>
      </c>
      <c r="C260" s="20">
        <v>5</v>
      </c>
      <c r="D260" s="100">
        <f t="shared" si="86"/>
        <v>0.52700000000000014</v>
      </c>
      <c r="E260" s="4"/>
      <c r="F260" s="105">
        <v>2.0920000000000001</v>
      </c>
      <c r="G260" s="108">
        <v>2.181</v>
      </c>
      <c r="H260" s="101">
        <v>2.766</v>
      </c>
      <c r="I260" s="107">
        <f>(H260-(G260-0.1*H260)/0.9-GasolineMGSData!AG262)*(Y$283/Y260)</f>
        <v>-0.1947620177784517</v>
      </c>
      <c r="J260" s="107">
        <f t="shared" si="80"/>
        <v>-0.20270307732089587</v>
      </c>
      <c r="K260" s="85">
        <v>2.2389999999999999</v>
      </c>
      <c r="L260" s="85">
        <v>2.1160000000000001</v>
      </c>
      <c r="M260" s="85">
        <v>2.0379999999999998</v>
      </c>
      <c r="N260" s="2">
        <v>68.53</v>
      </c>
      <c r="O260" s="1">
        <f t="shared" si="81"/>
        <v>2.5590199260758926</v>
      </c>
      <c r="P260" s="1">
        <f t="shared" si="76"/>
        <v>2.4184395549694457</v>
      </c>
      <c r="Q260" s="1">
        <f t="shared" si="82"/>
        <v>2.329291026950723</v>
      </c>
      <c r="R260" s="1">
        <f t="shared" ref="R260:R277" si="94">N260*($Y$278/Y260)</f>
        <v>75.789427106744199</v>
      </c>
      <c r="S260" s="1">
        <f t="shared" si="87"/>
        <v>0.14058037110644683</v>
      </c>
      <c r="T260" s="1">
        <f t="shared" si="88"/>
        <v>0.22972889912516958</v>
      </c>
      <c r="U260" s="1">
        <f t="shared" si="89"/>
        <v>0.18515463511580821</v>
      </c>
      <c r="V260" s="1">
        <f t="shared" si="77"/>
        <v>0.13658187463906432</v>
      </c>
      <c r="W260" s="82">
        <f t="shared" si="83"/>
        <v>7.4561570608666528E-2</v>
      </c>
      <c r="X260" s="1">
        <f t="shared" si="93"/>
        <v>2.6666571061011623E-2</v>
      </c>
      <c r="Y260" s="2">
        <v>269.19499999999999</v>
      </c>
      <c r="Z260" s="1">
        <f t="shared" si="84"/>
        <v>0.15842375645894252</v>
      </c>
      <c r="AA260" s="1">
        <f t="shared" si="85"/>
        <v>0.25888760201827232</v>
      </c>
      <c r="AB260" s="1">
        <f t="shared" si="91"/>
        <v>0.20865567923860742</v>
      </c>
      <c r="AC260" s="1">
        <f t="shared" si="78"/>
        <v>0.15292001985122386</v>
      </c>
      <c r="AE260" s="1"/>
      <c r="AF260" s="1"/>
    </row>
    <row r="261" spans="1:32">
      <c r="A261">
        <v>2021</v>
      </c>
      <c r="B261" s="63">
        <f t="shared" si="79"/>
        <v>44363.360000000102</v>
      </c>
      <c r="C261" s="20">
        <v>6</v>
      </c>
      <c r="D261" s="100">
        <f t="shared" si="86"/>
        <v>0.54499999999999993</v>
      </c>
      <c r="E261" s="4"/>
      <c r="F261" s="105">
        <v>2.1619999999999999</v>
      </c>
      <c r="G261" s="108">
        <v>2.2519999999999998</v>
      </c>
      <c r="H261" s="101">
        <v>2.8559999999999999</v>
      </c>
      <c r="I261" s="107">
        <f>(H261-(G261-0.1*H261)/0.9-GasolineMGSData!AG263)*(Y$283/Y261)</f>
        <v>-0.16012446245856221</v>
      </c>
      <c r="J261" s="107">
        <f t="shared" si="80"/>
        <v>-0.20270307732089587</v>
      </c>
      <c r="K261" s="85">
        <v>2.3109999999999999</v>
      </c>
      <c r="L261" s="85">
        <v>2.1669999999999998</v>
      </c>
      <c r="M261" s="85">
        <v>2.1179999999999999</v>
      </c>
      <c r="N261" s="2">
        <v>73.16</v>
      </c>
      <c r="O261" s="1">
        <f t="shared" si="81"/>
        <v>2.6169972358812785</v>
      </c>
      <c r="P261" s="1">
        <f t="shared" si="76"/>
        <v>2.4539303375831807</v>
      </c>
      <c r="Q261" s="1">
        <f t="shared" si="82"/>
        <v>2.3984422958011891</v>
      </c>
      <c r="R261" s="1">
        <f t="shared" si="94"/>
        <v>80.165099081326176</v>
      </c>
      <c r="S261" s="1">
        <f t="shared" si="87"/>
        <v>0.16306689829809784</v>
      </c>
      <c r="T261" s="1">
        <f t="shared" si="88"/>
        <v>0.21855494008008947</v>
      </c>
      <c r="U261" s="1">
        <f t="shared" si="89"/>
        <v>0.19081091918909365</v>
      </c>
      <c r="V261" s="1">
        <f t="shared" si="77"/>
        <v>0.13658187463906432</v>
      </c>
      <c r="W261" s="82">
        <f t="shared" si="83"/>
        <v>8.1235879438784478E-2</v>
      </c>
      <c r="X261" s="1">
        <f t="shared" si="93"/>
        <v>2.6666571061011623E-2</v>
      </c>
      <c r="Y261" s="2">
        <v>271.69600000000003</v>
      </c>
      <c r="Z261" s="1">
        <f t="shared" si="84"/>
        <v>0.18207284416555949</v>
      </c>
      <c r="AA261" s="1">
        <f t="shared" si="85"/>
        <v>0.24402818697189571</v>
      </c>
      <c r="AB261" s="1">
        <f t="shared" si="91"/>
        <v>0.21305051556872762</v>
      </c>
      <c r="AC261" s="1">
        <f t="shared" si="78"/>
        <v>0.15292001985122386</v>
      </c>
      <c r="AE261" s="1"/>
      <c r="AF261" s="1"/>
    </row>
    <row r="262" spans="1:32">
      <c r="B262" s="63">
        <f t="shared" si="79"/>
        <v>44393.840000000106</v>
      </c>
      <c r="C262" s="20">
        <v>7</v>
      </c>
      <c r="D262" s="100">
        <f t="shared" si="86"/>
        <v>0.55399999999999983</v>
      </c>
      <c r="E262" s="4"/>
      <c r="F262" s="105">
        <v>2.246</v>
      </c>
      <c r="G262" s="108">
        <v>2.3370000000000002</v>
      </c>
      <c r="H262" s="101">
        <v>2.915</v>
      </c>
      <c r="I262" s="107">
        <f>(H262-(G262-0.1*H262)/0.9-GasolineMGSData!AG264)*(Y$283/Y262)</f>
        <v>-0.19940438937991473</v>
      </c>
      <c r="J262" s="107">
        <f t="shared" si="80"/>
        <v>-0.20270307732089587</v>
      </c>
      <c r="K262" s="85">
        <v>2.3610000000000002</v>
      </c>
      <c r="L262" s="85">
        <v>2.2570000000000001</v>
      </c>
      <c r="M262" s="85">
        <v>2.2050000000000001</v>
      </c>
      <c r="N262" s="2">
        <v>75.17</v>
      </c>
      <c r="O262" s="1">
        <f t="shared" si="81"/>
        <v>2.6608177602443934</v>
      </c>
      <c r="P262" s="1">
        <f t="shared" si="76"/>
        <v>2.5436110482302392</v>
      </c>
      <c r="Q262" s="1">
        <f t="shared" si="82"/>
        <v>2.4850076922231623</v>
      </c>
      <c r="R262" s="1">
        <f t="shared" si="94"/>
        <v>81.97322326128284</v>
      </c>
      <c r="S262" s="1">
        <f t="shared" si="87"/>
        <v>0.11720671201415422</v>
      </c>
      <c r="T262" s="1">
        <f t="shared" si="88"/>
        <v>0.17581006802123111</v>
      </c>
      <c r="U262" s="1">
        <f t="shared" si="89"/>
        <v>0.14650839001769267</v>
      </c>
      <c r="V262" s="1">
        <f t="shared" si="77"/>
        <v>0.13658187463906432</v>
      </c>
      <c r="W262" s="82">
        <f t="shared" si="83"/>
        <v>3.7457940022637651E-2</v>
      </c>
      <c r="X262" s="1">
        <f t="shared" si="93"/>
        <v>2.6666571061011623E-2</v>
      </c>
      <c r="Y262" s="2">
        <v>273.00299999999999</v>
      </c>
      <c r="Z262" s="1">
        <f t="shared" si="84"/>
        <v>0.13024098554503016</v>
      </c>
      <c r="AA262" s="1">
        <f t="shared" si="85"/>
        <v>0.195361478317545</v>
      </c>
      <c r="AB262" s="1">
        <f t="shared" si="91"/>
        <v>0.16280123193128759</v>
      </c>
      <c r="AC262" s="1">
        <f t="shared" si="78"/>
        <v>0.15292001985122386</v>
      </c>
      <c r="AE262" s="1"/>
      <c r="AF262" s="1"/>
    </row>
    <row r="263" spans="1:32">
      <c r="B263" s="63">
        <f t="shared" si="79"/>
        <v>44424.320000000109</v>
      </c>
      <c r="C263" s="20">
        <v>8</v>
      </c>
      <c r="D263" s="100">
        <f t="shared" si="86"/>
        <v>0.56899999999999995</v>
      </c>
      <c r="E263" s="4"/>
      <c r="F263" s="105">
        <v>2.206</v>
      </c>
      <c r="G263" s="108">
        <v>2.302</v>
      </c>
      <c r="H263" s="101">
        <v>2.9049999999999998</v>
      </c>
      <c r="I263" s="107">
        <f>(H263-(G263-0.1*H263)/0.9-GasolineMGSData!AG265)*(Y$283/Y263)</f>
        <v>-0.20689377441845241</v>
      </c>
      <c r="J263" s="107">
        <f t="shared" si="80"/>
        <v>-0.20270307732089587</v>
      </c>
      <c r="K263" s="85">
        <v>2.3359999999999999</v>
      </c>
      <c r="L263" s="85">
        <v>2.2349999999999999</v>
      </c>
      <c r="M263" s="85">
        <v>2.2149999999999999</v>
      </c>
      <c r="N263" s="2">
        <v>70.75</v>
      </c>
      <c r="O263" s="1">
        <f t="shared" si="81"/>
        <v>2.6272154755507788</v>
      </c>
      <c r="P263" s="1">
        <f t="shared" si="76"/>
        <v>2.5136243954862976</v>
      </c>
      <c r="Q263" s="1">
        <f t="shared" si="82"/>
        <v>2.491131112305212</v>
      </c>
      <c r="R263" s="1">
        <f t="shared" si="94"/>
        <v>76.994130322736297</v>
      </c>
      <c r="S263" s="1">
        <f t="shared" si="87"/>
        <v>0.11359108006448126</v>
      </c>
      <c r="T263" s="1">
        <f t="shared" si="88"/>
        <v>0.13608436324556683</v>
      </c>
      <c r="U263" s="1">
        <f t="shared" si="89"/>
        <v>0.12483772165502405</v>
      </c>
      <c r="V263" s="1">
        <f t="shared" si="77"/>
        <v>0.13658187463906432</v>
      </c>
      <c r="W263" s="82">
        <f t="shared" si="83"/>
        <v>1.6012095757163544E-2</v>
      </c>
      <c r="X263" s="1">
        <f t="shared" si="93"/>
        <v>2.6666571061011623E-2</v>
      </c>
      <c r="Y263" s="2">
        <v>273.56700000000001</v>
      </c>
      <c r="Z263" s="1">
        <f t="shared" si="84"/>
        <v>0.12596303948064361</v>
      </c>
      <c r="AA263" s="1">
        <f t="shared" si="85"/>
        <v>0.15090621561542472</v>
      </c>
      <c r="AB263" s="1">
        <f t="shared" si="91"/>
        <v>0.13843462754803415</v>
      </c>
      <c r="AC263" s="1">
        <f t="shared" si="78"/>
        <v>0.15292001985122386</v>
      </c>
      <c r="AE263" s="1"/>
      <c r="AF263" s="1"/>
    </row>
    <row r="264" spans="1:32">
      <c r="B264" s="63">
        <f t="shared" si="79"/>
        <v>44454.800000000112</v>
      </c>
      <c r="C264" s="20">
        <v>9</v>
      </c>
      <c r="D264" s="100">
        <f t="shared" si="86"/>
        <v>0.61799999999999988</v>
      </c>
      <c r="E264" s="4"/>
      <c r="F264" s="105">
        <v>2.2250000000000001</v>
      </c>
      <c r="G264" s="108">
        <v>2.31</v>
      </c>
      <c r="H264" s="101">
        <v>2.8679999999999999</v>
      </c>
      <c r="I264" s="107">
        <f>(H264-(G264-0.1*H264)/0.9-GasolineMGSData!AG266)*(Y$283/Y264)</f>
        <v>-0.24022989563119959</v>
      </c>
      <c r="J264" s="107">
        <f t="shared" si="80"/>
        <v>-0.20270307732089587</v>
      </c>
      <c r="K264" s="85">
        <v>2.25</v>
      </c>
      <c r="L264" s="85">
        <v>2.2839999999999998</v>
      </c>
      <c r="M264" s="85">
        <v>2.1989999999999998</v>
      </c>
      <c r="N264" s="2">
        <v>74.489999999999995</v>
      </c>
      <c r="O264" s="1">
        <f t="shared" si="81"/>
        <v>2.5236402245634499</v>
      </c>
      <c r="P264" s="1">
        <f t="shared" si="76"/>
        <v>2.5617752324012972</v>
      </c>
      <c r="Q264" s="1">
        <f t="shared" si="82"/>
        <v>2.4664377128066781</v>
      </c>
      <c r="R264" s="1">
        <f t="shared" si="94"/>
        <v>80.844637052969262</v>
      </c>
      <c r="S264" s="1">
        <f t="shared" si="87"/>
        <v>-3.813500783784729E-2</v>
      </c>
      <c r="T264" s="1">
        <f t="shared" si="88"/>
        <v>5.7202511756771823E-2</v>
      </c>
      <c r="U264" s="1">
        <f t="shared" si="89"/>
        <v>9.5337519594622666E-3</v>
      </c>
      <c r="V264" s="1">
        <f t="shared" si="77"/>
        <v>0.13658187463906432</v>
      </c>
      <c r="W264" s="82">
        <f t="shared" si="83"/>
        <v>-9.8997107287375263E-2</v>
      </c>
      <c r="X264" s="1">
        <f t="shared" si="93"/>
        <v>2.6666571061011623E-2</v>
      </c>
      <c r="Y264" s="2">
        <v>274.31</v>
      </c>
      <c r="Z264" s="1">
        <f t="shared" si="84"/>
        <v>-4.2174001613914436E-2</v>
      </c>
      <c r="AA264" s="1">
        <f t="shared" si="85"/>
        <v>6.3261002420872639E-2</v>
      </c>
      <c r="AB264" s="1">
        <f t="shared" si="91"/>
        <v>1.0543500403479102E-2</v>
      </c>
      <c r="AC264" s="1">
        <f t="shared" si="78"/>
        <v>0.15292001985122386</v>
      </c>
      <c r="AE264" s="1"/>
      <c r="AF264" s="1"/>
    </row>
    <row r="265" spans="1:32">
      <c r="B265" s="63">
        <f t="shared" si="79"/>
        <v>44485.280000000115</v>
      </c>
      <c r="C265" s="20">
        <v>10</v>
      </c>
      <c r="D265" s="100">
        <f t="shared" si="86"/>
        <v>0.57699999999999996</v>
      </c>
      <c r="E265" s="4"/>
      <c r="F265" s="105">
        <v>2.411</v>
      </c>
      <c r="G265" s="108">
        <v>2.4940000000000002</v>
      </c>
      <c r="H265" s="101">
        <v>3.1120000000000001</v>
      </c>
      <c r="I265" s="107">
        <f>(H265-(G265-0.1*H265)/0.9-GasolineMGSData!AG267)*(Y$283/Y265)</f>
        <v>-0.18276452573707899</v>
      </c>
      <c r="J265" s="107">
        <f t="shared" si="80"/>
        <v>-0.20270307732089587</v>
      </c>
      <c r="K265" s="85">
        <v>2.5350000000000001</v>
      </c>
      <c r="L265" s="85">
        <v>2.5</v>
      </c>
      <c r="M265" s="85">
        <v>2.4249999999999998</v>
      </c>
      <c r="N265" s="2">
        <v>83.54</v>
      </c>
      <c r="O265" s="1">
        <f t="shared" si="81"/>
        <v>2.8198734765301587</v>
      </c>
      <c r="P265" s="1">
        <f t="shared" si="76"/>
        <v>2.7809403121599194</v>
      </c>
      <c r="Q265" s="1">
        <f t="shared" si="82"/>
        <v>2.6975121027951219</v>
      </c>
      <c r="R265" s="1">
        <f t="shared" si="94"/>
        <v>89.919616976813984</v>
      </c>
      <c r="S265" s="1">
        <f t="shared" si="87"/>
        <v>3.8933164370239304E-2</v>
      </c>
      <c r="T265" s="1">
        <f t="shared" si="88"/>
        <v>0.12236137373503686</v>
      </c>
      <c r="U265" s="1">
        <f t="shared" si="89"/>
        <v>8.0647269052638082E-2</v>
      </c>
      <c r="V265" s="1">
        <f t="shared" si="77"/>
        <v>0.13658187463906432</v>
      </c>
      <c r="W265" s="82">
        <f t="shared" si="83"/>
        <v>-2.6989332547570188E-2</v>
      </c>
      <c r="X265" s="1">
        <f t="shared" si="93"/>
        <v>2.6666571061011623E-2</v>
      </c>
      <c r="Y265" s="2">
        <v>276.589</v>
      </c>
      <c r="Z265" s="1">
        <f t="shared" si="84"/>
        <v>4.270192069405835E-2</v>
      </c>
      <c r="AA265" s="1">
        <f t="shared" si="85"/>
        <v>0.13420603646703949</v>
      </c>
      <c r="AB265" s="1">
        <f t="shared" si="91"/>
        <v>8.8453978580548917E-2</v>
      </c>
      <c r="AC265" s="1">
        <f t="shared" si="78"/>
        <v>0.15292001985122386</v>
      </c>
      <c r="AE265" s="1"/>
      <c r="AF265" s="1"/>
    </row>
    <row r="266" spans="1:32">
      <c r="B266" s="63">
        <f t="shared" si="79"/>
        <v>44515.760000000118</v>
      </c>
      <c r="C266" s="20">
        <v>11</v>
      </c>
      <c r="D266" s="100">
        <f t="shared" si="86"/>
        <v>0.68600000000000039</v>
      </c>
      <c r="E266" s="4"/>
      <c r="F266" s="105">
        <v>2.395</v>
      </c>
      <c r="G266" s="108">
        <v>2.484</v>
      </c>
      <c r="H266" s="101">
        <v>3.2160000000000002</v>
      </c>
      <c r="I266" s="107">
        <f>(H266-(G266-0.1*H266)/0.9-GasolineMGSData!AG268)*(Y$283/Y266)</f>
        <v>-6.8931252884794111E-2</v>
      </c>
      <c r="J266" s="107">
        <f t="shared" si="80"/>
        <v>-0.20270307732089587</v>
      </c>
      <c r="K266" s="85">
        <v>2.5299999999999998</v>
      </c>
      <c r="L266" s="85">
        <v>2.39</v>
      </c>
      <c r="M266" s="85">
        <v>2.2799999999999998</v>
      </c>
      <c r="N266" s="2">
        <v>81.05</v>
      </c>
      <c r="O266" s="1">
        <f t="shared" si="81"/>
        <v>2.8005512901693841</v>
      </c>
      <c r="P266" s="1">
        <f t="shared" si="76"/>
        <v>2.645580072531553</v>
      </c>
      <c r="Q266" s="1">
        <f t="shared" si="82"/>
        <v>2.5238169729589708</v>
      </c>
      <c r="R266" s="1">
        <f t="shared" si="94"/>
        <v>86.812916624692392</v>
      </c>
      <c r="S266" s="1">
        <f t="shared" si="87"/>
        <v>0.15497121763783106</v>
      </c>
      <c r="T266" s="1">
        <f t="shared" si="88"/>
        <v>0.27673431721041331</v>
      </c>
      <c r="U266" s="1">
        <f t="shared" si="89"/>
        <v>0.21585276742412218</v>
      </c>
      <c r="V266" s="1">
        <f t="shared" si="77"/>
        <v>0.13658187463906432</v>
      </c>
      <c r="W266" s="82">
        <f t="shared" si="83"/>
        <v>0.10874244462993043</v>
      </c>
      <c r="X266" s="1">
        <f t="shared" si="93"/>
        <v>2.6666571061011623E-2</v>
      </c>
      <c r="Y266" s="2">
        <v>277.94799999999998</v>
      </c>
      <c r="Z266" s="1">
        <f t="shared" si="84"/>
        <v>0.16914147069331439</v>
      </c>
      <c r="AA266" s="1">
        <f t="shared" si="85"/>
        <v>0.30203834052377643</v>
      </c>
      <c r="AB266" s="1">
        <f t="shared" si="91"/>
        <v>0.23558990560854542</v>
      </c>
      <c r="AC266" s="1">
        <f t="shared" si="78"/>
        <v>0.15292001985122386</v>
      </c>
      <c r="AE266" s="1"/>
      <c r="AF266" s="1"/>
    </row>
    <row r="267" spans="1:32">
      <c r="B267" s="63">
        <f t="shared" si="79"/>
        <v>44546.240000000122</v>
      </c>
      <c r="C267" s="20">
        <v>12</v>
      </c>
      <c r="D267" s="100">
        <f t="shared" si="86"/>
        <v>0.71200000000000019</v>
      </c>
      <c r="E267" s="4"/>
      <c r="F267" s="105">
        <v>2.2120000000000002</v>
      </c>
      <c r="G267" s="108">
        <v>2.3039999999999998</v>
      </c>
      <c r="H267" s="101">
        <v>3.0270000000000001</v>
      </c>
      <c r="I267" s="107">
        <f>(H267-(G267-0.1*H267)/0.9-GasolineMGSData!AG269)*(Y$283/Y267)</f>
        <v>-7.9524945924616841E-2</v>
      </c>
      <c r="J267" s="107">
        <f t="shared" si="80"/>
        <v>-0.20270307732089587</v>
      </c>
      <c r="K267" s="85">
        <v>2.3149999999999999</v>
      </c>
      <c r="L267" s="85">
        <v>2.2029999999999998</v>
      </c>
      <c r="M267" s="85">
        <v>2.129</v>
      </c>
      <c r="N267" s="2">
        <v>74.17</v>
      </c>
      <c r="O267" s="1">
        <f t="shared" si="81"/>
        <v>2.5547103858652376</v>
      </c>
      <c r="P267" s="1">
        <f t="shared" si="76"/>
        <v>2.4311131663330965</v>
      </c>
      <c r="Q267" s="1">
        <f t="shared" si="82"/>
        <v>2.3494507177136463</v>
      </c>
      <c r="R267" s="1">
        <f t="shared" si="94"/>
        <v>79.200381883917615</v>
      </c>
      <c r="S267" s="1">
        <f t="shared" si="87"/>
        <v>0.12359721953214109</v>
      </c>
      <c r="T267" s="1">
        <f t="shared" si="88"/>
        <v>0.20525966815159125</v>
      </c>
      <c r="U267" s="1">
        <f t="shared" si="89"/>
        <v>0.16442844384186617</v>
      </c>
      <c r="V267" s="1">
        <f t="shared" si="77"/>
        <v>0.13658187463906432</v>
      </c>
      <c r="W267" s="82">
        <f t="shared" si="83"/>
        <v>5.7646211289732394E-2</v>
      </c>
      <c r="X267" s="1">
        <f t="shared" si="93"/>
        <v>2.6666571061011623E-2</v>
      </c>
      <c r="Y267" s="2">
        <v>278.80200000000002</v>
      </c>
      <c r="Z267" s="1">
        <f t="shared" si="84"/>
        <v>0.13448548901704047</v>
      </c>
      <c r="AA267" s="1">
        <f t="shared" si="85"/>
        <v>0.22334197283187054</v>
      </c>
      <c r="AB267" s="1">
        <f t="shared" si="91"/>
        <v>0.17891373092445551</v>
      </c>
      <c r="AC267" s="1">
        <f t="shared" si="78"/>
        <v>0.15292001985122386</v>
      </c>
      <c r="AE267" s="1"/>
      <c r="AF267" s="1"/>
    </row>
    <row r="268" spans="1:32">
      <c r="A268" s="64" t="s">
        <v>39</v>
      </c>
      <c r="B268" s="63">
        <f t="shared" si="79"/>
        <v>44576.720000000125</v>
      </c>
      <c r="C268" s="20">
        <v>1</v>
      </c>
      <c r="D268" s="100">
        <f t="shared" si="86"/>
        <v>0.53200000000000003</v>
      </c>
      <c r="E268" s="4"/>
      <c r="F268" s="105">
        <v>2.3330000000000002</v>
      </c>
      <c r="G268" s="108">
        <v>2.423</v>
      </c>
      <c r="H268" s="101">
        <v>3.08</v>
      </c>
      <c r="I268" s="107">
        <f>(H268-(G268-0.1*H268)/0.9-GasolineMGSData!AG270)*(Y$283/Y268)</f>
        <v>-0.18015787984696752</v>
      </c>
      <c r="J268" s="107">
        <f>AVERAGE(I268:I279)</f>
        <v>-8.6268106096490119E-2</v>
      </c>
      <c r="K268" s="85">
        <v>2.548</v>
      </c>
      <c r="L268" s="85">
        <v>2.4489999999999998</v>
      </c>
      <c r="M268" s="85">
        <v>2.4</v>
      </c>
      <c r="N268" s="2">
        <v>86.51</v>
      </c>
      <c r="O268" s="1">
        <f t="shared" si="81"/>
        <v>2.7883737675530322</v>
      </c>
      <c r="P268" s="1">
        <f t="shared" si="76"/>
        <v>2.680034284433821</v>
      </c>
      <c r="Q268" s="1">
        <f t="shared" si="82"/>
        <v>2.6264117119808779</v>
      </c>
      <c r="R268" s="1">
        <f t="shared" si="94"/>
        <v>91.606479896709217</v>
      </c>
      <c r="S268" s="1">
        <f t="shared" si="87"/>
        <v>0.10833948311921127</v>
      </c>
      <c r="T268" s="1">
        <f t="shared" si="88"/>
        <v>0.16196205557215437</v>
      </c>
      <c r="U268" s="1">
        <f t="shared" si="89"/>
        <v>0.13515076934568282</v>
      </c>
      <c r="V268" s="1">
        <f>AVERAGE(S268:T279)</f>
        <v>0.30025868863301458</v>
      </c>
      <c r="W268" s="82">
        <f t="shared" si="83"/>
        <v>2.9259566135985432E-2</v>
      </c>
      <c r="X268" s="1">
        <f>AVERAGE(W268:W279)</f>
        <v>0.19849284963435276</v>
      </c>
      <c r="Y268" s="83">
        <v>281.14800000000002</v>
      </c>
      <c r="Z268" s="1">
        <f t="shared" si="84"/>
        <v>0.11689996235965856</v>
      </c>
      <c r="AA268" s="1">
        <f t="shared" si="85"/>
        <v>0.1747595396891867</v>
      </c>
      <c r="AB268" s="1">
        <f t="shared" si="91"/>
        <v>0.14582975102442264</v>
      </c>
      <c r="AC268" s="1">
        <f>AVERAGE(Z268:AA279)</f>
        <v>0.31058771922221146</v>
      </c>
      <c r="AE268" s="1"/>
      <c r="AF268" s="1"/>
    </row>
    <row r="269" spans="1:32">
      <c r="B269" s="63">
        <f t="shared" si="79"/>
        <v>44607.200000000128</v>
      </c>
      <c r="C269" s="20">
        <v>2</v>
      </c>
      <c r="D269" s="100">
        <f t="shared" si="86"/>
        <v>0.46300000000000008</v>
      </c>
      <c r="E269" s="4"/>
      <c r="F269" s="105">
        <v>2.552</v>
      </c>
      <c r="G269" s="108">
        <v>2.6389999999999998</v>
      </c>
      <c r="H269" s="101">
        <v>3.2810000000000001</v>
      </c>
      <c r="I269" s="107">
        <f>(H269-(G269-0.1*H269)/0.9-GasolineMGSData!AG271)*(Y$283/Y269)</f>
        <v>-0.19590526902693617</v>
      </c>
      <c r="J269" s="107">
        <f t="shared" si="80"/>
        <v>-8.6268106096490119E-2</v>
      </c>
      <c r="K269" s="85">
        <v>2.8180000000000001</v>
      </c>
      <c r="L269" s="85">
        <v>2.7389999999999999</v>
      </c>
      <c r="M269" s="85">
        <v>2.6480000000000001</v>
      </c>
      <c r="N269" s="2">
        <v>97.13</v>
      </c>
      <c r="O269" s="1">
        <f t="shared" si="81"/>
        <v>3.0559322632491646</v>
      </c>
      <c r="P269" s="1">
        <f t="shared" si="76"/>
        <v>2.9702620543078289</v>
      </c>
      <c r="Q269" s="1">
        <f t="shared" si="82"/>
        <v>2.8715786490716066</v>
      </c>
      <c r="R269" s="1">
        <f t="shared" si="94"/>
        <v>101.92117973607411</v>
      </c>
      <c r="S269" s="1">
        <f t="shared" si="87"/>
        <v>8.5670208941335702E-2</v>
      </c>
      <c r="T269" s="1">
        <f t="shared" si="88"/>
        <v>0.18435361417755791</v>
      </c>
      <c r="U269" s="1">
        <f t="shared" si="89"/>
        <v>0.13501191155944681</v>
      </c>
      <c r="V269" s="1">
        <f t="shared" si="77"/>
        <v>0.30025868863301458</v>
      </c>
      <c r="W269" s="82">
        <f t="shared" si="83"/>
        <v>3.0079161908387289E-2</v>
      </c>
      <c r="X269" s="1">
        <f t="shared" si="93"/>
        <v>0.19849284963435276</v>
      </c>
      <c r="Y269" s="83">
        <v>283.71600000000001</v>
      </c>
      <c r="Z269" s="1">
        <f t="shared" si="84"/>
        <v>9.1602770358634761E-2</v>
      </c>
      <c r="AA269" s="1">
        <f t="shared" si="85"/>
        <v>0.19711988558187235</v>
      </c>
      <c r="AB269" s="1">
        <f t="shared" si="91"/>
        <v>0.14436132797025356</v>
      </c>
      <c r="AC269" s="1">
        <f t="shared" si="78"/>
        <v>0.31058771922221146</v>
      </c>
      <c r="AE269" s="1"/>
      <c r="AF269" s="1"/>
    </row>
    <row r="270" spans="1:32">
      <c r="B270" s="63">
        <f t="shared" si="79"/>
        <v>44637.680000000131</v>
      </c>
      <c r="C270" s="20">
        <v>3</v>
      </c>
      <c r="D270" s="100">
        <f t="shared" si="86"/>
        <v>0.37000000000000011</v>
      </c>
      <c r="E270" s="4"/>
      <c r="F270" s="105">
        <v>3.133</v>
      </c>
      <c r="G270" s="108">
        <v>3.2320000000000002</v>
      </c>
      <c r="H270" s="101">
        <v>4.1539999999999999</v>
      </c>
      <c r="I270" s="107">
        <f>(H270-(G270-0.1*H270)/0.9-GasolineMGSData!AG272)*(Y$283/Y270)</f>
        <v>0.1172588305844333</v>
      </c>
      <c r="J270" s="107">
        <f t="shared" si="80"/>
        <v>-8.6268106096490119E-2</v>
      </c>
      <c r="K270" s="85">
        <v>3.7839999999999998</v>
      </c>
      <c r="L270" s="85">
        <v>3.1840000000000002</v>
      </c>
      <c r="M270" s="85">
        <v>3.1970000000000001</v>
      </c>
      <c r="N270" s="2">
        <v>117.25</v>
      </c>
      <c r="O270" s="1">
        <f t="shared" si="81"/>
        <v>4.0494291001168676</v>
      </c>
      <c r="P270" s="1">
        <f t="shared" si="76"/>
        <v>3.4073420335021423</v>
      </c>
      <c r="Q270" s="1">
        <f t="shared" si="82"/>
        <v>3.4212539199454612</v>
      </c>
      <c r="R270" s="1">
        <f t="shared" si="94"/>
        <v>121.41262295481106</v>
      </c>
      <c r="S270" s="1">
        <f t="shared" si="87"/>
        <v>0.64208706661472537</v>
      </c>
      <c r="T270" s="1">
        <f t="shared" si="88"/>
        <v>0.62817518017140639</v>
      </c>
      <c r="U270" s="1">
        <f t="shared" si="89"/>
        <v>0.63513112339306588</v>
      </c>
      <c r="V270" s="1">
        <f t="shared" si="77"/>
        <v>0.30025868863301458</v>
      </c>
      <c r="W270" s="82">
        <f t="shared" si="83"/>
        <v>0.53158091191774726</v>
      </c>
      <c r="X270" s="1">
        <f t="shared" si="93"/>
        <v>0.19849284963435276</v>
      </c>
      <c r="Y270" s="83">
        <v>287.50400000000002</v>
      </c>
      <c r="Z270" s="1">
        <f t="shared" si="84"/>
        <v>0.67750521310814082</v>
      </c>
      <c r="AA270" s="1">
        <f t="shared" si="85"/>
        <v>0.66282593349079788</v>
      </c>
      <c r="AB270" s="1">
        <f t="shared" si="91"/>
        <v>0.67016557329946935</v>
      </c>
      <c r="AC270" s="1">
        <f t="shared" si="78"/>
        <v>0.31058771922221146</v>
      </c>
      <c r="AE270" s="1"/>
      <c r="AF270" s="1"/>
    </row>
    <row r="271" spans="1:32">
      <c r="B271" s="63">
        <f t="shared" si="79"/>
        <v>44668.160000000134</v>
      </c>
      <c r="C271" s="20">
        <v>4</v>
      </c>
      <c r="E271" s="4"/>
      <c r="F271" s="46"/>
      <c r="G271" s="46"/>
      <c r="J271" s="107">
        <f t="shared" si="80"/>
        <v>-8.6268106096490119E-2</v>
      </c>
      <c r="K271" s="85">
        <v>3.4079999999999999</v>
      </c>
      <c r="L271" s="85">
        <v>3.1930000000000001</v>
      </c>
      <c r="M271" s="85">
        <v>3.18</v>
      </c>
      <c r="N271" s="2">
        <v>104.15</v>
      </c>
      <c r="O271" s="1">
        <f t="shared" si="81"/>
        <v>3.626807771463358</v>
      </c>
      <c r="P271" s="1">
        <f t="shared" si="76"/>
        <v>3.3980038774303116</v>
      </c>
      <c r="Q271" s="1">
        <f t="shared" si="82"/>
        <v>3.3841692233725</v>
      </c>
      <c r="R271" s="1">
        <f t="shared" si="94"/>
        <v>107.24882535652644</v>
      </c>
      <c r="S271" s="1">
        <f t="shared" si="87"/>
        <v>0.22880389403304635</v>
      </c>
      <c r="T271" s="1">
        <f t="shared" si="88"/>
        <v>0.24263854809085794</v>
      </c>
      <c r="U271" s="1">
        <f t="shared" si="89"/>
        <v>0.23572122106195215</v>
      </c>
      <c r="V271" s="1">
        <f t="shared" si="77"/>
        <v>0.30025868863301458</v>
      </c>
      <c r="W271" s="82">
        <f t="shared" si="83"/>
        <v>0.13274587266394305</v>
      </c>
      <c r="X271" s="1">
        <f t="shared" si="93"/>
        <v>0.19849284963435276</v>
      </c>
      <c r="Y271" s="2">
        <v>289.10899999999998</v>
      </c>
      <c r="Z271" s="1">
        <f t="shared" si="84"/>
        <v>0.2400846590924082</v>
      </c>
      <c r="AA271" s="1">
        <f t="shared" si="85"/>
        <v>0.25460140592125097</v>
      </c>
      <c r="AB271" s="1">
        <f t="shared" si="91"/>
        <v>0.2473430325068296</v>
      </c>
      <c r="AC271" s="1">
        <f t="shared" si="78"/>
        <v>0.31058771922221146</v>
      </c>
      <c r="AE271" s="1"/>
      <c r="AF271" s="1"/>
    </row>
    <row r="272" spans="1:32">
      <c r="A272">
        <v>2022</v>
      </c>
      <c r="B272" s="63">
        <f t="shared" si="79"/>
        <v>44698.640000000138</v>
      </c>
      <c r="C272" s="20">
        <v>5</v>
      </c>
      <c r="E272" s="4"/>
      <c r="F272" s="46"/>
      <c r="G272" s="46"/>
      <c r="J272" s="107">
        <f t="shared" si="80"/>
        <v>-8.6268106096490119E-2</v>
      </c>
      <c r="K272" s="85">
        <v>4.0339999999999998</v>
      </c>
      <c r="L272" s="85">
        <v>3.8279999999999998</v>
      </c>
      <c r="M272" s="85">
        <v>3.75</v>
      </c>
      <c r="N272" s="2">
        <v>113.34</v>
      </c>
      <c r="O272" s="1">
        <f t="shared" si="81"/>
        <v>4.2461915797684542</v>
      </c>
      <c r="P272" s="1">
        <f t="shared" si="76"/>
        <v>4.0293558173905906</v>
      </c>
      <c r="Q272" s="1">
        <f t="shared" si="82"/>
        <v>3.9472529559077101</v>
      </c>
      <c r="R272" s="1">
        <f t="shared" si="94"/>
        <v>115.43970748829955</v>
      </c>
      <c r="S272" s="1">
        <f t="shared" si="87"/>
        <v>0.21683576237786362</v>
      </c>
      <c r="T272" s="1">
        <f t="shared" si="88"/>
        <v>0.2989386238607441</v>
      </c>
      <c r="U272" s="1">
        <f t="shared" si="89"/>
        <v>0.25788719311930386</v>
      </c>
      <c r="V272" s="1">
        <f t="shared" si="77"/>
        <v>0.30025868863301458</v>
      </c>
      <c r="W272" s="82">
        <f t="shared" si="83"/>
        <v>0.15603461901633972</v>
      </c>
      <c r="X272" s="1">
        <f t="shared" si="93"/>
        <v>0.19849284963435276</v>
      </c>
      <c r="Y272" s="2">
        <v>292.29599999999999</v>
      </c>
      <c r="Z272" s="1">
        <f t="shared" si="84"/>
        <v>0.22504566392367956</v>
      </c>
      <c r="AA272" s="1">
        <f t="shared" si="85"/>
        <v>0.31025712890449031</v>
      </c>
      <c r="AB272" s="1">
        <f t="shared" si="91"/>
        <v>0.26765139641408492</v>
      </c>
      <c r="AC272" s="1">
        <f t="shared" si="78"/>
        <v>0.31058771922221146</v>
      </c>
      <c r="AE272" s="1"/>
      <c r="AF272" s="1"/>
    </row>
    <row r="273" spans="1:32">
      <c r="B273" s="63">
        <f t="shared" si="79"/>
        <v>44729.120000000141</v>
      </c>
      <c r="C273" s="20">
        <v>6</v>
      </c>
      <c r="E273" s="4"/>
      <c r="F273" s="46"/>
      <c r="G273" s="46"/>
      <c r="J273" s="107">
        <f t="shared" si="80"/>
        <v>-8.6268106096490119E-2</v>
      </c>
      <c r="K273" s="85">
        <v>4.2699999999999996</v>
      </c>
      <c r="L273" s="85">
        <v>4.0819999999999999</v>
      </c>
      <c r="M273" s="85">
        <v>4.0490000000000004</v>
      </c>
      <c r="N273" s="2">
        <v>122.71</v>
      </c>
      <c r="O273" s="1">
        <f t="shared" si="81"/>
        <v>4.4337036762050683</v>
      </c>
      <c r="P273" s="1">
        <f t="shared" si="76"/>
        <v>4.2384961138803483</v>
      </c>
      <c r="Q273" s="1">
        <f t="shared" si="82"/>
        <v>4.2042309566637757</v>
      </c>
      <c r="R273" s="1">
        <f t="shared" si="94"/>
        <v>123.28977597861707</v>
      </c>
      <c r="S273" s="1">
        <f t="shared" si="87"/>
        <v>0.19520756232472003</v>
      </c>
      <c r="T273" s="1">
        <f t="shared" si="88"/>
        <v>0.22947271954129267</v>
      </c>
      <c r="U273" s="1">
        <f t="shared" si="89"/>
        <v>0.21234014093300635</v>
      </c>
      <c r="V273" s="1">
        <f t="shared" si="77"/>
        <v>0.30025868863301458</v>
      </c>
      <c r="W273" s="82">
        <f t="shared" si="83"/>
        <v>0.11186766437965528</v>
      </c>
      <c r="X273" s="1">
        <f t="shared" si="93"/>
        <v>0.19849284963435276</v>
      </c>
      <c r="Y273" s="83">
        <v>296.31099999999998</v>
      </c>
      <c r="Z273" s="1">
        <f t="shared" si="84"/>
        <v>0.19985336936365525</v>
      </c>
      <c r="AA273" s="1">
        <f t="shared" si="85"/>
        <v>0.23493401398599842</v>
      </c>
      <c r="AB273" s="1">
        <f t="shared" si="91"/>
        <v>0.21739369167482683</v>
      </c>
      <c r="AC273" s="1">
        <f t="shared" si="78"/>
        <v>0.31058771922221146</v>
      </c>
      <c r="AE273" s="1"/>
      <c r="AF273" s="1"/>
    </row>
    <row r="274" spans="1:32">
      <c r="B274" s="63">
        <f t="shared" si="79"/>
        <v>44759.600000000144</v>
      </c>
      <c r="C274" s="20">
        <v>7</v>
      </c>
      <c r="E274" s="4"/>
      <c r="F274" s="46"/>
      <c r="G274" s="46"/>
      <c r="J274" s="107">
        <f t="shared" si="80"/>
        <v>-8.6268106096490119E-2</v>
      </c>
      <c r="K274" s="85">
        <v>3.33</v>
      </c>
      <c r="L274" s="85">
        <v>3.484</v>
      </c>
      <c r="M274" s="85">
        <v>3.2829999999999999</v>
      </c>
      <c r="N274" s="2">
        <v>111.93</v>
      </c>
      <c r="O274" s="1">
        <f t="shared" si="81"/>
        <v>3.4580743293415597</v>
      </c>
      <c r="P274" s="1">
        <f t="shared" si="76"/>
        <v>3.6179972863141119</v>
      </c>
      <c r="Q274" s="1">
        <f t="shared" si="82"/>
        <v>3.409266673642144</v>
      </c>
      <c r="R274" s="1">
        <f t="shared" si="94"/>
        <v>112.47212811702602</v>
      </c>
      <c r="S274" s="1">
        <f t="shared" si="87"/>
        <v>-0.15992295697255221</v>
      </c>
      <c r="T274" s="1">
        <f t="shared" si="88"/>
        <v>4.8807655699415697E-2</v>
      </c>
      <c r="U274" s="1">
        <f t="shared" si="89"/>
        <v>-5.5557650636568257E-2</v>
      </c>
      <c r="V274" s="1">
        <f t="shared" si="77"/>
        <v>0.30025868863301458</v>
      </c>
      <c r="W274" s="82">
        <f t="shared" si="83"/>
        <v>-0.1560419963142472</v>
      </c>
      <c r="X274" s="1">
        <f t="shared" si="93"/>
        <v>0.19849284963435276</v>
      </c>
      <c r="Y274" s="83">
        <v>296.27600000000001</v>
      </c>
      <c r="Z274" s="1">
        <f t="shared" si="84"/>
        <v>-0.16374835624912024</v>
      </c>
      <c r="AA274" s="1">
        <f t="shared" si="85"/>
        <v>4.9975147686420238E-2</v>
      </c>
      <c r="AB274" s="1">
        <f t="shared" si="91"/>
        <v>-5.6886604281349999E-2</v>
      </c>
      <c r="AC274" s="1">
        <f t="shared" si="78"/>
        <v>0.31058771922221146</v>
      </c>
      <c r="AE274" s="1"/>
      <c r="AF274" s="1"/>
    </row>
    <row r="275" spans="1:32">
      <c r="B275" s="63">
        <f t="shared" si="79"/>
        <v>44790.080000000147</v>
      </c>
      <c r="C275" s="20">
        <v>8</v>
      </c>
      <c r="E275" s="4"/>
      <c r="F275" s="46"/>
      <c r="G275" s="46"/>
      <c r="J275" s="107">
        <f t="shared" si="80"/>
        <v>-8.6268106096490119E-2</v>
      </c>
      <c r="K275" s="85">
        <v>3.1230000000000002</v>
      </c>
      <c r="L275" s="85">
        <v>3.0270000000000001</v>
      </c>
      <c r="M275" s="85">
        <v>2.7930000000000001</v>
      </c>
      <c r="N275" s="2">
        <v>100.45</v>
      </c>
      <c r="O275" s="1">
        <f t="shared" si="81"/>
        <v>3.2442627164712281</v>
      </c>
      <c r="P275" s="1">
        <f t="shared" si="76"/>
        <v>3.1445351401724007</v>
      </c>
      <c r="Q275" s="1">
        <f t="shared" si="82"/>
        <v>2.9014491729440088</v>
      </c>
      <c r="R275" s="1">
        <f t="shared" si="94"/>
        <v>100.97230974673415</v>
      </c>
      <c r="S275" s="1">
        <f t="shared" si="87"/>
        <v>9.9727576298827447E-2</v>
      </c>
      <c r="T275" s="1">
        <f t="shared" si="88"/>
        <v>0.34281354352721927</v>
      </c>
      <c r="U275" s="1">
        <f t="shared" si="89"/>
        <v>0.22127055991302336</v>
      </c>
      <c r="V275" s="1">
        <f t="shared" si="77"/>
        <v>0.30025868863301458</v>
      </c>
      <c r="W275" s="82">
        <f t="shared" si="83"/>
        <v>0.12075059003075937</v>
      </c>
      <c r="X275" s="1">
        <f t="shared" si="93"/>
        <v>0.19849284963435276</v>
      </c>
      <c r="Y275" s="83">
        <v>296.17099999999999</v>
      </c>
      <c r="Z275" s="1">
        <f t="shared" si="84"/>
        <v>0.10214928783959669</v>
      </c>
      <c r="AA275" s="1">
        <f t="shared" si="85"/>
        <v>0.35113817694861355</v>
      </c>
      <c r="AB275" s="1">
        <f t="shared" si="91"/>
        <v>0.22664373239410512</v>
      </c>
      <c r="AC275" s="1">
        <f t="shared" si="78"/>
        <v>0.31058771922221146</v>
      </c>
      <c r="AE275" s="1"/>
      <c r="AF275" s="1"/>
    </row>
    <row r="276" spans="1:32">
      <c r="B276" s="63">
        <f t="shared" si="79"/>
        <v>44820.56000000015</v>
      </c>
      <c r="C276" s="20">
        <v>9</v>
      </c>
      <c r="E276" s="4"/>
      <c r="F276" s="46"/>
      <c r="G276" s="46"/>
      <c r="J276" s="107">
        <f t="shared" si="80"/>
        <v>-8.6268106096490119E-2</v>
      </c>
      <c r="K276" s="85">
        <v>3.8839999999999999</v>
      </c>
      <c r="L276" s="85">
        <v>2.6419999999999999</v>
      </c>
      <c r="M276" s="85">
        <v>2.5779999999999998</v>
      </c>
      <c r="N276" s="2">
        <v>89.76</v>
      </c>
      <c r="O276" s="1">
        <f t="shared" si="81"/>
        <v>4.0261521387563679</v>
      </c>
      <c r="P276" s="1">
        <f t="shared" si="76"/>
        <v>2.7386956618419989</v>
      </c>
      <c r="Q276" s="1">
        <f t="shared" si="82"/>
        <v>2.6723532991024501</v>
      </c>
      <c r="R276" s="1">
        <f t="shared" si="94"/>
        <v>90.03308320530445</v>
      </c>
      <c r="S276" s="1">
        <f t="shared" si="87"/>
        <v>1.287456476914369</v>
      </c>
      <c r="T276" s="1">
        <f t="shared" si="88"/>
        <v>1.3537988396539178</v>
      </c>
      <c r="U276" s="1">
        <f t="shared" si="89"/>
        <v>1.3206276582841434</v>
      </c>
      <c r="V276" s="1">
        <f t="shared" si="77"/>
        <v>0.30025868863301458</v>
      </c>
      <c r="W276" s="82">
        <f t="shared" si="83"/>
        <v>1.220323421201585</v>
      </c>
      <c r="X276" s="1">
        <f t="shared" si="93"/>
        <v>0.19849284963435276</v>
      </c>
      <c r="Y276" s="83">
        <v>296.80799999999999</v>
      </c>
      <c r="Z276" s="1">
        <f t="shared" si="84"/>
        <v>1.3158899329067066</v>
      </c>
      <c r="AA276" s="1">
        <f t="shared" si="85"/>
        <v>1.3836974656812873</v>
      </c>
      <c r="AB276" s="1">
        <f t="shared" si="91"/>
        <v>1.349793699293997</v>
      </c>
      <c r="AC276" s="1">
        <f t="shared" si="78"/>
        <v>0.31058771922221146</v>
      </c>
      <c r="AE276" s="1"/>
      <c r="AF276" s="1"/>
    </row>
    <row r="277" spans="1:32">
      <c r="B277" s="63">
        <f t="shared" si="79"/>
        <v>44851.040000000154</v>
      </c>
      <c r="C277" s="20">
        <v>10</v>
      </c>
      <c r="E277" s="4"/>
      <c r="F277" s="46"/>
      <c r="G277" s="46"/>
      <c r="J277" s="107">
        <f t="shared" si="80"/>
        <v>-8.6268106096490119E-2</v>
      </c>
      <c r="K277" s="85">
        <v>3.2269999999999999</v>
      </c>
      <c r="L277" s="85">
        <v>3.0129999999999999</v>
      </c>
      <c r="M277" s="85">
        <v>2.8370000000000002</v>
      </c>
      <c r="N277" s="2">
        <v>93.33</v>
      </c>
      <c r="O277" s="1">
        <f t="shared" si="81"/>
        <v>3.3315917379165936</v>
      </c>
      <c r="P277" s="1">
        <f t="shared" si="76"/>
        <v>3.1106556883615419</v>
      </c>
      <c r="Q277" s="1">
        <f t="shared" si="82"/>
        <v>2.9289512737742105</v>
      </c>
      <c r="R277" s="1">
        <f t="shared" si="94"/>
        <v>93.235734232178572</v>
      </c>
      <c r="S277" s="1">
        <f t="shared" si="87"/>
        <v>0.22093604955505164</v>
      </c>
      <c r="T277" s="1">
        <f t="shared" si="88"/>
        <v>0.40264046414238308</v>
      </c>
      <c r="U277" s="1">
        <f t="shared" si="89"/>
        <v>0.31178825684871736</v>
      </c>
      <c r="V277" s="1">
        <f t="shared" si="77"/>
        <v>0.30025868863301458</v>
      </c>
      <c r="W277" s="82">
        <f t="shared" si="83"/>
        <v>0.21188925949290616</v>
      </c>
      <c r="X277" s="1">
        <f t="shared" si="93"/>
        <v>0.19849284963435276</v>
      </c>
      <c r="Y277" s="2">
        <v>298.012</v>
      </c>
      <c r="Z277" s="1">
        <f t="shared" si="84"/>
        <v>0.22490310055020984</v>
      </c>
      <c r="AA277" s="1">
        <f t="shared" si="85"/>
        <v>0.40987013651673682</v>
      </c>
      <c r="AB277" s="1">
        <f t="shared" si="91"/>
        <v>0.31738661853347333</v>
      </c>
      <c r="AC277" s="1">
        <f t="shared" si="78"/>
        <v>0.31058771922221146</v>
      </c>
    </row>
    <row r="278" spans="1:32">
      <c r="B278" s="63">
        <f t="shared" si="79"/>
        <v>44881.520000000157</v>
      </c>
      <c r="C278" s="20">
        <v>11</v>
      </c>
      <c r="E278" s="4"/>
      <c r="F278" s="46"/>
      <c r="G278" s="46"/>
      <c r="J278" s="107">
        <f t="shared" si="80"/>
        <v>-8.6268106096490119E-2</v>
      </c>
      <c r="K278" s="85">
        <v>2.8540000000000001</v>
      </c>
      <c r="L278" s="85">
        <v>2.8519999999999999</v>
      </c>
      <c r="M278" s="85">
        <v>2.456</v>
      </c>
      <c r="N278" s="2">
        <v>91.42</v>
      </c>
      <c r="O278" s="1">
        <f t="shared" si="81"/>
        <v>2.9494813224906031</v>
      </c>
      <c r="P278" s="1">
        <f t="shared" si="76"/>
        <v>2.9474144119632792</v>
      </c>
      <c r="Q278" s="1">
        <f t="shared" si="82"/>
        <v>2.5381661275532306</v>
      </c>
      <c r="R278" s="1">
        <f>N278*($Y$278/Y278)</f>
        <v>91.42</v>
      </c>
      <c r="S278" s="1">
        <f t="shared" si="87"/>
        <v>2.0669105273238841E-3</v>
      </c>
      <c r="T278" s="1">
        <f t="shared" si="88"/>
        <v>0.41131519493737256</v>
      </c>
      <c r="U278" s="1">
        <f t="shared" si="89"/>
        <v>0.20669105273234822</v>
      </c>
      <c r="V278" s="1">
        <f t="shared" si="77"/>
        <v>0.30025868863301458</v>
      </c>
      <c r="W278" s="82">
        <f t="shared" ref="W278:W284" si="95">U278-0.1*$Y$278/Y278</f>
        <v>0.10669105273234822</v>
      </c>
      <c r="X278" s="1">
        <f t="shared" si="93"/>
        <v>0.19849284963435276</v>
      </c>
      <c r="Y278" s="2">
        <v>297.71100000000001</v>
      </c>
      <c r="Z278" s="1">
        <f t="shared" si="84"/>
        <v>2.1061505228243344E-3</v>
      </c>
      <c r="AA278" s="1">
        <f t="shared" si="85"/>
        <v>0.41912395404196062</v>
      </c>
      <c r="AB278" s="1">
        <f t="shared" si="91"/>
        <v>0.21061505228239247</v>
      </c>
      <c r="AC278" s="1">
        <f t="shared" si="78"/>
        <v>0.31058771922221146</v>
      </c>
    </row>
    <row r="279" spans="1:32">
      <c r="B279" s="63">
        <f t="shared" si="79"/>
        <v>44912.00000000016</v>
      </c>
      <c r="C279" s="20">
        <v>12</v>
      </c>
      <c r="E279" s="4"/>
      <c r="F279" s="46"/>
      <c r="G279" s="46"/>
      <c r="J279" s="107">
        <f t="shared" si="80"/>
        <v>-8.6268106096490119E-2</v>
      </c>
      <c r="K279" s="85">
        <v>2.2490000000000001</v>
      </c>
      <c r="L279" s="85">
        <v>2.3660000000000001</v>
      </c>
      <c r="M279" s="85">
        <v>2.157</v>
      </c>
      <c r="N279" s="2">
        <v>80.92</v>
      </c>
      <c r="O279" s="1">
        <f t="shared" si="81"/>
        <v>2.3313984945939477</v>
      </c>
      <c r="P279" s="1">
        <f t="shared" ref="P279:P288" si="96">L279*($Y$289/$Y279)</f>
        <v>2.452685121480338</v>
      </c>
      <c r="Q279" s="1">
        <f t="shared" si="82"/>
        <v>2.2360278136234526</v>
      </c>
      <c r="R279" s="1">
        <f>N279*($Y$278/Y279)</f>
        <v>81.169196858458818</v>
      </c>
      <c r="S279" s="1">
        <f t="shared" si="87"/>
        <v>-0.12128662688639036</v>
      </c>
      <c r="T279" s="1">
        <f t="shared" si="88"/>
        <v>9.5370680970495059E-2</v>
      </c>
      <c r="U279" s="1">
        <f t="shared" si="89"/>
        <v>-1.295797295794765E-2</v>
      </c>
      <c r="V279" s="1">
        <f t="shared" si="77"/>
        <v>0.30025868863301458</v>
      </c>
      <c r="W279" s="82">
        <f t="shared" si="95"/>
        <v>-0.11326592755317605</v>
      </c>
      <c r="X279" s="1">
        <f t="shared" si="93"/>
        <v>0.19849284963435276</v>
      </c>
      <c r="Y279" s="2">
        <v>296.79700000000003</v>
      </c>
      <c r="Z279" s="1">
        <f t="shared" si="84"/>
        <v>-0.12396983457425793</v>
      </c>
      <c r="AA279" s="1">
        <f t="shared" si="85"/>
        <v>9.7480553682322557E-2</v>
      </c>
      <c r="AB279" s="1">
        <f t="shared" si="91"/>
        <v>-1.3244640445967688E-2</v>
      </c>
      <c r="AC279" s="1">
        <f t="shared" si="78"/>
        <v>0.31058771922221146</v>
      </c>
    </row>
    <row r="280" spans="1:32">
      <c r="A280" s="64" t="s">
        <v>39</v>
      </c>
      <c r="B280" s="63">
        <f t="shared" si="79"/>
        <v>44942.480000000163</v>
      </c>
      <c r="C280" s="20">
        <v>1</v>
      </c>
      <c r="E280" s="4"/>
      <c r="F280" s="46"/>
      <c r="G280" s="46"/>
      <c r="J280" s="107"/>
      <c r="K280" s="85">
        <v>2.5710000000000002</v>
      </c>
      <c r="L280" s="85">
        <v>2.593</v>
      </c>
      <c r="M280" s="85">
        <v>2.5339999999999998</v>
      </c>
      <c r="N280" s="2">
        <v>82.5</v>
      </c>
      <c r="O280" s="1">
        <f t="shared" si="81"/>
        <v>2.6440556907443931</v>
      </c>
      <c r="P280" s="1">
        <f t="shared" si="96"/>
        <v>2.6666808269545741</v>
      </c>
      <c r="Q280" s="1">
        <f t="shared" si="82"/>
        <v>2.6060043252999963</v>
      </c>
      <c r="R280" s="1">
        <f>N280*($Y$278/Y280)</f>
        <v>82.097661864491755</v>
      </c>
      <c r="S280" s="1">
        <f t="shared" ref="S280" si="97">O280-P280</f>
        <v>-2.2625136210181029E-2</v>
      </c>
      <c r="T280" s="1">
        <f t="shared" ref="T280" si="98">O280-Q280</f>
        <v>3.8051365444396801E-2</v>
      </c>
      <c r="U280" s="1">
        <f t="shared" ref="U280" si="99">AVERAGE(S280:T280)</f>
        <v>7.7131146171078857E-3</v>
      </c>
      <c r="V280" s="1">
        <f>AVERAGE(S280:T291)</f>
        <v>0.30369168753336628</v>
      </c>
      <c r="W280" s="82">
        <f t="shared" si="95"/>
        <v>-9.179920279439728E-2</v>
      </c>
      <c r="X280" s="1">
        <f>AVERAGE(W280:W291)</f>
        <v>9.3562834703192058E-2</v>
      </c>
      <c r="Y280" s="2">
        <v>299.17</v>
      </c>
      <c r="Z280" s="1">
        <f t="shared" si="84"/>
        <v>-2.2942237510877247E-2</v>
      </c>
      <c r="AA280" s="1">
        <f t="shared" si="85"/>
        <v>3.8584672177385919E-2</v>
      </c>
      <c r="AB280" s="1">
        <f t="shared" si="91"/>
        <v>7.8212173332543357E-3</v>
      </c>
      <c r="AC280" s="1">
        <f>AVERAGE(Z280:AA291)</f>
        <v>0.19310841259020542</v>
      </c>
    </row>
    <row r="281" spans="1:32">
      <c r="B281" s="63">
        <f t="shared" si="79"/>
        <v>44972.960000000166</v>
      </c>
      <c r="C281" s="20">
        <v>2</v>
      </c>
      <c r="E281" s="4"/>
      <c r="F281" s="46"/>
      <c r="G281" s="46"/>
      <c r="J281" s="107"/>
      <c r="K281" s="85">
        <v>2.907</v>
      </c>
      <c r="L281" s="85">
        <v>2.532</v>
      </c>
      <c r="M281" s="85">
        <v>2.4159999999999999</v>
      </c>
      <c r="N281" s="2">
        <v>82.59</v>
      </c>
      <c r="O281" s="1">
        <f t="shared" si="81"/>
        <v>2.9730075688073394</v>
      </c>
      <c r="P281" s="1">
        <f t="shared" si="96"/>
        <v>2.5894926605504587</v>
      </c>
      <c r="Q281" s="1">
        <f t="shared" si="82"/>
        <v>2.47085871559633</v>
      </c>
      <c r="R281" s="1">
        <f>N281*($Y$278/Y281)</f>
        <v>81.730991523733564</v>
      </c>
      <c r="S281" s="1">
        <f t="shared" ref="S281:S283" si="100">O281-P281</f>
        <v>0.38351490825688073</v>
      </c>
      <c r="T281" s="1">
        <f t="shared" ref="T281:T283" si="101">O281-Q281</f>
        <v>0.50214885321100944</v>
      </c>
      <c r="U281" s="1">
        <f t="shared" ref="U281:U283" si="102">AVERAGE(S281:T281)</f>
        <v>0.44283188073394508</v>
      </c>
      <c r="V281" s="1">
        <f>V280</f>
        <v>0.30369168753336628</v>
      </c>
      <c r="W281" s="82">
        <f t="shared" si="95"/>
        <v>0.34387196848823304</v>
      </c>
      <c r="X281" s="1">
        <f>X280</f>
        <v>9.3562834703192058E-2</v>
      </c>
      <c r="Y281" s="2">
        <v>300.83999999999997</v>
      </c>
      <c r="Z281" s="1">
        <f t="shared" si="84"/>
        <v>0.38673126284248149</v>
      </c>
      <c r="AA281" s="1">
        <f t="shared" si="85"/>
        <v>0.50636013348175601</v>
      </c>
      <c r="AB281" s="1">
        <f t="shared" si="91"/>
        <v>0.44654569816211875</v>
      </c>
      <c r="AC281" s="1">
        <f t="shared" si="78"/>
        <v>0.19310841259020542</v>
      </c>
    </row>
    <row r="282" spans="1:32">
      <c r="B282" s="63">
        <f t="shared" si="79"/>
        <v>45003.44000000017</v>
      </c>
      <c r="C282" s="20">
        <v>3</v>
      </c>
      <c r="E282" s="4"/>
      <c r="F282" s="46"/>
      <c r="G282" s="46"/>
      <c r="J282" s="107"/>
      <c r="K282" s="85">
        <v>2.7559999999999998</v>
      </c>
      <c r="L282" s="85">
        <v>2.5150000000000001</v>
      </c>
      <c r="M282" s="85">
        <v>2.536</v>
      </c>
      <c r="N282" s="85">
        <v>78.430000000000007</v>
      </c>
      <c r="O282" s="1">
        <f t="shared" si="81"/>
        <v>2.8092781377966842</v>
      </c>
      <c r="P282" s="1">
        <f t="shared" si="96"/>
        <v>2.5636192004929832</v>
      </c>
      <c r="Q282" s="1">
        <f t="shared" si="82"/>
        <v>2.585025165984177</v>
      </c>
      <c r="R282" s="1">
        <f>N282*($Y$278/Y282)</f>
        <v>77.358147238897956</v>
      </c>
      <c r="S282" s="1">
        <f t="shared" si="100"/>
        <v>0.24565893730370103</v>
      </c>
      <c r="T282" s="1">
        <f t="shared" si="101"/>
        <v>0.22425297181250725</v>
      </c>
      <c r="U282" s="1">
        <f t="shared" si="102"/>
        <v>0.23495595455810414</v>
      </c>
      <c r="V282" s="1">
        <f>V281</f>
        <v>0.30369168753336628</v>
      </c>
      <c r="W282" s="82">
        <f t="shared" si="95"/>
        <v>0.13632259074464254</v>
      </c>
      <c r="X282" s="1">
        <f>X281</f>
        <v>9.3562834703192058E-2</v>
      </c>
      <c r="Y282" s="2">
        <v>301.83600000000001</v>
      </c>
      <c r="Z282" s="1">
        <f t="shared" si="84"/>
        <v>0.24690173537040863</v>
      </c>
      <c r="AA282" s="1">
        <f t="shared" si="85"/>
        <v>0.22538747627174241</v>
      </c>
      <c r="AB282" s="1">
        <f t="shared" si="91"/>
        <v>0.23614460582107552</v>
      </c>
      <c r="AC282" s="1">
        <f t="shared" si="78"/>
        <v>0.19310841259020542</v>
      </c>
    </row>
    <row r="283" spans="1:32">
      <c r="B283" s="63">
        <f t="shared" si="79"/>
        <v>45033.920000000173</v>
      </c>
      <c r="C283" s="20">
        <v>4</v>
      </c>
      <c r="E283" s="4"/>
      <c r="F283" s="46"/>
      <c r="G283" s="46"/>
      <c r="J283" s="107"/>
      <c r="K283" s="85">
        <v>2.7989999999999999</v>
      </c>
      <c r="L283" s="103">
        <v>2.7650000000000001</v>
      </c>
      <c r="M283" s="85">
        <v>2.6160000000000001</v>
      </c>
      <c r="N283" s="85">
        <v>84.64</v>
      </c>
      <c r="O283" s="1">
        <f t="shared" si="81"/>
        <v>2.8387480642003142</v>
      </c>
      <c r="P283" s="1">
        <f t="shared" si="96"/>
        <v>2.8042652366966307</v>
      </c>
      <c r="Q283" s="1">
        <f t="shared" si="82"/>
        <v>2.6531493161657815</v>
      </c>
      <c r="R283" s="104">
        <f>N283*($Y$283/Y283)</f>
        <v>84.64</v>
      </c>
      <c r="S283" s="1">
        <f t="shared" si="100"/>
        <v>3.4482827503683477E-2</v>
      </c>
      <c r="T283" s="1">
        <f t="shared" si="101"/>
        <v>0.18559874803453269</v>
      </c>
      <c r="U283" s="1">
        <f t="shared" si="102"/>
        <v>0.11004078776910808</v>
      </c>
      <c r="V283" s="1">
        <f>V282</f>
        <v>0.30369168753336628</v>
      </c>
      <c r="W283" s="82">
        <f t="shared" si="95"/>
        <v>1.1903902255713222E-2</v>
      </c>
      <c r="X283" s="1">
        <f>X282</f>
        <v>9.3562834703192058E-2</v>
      </c>
      <c r="Y283" s="102">
        <v>303.363</v>
      </c>
      <c r="Z283" s="1">
        <f>S283*(Y$283/Y283)</f>
        <v>3.4482827503683477E-2</v>
      </c>
      <c r="AA283" s="1">
        <f>T283*(Y$283/Y283)</f>
        <v>0.18559874803453269</v>
      </c>
      <c r="AB283" s="1">
        <f t="shared" si="91"/>
        <v>0.11004078776910808</v>
      </c>
      <c r="AC283" s="1">
        <f t="shared" si="78"/>
        <v>0.19310841259020542</v>
      </c>
    </row>
    <row r="284" spans="1:32">
      <c r="A284">
        <v>2023</v>
      </c>
      <c r="B284" s="63">
        <f t="shared" si="79"/>
        <v>45064.400000000176</v>
      </c>
      <c r="C284" s="20">
        <v>5</v>
      </c>
      <c r="J284" s="107"/>
      <c r="K284" s="85">
        <v>2.6720000000000002</v>
      </c>
      <c r="L284" s="85">
        <v>2.57</v>
      </c>
      <c r="M284" s="85">
        <v>2.4470000000000001</v>
      </c>
      <c r="N284" s="85"/>
      <c r="O284" s="1">
        <f t="shared" si="81"/>
        <v>2.7031368868926471</v>
      </c>
      <c r="P284" s="1">
        <f t="shared" si="96"/>
        <v>2.5999482781864156</v>
      </c>
      <c r="Q284" s="1">
        <f t="shared" si="82"/>
        <v>2.475514955923019</v>
      </c>
      <c r="R284" s="89"/>
      <c r="S284" s="1">
        <f t="shared" ref="S284:S289" si="103">O284-P284</f>
        <v>0.10318860870623148</v>
      </c>
      <c r="T284" s="1">
        <f t="shared" ref="T284:T289" si="104">O284-Q284</f>
        <v>0.22762193096962813</v>
      </c>
      <c r="U284" s="1">
        <f t="shared" ref="U284:U289" si="105">AVERAGE(S284:T284)</f>
        <v>0.1654052698379298</v>
      </c>
      <c r="V284" s="1">
        <f t="shared" ref="V284:V289" si="106">V283</f>
        <v>0.30369168753336628</v>
      </c>
      <c r="W284" s="82">
        <f t="shared" si="95"/>
        <v>6.7514914821768787E-2</v>
      </c>
      <c r="X284" s="1"/>
      <c r="Y284" s="2">
        <v>304.12700000000001</v>
      </c>
      <c r="Z284" s="1">
        <f>S284*(Y$283/Y284)</f>
        <v>0.10292938773258703</v>
      </c>
      <c r="AA284" s="1">
        <f>T284*(Y$283/Y284)</f>
        <v>0.22705011999835362</v>
      </c>
      <c r="AB284" s="1">
        <f t="shared" si="91"/>
        <v>0.16498975386547032</v>
      </c>
    </row>
    <row r="285" spans="1:32">
      <c r="B285" s="63">
        <f t="shared" si="79"/>
        <v>45094.880000000179</v>
      </c>
      <c r="C285" s="20">
        <v>6</v>
      </c>
      <c r="J285" s="107"/>
      <c r="K285" s="85">
        <v>2.802</v>
      </c>
      <c r="L285" s="85">
        <v>2.6589999999999998</v>
      </c>
      <c r="M285" s="85">
        <v>2.427</v>
      </c>
      <c r="O285" s="1">
        <f t="shared" si="81"/>
        <v>2.8255283914928766</v>
      </c>
      <c r="P285" s="1">
        <f t="shared" si="96"/>
        <v>2.6813276206208276</v>
      </c>
      <c r="Q285" s="1">
        <f t="shared" si="82"/>
        <v>2.4473795168284127</v>
      </c>
      <c r="S285" s="1">
        <f t="shared" si="103"/>
        <v>0.14420077087204897</v>
      </c>
      <c r="T285" s="1">
        <f t="shared" si="104"/>
        <v>0.3781488746644639</v>
      </c>
      <c r="U285" s="1">
        <f t="shared" si="105"/>
        <v>0.26117482276825643</v>
      </c>
      <c r="V285" s="1">
        <f t="shared" si="106"/>
        <v>0.30369168753336628</v>
      </c>
      <c r="X285" s="1"/>
      <c r="Y285">
        <v>305.10899999999998</v>
      </c>
    </row>
    <row r="286" spans="1:32">
      <c r="B286" s="63">
        <f t="shared" si="79"/>
        <v>45125.360000000182</v>
      </c>
      <c r="C286" s="20">
        <v>7</v>
      </c>
      <c r="J286" s="107"/>
      <c r="K286" s="85">
        <v>2.97</v>
      </c>
      <c r="L286" s="85">
        <v>2.7</v>
      </c>
      <c r="M286" s="85">
        <v>2.6739999999999999</v>
      </c>
      <c r="O286" s="1">
        <f t="shared" si="81"/>
        <v>2.9892370727303068</v>
      </c>
      <c r="P286" s="1">
        <f t="shared" si="96"/>
        <v>2.7174882479366427</v>
      </c>
      <c r="Q286" s="1">
        <f t="shared" si="82"/>
        <v>2.6913198425861413</v>
      </c>
      <c r="S286" s="1">
        <f t="shared" si="103"/>
        <v>0.27174882479366413</v>
      </c>
      <c r="T286" s="1">
        <f t="shared" si="104"/>
        <v>0.29791723014416549</v>
      </c>
      <c r="U286" s="1">
        <f t="shared" si="105"/>
        <v>0.28483302746891481</v>
      </c>
      <c r="V286" s="1">
        <f t="shared" si="106"/>
        <v>0.30369168753336628</v>
      </c>
      <c r="X286" s="1"/>
      <c r="Y286">
        <v>305.69099999999997</v>
      </c>
    </row>
    <row r="287" spans="1:32">
      <c r="B287" s="63">
        <f t="shared" si="79"/>
        <v>45155.840000000186</v>
      </c>
      <c r="C287" s="20">
        <v>8</v>
      </c>
      <c r="J287" s="107"/>
      <c r="K287" s="85">
        <v>3.2759999999999998</v>
      </c>
      <c r="L287" s="85">
        <v>2.8740000000000001</v>
      </c>
      <c r="M287" s="85">
        <v>2.9020000000000001</v>
      </c>
      <c r="O287" s="1">
        <f t="shared" si="81"/>
        <v>3.28288221844404</v>
      </c>
      <c r="P287" s="1">
        <f t="shared" si="96"/>
        <v>2.8800376971331416</v>
      </c>
      <c r="Q287" s="1">
        <f t="shared" si="82"/>
        <v>2.9080965195130055</v>
      </c>
      <c r="S287" s="1">
        <f t="shared" si="103"/>
        <v>0.40284452131089843</v>
      </c>
      <c r="T287" s="1">
        <f t="shared" si="104"/>
        <v>0.37478569893103453</v>
      </c>
      <c r="U287" s="1">
        <f t="shared" si="105"/>
        <v>0.38881511012096648</v>
      </c>
      <c r="V287" s="1">
        <f t="shared" si="106"/>
        <v>0.30369168753336628</v>
      </c>
      <c r="X287" s="1"/>
      <c r="Y287">
        <v>307.02600000000001</v>
      </c>
    </row>
    <row r="288" spans="1:32">
      <c r="B288" s="63">
        <f t="shared" si="79"/>
        <v>45186.320000000189</v>
      </c>
      <c r="C288" s="20">
        <v>9</v>
      </c>
      <c r="J288" s="107"/>
      <c r="K288" s="85">
        <v>3.78</v>
      </c>
      <c r="L288" s="85">
        <v>2.8940000000000001</v>
      </c>
      <c r="M288" s="85">
        <v>2.8239999999999998</v>
      </c>
      <c r="O288" s="1">
        <f t="shared" si="81"/>
        <v>3.778550825403117</v>
      </c>
      <c r="P288" s="1">
        <f t="shared" si="96"/>
        <v>2.8928904996604818</v>
      </c>
      <c r="Q288" s="1">
        <f t="shared" si="82"/>
        <v>2.8229173362270905</v>
      </c>
      <c r="S288" s="1">
        <f t="shared" si="103"/>
        <v>0.8856603257426352</v>
      </c>
      <c r="T288" s="1">
        <f t="shared" si="104"/>
        <v>0.95563348917602653</v>
      </c>
      <c r="U288" s="1">
        <f t="shared" si="105"/>
        <v>0.92064690745933087</v>
      </c>
      <c r="V288" s="1">
        <f t="shared" si="106"/>
        <v>0.30369168753336628</v>
      </c>
      <c r="X288" s="1"/>
      <c r="Y288">
        <v>307.78899999999999</v>
      </c>
    </row>
    <row r="289" spans="2:25">
      <c r="B289" s="63">
        <f t="shared" si="79"/>
        <v>45216.800000000192</v>
      </c>
      <c r="C289" s="20">
        <v>10</v>
      </c>
      <c r="J289" s="107"/>
      <c r="K289" s="85">
        <v>2.6349999999999998</v>
      </c>
      <c r="L289" s="85">
        <v>2.524</v>
      </c>
      <c r="M289" s="85">
        <v>2.3050000000000002</v>
      </c>
      <c r="O289" s="1">
        <f>K289*($Y$289/$Y289)</f>
        <v>2.6349999999999998</v>
      </c>
      <c r="P289" s="1">
        <f>L289*($Y$289/$Y289)</f>
        <v>2.524</v>
      </c>
      <c r="Q289" s="1">
        <f>M289*($Y$289/$Y289)</f>
        <v>2.3050000000000002</v>
      </c>
      <c r="S289" s="1">
        <f t="shared" si="103"/>
        <v>0.11099999999999977</v>
      </c>
      <c r="T289" s="1">
        <f t="shared" si="104"/>
        <v>0.32999999999999963</v>
      </c>
      <c r="U289" s="1">
        <f t="shared" si="105"/>
        <v>0.2204999999999997</v>
      </c>
      <c r="V289" s="1">
        <f t="shared" si="106"/>
        <v>0.30369168753336628</v>
      </c>
      <c r="X289" s="1"/>
      <c r="Y289">
        <v>307.67099999999999</v>
      </c>
    </row>
    <row r="290" spans="2:25">
      <c r="B290" s="63">
        <f t="shared" si="79"/>
        <v>45247.280000000195</v>
      </c>
      <c r="C290" s="20">
        <v>11</v>
      </c>
      <c r="J290" s="107"/>
      <c r="X290" s="1"/>
    </row>
    <row r="291" spans="2:25">
      <c r="B291" s="63">
        <f t="shared" si="79"/>
        <v>45277.760000000198</v>
      </c>
      <c r="C291" s="20">
        <v>12</v>
      </c>
      <c r="J291" s="107"/>
      <c r="X291" s="1"/>
    </row>
    <row r="292" spans="2:25">
      <c r="B292" s="63"/>
      <c r="C292" s="20">
        <v>1</v>
      </c>
      <c r="X292" s="1"/>
    </row>
    <row r="293" spans="2:25">
      <c r="B293" s="63"/>
      <c r="C293" s="20">
        <v>2</v>
      </c>
      <c r="X293" s="1"/>
    </row>
    <row r="294" spans="2:25">
      <c r="B294" s="63"/>
      <c r="C294" s="20">
        <v>3</v>
      </c>
      <c r="X294" s="1"/>
    </row>
    <row r="295" spans="2:25">
      <c r="B295" s="63"/>
      <c r="C295" s="20">
        <v>4</v>
      </c>
      <c r="X295" s="1"/>
    </row>
    <row r="296" spans="2:25">
      <c r="B296" s="63"/>
      <c r="C296" s="20">
        <v>5</v>
      </c>
      <c r="X296" s="1"/>
    </row>
    <row r="297" spans="2:25">
      <c r="B297" s="63"/>
      <c r="C297" s="20">
        <v>6</v>
      </c>
      <c r="X297" s="1"/>
    </row>
    <row r="298" spans="2:25">
      <c r="B298" s="63"/>
      <c r="C298" s="20">
        <v>7</v>
      </c>
      <c r="X298" s="1"/>
    </row>
    <row r="299" spans="2:25">
      <c r="B299" s="63"/>
      <c r="C299" s="20">
        <v>8</v>
      </c>
      <c r="X299" s="1"/>
    </row>
    <row r="300" spans="2:25">
      <c r="B300" s="63"/>
      <c r="C300" s="20">
        <v>9</v>
      </c>
      <c r="X300" s="1"/>
    </row>
    <row r="301" spans="2:25">
      <c r="B301" s="63"/>
      <c r="C301" s="20">
        <v>10</v>
      </c>
      <c r="X301" s="1"/>
    </row>
    <row r="302" spans="2:25">
      <c r="B302" s="63"/>
      <c r="C302" s="20">
        <v>11</v>
      </c>
      <c r="X302" s="1"/>
    </row>
    <row r="303" spans="2:25">
      <c r="B303" s="63"/>
      <c r="C303" s="20">
        <v>12</v>
      </c>
      <c r="X303" s="1"/>
    </row>
    <row r="304" spans="2:25">
      <c r="B304" s="63"/>
      <c r="C304" s="20">
        <v>1</v>
      </c>
      <c r="X304" s="1"/>
    </row>
    <row r="305" spans="2:28">
      <c r="B305" s="63"/>
      <c r="C305" s="20">
        <v>2</v>
      </c>
      <c r="X305" s="1"/>
    </row>
    <row r="306" spans="2:28">
      <c r="B306" s="63"/>
      <c r="C306" s="20">
        <v>3</v>
      </c>
      <c r="X306" s="1"/>
    </row>
    <row r="307" spans="2:28">
      <c r="B307" s="63"/>
      <c r="C307" s="20">
        <v>4</v>
      </c>
      <c r="X307" s="1"/>
    </row>
    <row r="308" spans="2:28">
      <c r="B308" s="63"/>
      <c r="C308" s="20">
        <v>5</v>
      </c>
      <c r="X308" s="1"/>
    </row>
    <row r="309" spans="2:28">
      <c r="B309" s="63"/>
      <c r="C309" s="20">
        <v>6</v>
      </c>
      <c r="X309" s="1"/>
    </row>
    <row r="310" spans="2:28">
      <c r="C310" s="20">
        <v>7</v>
      </c>
      <c r="X310" s="1"/>
    </row>
    <row r="311" spans="2:28">
      <c r="C311" s="20">
        <v>8</v>
      </c>
      <c r="X311" s="1"/>
    </row>
    <row r="312" spans="2:28">
      <c r="B312" s="86"/>
      <c r="C312" s="20">
        <v>9</v>
      </c>
      <c r="K312" s="85"/>
      <c r="L312" s="85"/>
      <c r="M312" s="85"/>
      <c r="N312" s="85"/>
      <c r="O312" s="89"/>
      <c r="P312" s="89"/>
      <c r="Q312" s="89"/>
      <c r="R312" s="89"/>
      <c r="S312" s="85"/>
      <c r="T312" s="85"/>
      <c r="U312" s="85"/>
      <c r="V312" s="85"/>
      <c r="W312" s="85"/>
      <c r="X312" s="1"/>
      <c r="Y312" s="85"/>
      <c r="Z312" s="85"/>
      <c r="AA312" s="85"/>
      <c r="AB312" s="85"/>
    </row>
    <row r="313" spans="2:28">
      <c r="B313" s="86"/>
      <c r="C313" s="20">
        <v>10</v>
      </c>
      <c r="K313" s="85"/>
      <c r="L313" s="85"/>
      <c r="M313" s="85"/>
      <c r="N313" s="85"/>
      <c r="O313" s="89"/>
      <c r="P313" s="89"/>
      <c r="Q313" s="89"/>
      <c r="R313" s="89"/>
      <c r="S313" s="85"/>
      <c r="T313" s="85"/>
      <c r="U313" s="85"/>
      <c r="V313" s="85"/>
      <c r="W313" s="85"/>
      <c r="X313" s="1"/>
      <c r="Y313" s="85"/>
      <c r="Z313" s="85"/>
      <c r="AA313" s="85"/>
      <c r="AB313" s="85"/>
    </row>
    <row r="314" spans="2:28">
      <c r="B314" s="86"/>
      <c r="C314" s="20">
        <v>11</v>
      </c>
      <c r="K314" s="85"/>
      <c r="L314" s="85"/>
      <c r="M314" s="85"/>
      <c r="N314" s="85"/>
      <c r="O314" s="89"/>
      <c r="P314" s="89"/>
      <c r="Q314" s="89"/>
      <c r="R314" s="89"/>
      <c r="S314" s="85"/>
      <c r="X314" s="1"/>
    </row>
    <row r="315" spans="2:28">
      <c r="C315" s="20">
        <v>12</v>
      </c>
      <c r="X315" s="1"/>
    </row>
    <row r="316" spans="2:28">
      <c r="C316" s="20">
        <v>1</v>
      </c>
      <c r="X316" s="1"/>
    </row>
    <row r="317" spans="2:28">
      <c r="C317" s="20">
        <v>2</v>
      </c>
      <c r="X317" s="1"/>
    </row>
    <row r="318" spans="2:28">
      <c r="C318" s="20">
        <v>3</v>
      </c>
      <c r="X318" s="1"/>
    </row>
    <row r="319" spans="2:28">
      <c r="C319" s="20">
        <v>4</v>
      </c>
      <c r="X319" s="1"/>
    </row>
    <row r="320" spans="2:28">
      <c r="C320" s="20">
        <v>5</v>
      </c>
      <c r="X320" s="1"/>
    </row>
    <row r="321" spans="3:24">
      <c r="C321" s="20">
        <v>6</v>
      </c>
      <c r="X321" s="1"/>
    </row>
    <row r="322" spans="3:24">
      <c r="C322" s="20">
        <v>7</v>
      </c>
      <c r="X322" s="1"/>
    </row>
    <row r="323" spans="3:24">
      <c r="C323" s="20">
        <v>8</v>
      </c>
      <c r="X323" s="1"/>
    </row>
    <row r="324" spans="3:24">
      <c r="C324" s="20">
        <v>9</v>
      </c>
      <c r="X324" s="1"/>
    </row>
    <row r="325" spans="3:24">
      <c r="C325" s="20">
        <v>10</v>
      </c>
      <c r="X325" s="1"/>
    </row>
    <row r="326" spans="3:24">
      <c r="C326" s="20">
        <v>11</v>
      </c>
      <c r="X326" s="1"/>
    </row>
    <row r="327" spans="3:24">
      <c r="C327" s="20">
        <v>12</v>
      </c>
      <c r="X327" s="1"/>
    </row>
    <row r="328" spans="3:24">
      <c r="C328" s="20">
        <v>1</v>
      </c>
      <c r="X328" s="1"/>
    </row>
    <row r="329" spans="3:24">
      <c r="C329" s="20">
        <v>2</v>
      </c>
      <c r="X329" s="1"/>
    </row>
    <row r="330" spans="3:24">
      <c r="C330" s="20">
        <v>3</v>
      </c>
      <c r="X330" s="1"/>
    </row>
    <row r="331" spans="3:24">
      <c r="C331" s="20">
        <v>4</v>
      </c>
      <c r="X331" s="1"/>
    </row>
    <row r="332" spans="3:24">
      <c r="C332" s="20">
        <v>5</v>
      </c>
      <c r="X332" s="1"/>
    </row>
    <row r="333" spans="3:24">
      <c r="C333" s="20">
        <v>6</v>
      </c>
      <c r="X333" s="1"/>
    </row>
    <row r="334" spans="3:24">
      <c r="C334" s="20">
        <v>7</v>
      </c>
      <c r="X334" s="1"/>
    </row>
    <row r="335" spans="3:24">
      <c r="C335" s="20">
        <v>8</v>
      </c>
      <c r="X335" s="1"/>
    </row>
    <row r="336" spans="3:24">
      <c r="C336" s="20">
        <v>9</v>
      </c>
      <c r="X336" s="1"/>
    </row>
    <row r="337" spans="3:24">
      <c r="C337" s="20">
        <v>10</v>
      </c>
      <c r="X337" s="1"/>
    </row>
    <row r="338" spans="3:24">
      <c r="C338" s="20">
        <v>11</v>
      </c>
      <c r="X338" s="1"/>
    </row>
    <row r="339" spans="3:24">
      <c r="C339" s="20">
        <v>12</v>
      </c>
      <c r="X339" s="1"/>
    </row>
    <row r="340" spans="3:24">
      <c r="C340" s="20">
        <v>1</v>
      </c>
      <c r="X340" s="1"/>
    </row>
    <row r="341" spans="3:24">
      <c r="C341" s="20">
        <v>2</v>
      </c>
      <c r="X341" s="1"/>
    </row>
    <row r="342" spans="3:24">
      <c r="C342" s="20">
        <v>3</v>
      </c>
      <c r="X342" s="1"/>
    </row>
    <row r="343" spans="3:24">
      <c r="C343" s="20">
        <v>4</v>
      </c>
      <c r="X343" s="1"/>
    </row>
    <row r="344" spans="3:24">
      <c r="C344" s="20">
        <v>5</v>
      </c>
      <c r="X344" s="1"/>
    </row>
    <row r="345" spans="3:24">
      <c r="C345" s="20">
        <v>6</v>
      </c>
      <c r="X345" s="1"/>
    </row>
    <row r="346" spans="3:24">
      <c r="C346" s="20">
        <v>7</v>
      </c>
      <c r="X346" s="1"/>
    </row>
    <row r="347" spans="3:24">
      <c r="C347" s="20">
        <v>8</v>
      </c>
      <c r="X347" s="1"/>
    </row>
    <row r="348" spans="3:24">
      <c r="C348" s="20">
        <v>9</v>
      </c>
      <c r="X348" s="1"/>
    </row>
    <row r="349" spans="3:24">
      <c r="C349" s="20">
        <v>10</v>
      </c>
      <c r="X349" s="1"/>
    </row>
    <row r="350" spans="3:24">
      <c r="C350" s="20">
        <v>11</v>
      </c>
      <c r="X350" s="1"/>
    </row>
    <row r="351" spans="3:24">
      <c r="C351" s="20">
        <v>12</v>
      </c>
      <c r="X351" s="1"/>
    </row>
    <row r="352" spans="3:24">
      <c r="C352" s="20">
        <v>1</v>
      </c>
    </row>
    <row r="353" spans="3:3">
      <c r="C353" s="20">
        <v>2</v>
      </c>
    </row>
    <row r="354" spans="3:3">
      <c r="C354" s="20">
        <v>3</v>
      </c>
    </row>
    <row r="355" spans="3:3">
      <c r="C355" s="20">
        <v>4</v>
      </c>
    </row>
    <row r="356" spans="3:3">
      <c r="C356" s="20">
        <v>5</v>
      </c>
    </row>
    <row r="357" spans="3:3">
      <c r="C357" s="20">
        <v>6</v>
      </c>
    </row>
    <row r="358" spans="3:3">
      <c r="C358" s="20">
        <v>7</v>
      </c>
    </row>
    <row r="359" spans="3:3">
      <c r="C359" s="20">
        <v>8</v>
      </c>
    </row>
    <row r="360" spans="3:3">
      <c r="C360" s="20">
        <v>9</v>
      </c>
    </row>
    <row r="361" spans="3:3">
      <c r="C361" s="20">
        <v>10</v>
      </c>
    </row>
    <row r="362" spans="3:3">
      <c r="C362" s="20">
        <v>11</v>
      </c>
    </row>
    <row r="363" spans="3:3">
      <c r="C363" s="20">
        <v>12</v>
      </c>
    </row>
    <row r="364" spans="3:3">
      <c r="C364" s="20">
        <v>1</v>
      </c>
    </row>
    <row r="365" spans="3:3">
      <c r="C365" s="20">
        <v>2</v>
      </c>
    </row>
    <row r="366" spans="3:3">
      <c r="C366" s="20">
        <v>3</v>
      </c>
    </row>
    <row r="367" spans="3:3">
      <c r="C367" s="20">
        <v>4</v>
      </c>
    </row>
    <row r="368" spans="3:3">
      <c r="C368" s="20">
        <v>5</v>
      </c>
    </row>
    <row r="369" spans="3:3">
      <c r="C369" s="20">
        <v>6</v>
      </c>
    </row>
    <row r="370" spans="3:3">
      <c r="C370" s="20">
        <v>7</v>
      </c>
    </row>
    <row r="371" spans="3:3">
      <c r="C371" s="20">
        <v>8</v>
      </c>
    </row>
    <row r="372" spans="3:3">
      <c r="C372" s="20">
        <v>9</v>
      </c>
    </row>
    <row r="373" spans="3:3">
      <c r="C373" s="20">
        <v>10</v>
      </c>
    </row>
    <row r="374" spans="3:3">
      <c r="C374" s="20">
        <v>11</v>
      </c>
    </row>
    <row r="375" spans="3:3">
      <c r="C375" s="20">
        <v>12</v>
      </c>
    </row>
    <row r="376" spans="3:3">
      <c r="C376" s="20">
        <v>1</v>
      </c>
    </row>
    <row r="377" spans="3:3">
      <c r="C377" s="20">
        <v>2</v>
      </c>
    </row>
    <row r="378" spans="3:3">
      <c r="C378" s="20">
        <v>3</v>
      </c>
    </row>
    <row r="379" spans="3:3">
      <c r="C379" s="20">
        <v>4</v>
      </c>
    </row>
    <row r="380" spans="3:3">
      <c r="C380" s="20">
        <v>5</v>
      </c>
    </row>
    <row r="381" spans="3:3">
      <c r="C381" s="20">
        <v>6</v>
      </c>
    </row>
    <row r="382" spans="3:3">
      <c r="C382" s="20">
        <v>7</v>
      </c>
    </row>
    <row r="383" spans="3:3">
      <c r="C383" s="20">
        <v>8</v>
      </c>
    </row>
    <row r="384" spans="3:3">
      <c r="C384" s="20">
        <v>9</v>
      </c>
    </row>
    <row r="385" spans="3:3">
      <c r="C385" s="20">
        <v>10</v>
      </c>
    </row>
    <row r="386" spans="3:3">
      <c r="C386" s="20">
        <v>11</v>
      </c>
    </row>
    <row r="387" spans="3:3">
      <c r="C387" s="20">
        <v>12</v>
      </c>
    </row>
  </sheetData>
  <hyperlinks>
    <hyperlink ref="B1" location="Contents!A1" display="Back to Contents" xr:uid="{00000000-0004-0000-0200-000000000000}"/>
    <hyperlink ref="N2" r:id="rId1" xr:uid="{00000000-0004-0000-0200-000001000000}"/>
    <hyperlink ref="F2" r:id="rId2" xr:uid="{B65D2FF4-8355-B448-9993-83A3DFEAECD5}"/>
    <hyperlink ref="L2" r:id="rId3" xr:uid="{2FDFD641-44B3-C64F-83DA-7C28C50C32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GasolineMGSData</vt:lpstr>
      <vt:lpstr>overall_comp</vt:lpstr>
      <vt:lpstr>tax_comp</vt:lpstr>
      <vt:lpstr>SpotGasPrices</vt:lpstr>
      <vt:lpstr>CA and US Gas Price</vt:lpstr>
      <vt:lpstr>Fig-MGS</vt:lpstr>
      <vt:lpstr>Fig-SpotGasPriceDiff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2024-07-19T16:46:55Z</dcterms:modified>
</cp:coreProperties>
</file>