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danpost/Dropbox/Myster_Gas_Surcharge/Analysis/Data/"/>
    </mc:Choice>
  </mc:AlternateContent>
  <xr:revisionPtr revIDLastSave="0" documentId="13_ncr:1_{62CA3D1B-8C04-6A48-962D-8C09952A88A9}" xr6:coauthVersionLast="47" xr6:coauthVersionMax="47" xr10:uidLastSave="{00000000-0000-0000-0000-000000000000}"/>
  <bookViews>
    <workbookView xWindow="0" yWindow="760" windowWidth="29040" windowHeight="15840" firstSheet="2" activeTab="13" xr2:uid="{00000000-000D-0000-FFFF-FFFF00000000}"/>
  </bookViews>
  <sheets>
    <sheet name="January 2024" sheetId="70" r:id="rId1"/>
    <sheet name="July 2023" sheetId="69" r:id="rId2"/>
    <sheet name="January 2023" sheetId="68" r:id="rId3"/>
    <sheet name="July 2022 (revised)" sheetId="67" r:id="rId4"/>
    <sheet name="January 2022" sheetId="66" r:id="rId5"/>
    <sheet name="July 2021" sheetId="65" r:id="rId6"/>
    <sheet name="January 2021_revised" sheetId="64" r:id="rId7"/>
    <sheet name="July 2020" sheetId="62" r:id="rId8"/>
    <sheet name="January 2020" sheetId="61" r:id="rId9"/>
    <sheet name="July 2019" sheetId="60" r:id="rId10"/>
    <sheet name="January 2019 " sheetId="51" r:id="rId11"/>
    <sheet name="July 2018" sheetId="52" r:id="rId12"/>
    <sheet name="January 2018" sheetId="53" r:id="rId13"/>
    <sheet name="July 2017" sheetId="54" r:id="rId14"/>
    <sheet name="January 2017" sheetId="55" r:id="rId15"/>
    <sheet name="July 2016" sheetId="56" r:id="rId16"/>
    <sheet name="January 2016" sheetId="57" r:id="rId17"/>
    <sheet name="July 2015" sheetId="58" r:id="rId18"/>
    <sheet name="January 2015" sheetId="59" r:id="rId19"/>
  </sheets>
  <definedNames>
    <definedName name="_xlnm._FilterDatabase" localSheetId="6" hidden="1">'January 2021_revised'!$A$8:$N$71</definedName>
    <definedName name="_xlnm._FilterDatabase" localSheetId="4" hidden="1">'January 2022'!$A$8:$N$71</definedName>
    <definedName name="_xlnm._FilterDatabase" localSheetId="2" hidden="1">'January 2023'!$A$8:$N$71</definedName>
    <definedName name="_xlnm._FilterDatabase" localSheetId="0" hidden="1">'January 2024'!$A$8:$L$70</definedName>
    <definedName name="_xlnm._FilterDatabase" localSheetId="7" hidden="1">'July 2020'!$A$8:$N$71</definedName>
    <definedName name="_xlnm._FilterDatabase" localSheetId="5" hidden="1">'July 2021'!$A$8:$N$71</definedName>
    <definedName name="_xlnm._FilterDatabase" localSheetId="3" hidden="1">'July 2022 (revised)'!$A$6:$J$71</definedName>
    <definedName name="_xlnm._FilterDatabase" localSheetId="1" hidden="1">'July 2023'!$A$8:$L$71</definedName>
    <definedName name="_xlnm.Print_Titles" localSheetId="18">'January 2015'!$6:$7</definedName>
    <definedName name="_xlnm.Print_Titles" localSheetId="16">'January 2016'!$A:$A,'January 2016'!$6:$7</definedName>
    <definedName name="_xlnm.Print_Titles" localSheetId="14">'January 2017'!$A:$A,'January 2017'!$6:$7</definedName>
    <definedName name="_xlnm.Print_Titles" localSheetId="12">'January 2018'!$A:$A,'January 2018'!$6:$7</definedName>
    <definedName name="_xlnm.Print_Titles" localSheetId="10">'January 2019 '!$A:$A,'January 2019 '!$6:$7</definedName>
    <definedName name="_xlnm.Print_Titles" localSheetId="8">'January 2020'!$A:$A,'January 2020'!$6:$7</definedName>
    <definedName name="_xlnm.Print_Titles" localSheetId="6">'January 2021_revised'!$A:$A,'January 2021_revised'!$6:$7</definedName>
    <definedName name="_xlnm.Print_Titles" localSheetId="4">'January 2022'!$A:$A,'January 2022'!$6:$7</definedName>
    <definedName name="_xlnm.Print_Titles" localSheetId="2">'January 2023'!$A:$A,'January 2023'!$6:$7</definedName>
    <definedName name="_xlnm.Print_Titles" localSheetId="0">'January 2024'!$A:$A,'January 2024'!$6:$7</definedName>
    <definedName name="_xlnm.Print_Titles" localSheetId="17">'July 2015'!$6:$7</definedName>
    <definedName name="_xlnm.Print_Titles" localSheetId="15">'July 2016'!$A:$A,'July 2016'!$6:$7</definedName>
    <definedName name="_xlnm.Print_Titles" localSheetId="13">'July 2017'!$A:$A,'July 2017'!$6:$7</definedName>
    <definedName name="_xlnm.Print_Titles" localSheetId="11">'July 2018'!$A:$A,'July 2018'!$6:$7</definedName>
    <definedName name="_xlnm.Print_Titles" localSheetId="9">'July 2019'!$A:$A,'July 2019'!$6:$7</definedName>
    <definedName name="_xlnm.Print_Titles" localSheetId="7">'July 2020'!$A:$A,'July 2020'!$6:$7</definedName>
    <definedName name="_xlnm.Print_Titles" localSheetId="5">'July 2021'!$A:$A,'July 2021'!$6:$7</definedName>
    <definedName name="_xlnm.Print_Titles" localSheetId="3">'July 2022 (revised)'!$A:$A,'July 2022 (revised)'!$6:$7</definedName>
    <definedName name="_xlnm.Print_Titles" localSheetId="1">'July 2023'!$A:$A,'July 2023'!$6:$7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4" i="70" l="1"/>
  <c r="D64" i="70"/>
  <c r="I63" i="70"/>
  <c r="D63" i="70"/>
  <c r="I62" i="70"/>
  <c r="D62" i="70"/>
  <c r="I61" i="70"/>
  <c r="H61" i="70"/>
  <c r="C61" i="70"/>
  <c r="D61" i="70" s="1"/>
  <c r="H60" i="70"/>
  <c r="I60" i="70" s="1"/>
  <c r="D60" i="70"/>
  <c r="H59" i="70"/>
  <c r="I59" i="70" s="1"/>
  <c r="J59" i="70" s="1"/>
  <c r="C59" i="70"/>
  <c r="D59" i="70" s="1"/>
  <c r="H58" i="70"/>
  <c r="I58" i="70" s="1"/>
  <c r="J58" i="70" s="1"/>
  <c r="D58" i="70"/>
  <c r="E58" i="70" s="1"/>
  <c r="C58" i="70"/>
  <c r="I57" i="70"/>
  <c r="J57" i="70" s="1"/>
  <c r="D57" i="70"/>
  <c r="I56" i="70"/>
  <c r="J56" i="70" s="1"/>
  <c r="H56" i="70"/>
  <c r="C56" i="70"/>
  <c r="D56" i="70" s="1"/>
  <c r="H55" i="70"/>
  <c r="I55" i="70" s="1"/>
  <c r="J55" i="70" s="1"/>
  <c r="C55" i="70"/>
  <c r="D55" i="70" s="1"/>
  <c r="I54" i="70"/>
  <c r="J54" i="70" s="1"/>
  <c r="H54" i="70"/>
  <c r="C54" i="70"/>
  <c r="D54" i="70" s="1"/>
  <c r="H53" i="70"/>
  <c r="I53" i="70" s="1"/>
  <c r="J53" i="70" s="1"/>
  <c r="C53" i="70"/>
  <c r="D53" i="70" s="1"/>
  <c r="I52" i="70"/>
  <c r="J52" i="70" s="1"/>
  <c r="D52" i="70"/>
  <c r="H51" i="70"/>
  <c r="I51" i="70" s="1"/>
  <c r="J51" i="70" s="1"/>
  <c r="C51" i="70"/>
  <c r="D51" i="70" s="1"/>
  <c r="H50" i="70"/>
  <c r="I50" i="70" s="1"/>
  <c r="J50" i="70" s="1"/>
  <c r="C50" i="70"/>
  <c r="D50" i="70" s="1"/>
  <c r="H49" i="70"/>
  <c r="I49" i="70" s="1"/>
  <c r="J49" i="70" s="1"/>
  <c r="C49" i="70"/>
  <c r="D49" i="70" s="1"/>
  <c r="H48" i="70"/>
  <c r="I48" i="70" s="1"/>
  <c r="J48" i="70" s="1"/>
  <c r="C48" i="70"/>
  <c r="D48" i="70" s="1"/>
  <c r="I47" i="70"/>
  <c r="J47" i="70" s="1"/>
  <c r="C47" i="70"/>
  <c r="D47" i="70" s="1"/>
  <c r="I46" i="70"/>
  <c r="J46" i="70" s="1"/>
  <c r="D46" i="70"/>
  <c r="H45" i="70"/>
  <c r="I45" i="70" s="1"/>
  <c r="J45" i="70" s="1"/>
  <c r="C45" i="70"/>
  <c r="D45" i="70" s="1"/>
  <c r="E45" i="70" s="1"/>
  <c r="I44" i="70"/>
  <c r="J44" i="70" s="1"/>
  <c r="D44" i="70"/>
  <c r="H43" i="70"/>
  <c r="I43" i="70" s="1"/>
  <c r="J43" i="70" s="1"/>
  <c r="C43" i="70"/>
  <c r="D43" i="70" s="1"/>
  <c r="H42" i="70"/>
  <c r="I42" i="70" s="1"/>
  <c r="J42" i="70" s="1"/>
  <c r="C42" i="70"/>
  <c r="D42" i="70" s="1"/>
  <c r="H41" i="70"/>
  <c r="I41" i="70" s="1"/>
  <c r="J41" i="70" s="1"/>
  <c r="C41" i="70"/>
  <c r="D41" i="70" s="1"/>
  <c r="I40" i="70"/>
  <c r="J40" i="70" s="1"/>
  <c r="H40" i="70"/>
  <c r="C40" i="70"/>
  <c r="D40" i="70" s="1"/>
  <c r="H39" i="70"/>
  <c r="I39" i="70" s="1"/>
  <c r="J39" i="70" s="1"/>
  <c r="C39" i="70"/>
  <c r="D39" i="70" s="1"/>
  <c r="H38" i="70"/>
  <c r="I38" i="70" s="1"/>
  <c r="J38" i="70" s="1"/>
  <c r="C38" i="70"/>
  <c r="D38" i="70" s="1"/>
  <c r="H37" i="70"/>
  <c r="I37" i="70" s="1"/>
  <c r="J37" i="70" s="1"/>
  <c r="C37" i="70"/>
  <c r="D37" i="70" s="1"/>
  <c r="I36" i="70"/>
  <c r="J36" i="70" s="1"/>
  <c r="H36" i="70"/>
  <c r="C36" i="70"/>
  <c r="D36" i="70" s="1"/>
  <c r="H35" i="70"/>
  <c r="I35" i="70" s="1"/>
  <c r="J35" i="70" s="1"/>
  <c r="C35" i="70"/>
  <c r="D35" i="70" s="1"/>
  <c r="H34" i="70"/>
  <c r="I34" i="70" s="1"/>
  <c r="J34" i="70" s="1"/>
  <c r="C34" i="70"/>
  <c r="D34" i="70" s="1"/>
  <c r="H33" i="70"/>
  <c r="I33" i="70" s="1"/>
  <c r="J33" i="70" s="1"/>
  <c r="C33" i="70"/>
  <c r="D33" i="70" s="1"/>
  <c r="I32" i="70"/>
  <c r="J32" i="70" s="1"/>
  <c r="H32" i="70"/>
  <c r="C32" i="70"/>
  <c r="D32" i="70" s="1"/>
  <c r="H31" i="70"/>
  <c r="I31" i="70" s="1"/>
  <c r="J31" i="70" s="1"/>
  <c r="C31" i="70"/>
  <c r="D31" i="70" s="1"/>
  <c r="H30" i="70"/>
  <c r="I30" i="70" s="1"/>
  <c r="J30" i="70" s="1"/>
  <c r="C30" i="70"/>
  <c r="D30" i="70" s="1"/>
  <c r="H29" i="70"/>
  <c r="G29" i="70"/>
  <c r="I29" i="70" s="1"/>
  <c r="J29" i="70" s="1"/>
  <c r="C29" i="70"/>
  <c r="D29" i="70" s="1"/>
  <c r="J28" i="70"/>
  <c r="I28" i="70"/>
  <c r="C28" i="70"/>
  <c r="D28" i="70" s="1"/>
  <c r="H27" i="70"/>
  <c r="I27" i="70" s="1"/>
  <c r="J27" i="70" s="1"/>
  <c r="C27" i="70"/>
  <c r="D27" i="70" s="1"/>
  <c r="H26" i="70"/>
  <c r="I26" i="70" s="1"/>
  <c r="J26" i="70" s="1"/>
  <c r="C26" i="70"/>
  <c r="D26" i="70" s="1"/>
  <c r="H25" i="70"/>
  <c r="I25" i="70" s="1"/>
  <c r="J25" i="70" s="1"/>
  <c r="C25" i="70"/>
  <c r="I24" i="70"/>
  <c r="J24" i="70" s="1"/>
  <c r="D24" i="70"/>
  <c r="H23" i="70"/>
  <c r="I23" i="70" s="1"/>
  <c r="J23" i="70" s="1"/>
  <c r="D23" i="70"/>
  <c r="C23" i="70"/>
  <c r="H22" i="70"/>
  <c r="I22" i="70" s="1"/>
  <c r="J22" i="70" s="1"/>
  <c r="C22" i="70"/>
  <c r="D22" i="70" s="1"/>
  <c r="H21" i="70"/>
  <c r="I21" i="70" s="1"/>
  <c r="J21" i="70" s="1"/>
  <c r="D21" i="70"/>
  <c r="C21" i="70"/>
  <c r="H20" i="70"/>
  <c r="I20" i="70" s="1"/>
  <c r="J20" i="70" s="1"/>
  <c r="C20" i="70"/>
  <c r="D20" i="70" s="1"/>
  <c r="H19" i="70"/>
  <c r="I19" i="70" s="1"/>
  <c r="J19" i="70" s="1"/>
  <c r="D19" i="70"/>
  <c r="C19" i="70"/>
  <c r="H18" i="70"/>
  <c r="I18" i="70" s="1"/>
  <c r="J18" i="70" s="1"/>
  <c r="C18" i="70"/>
  <c r="D18" i="70" s="1"/>
  <c r="I17" i="70"/>
  <c r="J17" i="70" s="1"/>
  <c r="D17" i="70"/>
  <c r="J16" i="70"/>
  <c r="I16" i="70"/>
  <c r="D16" i="70"/>
  <c r="E16" i="70" s="1"/>
  <c r="I15" i="70"/>
  <c r="J15" i="70" s="1"/>
  <c r="D15" i="70"/>
  <c r="H14" i="70"/>
  <c r="I14" i="70" s="1"/>
  <c r="J14" i="70" s="1"/>
  <c r="D14" i="70"/>
  <c r="C14" i="70"/>
  <c r="H13" i="70"/>
  <c r="I13" i="70" s="1"/>
  <c r="J13" i="70" s="1"/>
  <c r="C13" i="70"/>
  <c r="D13" i="70" s="1"/>
  <c r="H12" i="70"/>
  <c r="I12" i="70" s="1"/>
  <c r="J12" i="70" s="1"/>
  <c r="D12" i="70"/>
  <c r="C12" i="70"/>
  <c r="H11" i="70"/>
  <c r="H8" i="70" s="1"/>
  <c r="C11" i="70"/>
  <c r="D11" i="70" s="1"/>
  <c r="H10" i="70"/>
  <c r="I10" i="70" s="1"/>
  <c r="J10" i="70" s="1"/>
  <c r="D10" i="70"/>
  <c r="C10" i="70"/>
  <c r="H9" i="70"/>
  <c r="I9" i="70" s="1"/>
  <c r="D9" i="70"/>
  <c r="B8" i="70"/>
  <c r="H4" i="70"/>
  <c r="C4" i="70"/>
  <c r="E4" i="70" s="1"/>
  <c r="I64" i="69"/>
  <c r="D64" i="69"/>
  <c r="I63" i="69"/>
  <c r="D63" i="69"/>
  <c r="I62" i="69"/>
  <c r="D62" i="69"/>
  <c r="H61" i="69"/>
  <c r="I61" i="69" s="1"/>
  <c r="D61" i="69"/>
  <c r="C61" i="69"/>
  <c r="H60" i="69"/>
  <c r="I60" i="69" s="1"/>
  <c r="D60" i="69"/>
  <c r="H59" i="69"/>
  <c r="I59" i="69" s="1"/>
  <c r="J59" i="69" s="1"/>
  <c r="C59" i="69"/>
  <c r="D59" i="69" s="1"/>
  <c r="H58" i="69"/>
  <c r="I58" i="69" s="1"/>
  <c r="J58" i="69" s="1"/>
  <c r="D58" i="69"/>
  <c r="E58" i="69" s="1"/>
  <c r="C58" i="69"/>
  <c r="I57" i="69"/>
  <c r="J57" i="69" s="1"/>
  <c r="D57" i="69"/>
  <c r="E57" i="69" s="1"/>
  <c r="H56" i="69"/>
  <c r="I56" i="69" s="1"/>
  <c r="J56" i="69" s="1"/>
  <c r="C56" i="69"/>
  <c r="D56" i="69" s="1"/>
  <c r="E56" i="69" s="1"/>
  <c r="H55" i="69"/>
  <c r="I55" i="69" s="1"/>
  <c r="J55" i="69" s="1"/>
  <c r="C55" i="69"/>
  <c r="D55" i="69" s="1"/>
  <c r="E55" i="69" s="1"/>
  <c r="H54" i="69"/>
  <c r="I54" i="69" s="1"/>
  <c r="J54" i="69" s="1"/>
  <c r="C54" i="69"/>
  <c r="D54" i="69" s="1"/>
  <c r="E54" i="69" s="1"/>
  <c r="H53" i="69"/>
  <c r="I53" i="69" s="1"/>
  <c r="J53" i="69" s="1"/>
  <c r="C53" i="69"/>
  <c r="D53" i="69" s="1"/>
  <c r="E53" i="69" s="1"/>
  <c r="I52" i="69"/>
  <c r="J52" i="69" s="1"/>
  <c r="D52" i="69"/>
  <c r="E52" i="69" s="1"/>
  <c r="H51" i="69"/>
  <c r="I51" i="69" s="1"/>
  <c r="J51" i="69" s="1"/>
  <c r="C51" i="69"/>
  <c r="D51" i="69" s="1"/>
  <c r="E51" i="69" s="1"/>
  <c r="H50" i="69"/>
  <c r="I50" i="69" s="1"/>
  <c r="J50" i="69" s="1"/>
  <c r="C50" i="69"/>
  <c r="D50" i="69" s="1"/>
  <c r="E50" i="69" s="1"/>
  <c r="H49" i="69"/>
  <c r="I49" i="69" s="1"/>
  <c r="J49" i="69" s="1"/>
  <c r="C49" i="69"/>
  <c r="D49" i="69" s="1"/>
  <c r="I48" i="69"/>
  <c r="J48" i="69" s="1"/>
  <c r="H48" i="69"/>
  <c r="C48" i="69"/>
  <c r="D48" i="69" s="1"/>
  <c r="I47" i="69"/>
  <c r="J47" i="69" s="1"/>
  <c r="C47" i="69"/>
  <c r="D47" i="69" s="1"/>
  <c r="E47" i="69" s="1"/>
  <c r="I46" i="69"/>
  <c r="J46" i="69" s="1"/>
  <c r="D46" i="69"/>
  <c r="E46" i="69" s="1"/>
  <c r="H45" i="69"/>
  <c r="I45" i="69" s="1"/>
  <c r="J45" i="69" s="1"/>
  <c r="C45" i="69"/>
  <c r="D45" i="69" s="1"/>
  <c r="E45" i="69" s="1"/>
  <c r="I44" i="69"/>
  <c r="J44" i="69" s="1"/>
  <c r="D44" i="69"/>
  <c r="E44" i="69" s="1"/>
  <c r="H43" i="69"/>
  <c r="I43" i="69" s="1"/>
  <c r="J43" i="69" s="1"/>
  <c r="D43" i="69"/>
  <c r="E43" i="69" s="1"/>
  <c r="C43" i="69"/>
  <c r="H42" i="69"/>
  <c r="I42" i="69" s="1"/>
  <c r="J42" i="69" s="1"/>
  <c r="C42" i="69"/>
  <c r="D42" i="69" s="1"/>
  <c r="E42" i="69" s="1"/>
  <c r="H41" i="69"/>
  <c r="I41" i="69" s="1"/>
  <c r="J41" i="69" s="1"/>
  <c r="C41" i="69"/>
  <c r="D41" i="69" s="1"/>
  <c r="E41" i="69" s="1"/>
  <c r="I40" i="69"/>
  <c r="J40" i="69" s="1"/>
  <c r="H40" i="69"/>
  <c r="C40" i="69"/>
  <c r="D40" i="69" s="1"/>
  <c r="E40" i="69" s="1"/>
  <c r="H39" i="69"/>
  <c r="I39" i="69" s="1"/>
  <c r="J39" i="69" s="1"/>
  <c r="D39" i="69"/>
  <c r="E39" i="69" s="1"/>
  <c r="C39" i="69"/>
  <c r="H38" i="69"/>
  <c r="I38" i="69" s="1"/>
  <c r="J38" i="69" s="1"/>
  <c r="C38" i="69"/>
  <c r="D38" i="69" s="1"/>
  <c r="H37" i="69"/>
  <c r="I37" i="69" s="1"/>
  <c r="J37" i="69" s="1"/>
  <c r="C37" i="69"/>
  <c r="D37" i="69" s="1"/>
  <c r="E37" i="69" s="1"/>
  <c r="I36" i="69"/>
  <c r="J36" i="69" s="1"/>
  <c r="H36" i="69"/>
  <c r="C36" i="69"/>
  <c r="D36" i="69" s="1"/>
  <c r="E36" i="69" s="1"/>
  <c r="H35" i="69"/>
  <c r="I35" i="69" s="1"/>
  <c r="J35" i="69" s="1"/>
  <c r="D35" i="69"/>
  <c r="E35" i="69" s="1"/>
  <c r="C35" i="69"/>
  <c r="H34" i="69"/>
  <c r="I34" i="69" s="1"/>
  <c r="J34" i="69" s="1"/>
  <c r="C34" i="69"/>
  <c r="D34" i="69" s="1"/>
  <c r="E34" i="69" s="1"/>
  <c r="H33" i="69"/>
  <c r="I33" i="69" s="1"/>
  <c r="J33" i="69" s="1"/>
  <c r="C33" i="69"/>
  <c r="D33" i="69" s="1"/>
  <c r="E33" i="69" s="1"/>
  <c r="I32" i="69"/>
  <c r="J32" i="69" s="1"/>
  <c r="H32" i="69"/>
  <c r="C32" i="69"/>
  <c r="D32" i="69" s="1"/>
  <c r="E32" i="69" s="1"/>
  <c r="H31" i="69"/>
  <c r="I31" i="69" s="1"/>
  <c r="J31" i="69" s="1"/>
  <c r="D31" i="69"/>
  <c r="E31" i="69" s="1"/>
  <c r="C31" i="69"/>
  <c r="H30" i="69"/>
  <c r="I30" i="69" s="1"/>
  <c r="J30" i="69" s="1"/>
  <c r="C30" i="69"/>
  <c r="D30" i="69" s="1"/>
  <c r="E30" i="69" s="1"/>
  <c r="H29" i="69"/>
  <c r="I29" i="69" s="1"/>
  <c r="J29" i="69" s="1"/>
  <c r="C29" i="69"/>
  <c r="D29" i="69" s="1"/>
  <c r="I28" i="69"/>
  <c r="J28" i="69" s="1"/>
  <c r="C28" i="69"/>
  <c r="D28" i="69" s="1"/>
  <c r="I27" i="69"/>
  <c r="J27" i="69" s="1"/>
  <c r="H27" i="69"/>
  <c r="C27" i="69"/>
  <c r="D27" i="69" s="1"/>
  <c r="E27" i="69" s="1"/>
  <c r="H26" i="69"/>
  <c r="I26" i="69" s="1"/>
  <c r="J26" i="69" s="1"/>
  <c r="C26" i="69"/>
  <c r="D26" i="69" s="1"/>
  <c r="E26" i="69" s="1"/>
  <c r="H25" i="69"/>
  <c r="I25" i="69" s="1"/>
  <c r="J25" i="69" s="1"/>
  <c r="C25" i="69"/>
  <c r="D25" i="69" s="1"/>
  <c r="E25" i="69" s="1"/>
  <c r="I24" i="69"/>
  <c r="J24" i="69" s="1"/>
  <c r="D24" i="69"/>
  <c r="H23" i="69"/>
  <c r="I23" i="69" s="1"/>
  <c r="J23" i="69" s="1"/>
  <c r="C23" i="69"/>
  <c r="D23" i="69" s="1"/>
  <c r="E23" i="69" s="1"/>
  <c r="I22" i="69"/>
  <c r="J22" i="69" s="1"/>
  <c r="H22" i="69"/>
  <c r="C22" i="69"/>
  <c r="D22" i="69" s="1"/>
  <c r="E22" i="69" s="1"/>
  <c r="H21" i="69"/>
  <c r="I21" i="69" s="1"/>
  <c r="J21" i="69" s="1"/>
  <c r="C21" i="69"/>
  <c r="D21" i="69" s="1"/>
  <c r="E21" i="69" s="1"/>
  <c r="H20" i="69"/>
  <c r="I20" i="69" s="1"/>
  <c r="J20" i="69" s="1"/>
  <c r="D20" i="69"/>
  <c r="E20" i="69" s="1"/>
  <c r="C20" i="69"/>
  <c r="H19" i="69"/>
  <c r="I19" i="69" s="1"/>
  <c r="J19" i="69" s="1"/>
  <c r="C19" i="69"/>
  <c r="D19" i="69" s="1"/>
  <c r="E19" i="69" s="1"/>
  <c r="I18" i="69"/>
  <c r="J18" i="69" s="1"/>
  <c r="H18" i="69"/>
  <c r="C18" i="69"/>
  <c r="D18" i="69" s="1"/>
  <c r="I17" i="69"/>
  <c r="J17" i="69" s="1"/>
  <c r="D17" i="69"/>
  <c r="E17" i="69" s="1"/>
  <c r="I16" i="69"/>
  <c r="J16" i="69" s="1"/>
  <c r="D16" i="69"/>
  <c r="E16" i="69" s="1"/>
  <c r="I15" i="69"/>
  <c r="J15" i="69" s="1"/>
  <c r="D15" i="69"/>
  <c r="H14" i="69"/>
  <c r="I14" i="69" s="1"/>
  <c r="J14" i="69" s="1"/>
  <c r="C14" i="69"/>
  <c r="D14" i="69" s="1"/>
  <c r="E14" i="69" s="1"/>
  <c r="I13" i="69"/>
  <c r="J13" i="69" s="1"/>
  <c r="H13" i="69"/>
  <c r="C13" i="69"/>
  <c r="D13" i="69" s="1"/>
  <c r="E13" i="69" s="1"/>
  <c r="H12" i="69"/>
  <c r="I12" i="69" s="1"/>
  <c r="J12" i="69" s="1"/>
  <c r="C12" i="69"/>
  <c r="D12" i="69" s="1"/>
  <c r="E12" i="69" s="1"/>
  <c r="H11" i="69"/>
  <c r="I11" i="69" s="1"/>
  <c r="J11" i="69" s="1"/>
  <c r="D11" i="69"/>
  <c r="E11" i="69" s="1"/>
  <c r="C11" i="69"/>
  <c r="H10" i="69"/>
  <c r="I10" i="69" s="1"/>
  <c r="J10" i="69" s="1"/>
  <c r="C10" i="69"/>
  <c r="D10" i="69" s="1"/>
  <c r="I9" i="69"/>
  <c r="J9" i="69" s="1"/>
  <c r="H9" i="69"/>
  <c r="D9" i="69"/>
  <c r="E9" i="69" s="1"/>
  <c r="G8" i="69"/>
  <c r="B8" i="69"/>
  <c r="H4" i="69"/>
  <c r="C4" i="69"/>
  <c r="E4" i="69" s="1"/>
  <c r="E29" i="70" l="1"/>
  <c r="E20" i="70"/>
  <c r="E54" i="70"/>
  <c r="E55" i="70"/>
  <c r="E47" i="70"/>
  <c r="E57" i="70"/>
  <c r="I11" i="70"/>
  <c r="J11" i="70" s="1"/>
  <c r="E59" i="70"/>
  <c r="E27" i="70"/>
  <c r="E18" i="70"/>
  <c r="E46" i="70"/>
  <c r="E37" i="70"/>
  <c r="E31" i="70"/>
  <c r="E41" i="70"/>
  <c r="E33" i="70"/>
  <c r="E38" i="70"/>
  <c r="E49" i="70"/>
  <c r="E40" i="70"/>
  <c r="E21" i="70"/>
  <c r="E42" i="70"/>
  <c r="E53" i="70"/>
  <c r="E44" i="70"/>
  <c r="E10" i="70"/>
  <c r="E28" i="70"/>
  <c r="E56" i="70"/>
  <c r="E19" i="70"/>
  <c r="E11" i="70"/>
  <c r="E48" i="70"/>
  <c r="E39" i="70"/>
  <c r="E12" i="70"/>
  <c r="E30" i="70"/>
  <c r="E13" i="70"/>
  <c r="E50" i="70"/>
  <c r="E22" i="70"/>
  <c r="E14" i="70"/>
  <c r="E32" i="70"/>
  <c r="E51" i="70"/>
  <c r="E15" i="70"/>
  <c r="E23" i="70"/>
  <c r="E52" i="70"/>
  <c r="E24" i="70"/>
  <c r="E43" i="70"/>
  <c r="E34" i="70"/>
  <c r="D25" i="70"/>
  <c r="E25" i="70" s="1"/>
  <c r="C8" i="70"/>
  <c r="E35" i="70"/>
  <c r="E9" i="70"/>
  <c r="E17" i="70"/>
  <c r="E26" i="70"/>
  <c r="J9" i="70"/>
  <c r="E36" i="70"/>
  <c r="G8" i="70"/>
  <c r="J8" i="69"/>
  <c r="D8" i="69"/>
  <c r="E10" i="69"/>
  <c r="E8" i="69" s="1"/>
  <c r="E24" i="69"/>
  <c r="E15" i="69"/>
  <c r="E48" i="69"/>
  <c r="E59" i="69"/>
  <c r="E18" i="69"/>
  <c r="E28" i="69"/>
  <c r="E38" i="69"/>
  <c r="E29" i="69"/>
  <c r="E49" i="69"/>
  <c r="H8" i="69"/>
  <c r="I8" i="69"/>
  <c r="C8" i="69"/>
  <c r="D8" i="70" l="1"/>
  <c r="E8" i="70"/>
  <c r="I8" i="70"/>
  <c r="J8" i="70"/>
  <c r="D61" i="67"/>
  <c r="H41" i="67"/>
  <c r="I41" i="67" s="1"/>
  <c r="J41" i="67" s="1"/>
  <c r="C41" i="67"/>
  <c r="D41" i="67" s="1"/>
  <c r="B15" i="68" l="1"/>
  <c r="I64" i="68" l="1"/>
  <c r="D64" i="68"/>
  <c r="I63" i="68"/>
  <c r="D63" i="68"/>
  <c r="I62" i="68"/>
  <c r="D62" i="68"/>
  <c r="I61" i="68"/>
  <c r="H61" i="68"/>
  <c r="C61" i="68"/>
  <c r="D61" i="68" s="1"/>
  <c r="H60" i="68"/>
  <c r="I60" i="68" s="1"/>
  <c r="D60" i="68"/>
  <c r="H59" i="68"/>
  <c r="I59" i="68" s="1"/>
  <c r="J59" i="68" s="1"/>
  <c r="C59" i="68"/>
  <c r="D59" i="68" s="1"/>
  <c r="H58" i="68"/>
  <c r="I58" i="68" s="1"/>
  <c r="J58" i="68" s="1"/>
  <c r="C58" i="68"/>
  <c r="D58" i="68" s="1"/>
  <c r="J57" i="68"/>
  <c r="I57" i="68"/>
  <c r="D57" i="68"/>
  <c r="H56" i="68"/>
  <c r="I56" i="68" s="1"/>
  <c r="J56" i="68" s="1"/>
  <c r="C56" i="68"/>
  <c r="D56" i="68" s="1"/>
  <c r="E56" i="68" s="1"/>
  <c r="H55" i="68"/>
  <c r="I55" i="68" s="1"/>
  <c r="J55" i="68" s="1"/>
  <c r="C55" i="68"/>
  <c r="D55" i="68" s="1"/>
  <c r="H54" i="68"/>
  <c r="I54" i="68" s="1"/>
  <c r="J54" i="68" s="1"/>
  <c r="C54" i="68"/>
  <c r="D54" i="68" s="1"/>
  <c r="H53" i="68"/>
  <c r="I53" i="68" s="1"/>
  <c r="J53" i="68" s="1"/>
  <c r="C53" i="68"/>
  <c r="D53" i="68" s="1"/>
  <c r="E53" i="68" s="1"/>
  <c r="I52" i="68"/>
  <c r="J52" i="68" s="1"/>
  <c r="D52" i="68"/>
  <c r="H51" i="68"/>
  <c r="I51" i="68" s="1"/>
  <c r="J51" i="68" s="1"/>
  <c r="C51" i="68"/>
  <c r="D51" i="68" s="1"/>
  <c r="H50" i="68"/>
  <c r="I50" i="68" s="1"/>
  <c r="J50" i="68" s="1"/>
  <c r="C50" i="68"/>
  <c r="D50" i="68" s="1"/>
  <c r="E50" i="68" s="1"/>
  <c r="H49" i="68"/>
  <c r="I49" i="68" s="1"/>
  <c r="J49" i="68" s="1"/>
  <c r="C49" i="68"/>
  <c r="D49" i="68" s="1"/>
  <c r="E49" i="68" s="1"/>
  <c r="I48" i="68"/>
  <c r="J48" i="68" s="1"/>
  <c r="H48" i="68"/>
  <c r="C48" i="68"/>
  <c r="D48" i="68" s="1"/>
  <c r="I47" i="68"/>
  <c r="J47" i="68" s="1"/>
  <c r="C47" i="68"/>
  <c r="D47" i="68" s="1"/>
  <c r="I46" i="68"/>
  <c r="J46" i="68" s="1"/>
  <c r="D46" i="68"/>
  <c r="H45" i="68"/>
  <c r="I45" i="68" s="1"/>
  <c r="J45" i="68" s="1"/>
  <c r="C45" i="68"/>
  <c r="D45" i="68" s="1"/>
  <c r="I44" i="68"/>
  <c r="J44" i="68" s="1"/>
  <c r="D44" i="68"/>
  <c r="H43" i="68"/>
  <c r="I43" i="68" s="1"/>
  <c r="J43" i="68" s="1"/>
  <c r="C43" i="68"/>
  <c r="D43" i="68" s="1"/>
  <c r="H42" i="68"/>
  <c r="I42" i="68" s="1"/>
  <c r="J42" i="68" s="1"/>
  <c r="C42" i="68"/>
  <c r="D42" i="68" s="1"/>
  <c r="H41" i="68"/>
  <c r="I41" i="68" s="1"/>
  <c r="J41" i="68" s="1"/>
  <c r="C41" i="68"/>
  <c r="D41" i="68" s="1"/>
  <c r="E41" i="68" s="1"/>
  <c r="H40" i="68"/>
  <c r="I40" i="68" s="1"/>
  <c r="J40" i="68" s="1"/>
  <c r="C40" i="68"/>
  <c r="D40" i="68" s="1"/>
  <c r="H39" i="68"/>
  <c r="I39" i="68" s="1"/>
  <c r="J39" i="68" s="1"/>
  <c r="C39" i="68"/>
  <c r="D39" i="68" s="1"/>
  <c r="H38" i="68"/>
  <c r="I38" i="68" s="1"/>
  <c r="J38" i="68" s="1"/>
  <c r="C38" i="68"/>
  <c r="D38" i="68" s="1"/>
  <c r="E38" i="68" s="1"/>
  <c r="I37" i="68"/>
  <c r="J37" i="68" s="1"/>
  <c r="H37" i="68"/>
  <c r="C37" i="68"/>
  <c r="D37" i="68" s="1"/>
  <c r="H36" i="68"/>
  <c r="I36" i="68" s="1"/>
  <c r="J36" i="68" s="1"/>
  <c r="C36" i="68"/>
  <c r="D36" i="68" s="1"/>
  <c r="H35" i="68"/>
  <c r="I35" i="68" s="1"/>
  <c r="J35" i="68" s="1"/>
  <c r="C35" i="68"/>
  <c r="D35" i="68" s="1"/>
  <c r="H34" i="68"/>
  <c r="I34" i="68" s="1"/>
  <c r="J34" i="68" s="1"/>
  <c r="C34" i="68"/>
  <c r="D34" i="68" s="1"/>
  <c r="E34" i="68" s="1"/>
  <c r="I33" i="68"/>
  <c r="J33" i="68" s="1"/>
  <c r="H33" i="68"/>
  <c r="C33" i="68"/>
  <c r="D33" i="68" s="1"/>
  <c r="H32" i="68"/>
  <c r="I32" i="68" s="1"/>
  <c r="J32" i="68" s="1"/>
  <c r="C32" i="68"/>
  <c r="D32" i="68" s="1"/>
  <c r="H31" i="68"/>
  <c r="I31" i="68" s="1"/>
  <c r="J31" i="68" s="1"/>
  <c r="C31" i="68"/>
  <c r="D31" i="68" s="1"/>
  <c r="H30" i="68"/>
  <c r="I30" i="68" s="1"/>
  <c r="J30" i="68" s="1"/>
  <c r="C30" i="68"/>
  <c r="D30" i="68" s="1"/>
  <c r="H29" i="68"/>
  <c r="I29" i="68" s="1"/>
  <c r="J29" i="68" s="1"/>
  <c r="C29" i="68"/>
  <c r="D29" i="68" s="1"/>
  <c r="I28" i="68"/>
  <c r="J28" i="68" s="1"/>
  <c r="C28" i="68"/>
  <c r="D28" i="68" s="1"/>
  <c r="H27" i="68"/>
  <c r="I27" i="68" s="1"/>
  <c r="J27" i="68" s="1"/>
  <c r="C27" i="68"/>
  <c r="D27" i="68" s="1"/>
  <c r="H26" i="68"/>
  <c r="I26" i="68" s="1"/>
  <c r="J26" i="68" s="1"/>
  <c r="C26" i="68"/>
  <c r="D26" i="68" s="1"/>
  <c r="H25" i="68"/>
  <c r="I25" i="68" s="1"/>
  <c r="J25" i="68" s="1"/>
  <c r="C25" i="68"/>
  <c r="D25" i="68" s="1"/>
  <c r="E25" i="68" s="1"/>
  <c r="I24" i="68"/>
  <c r="J24" i="68" s="1"/>
  <c r="D24" i="68"/>
  <c r="H23" i="68"/>
  <c r="I23" i="68" s="1"/>
  <c r="J23" i="68" s="1"/>
  <c r="C23" i="68"/>
  <c r="D23" i="68" s="1"/>
  <c r="H22" i="68"/>
  <c r="I22" i="68" s="1"/>
  <c r="J22" i="68" s="1"/>
  <c r="C22" i="68"/>
  <c r="D22" i="68" s="1"/>
  <c r="H21" i="68"/>
  <c r="I21" i="68" s="1"/>
  <c r="J21" i="68" s="1"/>
  <c r="C21" i="68"/>
  <c r="D21" i="68" s="1"/>
  <c r="E21" i="68" s="1"/>
  <c r="H20" i="68"/>
  <c r="I20" i="68" s="1"/>
  <c r="J20" i="68" s="1"/>
  <c r="C20" i="68"/>
  <c r="D20" i="68" s="1"/>
  <c r="H19" i="68"/>
  <c r="I19" i="68" s="1"/>
  <c r="J19" i="68" s="1"/>
  <c r="C19" i="68"/>
  <c r="D19" i="68" s="1"/>
  <c r="H18" i="68"/>
  <c r="I18" i="68" s="1"/>
  <c r="J18" i="68" s="1"/>
  <c r="C18" i="68"/>
  <c r="D18" i="68" s="1"/>
  <c r="I17" i="68"/>
  <c r="J17" i="68" s="1"/>
  <c r="D17" i="68"/>
  <c r="I16" i="68"/>
  <c r="J16" i="68" s="1"/>
  <c r="D16" i="68"/>
  <c r="E16" i="68" s="1"/>
  <c r="I15" i="68"/>
  <c r="J15" i="68" s="1"/>
  <c r="D15" i="68"/>
  <c r="H14" i="68"/>
  <c r="I14" i="68" s="1"/>
  <c r="J14" i="68" s="1"/>
  <c r="C14" i="68"/>
  <c r="D14" i="68" s="1"/>
  <c r="H13" i="68"/>
  <c r="I13" i="68" s="1"/>
  <c r="J13" i="68" s="1"/>
  <c r="C13" i="68"/>
  <c r="D13" i="68" s="1"/>
  <c r="E13" i="68" s="1"/>
  <c r="H12" i="68"/>
  <c r="I12" i="68" s="1"/>
  <c r="J12" i="68" s="1"/>
  <c r="D12" i="68"/>
  <c r="C12" i="68"/>
  <c r="H11" i="68"/>
  <c r="I11" i="68" s="1"/>
  <c r="J11" i="68" s="1"/>
  <c r="C11" i="68"/>
  <c r="D11" i="68" s="1"/>
  <c r="H10" i="68"/>
  <c r="I10" i="68" s="1"/>
  <c r="J10" i="68" s="1"/>
  <c r="C10" i="68"/>
  <c r="H9" i="68"/>
  <c r="D9" i="68"/>
  <c r="G8" i="68"/>
  <c r="B8" i="68"/>
  <c r="H4" i="68"/>
  <c r="C4" i="68"/>
  <c r="E4" i="68" s="1"/>
  <c r="E26" i="68" l="1"/>
  <c r="E17" i="68"/>
  <c r="C8" i="68"/>
  <c r="E35" i="68"/>
  <c r="E51" i="68"/>
  <c r="E36" i="68"/>
  <c r="H8" i="68"/>
  <c r="E43" i="68"/>
  <c r="E19" i="68"/>
  <c r="E44" i="68"/>
  <c r="E52" i="68"/>
  <c r="E9" i="68"/>
  <c r="E18" i="68"/>
  <c r="E12" i="68"/>
  <c r="E46" i="68"/>
  <c r="E23" i="68"/>
  <c r="E24" i="68"/>
  <c r="E40" i="68"/>
  <c r="E48" i="68"/>
  <c r="E15" i="68"/>
  <c r="E32" i="68"/>
  <c r="E54" i="68"/>
  <c r="E57" i="68"/>
  <c r="E47" i="68"/>
  <c r="E33" i="68"/>
  <c r="E29" i="68"/>
  <c r="E11" i="68"/>
  <c r="E20" i="68"/>
  <c r="E22" i="68"/>
  <c r="E28" i="68"/>
  <c r="E30" i="68"/>
  <c r="E55" i="68"/>
  <c r="E59" i="68"/>
  <c r="E39" i="68"/>
  <c r="E42" i="68"/>
  <c r="E45" i="68"/>
  <c r="E14" i="68"/>
  <c r="E27" i="68"/>
  <c r="E31" i="68"/>
  <c r="E37" i="68"/>
  <c r="E58" i="68"/>
  <c r="D10" i="68"/>
  <c r="I9" i="68"/>
  <c r="I64" i="67"/>
  <c r="D64" i="67"/>
  <c r="I63" i="67"/>
  <c r="D63" i="67"/>
  <c r="I62" i="67"/>
  <c r="D62" i="67"/>
  <c r="I61" i="67"/>
  <c r="H60" i="67"/>
  <c r="I60" i="67" s="1"/>
  <c r="D60" i="67"/>
  <c r="H59" i="67"/>
  <c r="I59" i="67" s="1"/>
  <c r="J59" i="67" s="1"/>
  <c r="C59" i="67"/>
  <c r="D59" i="67" s="1"/>
  <c r="H58" i="67"/>
  <c r="I58" i="67" s="1"/>
  <c r="J58" i="67" s="1"/>
  <c r="C58" i="67"/>
  <c r="D58" i="67" s="1"/>
  <c r="I57" i="67"/>
  <c r="J57" i="67" s="1"/>
  <c r="D57" i="67"/>
  <c r="H56" i="67"/>
  <c r="I56" i="67" s="1"/>
  <c r="J56" i="67" s="1"/>
  <c r="C56" i="67"/>
  <c r="D56" i="67" s="1"/>
  <c r="H55" i="67"/>
  <c r="I55" i="67" s="1"/>
  <c r="J55" i="67" s="1"/>
  <c r="C55" i="67"/>
  <c r="D55" i="67" s="1"/>
  <c r="H54" i="67"/>
  <c r="I54" i="67" s="1"/>
  <c r="J54" i="67" s="1"/>
  <c r="C54" i="67"/>
  <c r="D54" i="67" s="1"/>
  <c r="H53" i="67"/>
  <c r="I53" i="67" s="1"/>
  <c r="J53" i="67" s="1"/>
  <c r="C53" i="67"/>
  <c r="D53" i="67" s="1"/>
  <c r="I52" i="67"/>
  <c r="J52" i="67" s="1"/>
  <c r="D52" i="67"/>
  <c r="H51" i="67"/>
  <c r="I51" i="67" s="1"/>
  <c r="J51" i="67" s="1"/>
  <c r="C51" i="67"/>
  <c r="D51" i="67" s="1"/>
  <c r="H50" i="67"/>
  <c r="I50" i="67" s="1"/>
  <c r="J50" i="67" s="1"/>
  <c r="C50" i="67"/>
  <c r="D50" i="67" s="1"/>
  <c r="H49" i="67"/>
  <c r="I49" i="67" s="1"/>
  <c r="J49" i="67" s="1"/>
  <c r="C49" i="67"/>
  <c r="D49" i="67" s="1"/>
  <c r="H48" i="67"/>
  <c r="I48" i="67" s="1"/>
  <c r="J48" i="67" s="1"/>
  <c r="C48" i="67"/>
  <c r="D48" i="67" s="1"/>
  <c r="I47" i="67"/>
  <c r="J47" i="67" s="1"/>
  <c r="C47" i="67"/>
  <c r="D47" i="67" s="1"/>
  <c r="I46" i="67"/>
  <c r="J46" i="67" s="1"/>
  <c r="D46" i="67"/>
  <c r="H45" i="67"/>
  <c r="I45" i="67" s="1"/>
  <c r="J45" i="67" s="1"/>
  <c r="C45" i="67"/>
  <c r="D45" i="67" s="1"/>
  <c r="I44" i="67"/>
  <c r="J44" i="67" s="1"/>
  <c r="D44" i="67"/>
  <c r="H43" i="67"/>
  <c r="I43" i="67" s="1"/>
  <c r="J43" i="67" s="1"/>
  <c r="C43" i="67"/>
  <c r="D43" i="67" s="1"/>
  <c r="H42" i="67"/>
  <c r="I42" i="67" s="1"/>
  <c r="J42" i="67" s="1"/>
  <c r="C42" i="67"/>
  <c r="D42" i="67" s="1"/>
  <c r="H40" i="67"/>
  <c r="I40" i="67" s="1"/>
  <c r="J40" i="67" s="1"/>
  <c r="C40" i="67"/>
  <c r="D40" i="67" s="1"/>
  <c r="H39" i="67"/>
  <c r="I39" i="67" s="1"/>
  <c r="J39" i="67" s="1"/>
  <c r="C39" i="67"/>
  <c r="D39" i="67" s="1"/>
  <c r="H38" i="67"/>
  <c r="I38" i="67" s="1"/>
  <c r="J38" i="67" s="1"/>
  <c r="C38" i="67"/>
  <c r="D38" i="67" s="1"/>
  <c r="H37" i="67"/>
  <c r="I37" i="67" s="1"/>
  <c r="J37" i="67" s="1"/>
  <c r="C37" i="67"/>
  <c r="D37" i="67" s="1"/>
  <c r="H36" i="67"/>
  <c r="I36" i="67" s="1"/>
  <c r="J36" i="67" s="1"/>
  <c r="C36" i="67"/>
  <c r="D36" i="67" s="1"/>
  <c r="H35" i="67"/>
  <c r="I35" i="67" s="1"/>
  <c r="J35" i="67" s="1"/>
  <c r="C35" i="67"/>
  <c r="D35" i="67" s="1"/>
  <c r="H34" i="67"/>
  <c r="I34" i="67" s="1"/>
  <c r="J34" i="67" s="1"/>
  <c r="C34" i="67"/>
  <c r="D34" i="67" s="1"/>
  <c r="H33" i="67"/>
  <c r="I33" i="67" s="1"/>
  <c r="J33" i="67" s="1"/>
  <c r="C33" i="67"/>
  <c r="D33" i="67" s="1"/>
  <c r="H32" i="67"/>
  <c r="I32" i="67" s="1"/>
  <c r="J32" i="67" s="1"/>
  <c r="C32" i="67"/>
  <c r="D32" i="67" s="1"/>
  <c r="H31" i="67"/>
  <c r="I31" i="67" s="1"/>
  <c r="J31" i="67" s="1"/>
  <c r="C31" i="67"/>
  <c r="D31" i="67" s="1"/>
  <c r="H30" i="67"/>
  <c r="I30" i="67" s="1"/>
  <c r="J30" i="67" s="1"/>
  <c r="C30" i="67"/>
  <c r="D30" i="67" s="1"/>
  <c r="E30" i="67" s="1"/>
  <c r="H29" i="67"/>
  <c r="I29" i="67" s="1"/>
  <c r="J29" i="67" s="1"/>
  <c r="C29" i="67"/>
  <c r="D29" i="67" s="1"/>
  <c r="I28" i="67"/>
  <c r="J28" i="67" s="1"/>
  <c r="C28" i="67"/>
  <c r="D28" i="67" s="1"/>
  <c r="H27" i="67"/>
  <c r="I27" i="67" s="1"/>
  <c r="J27" i="67" s="1"/>
  <c r="C27" i="67"/>
  <c r="D27" i="67" s="1"/>
  <c r="H26" i="67"/>
  <c r="I26" i="67" s="1"/>
  <c r="J26" i="67" s="1"/>
  <c r="C26" i="67"/>
  <c r="D26" i="67" s="1"/>
  <c r="H25" i="67"/>
  <c r="I25" i="67" s="1"/>
  <c r="J25" i="67" s="1"/>
  <c r="C25" i="67"/>
  <c r="D25" i="67" s="1"/>
  <c r="I24" i="67"/>
  <c r="J24" i="67" s="1"/>
  <c r="D24" i="67"/>
  <c r="H23" i="67"/>
  <c r="I23" i="67" s="1"/>
  <c r="J23" i="67" s="1"/>
  <c r="C23" i="67"/>
  <c r="D23" i="67" s="1"/>
  <c r="H22" i="67"/>
  <c r="I22" i="67" s="1"/>
  <c r="J22" i="67" s="1"/>
  <c r="C22" i="67"/>
  <c r="D22" i="67" s="1"/>
  <c r="H21" i="67"/>
  <c r="I21" i="67" s="1"/>
  <c r="J21" i="67" s="1"/>
  <c r="C21" i="67"/>
  <c r="D21" i="67" s="1"/>
  <c r="H20" i="67"/>
  <c r="I20" i="67" s="1"/>
  <c r="J20" i="67" s="1"/>
  <c r="C20" i="67"/>
  <c r="D20" i="67" s="1"/>
  <c r="H19" i="67"/>
  <c r="I19" i="67" s="1"/>
  <c r="J19" i="67" s="1"/>
  <c r="C19" i="67"/>
  <c r="D19" i="67" s="1"/>
  <c r="H18" i="67"/>
  <c r="I18" i="67" s="1"/>
  <c r="J18" i="67" s="1"/>
  <c r="C18" i="67"/>
  <c r="D18" i="67" s="1"/>
  <c r="I17" i="67"/>
  <c r="J17" i="67" s="1"/>
  <c r="D17" i="67"/>
  <c r="I16" i="67"/>
  <c r="J16" i="67" s="1"/>
  <c r="D16" i="67"/>
  <c r="I15" i="67"/>
  <c r="J15" i="67" s="1"/>
  <c r="H14" i="67"/>
  <c r="I14" i="67" s="1"/>
  <c r="J14" i="67" s="1"/>
  <c r="C14" i="67"/>
  <c r="D14" i="67" s="1"/>
  <c r="H13" i="67"/>
  <c r="I13" i="67" s="1"/>
  <c r="J13" i="67" s="1"/>
  <c r="C13" i="67"/>
  <c r="D13" i="67" s="1"/>
  <c r="E13" i="67" s="1"/>
  <c r="H12" i="67"/>
  <c r="I12" i="67" s="1"/>
  <c r="J12" i="67" s="1"/>
  <c r="C12" i="67"/>
  <c r="D12" i="67" s="1"/>
  <c r="H11" i="67"/>
  <c r="I11" i="67" s="1"/>
  <c r="J11" i="67" s="1"/>
  <c r="C11" i="67"/>
  <c r="D11" i="67" s="1"/>
  <c r="H10" i="67"/>
  <c r="I10" i="67" s="1"/>
  <c r="J10" i="67" s="1"/>
  <c r="C10" i="67"/>
  <c r="D10" i="67" s="1"/>
  <c r="H9" i="67"/>
  <c r="D9" i="67"/>
  <c r="G8" i="67"/>
  <c r="B8" i="67"/>
  <c r="H4" i="67"/>
  <c r="C4" i="67"/>
  <c r="E4" i="67" s="1"/>
  <c r="E41" i="67" s="1"/>
  <c r="E10" i="68" l="1"/>
  <c r="E8" i="68" s="1"/>
  <c r="D8" i="68"/>
  <c r="I8" i="68"/>
  <c r="J9" i="68"/>
  <c r="J8" i="68" s="1"/>
  <c r="E49" i="67"/>
  <c r="E27" i="67"/>
  <c r="E10" i="67"/>
  <c r="E17" i="67"/>
  <c r="E52" i="67"/>
  <c r="E59" i="67"/>
  <c r="H8" i="67"/>
  <c r="C8" i="67"/>
  <c r="E19" i="67"/>
  <c r="E22" i="67"/>
  <c r="E29" i="67"/>
  <c r="E32" i="67"/>
  <c r="E35" i="67"/>
  <c r="E54" i="67"/>
  <c r="E9" i="67"/>
  <c r="E42" i="67"/>
  <c r="E48" i="67"/>
  <c r="E20" i="67"/>
  <c r="E23" i="67"/>
  <c r="E33" i="67"/>
  <c r="E36" i="67"/>
  <c r="E39" i="67"/>
  <c r="E55" i="67"/>
  <c r="E21" i="67"/>
  <c r="E40" i="67"/>
  <c r="E57" i="67"/>
  <c r="E16" i="67"/>
  <c r="E24" i="67"/>
  <c r="E37" i="67"/>
  <c r="E46" i="67"/>
  <c r="E56" i="67"/>
  <c r="E14" i="67"/>
  <c r="E28" i="67"/>
  <c r="E18" i="67"/>
  <c r="E31" i="67"/>
  <c r="E44" i="67"/>
  <c r="E53" i="67"/>
  <c r="E43" i="67"/>
  <c r="E11" i="67"/>
  <c r="E34" i="67"/>
  <c r="E12" i="67"/>
  <c r="E15" i="67"/>
  <c r="E25" i="67"/>
  <c r="E38" i="67"/>
  <c r="E47" i="67"/>
  <c r="E50" i="67"/>
  <c r="E26" i="67"/>
  <c r="E45" i="67"/>
  <c r="E51" i="67"/>
  <c r="E58" i="67"/>
  <c r="D8" i="67"/>
  <c r="I9" i="67"/>
  <c r="I64" i="66"/>
  <c r="D64" i="66"/>
  <c r="I63" i="66"/>
  <c r="D63" i="66"/>
  <c r="I62" i="66"/>
  <c r="D62" i="66"/>
  <c r="H61" i="66"/>
  <c r="I61" i="66" s="1"/>
  <c r="C61" i="66"/>
  <c r="D61" i="66" s="1"/>
  <c r="H60" i="66"/>
  <c r="I60" i="66" s="1"/>
  <c r="D60" i="66"/>
  <c r="H59" i="66"/>
  <c r="I59" i="66" s="1"/>
  <c r="J59" i="66" s="1"/>
  <c r="C59" i="66"/>
  <c r="D59" i="66" s="1"/>
  <c r="H58" i="66"/>
  <c r="I58" i="66" s="1"/>
  <c r="J58" i="66" s="1"/>
  <c r="C58" i="66"/>
  <c r="D58" i="66" s="1"/>
  <c r="I57" i="66"/>
  <c r="J57" i="66" s="1"/>
  <c r="D57" i="66"/>
  <c r="H56" i="66"/>
  <c r="I56" i="66" s="1"/>
  <c r="J56" i="66" s="1"/>
  <c r="C56" i="66"/>
  <c r="D56" i="66" s="1"/>
  <c r="H55" i="66"/>
  <c r="I55" i="66" s="1"/>
  <c r="J55" i="66" s="1"/>
  <c r="C55" i="66"/>
  <c r="D55" i="66" s="1"/>
  <c r="H54" i="66"/>
  <c r="I54" i="66" s="1"/>
  <c r="J54" i="66" s="1"/>
  <c r="C54" i="66"/>
  <c r="D54" i="66" s="1"/>
  <c r="H53" i="66"/>
  <c r="I53" i="66" s="1"/>
  <c r="J53" i="66" s="1"/>
  <c r="C53" i="66"/>
  <c r="D53" i="66" s="1"/>
  <c r="I52" i="66"/>
  <c r="J52" i="66" s="1"/>
  <c r="D52" i="66"/>
  <c r="H51" i="66"/>
  <c r="I51" i="66" s="1"/>
  <c r="J51" i="66" s="1"/>
  <c r="C51" i="66"/>
  <c r="D51" i="66" s="1"/>
  <c r="H50" i="66"/>
  <c r="I50" i="66" s="1"/>
  <c r="J50" i="66" s="1"/>
  <c r="C50" i="66"/>
  <c r="D50" i="66" s="1"/>
  <c r="H49" i="66"/>
  <c r="I49" i="66" s="1"/>
  <c r="J49" i="66" s="1"/>
  <c r="C49" i="66"/>
  <c r="D49" i="66" s="1"/>
  <c r="H48" i="66"/>
  <c r="I48" i="66" s="1"/>
  <c r="J48" i="66" s="1"/>
  <c r="C48" i="66"/>
  <c r="D48" i="66" s="1"/>
  <c r="H47" i="66"/>
  <c r="I47" i="66" s="1"/>
  <c r="J47" i="66" s="1"/>
  <c r="C47" i="66"/>
  <c r="D47" i="66" s="1"/>
  <c r="I46" i="66"/>
  <c r="J46" i="66" s="1"/>
  <c r="D46" i="66"/>
  <c r="H45" i="66"/>
  <c r="I45" i="66" s="1"/>
  <c r="J45" i="66" s="1"/>
  <c r="C45" i="66"/>
  <c r="D45" i="66" s="1"/>
  <c r="I44" i="66"/>
  <c r="J44" i="66" s="1"/>
  <c r="D44" i="66"/>
  <c r="I43" i="66"/>
  <c r="J43" i="66" s="1"/>
  <c r="H43" i="66"/>
  <c r="C43" i="66"/>
  <c r="D43" i="66" s="1"/>
  <c r="H42" i="66"/>
  <c r="I42" i="66" s="1"/>
  <c r="J42" i="66" s="1"/>
  <c r="C42" i="66"/>
  <c r="D42" i="66" s="1"/>
  <c r="H41" i="66"/>
  <c r="I41" i="66" s="1"/>
  <c r="J41" i="66" s="1"/>
  <c r="C41" i="66"/>
  <c r="D41" i="66" s="1"/>
  <c r="H40" i="66"/>
  <c r="I40" i="66" s="1"/>
  <c r="J40" i="66" s="1"/>
  <c r="C40" i="66"/>
  <c r="D40" i="66" s="1"/>
  <c r="H39" i="66"/>
  <c r="I39" i="66" s="1"/>
  <c r="J39" i="66" s="1"/>
  <c r="C39" i="66"/>
  <c r="D39" i="66" s="1"/>
  <c r="H38" i="66"/>
  <c r="I38" i="66" s="1"/>
  <c r="J38" i="66" s="1"/>
  <c r="C38" i="66"/>
  <c r="D38" i="66" s="1"/>
  <c r="H37" i="66"/>
  <c r="I37" i="66" s="1"/>
  <c r="J37" i="66" s="1"/>
  <c r="C37" i="66"/>
  <c r="D37" i="66" s="1"/>
  <c r="H36" i="66"/>
  <c r="I36" i="66" s="1"/>
  <c r="J36" i="66" s="1"/>
  <c r="C36" i="66"/>
  <c r="D36" i="66" s="1"/>
  <c r="H35" i="66"/>
  <c r="I35" i="66" s="1"/>
  <c r="J35" i="66" s="1"/>
  <c r="C35" i="66"/>
  <c r="D35" i="66" s="1"/>
  <c r="H34" i="66"/>
  <c r="I34" i="66" s="1"/>
  <c r="J34" i="66" s="1"/>
  <c r="C34" i="66"/>
  <c r="D34" i="66" s="1"/>
  <c r="H33" i="66"/>
  <c r="I33" i="66" s="1"/>
  <c r="J33" i="66" s="1"/>
  <c r="C33" i="66"/>
  <c r="D33" i="66" s="1"/>
  <c r="H32" i="66"/>
  <c r="I32" i="66" s="1"/>
  <c r="J32" i="66" s="1"/>
  <c r="C32" i="66"/>
  <c r="D32" i="66" s="1"/>
  <c r="H31" i="66"/>
  <c r="I31" i="66" s="1"/>
  <c r="J31" i="66" s="1"/>
  <c r="C31" i="66"/>
  <c r="D31" i="66" s="1"/>
  <c r="H30" i="66"/>
  <c r="I30" i="66" s="1"/>
  <c r="J30" i="66" s="1"/>
  <c r="C30" i="66"/>
  <c r="D30" i="66" s="1"/>
  <c r="H29" i="66"/>
  <c r="I29" i="66" s="1"/>
  <c r="J29" i="66" s="1"/>
  <c r="C29" i="66"/>
  <c r="D29" i="66" s="1"/>
  <c r="I28" i="66"/>
  <c r="J28" i="66" s="1"/>
  <c r="C28" i="66"/>
  <c r="D28" i="66" s="1"/>
  <c r="H27" i="66"/>
  <c r="I27" i="66" s="1"/>
  <c r="J27" i="66" s="1"/>
  <c r="C27" i="66"/>
  <c r="D27" i="66" s="1"/>
  <c r="H26" i="66"/>
  <c r="I26" i="66" s="1"/>
  <c r="J26" i="66" s="1"/>
  <c r="C26" i="66"/>
  <c r="D26" i="66" s="1"/>
  <c r="H25" i="66"/>
  <c r="I25" i="66" s="1"/>
  <c r="J25" i="66" s="1"/>
  <c r="C25" i="66"/>
  <c r="D25" i="66" s="1"/>
  <c r="I24" i="66"/>
  <c r="J24" i="66" s="1"/>
  <c r="D24" i="66"/>
  <c r="H23" i="66"/>
  <c r="I23" i="66" s="1"/>
  <c r="J23" i="66" s="1"/>
  <c r="C23" i="66"/>
  <c r="D23" i="66" s="1"/>
  <c r="H22" i="66"/>
  <c r="I22" i="66" s="1"/>
  <c r="J22" i="66" s="1"/>
  <c r="C22" i="66"/>
  <c r="D22" i="66" s="1"/>
  <c r="H21" i="66"/>
  <c r="I21" i="66" s="1"/>
  <c r="J21" i="66" s="1"/>
  <c r="C21" i="66"/>
  <c r="D21" i="66" s="1"/>
  <c r="H20" i="66"/>
  <c r="I20" i="66" s="1"/>
  <c r="J20" i="66" s="1"/>
  <c r="C20" i="66"/>
  <c r="D20" i="66" s="1"/>
  <c r="H19" i="66"/>
  <c r="I19" i="66" s="1"/>
  <c r="J19" i="66" s="1"/>
  <c r="C19" i="66"/>
  <c r="D19" i="66" s="1"/>
  <c r="H18" i="66"/>
  <c r="I18" i="66" s="1"/>
  <c r="J18" i="66" s="1"/>
  <c r="C18" i="66"/>
  <c r="D18" i="66" s="1"/>
  <c r="I17" i="66"/>
  <c r="J17" i="66" s="1"/>
  <c r="D17" i="66"/>
  <c r="I16" i="66"/>
  <c r="J16" i="66" s="1"/>
  <c r="D16" i="66"/>
  <c r="I15" i="66"/>
  <c r="J15" i="66" s="1"/>
  <c r="D15" i="66"/>
  <c r="I14" i="66"/>
  <c r="J14" i="66" s="1"/>
  <c r="C14" i="66"/>
  <c r="D14" i="66" s="1"/>
  <c r="H13" i="66"/>
  <c r="I13" i="66" s="1"/>
  <c r="J13" i="66" s="1"/>
  <c r="C13" i="66"/>
  <c r="D13" i="66" s="1"/>
  <c r="H12" i="66"/>
  <c r="I12" i="66" s="1"/>
  <c r="J12" i="66" s="1"/>
  <c r="C12" i="66"/>
  <c r="D12" i="66" s="1"/>
  <c r="H11" i="66"/>
  <c r="I11" i="66" s="1"/>
  <c r="C11" i="66"/>
  <c r="D11" i="66" s="1"/>
  <c r="H10" i="66"/>
  <c r="I10" i="66" s="1"/>
  <c r="J10" i="66" s="1"/>
  <c r="C10" i="66"/>
  <c r="H9" i="66"/>
  <c r="D9" i="66"/>
  <c r="G8" i="66"/>
  <c r="B8" i="66"/>
  <c r="H4" i="66"/>
  <c r="C4" i="66"/>
  <c r="E4" i="66" s="1"/>
  <c r="H8" i="66" l="1"/>
  <c r="C8" i="66"/>
  <c r="I9" i="66"/>
  <c r="J9" i="66" s="1"/>
  <c r="E8" i="67"/>
  <c r="I8" i="67"/>
  <c r="J9" i="67"/>
  <c r="J8" i="67" s="1"/>
  <c r="E23" i="66"/>
  <c r="E34" i="66"/>
  <c r="E42" i="66"/>
  <c r="E16" i="66"/>
  <c r="E29" i="66"/>
  <c r="E37" i="66"/>
  <c r="E51" i="66"/>
  <c r="E54" i="66"/>
  <c r="E11" i="66"/>
  <c r="E19" i="66"/>
  <c r="E21" i="66"/>
  <c r="E32" i="66"/>
  <c r="E40" i="66"/>
  <c r="E57" i="66"/>
  <c r="E18" i="66"/>
  <c r="E31" i="66"/>
  <c r="E56" i="66"/>
  <c r="E14" i="66"/>
  <c r="E35" i="66"/>
  <c r="E43" i="66"/>
  <c r="E46" i="66"/>
  <c r="E49" i="66"/>
  <c r="E59" i="66"/>
  <c r="E45" i="66"/>
  <c r="E26" i="66"/>
  <c r="J11" i="66"/>
  <c r="J8" i="66" s="1"/>
  <c r="E12" i="66"/>
  <c r="E30" i="66"/>
  <c r="E52" i="66"/>
  <c r="E58" i="66"/>
  <c r="E33" i="66"/>
  <c r="E41" i="66"/>
  <c r="E47" i="66"/>
  <c r="E24" i="66"/>
  <c r="E17" i="66"/>
  <c r="E15" i="66"/>
  <c r="E13" i="66"/>
  <c r="E9" i="66"/>
  <c r="E20" i="66"/>
  <c r="E28" i="66"/>
  <c r="E39" i="66"/>
  <c r="E48" i="66"/>
  <c r="E22" i="66"/>
  <c r="E27" i="66"/>
  <c r="E38" i="66"/>
  <c r="E55" i="66"/>
  <c r="E25" i="66"/>
  <c r="E36" i="66"/>
  <c r="E44" i="66"/>
  <c r="E50" i="66"/>
  <c r="E53" i="66"/>
  <c r="D10" i="66"/>
  <c r="I64" i="65"/>
  <c r="D64" i="65"/>
  <c r="I63" i="65"/>
  <c r="D63" i="65"/>
  <c r="I62" i="65"/>
  <c r="D62" i="65"/>
  <c r="H61" i="65"/>
  <c r="I61" i="65" s="1"/>
  <c r="C61" i="65"/>
  <c r="D61" i="65" s="1"/>
  <c r="H60" i="65"/>
  <c r="I60" i="65" s="1"/>
  <c r="D60" i="65"/>
  <c r="H59" i="65"/>
  <c r="I59" i="65" s="1"/>
  <c r="J59" i="65" s="1"/>
  <c r="C59" i="65"/>
  <c r="D59" i="65" s="1"/>
  <c r="H58" i="65"/>
  <c r="I58" i="65" s="1"/>
  <c r="J58" i="65" s="1"/>
  <c r="C58" i="65"/>
  <c r="D58" i="65" s="1"/>
  <c r="I57" i="65"/>
  <c r="J57" i="65" s="1"/>
  <c r="D57" i="65"/>
  <c r="H56" i="65"/>
  <c r="I56" i="65" s="1"/>
  <c r="J56" i="65" s="1"/>
  <c r="C56" i="65"/>
  <c r="D56" i="65" s="1"/>
  <c r="H55" i="65"/>
  <c r="I55" i="65" s="1"/>
  <c r="J55" i="65" s="1"/>
  <c r="C55" i="65"/>
  <c r="D55" i="65" s="1"/>
  <c r="H54" i="65"/>
  <c r="I54" i="65" s="1"/>
  <c r="J54" i="65" s="1"/>
  <c r="C54" i="65"/>
  <c r="D54" i="65" s="1"/>
  <c r="H53" i="65"/>
  <c r="I53" i="65" s="1"/>
  <c r="J53" i="65" s="1"/>
  <c r="C53" i="65"/>
  <c r="D53" i="65" s="1"/>
  <c r="I52" i="65"/>
  <c r="J52" i="65" s="1"/>
  <c r="D52" i="65"/>
  <c r="H51" i="65"/>
  <c r="I51" i="65" s="1"/>
  <c r="J51" i="65" s="1"/>
  <c r="C51" i="65"/>
  <c r="D51" i="65" s="1"/>
  <c r="H50" i="65"/>
  <c r="I50" i="65" s="1"/>
  <c r="J50" i="65" s="1"/>
  <c r="C50" i="65"/>
  <c r="D50" i="65" s="1"/>
  <c r="H49" i="65"/>
  <c r="I49" i="65" s="1"/>
  <c r="J49" i="65" s="1"/>
  <c r="C49" i="65"/>
  <c r="D49" i="65" s="1"/>
  <c r="H48" i="65"/>
  <c r="I48" i="65" s="1"/>
  <c r="J48" i="65" s="1"/>
  <c r="C48" i="65"/>
  <c r="D48" i="65" s="1"/>
  <c r="H47" i="65"/>
  <c r="I47" i="65" s="1"/>
  <c r="J47" i="65" s="1"/>
  <c r="C47" i="65"/>
  <c r="D47" i="65" s="1"/>
  <c r="I46" i="65"/>
  <c r="J46" i="65" s="1"/>
  <c r="D46" i="65"/>
  <c r="H45" i="65"/>
  <c r="I45" i="65" s="1"/>
  <c r="J45" i="65" s="1"/>
  <c r="C45" i="65"/>
  <c r="D45" i="65" s="1"/>
  <c r="I44" i="65"/>
  <c r="J44" i="65" s="1"/>
  <c r="D44" i="65"/>
  <c r="H43" i="65"/>
  <c r="I43" i="65" s="1"/>
  <c r="J43" i="65" s="1"/>
  <c r="C43" i="65"/>
  <c r="D43" i="65" s="1"/>
  <c r="H42" i="65"/>
  <c r="I42" i="65" s="1"/>
  <c r="J42" i="65" s="1"/>
  <c r="C42" i="65"/>
  <c r="D42" i="65" s="1"/>
  <c r="H41" i="65"/>
  <c r="I41" i="65" s="1"/>
  <c r="J41" i="65" s="1"/>
  <c r="C41" i="65"/>
  <c r="D41" i="65" s="1"/>
  <c r="H40" i="65"/>
  <c r="I40" i="65" s="1"/>
  <c r="J40" i="65" s="1"/>
  <c r="C40" i="65"/>
  <c r="D40" i="65" s="1"/>
  <c r="H39" i="65"/>
  <c r="I39" i="65" s="1"/>
  <c r="J39" i="65" s="1"/>
  <c r="C39" i="65"/>
  <c r="D39" i="65" s="1"/>
  <c r="H38" i="65"/>
  <c r="I38" i="65" s="1"/>
  <c r="J38" i="65" s="1"/>
  <c r="C38" i="65"/>
  <c r="D38" i="65" s="1"/>
  <c r="H37" i="65"/>
  <c r="I37" i="65" s="1"/>
  <c r="J37" i="65" s="1"/>
  <c r="C37" i="65"/>
  <c r="D37" i="65" s="1"/>
  <c r="H36" i="65"/>
  <c r="I36" i="65" s="1"/>
  <c r="J36" i="65" s="1"/>
  <c r="C36" i="65"/>
  <c r="D36" i="65" s="1"/>
  <c r="H35" i="65"/>
  <c r="I35" i="65" s="1"/>
  <c r="J35" i="65" s="1"/>
  <c r="C35" i="65"/>
  <c r="D35" i="65" s="1"/>
  <c r="H34" i="65"/>
  <c r="I34" i="65" s="1"/>
  <c r="J34" i="65" s="1"/>
  <c r="D34" i="65"/>
  <c r="H33" i="65"/>
  <c r="I33" i="65" s="1"/>
  <c r="J33" i="65" s="1"/>
  <c r="C33" i="65"/>
  <c r="D33" i="65" s="1"/>
  <c r="H32" i="65"/>
  <c r="I32" i="65" s="1"/>
  <c r="J32" i="65" s="1"/>
  <c r="C32" i="65"/>
  <c r="D32" i="65" s="1"/>
  <c r="H31" i="65"/>
  <c r="I31" i="65" s="1"/>
  <c r="J31" i="65" s="1"/>
  <c r="C31" i="65"/>
  <c r="D31" i="65" s="1"/>
  <c r="H30" i="65"/>
  <c r="I30" i="65" s="1"/>
  <c r="J30" i="65" s="1"/>
  <c r="C30" i="65"/>
  <c r="D30" i="65" s="1"/>
  <c r="H29" i="65"/>
  <c r="I29" i="65" s="1"/>
  <c r="J29" i="65" s="1"/>
  <c r="C29" i="65"/>
  <c r="D29" i="65" s="1"/>
  <c r="I28" i="65"/>
  <c r="J28" i="65" s="1"/>
  <c r="C28" i="65"/>
  <c r="D28" i="65" s="1"/>
  <c r="H27" i="65"/>
  <c r="I27" i="65" s="1"/>
  <c r="J27" i="65" s="1"/>
  <c r="C27" i="65"/>
  <c r="D27" i="65" s="1"/>
  <c r="H26" i="65"/>
  <c r="I26" i="65" s="1"/>
  <c r="J26" i="65" s="1"/>
  <c r="C26" i="65"/>
  <c r="D26" i="65" s="1"/>
  <c r="H25" i="65"/>
  <c r="I25" i="65" s="1"/>
  <c r="J25" i="65" s="1"/>
  <c r="C25" i="65"/>
  <c r="D25" i="65" s="1"/>
  <c r="I24" i="65"/>
  <c r="J24" i="65" s="1"/>
  <c r="D24" i="65"/>
  <c r="H23" i="65"/>
  <c r="I23" i="65" s="1"/>
  <c r="J23" i="65" s="1"/>
  <c r="C23" i="65"/>
  <c r="D23" i="65" s="1"/>
  <c r="H22" i="65"/>
  <c r="I22" i="65" s="1"/>
  <c r="J22" i="65" s="1"/>
  <c r="C22" i="65"/>
  <c r="D22" i="65" s="1"/>
  <c r="H21" i="65"/>
  <c r="I21" i="65" s="1"/>
  <c r="J21" i="65" s="1"/>
  <c r="C21" i="65"/>
  <c r="D21" i="65" s="1"/>
  <c r="H20" i="65"/>
  <c r="I20" i="65" s="1"/>
  <c r="J20" i="65" s="1"/>
  <c r="C20" i="65"/>
  <c r="D20" i="65" s="1"/>
  <c r="H19" i="65"/>
  <c r="I19" i="65" s="1"/>
  <c r="J19" i="65" s="1"/>
  <c r="C19" i="65"/>
  <c r="D19" i="65" s="1"/>
  <c r="H18" i="65"/>
  <c r="I18" i="65" s="1"/>
  <c r="J18" i="65" s="1"/>
  <c r="C18" i="65"/>
  <c r="D18" i="65" s="1"/>
  <c r="I17" i="65"/>
  <c r="J17" i="65" s="1"/>
  <c r="D17" i="65"/>
  <c r="I16" i="65"/>
  <c r="J16" i="65" s="1"/>
  <c r="D16" i="65"/>
  <c r="I15" i="65"/>
  <c r="J15" i="65" s="1"/>
  <c r="D15" i="65"/>
  <c r="I14" i="65"/>
  <c r="J14" i="65" s="1"/>
  <c r="C14" i="65"/>
  <c r="D14" i="65" s="1"/>
  <c r="H13" i="65"/>
  <c r="I13" i="65" s="1"/>
  <c r="J13" i="65" s="1"/>
  <c r="C13" i="65"/>
  <c r="D13" i="65" s="1"/>
  <c r="H12" i="65"/>
  <c r="I12" i="65" s="1"/>
  <c r="J12" i="65" s="1"/>
  <c r="C12" i="65"/>
  <c r="D12" i="65" s="1"/>
  <c r="H11" i="65"/>
  <c r="I11" i="65" s="1"/>
  <c r="J11" i="65" s="1"/>
  <c r="C11" i="65"/>
  <c r="D11" i="65" s="1"/>
  <c r="H10" i="65"/>
  <c r="I10" i="65" s="1"/>
  <c r="C10" i="65"/>
  <c r="D10" i="65" s="1"/>
  <c r="H9" i="65"/>
  <c r="I9" i="65" s="1"/>
  <c r="J9" i="65" s="1"/>
  <c r="D9" i="65"/>
  <c r="G8" i="65"/>
  <c r="B8" i="65"/>
  <c r="H4" i="65"/>
  <c r="C4" i="65"/>
  <c r="E4" i="65" s="1"/>
  <c r="E42" i="65" l="1"/>
  <c r="E29" i="65"/>
  <c r="I8" i="66"/>
  <c r="E23" i="65"/>
  <c r="E55" i="65"/>
  <c r="E48" i="65"/>
  <c r="E20" i="65"/>
  <c r="E27" i="65"/>
  <c r="E45" i="65"/>
  <c r="E14" i="65"/>
  <c r="E58" i="65"/>
  <c r="E18" i="65"/>
  <c r="E32" i="65"/>
  <c r="E40" i="65"/>
  <c r="E56" i="65"/>
  <c r="E59" i="65"/>
  <c r="E21" i="65"/>
  <c r="E35" i="65"/>
  <c r="C8" i="65"/>
  <c r="E13" i="65"/>
  <c r="E16" i="65"/>
  <c r="E30" i="65"/>
  <c r="E57" i="65"/>
  <c r="E11" i="65"/>
  <c r="E22" i="65"/>
  <c r="E25" i="65"/>
  <c r="E36" i="65"/>
  <c r="E38" i="65"/>
  <c r="E43" i="65"/>
  <c r="E46" i="65"/>
  <c r="E49" i="65"/>
  <c r="E9" i="65"/>
  <c r="E28" i="65"/>
  <c r="E44" i="65"/>
  <c r="E33" i="65"/>
  <c r="E34" i="65"/>
  <c r="E39" i="65"/>
  <c r="E50" i="65"/>
  <c r="E53" i="65"/>
  <c r="D8" i="66"/>
  <c r="E10" i="66"/>
  <c r="E8" i="66" s="1"/>
  <c r="D8" i="65"/>
  <c r="J10" i="65"/>
  <c r="J8" i="65" s="1"/>
  <c r="I8" i="65"/>
  <c r="E12" i="65"/>
  <c r="E17" i="65"/>
  <c r="E24" i="65"/>
  <c r="E31" i="65"/>
  <c r="E52" i="65"/>
  <c r="E15" i="65"/>
  <c r="H8" i="65"/>
  <c r="E54" i="65"/>
  <c r="E37" i="65"/>
  <c r="E41" i="65"/>
  <c r="E51" i="65"/>
  <c r="E10" i="65"/>
  <c r="E19" i="65"/>
  <c r="E26" i="65"/>
  <c r="E47" i="65"/>
  <c r="C4" i="64"/>
  <c r="E4" i="64" s="1"/>
  <c r="H4" i="64"/>
  <c r="B8" i="64"/>
  <c r="G8" i="64"/>
  <c r="D9" i="64"/>
  <c r="H9" i="64"/>
  <c r="C10" i="64"/>
  <c r="D10" i="64" s="1"/>
  <c r="H10" i="64"/>
  <c r="I10" i="64" s="1"/>
  <c r="J10" i="64" s="1"/>
  <c r="C11" i="64"/>
  <c r="D11" i="64" s="1"/>
  <c r="H11" i="64"/>
  <c r="I11" i="64" s="1"/>
  <c r="J11" i="64" s="1"/>
  <c r="C12" i="64"/>
  <c r="D12" i="64" s="1"/>
  <c r="H12" i="64"/>
  <c r="I12" i="64" s="1"/>
  <c r="J12" i="64" s="1"/>
  <c r="C13" i="64"/>
  <c r="D13" i="64"/>
  <c r="H13" i="64"/>
  <c r="I13" i="64" s="1"/>
  <c r="J13" i="64" s="1"/>
  <c r="C14" i="64"/>
  <c r="D14" i="64" s="1"/>
  <c r="I14" i="64"/>
  <c r="J14" i="64" s="1"/>
  <c r="D15" i="64"/>
  <c r="I15" i="64"/>
  <c r="J15" i="64" s="1"/>
  <c r="D16" i="64"/>
  <c r="I16" i="64"/>
  <c r="J16" i="64" s="1"/>
  <c r="D17" i="64"/>
  <c r="I17" i="64"/>
  <c r="J17" i="64" s="1"/>
  <c r="C18" i="64"/>
  <c r="D18" i="64" s="1"/>
  <c r="H18" i="64"/>
  <c r="I18" i="64"/>
  <c r="J18" i="64" s="1"/>
  <c r="C19" i="64"/>
  <c r="D19" i="64" s="1"/>
  <c r="H19" i="64"/>
  <c r="I19" i="64"/>
  <c r="J19" i="64" s="1"/>
  <c r="C20" i="64"/>
  <c r="D20" i="64"/>
  <c r="H20" i="64"/>
  <c r="I20" i="64" s="1"/>
  <c r="J20" i="64" s="1"/>
  <c r="C21" i="64"/>
  <c r="D21" i="64" s="1"/>
  <c r="E21" i="64" s="1"/>
  <c r="H21" i="64"/>
  <c r="I21" i="64" s="1"/>
  <c r="J21" i="64" s="1"/>
  <c r="C22" i="64"/>
  <c r="D22" i="64" s="1"/>
  <c r="H22" i="64"/>
  <c r="I22" i="64" s="1"/>
  <c r="J22" i="64" s="1"/>
  <c r="C23" i="64"/>
  <c r="D23" i="64"/>
  <c r="H23" i="64"/>
  <c r="I23" i="64" s="1"/>
  <c r="J23" i="64" s="1"/>
  <c r="D24" i="64"/>
  <c r="I24" i="64"/>
  <c r="J24" i="64" s="1"/>
  <c r="C25" i="64"/>
  <c r="D25" i="64" s="1"/>
  <c r="H25" i="64"/>
  <c r="I25" i="64"/>
  <c r="J25" i="64"/>
  <c r="C26" i="64"/>
  <c r="D26" i="64" s="1"/>
  <c r="E26" i="64" s="1"/>
  <c r="H26" i="64"/>
  <c r="I26" i="64" s="1"/>
  <c r="J26" i="64" s="1"/>
  <c r="C27" i="64"/>
  <c r="D27" i="64"/>
  <c r="H27" i="64"/>
  <c r="I27" i="64" s="1"/>
  <c r="J27" i="64" s="1"/>
  <c r="C28" i="64"/>
  <c r="D28" i="64" s="1"/>
  <c r="E28" i="64" s="1"/>
  <c r="I28" i="64"/>
  <c r="J28" i="64" s="1"/>
  <c r="C29" i="64"/>
  <c r="D29" i="64" s="1"/>
  <c r="H29" i="64"/>
  <c r="I29" i="64" s="1"/>
  <c r="J29" i="64" s="1"/>
  <c r="C30" i="64"/>
  <c r="D30" i="64" s="1"/>
  <c r="H30" i="64"/>
  <c r="I30" i="64" s="1"/>
  <c r="J30" i="64" s="1"/>
  <c r="C31" i="64"/>
  <c r="D31" i="64" s="1"/>
  <c r="H31" i="64"/>
  <c r="I31" i="64"/>
  <c r="J31" i="64" s="1"/>
  <c r="C32" i="64"/>
  <c r="D32" i="64" s="1"/>
  <c r="H32" i="64"/>
  <c r="I32" i="64" s="1"/>
  <c r="J32" i="64" s="1"/>
  <c r="C33" i="64"/>
  <c r="D33" i="64" s="1"/>
  <c r="H33" i="64"/>
  <c r="I33" i="64" s="1"/>
  <c r="J33" i="64" s="1"/>
  <c r="D34" i="64"/>
  <c r="H34" i="64"/>
  <c r="I34" i="64" s="1"/>
  <c r="J34" i="64" s="1"/>
  <c r="C35" i="64"/>
  <c r="D35" i="64" s="1"/>
  <c r="H35" i="64"/>
  <c r="I35" i="64" s="1"/>
  <c r="J35" i="64" s="1"/>
  <c r="C36" i="64"/>
  <c r="D36" i="64" s="1"/>
  <c r="H36" i="64"/>
  <c r="I36" i="64" s="1"/>
  <c r="J36" i="64" s="1"/>
  <c r="C37" i="64"/>
  <c r="D37" i="64" s="1"/>
  <c r="E37" i="64" s="1"/>
  <c r="H37" i="64"/>
  <c r="I37" i="64"/>
  <c r="J37" i="64" s="1"/>
  <c r="C38" i="64"/>
  <c r="D38" i="64" s="1"/>
  <c r="E38" i="64" s="1"/>
  <c r="H38" i="64"/>
  <c r="I38" i="64" s="1"/>
  <c r="J38" i="64" s="1"/>
  <c r="C39" i="64"/>
  <c r="D39" i="64" s="1"/>
  <c r="H39" i="64"/>
  <c r="I39" i="64" s="1"/>
  <c r="J39" i="64" s="1"/>
  <c r="C40" i="64"/>
  <c r="D40" i="64" s="1"/>
  <c r="E40" i="64" s="1"/>
  <c r="H40" i="64"/>
  <c r="I40" i="64" s="1"/>
  <c r="J40" i="64" s="1"/>
  <c r="C41" i="64"/>
  <c r="D41" i="64" s="1"/>
  <c r="H41" i="64"/>
  <c r="I41" i="64"/>
  <c r="J41" i="64" s="1"/>
  <c r="C42" i="64"/>
  <c r="D42" i="64" s="1"/>
  <c r="H42" i="64"/>
  <c r="I42" i="64" s="1"/>
  <c r="J42" i="64" s="1"/>
  <c r="C43" i="64"/>
  <c r="D43" i="64" s="1"/>
  <c r="H43" i="64"/>
  <c r="I43" i="64" s="1"/>
  <c r="J43" i="64" s="1"/>
  <c r="D44" i="64"/>
  <c r="I44" i="64"/>
  <c r="J44" i="64" s="1"/>
  <c r="C45" i="64"/>
  <c r="D45" i="64" s="1"/>
  <c r="E45" i="64" s="1"/>
  <c r="H45" i="64"/>
  <c r="I45" i="64" s="1"/>
  <c r="J45" i="64" s="1"/>
  <c r="D46" i="64"/>
  <c r="I46" i="64"/>
  <c r="J46" i="64" s="1"/>
  <c r="C47" i="64"/>
  <c r="D47" i="64"/>
  <c r="H47" i="64"/>
  <c r="I47" i="64" s="1"/>
  <c r="J47" i="64" s="1"/>
  <c r="C48" i="64"/>
  <c r="D48" i="64"/>
  <c r="H48" i="64"/>
  <c r="I48" i="64" s="1"/>
  <c r="J48" i="64" s="1"/>
  <c r="C49" i="64"/>
  <c r="D49" i="64" s="1"/>
  <c r="H49" i="64"/>
  <c r="I49" i="64" s="1"/>
  <c r="J49" i="64" s="1"/>
  <c r="C50" i="64"/>
  <c r="D50" i="64" s="1"/>
  <c r="H50" i="64"/>
  <c r="I50" i="64" s="1"/>
  <c r="J50" i="64" s="1"/>
  <c r="C51" i="64"/>
  <c r="D51" i="64"/>
  <c r="E51" i="64" s="1"/>
  <c r="H51" i="64"/>
  <c r="I51" i="64" s="1"/>
  <c r="J51" i="64" s="1"/>
  <c r="D52" i="64"/>
  <c r="I52" i="64"/>
  <c r="J52" i="64" s="1"/>
  <c r="C53" i="64"/>
  <c r="D53" i="64" s="1"/>
  <c r="H53" i="64"/>
  <c r="I53" i="64" s="1"/>
  <c r="J53" i="64" s="1"/>
  <c r="C54" i="64"/>
  <c r="D54" i="64" s="1"/>
  <c r="H54" i="64"/>
  <c r="I54" i="64" s="1"/>
  <c r="J54" i="64" s="1"/>
  <c r="C55" i="64"/>
  <c r="D55" i="64" s="1"/>
  <c r="H55" i="64"/>
  <c r="I55" i="64" s="1"/>
  <c r="J55" i="64" s="1"/>
  <c r="C56" i="64"/>
  <c r="D56" i="64" s="1"/>
  <c r="H56" i="64"/>
  <c r="I56" i="64" s="1"/>
  <c r="J56" i="64" s="1"/>
  <c r="D57" i="64"/>
  <c r="I57" i="64"/>
  <c r="J57" i="64" s="1"/>
  <c r="C58" i="64"/>
  <c r="D58" i="64" s="1"/>
  <c r="E58" i="64" s="1"/>
  <c r="H58" i="64"/>
  <c r="I58" i="64" s="1"/>
  <c r="J58" i="64" s="1"/>
  <c r="C59" i="64"/>
  <c r="D59" i="64" s="1"/>
  <c r="H59" i="64"/>
  <c r="I59" i="64" s="1"/>
  <c r="J59" i="64" s="1"/>
  <c r="D60" i="64"/>
  <c r="H60" i="64"/>
  <c r="I60" i="64" s="1"/>
  <c r="C61" i="64"/>
  <c r="D61" i="64" s="1"/>
  <c r="H61" i="64"/>
  <c r="I61" i="64" s="1"/>
  <c r="D62" i="64"/>
  <c r="I62" i="64"/>
  <c r="D63" i="64"/>
  <c r="I63" i="64"/>
  <c r="D64" i="64"/>
  <c r="I64" i="64"/>
  <c r="E34" i="64" l="1"/>
  <c r="E36" i="64"/>
  <c r="E43" i="64"/>
  <c r="E32" i="64"/>
  <c r="E42" i="64"/>
  <c r="E59" i="64"/>
  <c r="E30" i="64"/>
  <c r="E9" i="64"/>
  <c r="E54" i="64"/>
  <c r="E50" i="64"/>
  <c r="E47" i="64"/>
  <c r="E39" i="64"/>
  <c r="E23" i="64"/>
  <c r="H8" i="64"/>
  <c r="E44" i="64"/>
  <c r="E41" i="64"/>
  <c r="E33" i="64"/>
  <c r="E27" i="64"/>
  <c r="E20" i="64"/>
  <c r="E18" i="64"/>
  <c r="E14" i="64"/>
  <c r="E57" i="64"/>
  <c r="E56" i="64"/>
  <c r="E49" i="64"/>
  <c r="E25" i="64"/>
  <c r="E11" i="64"/>
  <c r="E55" i="64"/>
  <c r="E48" i="64"/>
  <c r="E46" i="64"/>
  <c r="E13" i="64"/>
  <c r="E10" i="64"/>
  <c r="E53" i="64"/>
  <c r="E35" i="64"/>
  <c r="E29" i="64"/>
  <c r="E22" i="64"/>
  <c r="E19" i="64"/>
  <c r="E16" i="64"/>
  <c r="I9" i="64"/>
  <c r="I8" i="64" s="1"/>
  <c r="E8" i="65"/>
  <c r="E52" i="64"/>
  <c r="E12" i="64"/>
  <c r="E15" i="64"/>
  <c r="E17" i="64"/>
  <c r="E24" i="64"/>
  <c r="E31" i="64"/>
  <c r="J9" i="64"/>
  <c r="J8" i="64" s="1"/>
  <c r="D8" i="64"/>
  <c r="C8" i="64"/>
  <c r="E8" i="64" l="1"/>
  <c r="I64" i="62"/>
  <c r="D64" i="62"/>
  <c r="I63" i="62"/>
  <c r="D63" i="62"/>
  <c r="I62" i="62"/>
  <c r="D62" i="62"/>
  <c r="H61" i="62"/>
  <c r="I61" i="62" s="1"/>
  <c r="C61" i="62"/>
  <c r="D61" i="62" s="1"/>
  <c r="H60" i="62"/>
  <c r="I60" i="62" s="1"/>
  <c r="D60" i="62"/>
  <c r="H59" i="62"/>
  <c r="I59" i="62" s="1"/>
  <c r="J59" i="62" s="1"/>
  <c r="C59" i="62"/>
  <c r="D59" i="62" s="1"/>
  <c r="H58" i="62"/>
  <c r="I58" i="62" s="1"/>
  <c r="J58" i="62" s="1"/>
  <c r="C58" i="62"/>
  <c r="D58" i="62" s="1"/>
  <c r="I57" i="62"/>
  <c r="J57" i="62" s="1"/>
  <c r="D57" i="62"/>
  <c r="H56" i="62"/>
  <c r="I56" i="62" s="1"/>
  <c r="J56" i="62" s="1"/>
  <c r="C56" i="62"/>
  <c r="D56" i="62" s="1"/>
  <c r="H55" i="62"/>
  <c r="I55" i="62" s="1"/>
  <c r="J55" i="62" s="1"/>
  <c r="C55" i="62"/>
  <c r="D55" i="62" s="1"/>
  <c r="H54" i="62"/>
  <c r="I54" i="62" s="1"/>
  <c r="J54" i="62" s="1"/>
  <c r="C54" i="62"/>
  <c r="D54" i="62" s="1"/>
  <c r="H53" i="62"/>
  <c r="I53" i="62" s="1"/>
  <c r="J53" i="62" s="1"/>
  <c r="C53" i="62"/>
  <c r="D53" i="62" s="1"/>
  <c r="I52" i="62"/>
  <c r="J52" i="62" s="1"/>
  <c r="D52" i="62"/>
  <c r="H51" i="62"/>
  <c r="I51" i="62" s="1"/>
  <c r="J51" i="62" s="1"/>
  <c r="C51" i="62"/>
  <c r="D51" i="62" s="1"/>
  <c r="H50" i="62"/>
  <c r="I50" i="62" s="1"/>
  <c r="J50" i="62" s="1"/>
  <c r="C50" i="62"/>
  <c r="D50" i="62" s="1"/>
  <c r="H49" i="62"/>
  <c r="I49" i="62" s="1"/>
  <c r="J49" i="62" s="1"/>
  <c r="C49" i="62"/>
  <c r="D49" i="62" s="1"/>
  <c r="H48" i="62"/>
  <c r="I48" i="62" s="1"/>
  <c r="J48" i="62" s="1"/>
  <c r="C48" i="62"/>
  <c r="D48" i="62" s="1"/>
  <c r="H47" i="62"/>
  <c r="I47" i="62" s="1"/>
  <c r="J47" i="62" s="1"/>
  <c r="C47" i="62"/>
  <c r="D47" i="62" s="1"/>
  <c r="I46" i="62"/>
  <c r="J46" i="62" s="1"/>
  <c r="D46" i="62"/>
  <c r="H45" i="62"/>
  <c r="I45" i="62" s="1"/>
  <c r="J45" i="62" s="1"/>
  <c r="C45" i="62"/>
  <c r="D45" i="62" s="1"/>
  <c r="I44" i="62"/>
  <c r="J44" i="62" s="1"/>
  <c r="D44" i="62"/>
  <c r="H43" i="62"/>
  <c r="I43" i="62" s="1"/>
  <c r="J43" i="62" s="1"/>
  <c r="C43" i="62"/>
  <c r="D43" i="62" s="1"/>
  <c r="H42" i="62"/>
  <c r="I42" i="62" s="1"/>
  <c r="J42" i="62" s="1"/>
  <c r="C42" i="62"/>
  <c r="D42" i="62" s="1"/>
  <c r="I41" i="62"/>
  <c r="J41" i="62" s="1"/>
  <c r="H41" i="62"/>
  <c r="C41" i="62"/>
  <c r="D41" i="62" s="1"/>
  <c r="H40" i="62"/>
  <c r="I40" i="62" s="1"/>
  <c r="J40" i="62" s="1"/>
  <c r="C40" i="62"/>
  <c r="D40" i="62" s="1"/>
  <c r="H39" i="62"/>
  <c r="I39" i="62" s="1"/>
  <c r="J39" i="62" s="1"/>
  <c r="C39" i="62"/>
  <c r="D39" i="62" s="1"/>
  <c r="H38" i="62"/>
  <c r="I38" i="62" s="1"/>
  <c r="J38" i="62" s="1"/>
  <c r="C38" i="62"/>
  <c r="D38" i="62" s="1"/>
  <c r="H37" i="62"/>
  <c r="I37" i="62" s="1"/>
  <c r="J37" i="62" s="1"/>
  <c r="C37" i="62"/>
  <c r="D37" i="62" s="1"/>
  <c r="H36" i="62"/>
  <c r="I36" i="62" s="1"/>
  <c r="J36" i="62" s="1"/>
  <c r="C36" i="62"/>
  <c r="D36" i="62" s="1"/>
  <c r="H35" i="62"/>
  <c r="I35" i="62" s="1"/>
  <c r="J35" i="62" s="1"/>
  <c r="C35" i="62"/>
  <c r="D35" i="62" s="1"/>
  <c r="H34" i="62"/>
  <c r="I34" i="62" s="1"/>
  <c r="J34" i="62" s="1"/>
  <c r="D34" i="62"/>
  <c r="H33" i="62"/>
  <c r="I33" i="62" s="1"/>
  <c r="J33" i="62" s="1"/>
  <c r="C33" i="62"/>
  <c r="D33" i="62" s="1"/>
  <c r="H32" i="62"/>
  <c r="I32" i="62" s="1"/>
  <c r="J32" i="62" s="1"/>
  <c r="C32" i="62"/>
  <c r="D32" i="62" s="1"/>
  <c r="H31" i="62"/>
  <c r="I31" i="62" s="1"/>
  <c r="J31" i="62" s="1"/>
  <c r="C31" i="62"/>
  <c r="D31" i="62" s="1"/>
  <c r="H30" i="62"/>
  <c r="I30" i="62" s="1"/>
  <c r="J30" i="62" s="1"/>
  <c r="C30" i="62"/>
  <c r="D30" i="62" s="1"/>
  <c r="H29" i="62"/>
  <c r="I29" i="62" s="1"/>
  <c r="J29" i="62" s="1"/>
  <c r="C29" i="62"/>
  <c r="D29" i="62" s="1"/>
  <c r="I28" i="62"/>
  <c r="J28" i="62" s="1"/>
  <c r="C28" i="62"/>
  <c r="D28" i="62" s="1"/>
  <c r="H27" i="62"/>
  <c r="I27" i="62" s="1"/>
  <c r="J27" i="62" s="1"/>
  <c r="C27" i="62"/>
  <c r="D27" i="62" s="1"/>
  <c r="H26" i="62"/>
  <c r="I26" i="62" s="1"/>
  <c r="J26" i="62" s="1"/>
  <c r="C26" i="62"/>
  <c r="D26" i="62" s="1"/>
  <c r="H25" i="62"/>
  <c r="I25" i="62" s="1"/>
  <c r="J25" i="62" s="1"/>
  <c r="C25" i="62"/>
  <c r="D25" i="62" s="1"/>
  <c r="I24" i="62"/>
  <c r="J24" i="62" s="1"/>
  <c r="D24" i="62"/>
  <c r="H23" i="62"/>
  <c r="I23" i="62" s="1"/>
  <c r="J23" i="62" s="1"/>
  <c r="C23" i="62"/>
  <c r="D23" i="62" s="1"/>
  <c r="I22" i="62"/>
  <c r="J22" i="62" s="1"/>
  <c r="D22" i="62"/>
  <c r="H21" i="62"/>
  <c r="I21" i="62" s="1"/>
  <c r="J21" i="62" s="1"/>
  <c r="C21" i="62"/>
  <c r="D21" i="62" s="1"/>
  <c r="H20" i="62"/>
  <c r="I20" i="62" s="1"/>
  <c r="J20" i="62" s="1"/>
  <c r="C20" i="62"/>
  <c r="D20" i="62" s="1"/>
  <c r="H19" i="62"/>
  <c r="I19" i="62" s="1"/>
  <c r="J19" i="62" s="1"/>
  <c r="C19" i="62"/>
  <c r="D19" i="62" s="1"/>
  <c r="H18" i="62"/>
  <c r="I18" i="62" s="1"/>
  <c r="J18" i="62" s="1"/>
  <c r="C18" i="62"/>
  <c r="D18" i="62" s="1"/>
  <c r="I17" i="62"/>
  <c r="J17" i="62" s="1"/>
  <c r="D17" i="62"/>
  <c r="I16" i="62"/>
  <c r="J16" i="62" s="1"/>
  <c r="D16" i="62"/>
  <c r="I15" i="62"/>
  <c r="J15" i="62" s="1"/>
  <c r="D15" i="62"/>
  <c r="I14" i="62"/>
  <c r="J14" i="62" s="1"/>
  <c r="C14" i="62"/>
  <c r="D14" i="62" s="1"/>
  <c r="H13" i="62"/>
  <c r="I13" i="62" s="1"/>
  <c r="J13" i="62" s="1"/>
  <c r="C13" i="62"/>
  <c r="D13" i="62" s="1"/>
  <c r="H12" i="62"/>
  <c r="I12" i="62" s="1"/>
  <c r="J12" i="62" s="1"/>
  <c r="C12" i="62"/>
  <c r="D12" i="62" s="1"/>
  <c r="H11" i="62"/>
  <c r="I11" i="62" s="1"/>
  <c r="J11" i="62" s="1"/>
  <c r="C11" i="62"/>
  <c r="D11" i="62" s="1"/>
  <c r="H10" i="62"/>
  <c r="I10" i="62" s="1"/>
  <c r="J10" i="62" s="1"/>
  <c r="C10" i="62"/>
  <c r="D10" i="62" s="1"/>
  <c r="H9" i="62"/>
  <c r="D9" i="62"/>
  <c r="G8" i="62"/>
  <c r="B8" i="62"/>
  <c r="H4" i="62"/>
  <c r="C4" i="62"/>
  <c r="E4" i="62" s="1"/>
  <c r="E53" i="62" s="1"/>
  <c r="E10" i="62" l="1"/>
  <c r="E18" i="62"/>
  <c r="E43" i="62"/>
  <c r="E21" i="62"/>
  <c r="E9" i="62"/>
  <c r="E28" i="62"/>
  <c r="E35" i="62"/>
  <c r="E24" i="62"/>
  <c r="E31" i="62"/>
  <c r="E25" i="62"/>
  <c r="E19" i="62"/>
  <c r="E22" i="62"/>
  <c r="E48" i="62"/>
  <c r="E27" i="62"/>
  <c r="E50" i="62"/>
  <c r="E16" i="62"/>
  <c r="E32" i="62"/>
  <c r="E45" i="62"/>
  <c r="E39" i="62"/>
  <c r="E52" i="62"/>
  <c r="E46" i="62"/>
  <c r="E14" i="62"/>
  <c r="E13" i="62"/>
  <c r="E56" i="62"/>
  <c r="E49" i="62"/>
  <c r="E55" i="62"/>
  <c r="E58" i="62"/>
  <c r="E29" i="62"/>
  <c r="C8" i="62"/>
  <c r="E17" i="62"/>
  <c r="E37" i="62"/>
  <c r="H8" i="62"/>
  <c r="I9" i="62"/>
  <c r="D8" i="62"/>
  <c r="E20" i="62"/>
  <c r="E26" i="62"/>
  <c r="E44" i="62"/>
  <c r="E23" i="62"/>
  <c r="E41" i="62"/>
  <c r="E54" i="62"/>
  <c r="E59" i="62"/>
  <c r="E36" i="62"/>
  <c r="E40" i="62"/>
  <c r="E57" i="62"/>
  <c r="E11" i="62"/>
  <c r="E15" i="62"/>
  <c r="E33" i="62"/>
  <c r="E12" i="62"/>
  <c r="E30" i="62"/>
  <c r="E34" i="62"/>
  <c r="E38" i="62"/>
  <c r="E42" i="62"/>
  <c r="E47" i="62"/>
  <c r="E51" i="62"/>
  <c r="E8" i="62" l="1"/>
  <c r="J9" i="62"/>
  <c r="J8" i="62" s="1"/>
  <c r="I8" i="62"/>
  <c r="I64" i="61" l="1"/>
  <c r="D64" i="61"/>
  <c r="I63" i="61"/>
  <c r="D63" i="61"/>
  <c r="I62" i="61"/>
  <c r="D62" i="61"/>
  <c r="H61" i="61"/>
  <c r="I61" i="61" s="1"/>
  <c r="C61" i="61"/>
  <c r="D61" i="61" s="1"/>
  <c r="H60" i="61"/>
  <c r="I60" i="61" s="1"/>
  <c r="D60" i="61"/>
  <c r="H59" i="61"/>
  <c r="I59" i="61" s="1"/>
  <c r="J59" i="61" s="1"/>
  <c r="C59" i="61"/>
  <c r="D59" i="61" s="1"/>
  <c r="H58" i="61"/>
  <c r="I58" i="61" s="1"/>
  <c r="J58" i="61" s="1"/>
  <c r="C58" i="61"/>
  <c r="D58" i="61" s="1"/>
  <c r="I57" i="61"/>
  <c r="J57" i="61" s="1"/>
  <c r="D57" i="61"/>
  <c r="H56" i="61"/>
  <c r="I56" i="61" s="1"/>
  <c r="J56" i="61" s="1"/>
  <c r="C56" i="61"/>
  <c r="D56" i="61" s="1"/>
  <c r="H55" i="61"/>
  <c r="I55" i="61" s="1"/>
  <c r="J55" i="61" s="1"/>
  <c r="C55" i="61"/>
  <c r="D55" i="61" s="1"/>
  <c r="H54" i="61"/>
  <c r="I54" i="61" s="1"/>
  <c r="J54" i="61" s="1"/>
  <c r="C54" i="61"/>
  <c r="D54" i="61" s="1"/>
  <c r="H53" i="61"/>
  <c r="I53" i="61" s="1"/>
  <c r="J53" i="61" s="1"/>
  <c r="C53" i="61"/>
  <c r="D53" i="61" s="1"/>
  <c r="I52" i="61"/>
  <c r="J52" i="61" s="1"/>
  <c r="D52" i="61"/>
  <c r="H51" i="61"/>
  <c r="I51" i="61" s="1"/>
  <c r="J51" i="61" s="1"/>
  <c r="C51" i="61"/>
  <c r="D51" i="61" s="1"/>
  <c r="H50" i="61"/>
  <c r="I50" i="61" s="1"/>
  <c r="J50" i="61" s="1"/>
  <c r="C50" i="61"/>
  <c r="D50" i="61" s="1"/>
  <c r="H49" i="61"/>
  <c r="I49" i="61" s="1"/>
  <c r="J49" i="61" s="1"/>
  <c r="C49" i="61"/>
  <c r="D49" i="61" s="1"/>
  <c r="H48" i="61"/>
  <c r="I48" i="61" s="1"/>
  <c r="J48" i="61" s="1"/>
  <c r="C48" i="61"/>
  <c r="D48" i="61" s="1"/>
  <c r="H47" i="61"/>
  <c r="I47" i="61" s="1"/>
  <c r="J47" i="61" s="1"/>
  <c r="C47" i="61"/>
  <c r="D47" i="61" s="1"/>
  <c r="I46" i="61"/>
  <c r="J46" i="61" s="1"/>
  <c r="D46" i="61"/>
  <c r="H45" i="61"/>
  <c r="I45" i="61" s="1"/>
  <c r="J45" i="61" s="1"/>
  <c r="C45" i="61"/>
  <c r="D45" i="61" s="1"/>
  <c r="I44" i="61"/>
  <c r="J44" i="61" s="1"/>
  <c r="D44" i="61"/>
  <c r="H43" i="61"/>
  <c r="I43" i="61" s="1"/>
  <c r="J43" i="61" s="1"/>
  <c r="C43" i="61"/>
  <c r="D43" i="61" s="1"/>
  <c r="H42" i="61"/>
  <c r="I42" i="61" s="1"/>
  <c r="J42" i="61" s="1"/>
  <c r="C42" i="61"/>
  <c r="D42" i="61" s="1"/>
  <c r="H41" i="61"/>
  <c r="I41" i="61" s="1"/>
  <c r="J41" i="61" s="1"/>
  <c r="C41" i="61"/>
  <c r="D41" i="61" s="1"/>
  <c r="H40" i="61"/>
  <c r="I40" i="61" s="1"/>
  <c r="J40" i="61" s="1"/>
  <c r="C40" i="61"/>
  <c r="D40" i="61" s="1"/>
  <c r="H39" i="61"/>
  <c r="I39" i="61" s="1"/>
  <c r="J39" i="61" s="1"/>
  <c r="C39" i="61"/>
  <c r="D39" i="61" s="1"/>
  <c r="H38" i="61"/>
  <c r="I38" i="61" s="1"/>
  <c r="J38" i="61" s="1"/>
  <c r="C38" i="61"/>
  <c r="D38" i="61" s="1"/>
  <c r="H37" i="61"/>
  <c r="I37" i="61" s="1"/>
  <c r="J37" i="61" s="1"/>
  <c r="C37" i="61"/>
  <c r="D37" i="61" s="1"/>
  <c r="H36" i="61"/>
  <c r="I36" i="61" s="1"/>
  <c r="J36" i="61" s="1"/>
  <c r="C36" i="61"/>
  <c r="D36" i="61" s="1"/>
  <c r="H35" i="61"/>
  <c r="I35" i="61" s="1"/>
  <c r="J35" i="61" s="1"/>
  <c r="C35" i="61"/>
  <c r="D35" i="61" s="1"/>
  <c r="H34" i="61"/>
  <c r="I34" i="61" s="1"/>
  <c r="J34" i="61" s="1"/>
  <c r="D34" i="61"/>
  <c r="H33" i="61"/>
  <c r="I33" i="61" s="1"/>
  <c r="J33" i="61" s="1"/>
  <c r="C33" i="61"/>
  <c r="D33" i="61" s="1"/>
  <c r="H32" i="61"/>
  <c r="I32" i="61" s="1"/>
  <c r="J32" i="61" s="1"/>
  <c r="C32" i="61"/>
  <c r="D32" i="61" s="1"/>
  <c r="H31" i="61"/>
  <c r="I31" i="61" s="1"/>
  <c r="J31" i="61" s="1"/>
  <c r="C31" i="61"/>
  <c r="D31" i="61" s="1"/>
  <c r="H30" i="61"/>
  <c r="I30" i="61" s="1"/>
  <c r="J30" i="61" s="1"/>
  <c r="C30" i="61"/>
  <c r="D30" i="61" s="1"/>
  <c r="H29" i="61"/>
  <c r="G29" i="61"/>
  <c r="G8" i="61" s="1"/>
  <c r="C29" i="61"/>
  <c r="B29" i="61"/>
  <c r="B8" i="61" s="1"/>
  <c r="I28" i="61"/>
  <c r="J28" i="61" s="1"/>
  <c r="C28" i="61"/>
  <c r="D28" i="61" s="1"/>
  <c r="H27" i="61"/>
  <c r="I27" i="61" s="1"/>
  <c r="J27" i="61" s="1"/>
  <c r="C27" i="61"/>
  <c r="D27" i="61" s="1"/>
  <c r="H26" i="61"/>
  <c r="I26" i="61" s="1"/>
  <c r="J26" i="61" s="1"/>
  <c r="C26" i="61"/>
  <c r="D26" i="61" s="1"/>
  <c r="H25" i="61"/>
  <c r="I25" i="61" s="1"/>
  <c r="J25" i="61" s="1"/>
  <c r="C25" i="61"/>
  <c r="D25" i="61" s="1"/>
  <c r="I24" i="61"/>
  <c r="J24" i="61" s="1"/>
  <c r="D24" i="61"/>
  <c r="H23" i="61"/>
  <c r="I23" i="61" s="1"/>
  <c r="J23" i="61" s="1"/>
  <c r="C23" i="61"/>
  <c r="D23" i="61" s="1"/>
  <c r="H22" i="61"/>
  <c r="I22" i="61" s="1"/>
  <c r="J22" i="61" s="1"/>
  <c r="C22" i="61"/>
  <c r="D22" i="61" s="1"/>
  <c r="H21" i="61"/>
  <c r="I21" i="61" s="1"/>
  <c r="J21" i="61" s="1"/>
  <c r="C21" i="61"/>
  <c r="D21" i="61" s="1"/>
  <c r="H20" i="61"/>
  <c r="I20" i="61" s="1"/>
  <c r="J20" i="61" s="1"/>
  <c r="C20" i="61"/>
  <c r="D20" i="61" s="1"/>
  <c r="H19" i="61"/>
  <c r="I19" i="61" s="1"/>
  <c r="J19" i="61" s="1"/>
  <c r="C19" i="61"/>
  <c r="D19" i="61" s="1"/>
  <c r="H18" i="61"/>
  <c r="I18" i="61" s="1"/>
  <c r="J18" i="61" s="1"/>
  <c r="C18" i="61"/>
  <c r="D18" i="61" s="1"/>
  <c r="I17" i="61"/>
  <c r="J17" i="61" s="1"/>
  <c r="D17" i="61"/>
  <c r="I16" i="61"/>
  <c r="J16" i="61" s="1"/>
  <c r="D16" i="61"/>
  <c r="I15" i="61"/>
  <c r="J15" i="61" s="1"/>
  <c r="D15" i="61"/>
  <c r="I14" i="61"/>
  <c r="J14" i="61" s="1"/>
  <c r="C14" i="61"/>
  <c r="D14" i="61" s="1"/>
  <c r="H13" i="61"/>
  <c r="I13" i="61" s="1"/>
  <c r="J13" i="61" s="1"/>
  <c r="C13" i="61"/>
  <c r="D13" i="61" s="1"/>
  <c r="H12" i="61"/>
  <c r="I12" i="61" s="1"/>
  <c r="J12" i="61" s="1"/>
  <c r="C12" i="61"/>
  <c r="D12" i="61" s="1"/>
  <c r="H11" i="61"/>
  <c r="I11" i="61" s="1"/>
  <c r="J11" i="61" s="1"/>
  <c r="C11" i="61"/>
  <c r="D11" i="61" s="1"/>
  <c r="H10" i="61"/>
  <c r="I10" i="61" s="1"/>
  <c r="J10" i="61" s="1"/>
  <c r="C10" i="61"/>
  <c r="H9" i="61"/>
  <c r="I9" i="61" s="1"/>
  <c r="D9" i="61"/>
  <c r="H4" i="61"/>
  <c r="C4" i="61"/>
  <c r="E4" i="61" s="1"/>
  <c r="E58" i="61" l="1"/>
  <c r="E19" i="61"/>
  <c r="E55" i="61"/>
  <c r="E13" i="61"/>
  <c r="E45" i="61"/>
  <c r="E22" i="61"/>
  <c r="E42" i="61"/>
  <c r="C8" i="61"/>
  <c r="E16" i="61"/>
  <c r="E25" i="61"/>
  <c r="E28" i="61"/>
  <c r="E34" i="61"/>
  <c r="E49" i="61"/>
  <c r="E41" i="61"/>
  <c r="E44" i="61"/>
  <c r="E17" i="61"/>
  <c r="E23" i="61"/>
  <c r="E32" i="61"/>
  <c r="E38" i="61"/>
  <c r="E47" i="61"/>
  <c r="E50" i="61"/>
  <c r="E53" i="61"/>
  <c r="E56" i="61"/>
  <c r="H8" i="61"/>
  <c r="E59" i="61"/>
  <c r="E37" i="61"/>
  <c r="E40" i="61"/>
  <c r="E43" i="61"/>
  <c r="E46" i="61"/>
  <c r="E31" i="61"/>
  <c r="E52" i="61"/>
  <c r="E11" i="61"/>
  <c r="E14" i="61"/>
  <c r="E20" i="61"/>
  <c r="E26" i="61"/>
  <c r="E35" i="61"/>
  <c r="E12" i="61"/>
  <c r="E15" i="61"/>
  <c r="E18" i="61"/>
  <c r="E21" i="61"/>
  <c r="E24" i="61"/>
  <c r="E36" i="61"/>
  <c r="E39" i="61"/>
  <c r="E48" i="61"/>
  <c r="J9" i="61"/>
  <c r="E27" i="61"/>
  <c r="E30" i="61"/>
  <c r="E33" i="61"/>
  <c r="E51" i="61"/>
  <c r="E54" i="61"/>
  <c r="E57" i="61"/>
  <c r="D10" i="61"/>
  <c r="E10" i="61" s="1"/>
  <c r="D29" i="61"/>
  <c r="E29" i="61" s="1"/>
  <c r="E9" i="61"/>
  <c r="I29" i="61"/>
  <c r="J29" i="61" s="1"/>
  <c r="D8" i="61" l="1"/>
  <c r="I8" i="61"/>
  <c r="J8" i="61"/>
  <c r="E8" i="61"/>
  <c r="I64" i="60" l="1"/>
  <c r="D64" i="60"/>
  <c r="I63" i="60"/>
  <c r="D63" i="60"/>
  <c r="I62" i="60"/>
  <c r="D62" i="60"/>
  <c r="H61" i="60"/>
  <c r="I61" i="60" s="1"/>
  <c r="C61" i="60"/>
  <c r="D61" i="60" s="1"/>
  <c r="H60" i="60"/>
  <c r="I60" i="60" s="1"/>
  <c r="D60" i="60"/>
  <c r="H59" i="60"/>
  <c r="I59" i="60" s="1"/>
  <c r="J59" i="60" s="1"/>
  <c r="C59" i="60"/>
  <c r="D59" i="60" s="1"/>
  <c r="H58" i="60"/>
  <c r="I58" i="60" s="1"/>
  <c r="J58" i="60" s="1"/>
  <c r="C58" i="60"/>
  <c r="D58" i="60" s="1"/>
  <c r="I57" i="60"/>
  <c r="J57" i="60" s="1"/>
  <c r="D57" i="60"/>
  <c r="H56" i="60"/>
  <c r="I56" i="60" s="1"/>
  <c r="J56" i="60" s="1"/>
  <c r="C56" i="60"/>
  <c r="D56" i="60" s="1"/>
  <c r="H55" i="60"/>
  <c r="I55" i="60" s="1"/>
  <c r="J55" i="60" s="1"/>
  <c r="C55" i="60"/>
  <c r="D55" i="60" s="1"/>
  <c r="H54" i="60"/>
  <c r="I54" i="60" s="1"/>
  <c r="J54" i="60" s="1"/>
  <c r="C54" i="60"/>
  <c r="D54" i="60" s="1"/>
  <c r="H53" i="60"/>
  <c r="I53" i="60" s="1"/>
  <c r="J53" i="60" s="1"/>
  <c r="C53" i="60"/>
  <c r="D53" i="60" s="1"/>
  <c r="I52" i="60"/>
  <c r="J52" i="60" s="1"/>
  <c r="D52" i="60"/>
  <c r="H51" i="60"/>
  <c r="I51" i="60" s="1"/>
  <c r="J51" i="60" s="1"/>
  <c r="C51" i="60"/>
  <c r="D51" i="60" s="1"/>
  <c r="H50" i="60"/>
  <c r="I50" i="60" s="1"/>
  <c r="J50" i="60" s="1"/>
  <c r="C50" i="60"/>
  <c r="D50" i="60" s="1"/>
  <c r="H49" i="60"/>
  <c r="I49" i="60" s="1"/>
  <c r="J49" i="60" s="1"/>
  <c r="C49" i="60"/>
  <c r="D49" i="60" s="1"/>
  <c r="H48" i="60"/>
  <c r="I48" i="60" s="1"/>
  <c r="J48" i="60" s="1"/>
  <c r="C48" i="60"/>
  <c r="D48" i="60" s="1"/>
  <c r="H47" i="60"/>
  <c r="I47" i="60" s="1"/>
  <c r="J47" i="60" s="1"/>
  <c r="C47" i="60"/>
  <c r="D47" i="60" s="1"/>
  <c r="I46" i="60"/>
  <c r="J46" i="60" s="1"/>
  <c r="D46" i="60"/>
  <c r="H45" i="60"/>
  <c r="I45" i="60" s="1"/>
  <c r="J45" i="60" s="1"/>
  <c r="C45" i="60"/>
  <c r="D45" i="60" s="1"/>
  <c r="I44" i="60"/>
  <c r="J44" i="60" s="1"/>
  <c r="D44" i="60"/>
  <c r="H43" i="60"/>
  <c r="I43" i="60" s="1"/>
  <c r="J43" i="60" s="1"/>
  <c r="C43" i="60"/>
  <c r="D43" i="60" s="1"/>
  <c r="H42" i="60"/>
  <c r="I42" i="60" s="1"/>
  <c r="J42" i="60" s="1"/>
  <c r="C42" i="60"/>
  <c r="D42" i="60" s="1"/>
  <c r="H41" i="60"/>
  <c r="I41" i="60" s="1"/>
  <c r="J41" i="60" s="1"/>
  <c r="C41" i="60"/>
  <c r="D41" i="60" s="1"/>
  <c r="H40" i="60"/>
  <c r="I40" i="60" s="1"/>
  <c r="J40" i="60" s="1"/>
  <c r="C40" i="60"/>
  <c r="D40" i="60" s="1"/>
  <c r="H39" i="60"/>
  <c r="I39" i="60" s="1"/>
  <c r="J39" i="60" s="1"/>
  <c r="C39" i="60"/>
  <c r="D39" i="60" s="1"/>
  <c r="H38" i="60"/>
  <c r="I38" i="60" s="1"/>
  <c r="J38" i="60" s="1"/>
  <c r="D38" i="60"/>
  <c r="C38" i="60"/>
  <c r="H37" i="60"/>
  <c r="I37" i="60" s="1"/>
  <c r="J37" i="60" s="1"/>
  <c r="C37" i="60"/>
  <c r="D37" i="60" s="1"/>
  <c r="H36" i="60"/>
  <c r="I36" i="60" s="1"/>
  <c r="J36" i="60" s="1"/>
  <c r="C36" i="60"/>
  <c r="D36" i="60" s="1"/>
  <c r="H35" i="60"/>
  <c r="I35" i="60" s="1"/>
  <c r="J35" i="60" s="1"/>
  <c r="C35" i="60"/>
  <c r="D35" i="60" s="1"/>
  <c r="H34" i="60"/>
  <c r="I34" i="60" s="1"/>
  <c r="J34" i="60" s="1"/>
  <c r="D34" i="60"/>
  <c r="H33" i="60"/>
  <c r="I33" i="60" s="1"/>
  <c r="J33" i="60" s="1"/>
  <c r="C33" i="60"/>
  <c r="D33" i="60" s="1"/>
  <c r="H32" i="60"/>
  <c r="I32" i="60" s="1"/>
  <c r="J32" i="60" s="1"/>
  <c r="C32" i="60"/>
  <c r="D32" i="60" s="1"/>
  <c r="H31" i="60"/>
  <c r="I31" i="60" s="1"/>
  <c r="J31" i="60" s="1"/>
  <c r="C31" i="60"/>
  <c r="D31" i="60" s="1"/>
  <c r="H30" i="60"/>
  <c r="I30" i="60" s="1"/>
  <c r="J30" i="60" s="1"/>
  <c r="C30" i="60"/>
  <c r="D30" i="60" s="1"/>
  <c r="H29" i="60"/>
  <c r="G29" i="60"/>
  <c r="G8" i="60" s="1"/>
  <c r="C29" i="60"/>
  <c r="B29" i="60"/>
  <c r="B8" i="60" s="1"/>
  <c r="I28" i="60"/>
  <c r="J28" i="60" s="1"/>
  <c r="C28" i="60"/>
  <c r="D28" i="60" s="1"/>
  <c r="H27" i="60"/>
  <c r="I27" i="60" s="1"/>
  <c r="J27" i="60" s="1"/>
  <c r="C27" i="60"/>
  <c r="D27" i="60" s="1"/>
  <c r="H26" i="60"/>
  <c r="I26" i="60" s="1"/>
  <c r="J26" i="60" s="1"/>
  <c r="C26" i="60"/>
  <c r="D26" i="60" s="1"/>
  <c r="H25" i="60"/>
  <c r="I25" i="60" s="1"/>
  <c r="J25" i="60" s="1"/>
  <c r="C25" i="60"/>
  <c r="D25" i="60" s="1"/>
  <c r="I24" i="60"/>
  <c r="J24" i="60" s="1"/>
  <c r="D24" i="60"/>
  <c r="H23" i="60"/>
  <c r="I23" i="60" s="1"/>
  <c r="J23" i="60" s="1"/>
  <c r="C23" i="60"/>
  <c r="D23" i="60" s="1"/>
  <c r="H22" i="60"/>
  <c r="I22" i="60" s="1"/>
  <c r="J22" i="60" s="1"/>
  <c r="C22" i="60"/>
  <c r="D22" i="60" s="1"/>
  <c r="H21" i="60"/>
  <c r="I21" i="60" s="1"/>
  <c r="J21" i="60" s="1"/>
  <c r="C21" i="60"/>
  <c r="D21" i="60" s="1"/>
  <c r="H20" i="60"/>
  <c r="I20" i="60" s="1"/>
  <c r="J20" i="60" s="1"/>
  <c r="C20" i="60"/>
  <c r="D20" i="60" s="1"/>
  <c r="H19" i="60"/>
  <c r="I19" i="60" s="1"/>
  <c r="J19" i="60" s="1"/>
  <c r="C19" i="60"/>
  <c r="D19" i="60" s="1"/>
  <c r="H18" i="60"/>
  <c r="I18" i="60" s="1"/>
  <c r="J18" i="60" s="1"/>
  <c r="C18" i="60"/>
  <c r="D18" i="60" s="1"/>
  <c r="I17" i="60"/>
  <c r="J17" i="60" s="1"/>
  <c r="D17" i="60"/>
  <c r="I16" i="60"/>
  <c r="J16" i="60" s="1"/>
  <c r="D16" i="60"/>
  <c r="I15" i="60"/>
  <c r="J15" i="60" s="1"/>
  <c r="D15" i="60"/>
  <c r="I14" i="60"/>
  <c r="J14" i="60" s="1"/>
  <c r="C14" i="60"/>
  <c r="D14" i="60" s="1"/>
  <c r="H13" i="60"/>
  <c r="I13" i="60" s="1"/>
  <c r="J13" i="60" s="1"/>
  <c r="C13" i="60"/>
  <c r="D13" i="60" s="1"/>
  <c r="H12" i="60"/>
  <c r="I12" i="60" s="1"/>
  <c r="J12" i="60" s="1"/>
  <c r="C12" i="60"/>
  <c r="D12" i="60" s="1"/>
  <c r="H11" i="60"/>
  <c r="I11" i="60" s="1"/>
  <c r="J11" i="60" s="1"/>
  <c r="C11" i="60"/>
  <c r="D11" i="60" s="1"/>
  <c r="H10" i="60"/>
  <c r="I10" i="60" s="1"/>
  <c r="J10" i="60" s="1"/>
  <c r="C10" i="60"/>
  <c r="H9" i="60"/>
  <c r="I9" i="60" s="1"/>
  <c r="D9" i="60"/>
  <c r="H4" i="60"/>
  <c r="C4" i="60"/>
  <c r="E4" i="60" s="1"/>
  <c r="E42" i="60" l="1"/>
  <c r="E55" i="60"/>
  <c r="E21" i="60"/>
  <c r="E38" i="60"/>
  <c r="E46" i="60"/>
  <c r="E26" i="60"/>
  <c r="E47" i="60"/>
  <c r="E58" i="60"/>
  <c r="E54" i="60"/>
  <c r="E23" i="60"/>
  <c r="E37" i="60"/>
  <c r="E48" i="60"/>
  <c r="E12" i="60"/>
  <c r="E40" i="60"/>
  <c r="E16" i="60"/>
  <c r="E18" i="60"/>
  <c r="E50" i="60"/>
  <c r="H8" i="60"/>
  <c r="E15" i="60"/>
  <c r="E51" i="60"/>
  <c r="E13" i="60"/>
  <c r="E24" i="60"/>
  <c r="E34" i="60"/>
  <c r="E45" i="60"/>
  <c r="E49" i="60"/>
  <c r="E35" i="60"/>
  <c r="E43" i="60"/>
  <c r="C8" i="60"/>
  <c r="E27" i="60"/>
  <c r="E32" i="60"/>
  <c r="E17" i="60"/>
  <c r="E20" i="60"/>
  <c r="E19" i="60"/>
  <c r="E30" i="60"/>
  <c r="E36" i="60"/>
  <c r="E41" i="60"/>
  <c r="E53" i="60"/>
  <c r="E59" i="60"/>
  <c r="J9" i="60"/>
  <c r="E9" i="60"/>
  <c r="E57" i="60"/>
  <c r="E52" i="60"/>
  <c r="E31" i="60"/>
  <c r="E44" i="60"/>
  <c r="E11" i="60"/>
  <c r="E14" i="60"/>
  <c r="E22" i="60"/>
  <c r="E25" i="60"/>
  <c r="E28" i="60"/>
  <c r="E33" i="60"/>
  <c r="E39" i="60"/>
  <c r="E56" i="60"/>
  <c r="D10" i="60"/>
  <c r="D29" i="60"/>
  <c r="E29" i="60" s="1"/>
  <c r="I29" i="60"/>
  <c r="J29" i="60" s="1"/>
  <c r="I64" i="59"/>
  <c r="D64" i="59"/>
  <c r="I63" i="59"/>
  <c r="D63" i="59"/>
  <c r="I62" i="59"/>
  <c r="D62" i="59"/>
  <c r="H61" i="59"/>
  <c r="I61" i="59" s="1"/>
  <c r="C61" i="59"/>
  <c r="D61" i="59" s="1"/>
  <c r="H60" i="59"/>
  <c r="I60" i="59" s="1"/>
  <c r="D60" i="59"/>
  <c r="H59" i="59"/>
  <c r="I59" i="59" s="1"/>
  <c r="J59" i="59" s="1"/>
  <c r="C59" i="59"/>
  <c r="D59" i="59" s="1"/>
  <c r="H58" i="59"/>
  <c r="I58" i="59" s="1"/>
  <c r="J58" i="59" s="1"/>
  <c r="C58" i="59"/>
  <c r="D58" i="59" s="1"/>
  <c r="H57" i="59"/>
  <c r="I57" i="59" s="1"/>
  <c r="J57" i="59" s="1"/>
  <c r="C57" i="59"/>
  <c r="D57" i="59" s="1"/>
  <c r="H56" i="59"/>
  <c r="I56" i="59" s="1"/>
  <c r="J56" i="59" s="1"/>
  <c r="C56" i="59"/>
  <c r="D56" i="59" s="1"/>
  <c r="H55" i="59"/>
  <c r="I55" i="59" s="1"/>
  <c r="J55" i="59" s="1"/>
  <c r="C55" i="59"/>
  <c r="D55" i="59" s="1"/>
  <c r="H54" i="59"/>
  <c r="I54" i="59" s="1"/>
  <c r="J54" i="59" s="1"/>
  <c r="C54" i="59"/>
  <c r="D54" i="59" s="1"/>
  <c r="H53" i="59"/>
  <c r="I53" i="59" s="1"/>
  <c r="J53" i="59" s="1"/>
  <c r="C53" i="59"/>
  <c r="D53" i="59" s="1"/>
  <c r="I52" i="59"/>
  <c r="J52" i="59" s="1"/>
  <c r="D52" i="59"/>
  <c r="H51" i="59"/>
  <c r="I51" i="59" s="1"/>
  <c r="J51" i="59" s="1"/>
  <c r="C51" i="59"/>
  <c r="D51" i="59" s="1"/>
  <c r="H50" i="59"/>
  <c r="I50" i="59" s="1"/>
  <c r="J50" i="59" s="1"/>
  <c r="C50" i="59"/>
  <c r="D50" i="59" s="1"/>
  <c r="H49" i="59"/>
  <c r="I49" i="59" s="1"/>
  <c r="J49" i="59" s="1"/>
  <c r="C49" i="59"/>
  <c r="D49" i="59" s="1"/>
  <c r="H48" i="59"/>
  <c r="I48" i="59" s="1"/>
  <c r="J48" i="59" s="1"/>
  <c r="C48" i="59"/>
  <c r="D48" i="59" s="1"/>
  <c r="E48" i="59" s="1"/>
  <c r="H47" i="59"/>
  <c r="I47" i="59" s="1"/>
  <c r="J47" i="59" s="1"/>
  <c r="C47" i="59"/>
  <c r="D47" i="59" s="1"/>
  <c r="I46" i="59"/>
  <c r="J46" i="59" s="1"/>
  <c r="D46" i="59"/>
  <c r="H45" i="59"/>
  <c r="I45" i="59" s="1"/>
  <c r="J45" i="59" s="1"/>
  <c r="C45" i="59"/>
  <c r="D45" i="59" s="1"/>
  <c r="I44" i="59"/>
  <c r="J44" i="59" s="1"/>
  <c r="D44" i="59"/>
  <c r="H43" i="59"/>
  <c r="I43" i="59" s="1"/>
  <c r="J43" i="59" s="1"/>
  <c r="C43" i="59"/>
  <c r="D43" i="59" s="1"/>
  <c r="H42" i="59"/>
  <c r="I42" i="59" s="1"/>
  <c r="J42" i="59" s="1"/>
  <c r="C42" i="59"/>
  <c r="D42" i="59" s="1"/>
  <c r="H41" i="59"/>
  <c r="I41" i="59" s="1"/>
  <c r="J41" i="59" s="1"/>
  <c r="C41" i="59"/>
  <c r="D41" i="59" s="1"/>
  <c r="H40" i="59"/>
  <c r="I40" i="59" s="1"/>
  <c r="J40" i="59" s="1"/>
  <c r="C40" i="59"/>
  <c r="D40" i="59" s="1"/>
  <c r="H39" i="59"/>
  <c r="I39" i="59" s="1"/>
  <c r="J39" i="59" s="1"/>
  <c r="C39" i="59"/>
  <c r="D39" i="59" s="1"/>
  <c r="H38" i="59"/>
  <c r="I38" i="59" s="1"/>
  <c r="J38" i="59" s="1"/>
  <c r="C38" i="59"/>
  <c r="D38" i="59" s="1"/>
  <c r="H37" i="59"/>
  <c r="I37" i="59" s="1"/>
  <c r="J37" i="59" s="1"/>
  <c r="C37" i="59"/>
  <c r="D37" i="59" s="1"/>
  <c r="H36" i="59"/>
  <c r="I36" i="59" s="1"/>
  <c r="J36" i="59" s="1"/>
  <c r="C36" i="59"/>
  <c r="D36" i="59" s="1"/>
  <c r="H35" i="59"/>
  <c r="I35" i="59" s="1"/>
  <c r="J35" i="59" s="1"/>
  <c r="C35" i="59"/>
  <c r="D35" i="59" s="1"/>
  <c r="H34" i="59"/>
  <c r="I34" i="59" s="1"/>
  <c r="J34" i="59" s="1"/>
  <c r="C34" i="59"/>
  <c r="D34" i="59" s="1"/>
  <c r="H33" i="59"/>
  <c r="I33" i="59" s="1"/>
  <c r="J33" i="59" s="1"/>
  <c r="C33" i="59"/>
  <c r="D33" i="59" s="1"/>
  <c r="E33" i="59" s="1"/>
  <c r="H32" i="59"/>
  <c r="I32" i="59" s="1"/>
  <c r="J32" i="59" s="1"/>
  <c r="C32" i="59"/>
  <c r="D32" i="59" s="1"/>
  <c r="H31" i="59"/>
  <c r="I31" i="59" s="1"/>
  <c r="J31" i="59" s="1"/>
  <c r="C31" i="59"/>
  <c r="D31" i="59" s="1"/>
  <c r="H30" i="59"/>
  <c r="I30" i="59" s="1"/>
  <c r="J30" i="59" s="1"/>
  <c r="C30" i="59"/>
  <c r="D30" i="59" s="1"/>
  <c r="H29" i="59"/>
  <c r="I29" i="59" s="1"/>
  <c r="J29" i="59" s="1"/>
  <c r="C29" i="59"/>
  <c r="D29" i="59" s="1"/>
  <c r="H28" i="59"/>
  <c r="I28" i="59" s="1"/>
  <c r="J28" i="59" s="1"/>
  <c r="C28" i="59"/>
  <c r="D28" i="59" s="1"/>
  <c r="E28" i="59" s="1"/>
  <c r="H27" i="59"/>
  <c r="I27" i="59" s="1"/>
  <c r="J27" i="59" s="1"/>
  <c r="C27" i="59"/>
  <c r="D27" i="59" s="1"/>
  <c r="H26" i="59"/>
  <c r="I26" i="59" s="1"/>
  <c r="J26" i="59" s="1"/>
  <c r="C26" i="59"/>
  <c r="D26" i="59" s="1"/>
  <c r="H25" i="59"/>
  <c r="I25" i="59" s="1"/>
  <c r="J25" i="59" s="1"/>
  <c r="C25" i="59"/>
  <c r="D25" i="59" s="1"/>
  <c r="E25" i="59" s="1"/>
  <c r="H24" i="59"/>
  <c r="I24" i="59" s="1"/>
  <c r="J24" i="59" s="1"/>
  <c r="C24" i="59"/>
  <c r="D24" i="59" s="1"/>
  <c r="H23" i="59"/>
  <c r="I23" i="59" s="1"/>
  <c r="J23" i="59" s="1"/>
  <c r="C23" i="59"/>
  <c r="D23" i="59" s="1"/>
  <c r="H22" i="59"/>
  <c r="I22" i="59" s="1"/>
  <c r="J22" i="59" s="1"/>
  <c r="C22" i="59"/>
  <c r="D22" i="59" s="1"/>
  <c r="H21" i="59"/>
  <c r="I21" i="59" s="1"/>
  <c r="J21" i="59" s="1"/>
  <c r="C21" i="59"/>
  <c r="D21" i="59" s="1"/>
  <c r="H20" i="59"/>
  <c r="I20" i="59" s="1"/>
  <c r="J20" i="59" s="1"/>
  <c r="C20" i="59"/>
  <c r="D20" i="59" s="1"/>
  <c r="H19" i="59"/>
  <c r="I19" i="59" s="1"/>
  <c r="J19" i="59" s="1"/>
  <c r="C19" i="59"/>
  <c r="D19" i="59" s="1"/>
  <c r="H18" i="59"/>
  <c r="I18" i="59" s="1"/>
  <c r="J18" i="59" s="1"/>
  <c r="C18" i="59"/>
  <c r="D18" i="59" s="1"/>
  <c r="I17" i="59"/>
  <c r="J17" i="59" s="1"/>
  <c r="D17" i="59"/>
  <c r="E17" i="59" s="1"/>
  <c r="I16" i="59"/>
  <c r="J16" i="59" s="1"/>
  <c r="D16" i="59"/>
  <c r="I15" i="59"/>
  <c r="J15" i="59" s="1"/>
  <c r="D15" i="59"/>
  <c r="H14" i="59"/>
  <c r="I14" i="59" s="1"/>
  <c r="J14" i="59" s="1"/>
  <c r="C14" i="59"/>
  <c r="D14" i="59" s="1"/>
  <c r="H13" i="59"/>
  <c r="I13" i="59" s="1"/>
  <c r="J13" i="59" s="1"/>
  <c r="C13" i="59"/>
  <c r="D13" i="59" s="1"/>
  <c r="H12" i="59"/>
  <c r="I12" i="59" s="1"/>
  <c r="J12" i="59" s="1"/>
  <c r="C12" i="59"/>
  <c r="D12" i="59" s="1"/>
  <c r="H11" i="59"/>
  <c r="I11" i="59" s="1"/>
  <c r="J11" i="59" s="1"/>
  <c r="C11" i="59"/>
  <c r="D11" i="59" s="1"/>
  <c r="I10" i="59"/>
  <c r="J10" i="59" s="1"/>
  <c r="D10" i="59"/>
  <c r="H9" i="59"/>
  <c r="I9" i="59" s="1"/>
  <c r="J9" i="59" s="1"/>
  <c r="C9" i="59"/>
  <c r="G8" i="59"/>
  <c r="B8" i="59"/>
  <c r="H4" i="59"/>
  <c r="C4" i="59"/>
  <c r="E4" i="59" s="1"/>
  <c r="E55" i="59" l="1"/>
  <c r="E52" i="59"/>
  <c r="C8" i="59"/>
  <c r="D8" i="59" s="1"/>
  <c r="E8" i="59" s="1"/>
  <c r="E21" i="59"/>
  <c r="E36" i="59"/>
  <c r="E44" i="59"/>
  <c r="E14" i="59"/>
  <c r="E18" i="59"/>
  <c r="E41" i="59"/>
  <c r="E26" i="59"/>
  <c r="E49" i="59"/>
  <c r="E11" i="59"/>
  <c r="E19" i="59"/>
  <c r="E34" i="59"/>
  <c r="E42" i="59"/>
  <c r="E27" i="59"/>
  <c r="E50" i="59"/>
  <c r="E20" i="59"/>
  <c r="E35" i="59"/>
  <c r="E43" i="59"/>
  <c r="E58" i="59"/>
  <c r="E57" i="59"/>
  <c r="D9" i="59"/>
  <c r="E9" i="59" s="1"/>
  <c r="I8" i="60"/>
  <c r="E32" i="59"/>
  <c r="E39" i="59"/>
  <c r="E46" i="59"/>
  <c r="E15" i="59"/>
  <c r="E22" i="59"/>
  <c r="D8" i="60"/>
  <c r="E10" i="60"/>
  <c r="E8" i="60" s="1"/>
  <c r="J8" i="60"/>
  <c r="E10" i="59"/>
  <c r="E13" i="59"/>
  <c r="E24" i="59"/>
  <c r="E31" i="59"/>
  <c r="E38" i="59"/>
  <c r="E45" i="59"/>
  <c r="E51" i="59"/>
  <c r="E54" i="59"/>
  <c r="E29" i="59"/>
  <c r="E40" i="59"/>
  <c r="E59" i="59"/>
  <c r="E53" i="59"/>
  <c r="E56" i="59"/>
  <c r="E12" i="59"/>
  <c r="E16" i="59"/>
  <c r="E23" i="59"/>
  <c r="E30" i="59"/>
  <c r="E37" i="59"/>
  <c r="E47" i="59"/>
  <c r="H8" i="59"/>
  <c r="I8" i="59" s="1"/>
  <c r="J8" i="59" s="1"/>
  <c r="I64" i="58" l="1"/>
  <c r="D64" i="58"/>
  <c r="I63" i="58"/>
  <c r="D63" i="58"/>
  <c r="I62" i="58"/>
  <c r="D62" i="58"/>
  <c r="H61" i="58"/>
  <c r="I61" i="58" s="1"/>
  <c r="C61" i="58"/>
  <c r="D61" i="58" s="1"/>
  <c r="H60" i="58"/>
  <c r="I60" i="58" s="1"/>
  <c r="D60" i="58"/>
  <c r="H59" i="58"/>
  <c r="I59" i="58" s="1"/>
  <c r="J59" i="58" s="1"/>
  <c r="C59" i="58"/>
  <c r="D59" i="58" s="1"/>
  <c r="H58" i="58"/>
  <c r="I58" i="58" s="1"/>
  <c r="J58" i="58" s="1"/>
  <c r="C58" i="58"/>
  <c r="D58" i="58" s="1"/>
  <c r="H57" i="58"/>
  <c r="I57" i="58" s="1"/>
  <c r="J57" i="58" s="1"/>
  <c r="C57" i="58"/>
  <c r="D57" i="58" s="1"/>
  <c r="H56" i="58"/>
  <c r="I56" i="58" s="1"/>
  <c r="J56" i="58" s="1"/>
  <c r="C56" i="58"/>
  <c r="D56" i="58" s="1"/>
  <c r="H55" i="58"/>
  <c r="I55" i="58" s="1"/>
  <c r="J55" i="58" s="1"/>
  <c r="C55" i="58"/>
  <c r="D55" i="58" s="1"/>
  <c r="H54" i="58"/>
  <c r="I54" i="58" s="1"/>
  <c r="J54" i="58" s="1"/>
  <c r="C54" i="58"/>
  <c r="D54" i="58" s="1"/>
  <c r="E54" i="58" s="1"/>
  <c r="H53" i="58"/>
  <c r="I53" i="58" s="1"/>
  <c r="J53" i="58" s="1"/>
  <c r="C53" i="58"/>
  <c r="D53" i="58" s="1"/>
  <c r="I52" i="58"/>
  <c r="J52" i="58" s="1"/>
  <c r="D52" i="58"/>
  <c r="H51" i="58"/>
  <c r="I51" i="58" s="1"/>
  <c r="J51" i="58" s="1"/>
  <c r="C51" i="58"/>
  <c r="D51" i="58" s="1"/>
  <c r="H50" i="58"/>
  <c r="I50" i="58" s="1"/>
  <c r="J50" i="58" s="1"/>
  <c r="C50" i="58"/>
  <c r="D50" i="58" s="1"/>
  <c r="H49" i="58"/>
  <c r="I49" i="58" s="1"/>
  <c r="J49" i="58" s="1"/>
  <c r="C49" i="58"/>
  <c r="D49" i="58" s="1"/>
  <c r="H48" i="58"/>
  <c r="I48" i="58" s="1"/>
  <c r="J48" i="58" s="1"/>
  <c r="C48" i="58"/>
  <c r="D48" i="58" s="1"/>
  <c r="H47" i="58"/>
  <c r="I47" i="58" s="1"/>
  <c r="J47" i="58" s="1"/>
  <c r="C47" i="58"/>
  <c r="D47" i="58" s="1"/>
  <c r="I46" i="58"/>
  <c r="J46" i="58" s="1"/>
  <c r="D46" i="58"/>
  <c r="H45" i="58"/>
  <c r="I45" i="58" s="1"/>
  <c r="J45" i="58" s="1"/>
  <c r="C45" i="58"/>
  <c r="D45" i="58" s="1"/>
  <c r="I44" i="58"/>
  <c r="J44" i="58" s="1"/>
  <c r="D44" i="58"/>
  <c r="H43" i="58"/>
  <c r="I43" i="58" s="1"/>
  <c r="J43" i="58" s="1"/>
  <c r="C43" i="58"/>
  <c r="D43" i="58" s="1"/>
  <c r="H42" i="58"/>
  <c r="I42" i="58" s="1"/>
  <c r="J42" i="58" s="1"/>
  <c r="C42" i="58"/>
  <c r="D42" i="58" s="1"/>
  <c r="H41" i="58"/>
  <c r="I41" i="58" s="1"/>
  <c r="J41" i="58" s="1"/>
  <c r="C41" i="58"/>
  <c r="D41" i="58" s="1"/>
  <c r="H40" i="58"/>
  <c r="I40" i="58" s="1"/>
  <c r="J40" i="58" s="1"/>
  <c r="C40" i="58"/>
  <c r="D40" i="58" s="1"/>
  <c r="H39" i="58"/>
  <c r="I39" i="58" s="1"/>
  <c r="J39" i="58" s="1"/>
  <c r="C39" i="58"/>
  <c r="D39" i="58" s="1"/>
  <c r="H38" i="58"/>
  <c r="I38" i="58" s="1"/>
  <c r="J38" i="58" s="1"/>
  <c r="C38" i="58"/>
  <c r="D38" i="58" s="1"/>
  <c r="H37" i="58"/>
  <c r="I37" i="58" s="1"/>
  <c r="J37" i="58" s="1"/>
  <c r="C37" i="58"/>
  <c r="D37" i="58" s="1"/>
  <c r="H36" i="58"/>
  <c r="I36" i="58" s="1"/>
  <c r="J36" i="58" s="1"/>
  <c r="C36" i="58"/>
  <c r="D36" i="58" s="1"/>
  <c r="H35" i="58"/>
  <c r="I35" i="58" s="1"/>
  <c r="J35" i="58" s="1"/>
  <c r="C35" i="58"/>
  <c r="D35" i="58" s="1"/>
  <c r="H34" i="58"/>
  <c r="I34" i="58" s="1"/>
  <c r="J34" i="58" s="1"/>
  <c r="C34" i="58"/>
  <c r="D34" i="58" s="1"/>
  <c r="H33" i="58"/>
  <c r="I33" i="58" s="1"/>
  <c r="J33" i="58" s="1"/>
  <c r="C33" i="58"/>
  <c r="D33" i="58" s="1"/>
  <c r="H32" i="58"/>
  <c r="I32" i="58" s="1"/>
  <c r="J32" i="58" s="1"/>
  <c r="C32" i="58"/>
  <c r="D32" i="58" s="1"/>
  <c r="H31" i="58"/>
  <c r="I31" i="58" s="1"/>
  <c r="J31" i="58" s="1"/>
  <c r="C31" i="58"/>
  <c r="D31" i="58" s="1"/>
  <c r="H30" i="58"/>
  <c r="I30" i="58" s="1"/>
  <c r="J30" i="58" s="1"/>
  <c r="C30" i="58"/>
  <c r="D30" i="58" s="1"/>
  <c r="H29" i="58"/>
  <c r="I29" i="58" s="1"/>
  <c r="J29" i="58" s="1"/>
  <c r="C29" i="58"/>
  <c r="D29" i="58" s="1"/>
  <c r="H28" i="58"/>
  <c r="I28" i="58" s="1"/>
  <c r="J28" i="58" s="1"/>
  <c r="C28" i="58"/>
  <c r="D28" i="58" s="1"/>
  <c r="H27" i="58"/>
  <c r="I27" i="58" s="1"/>
  <c r="J27" i="58" s="1"/>
  <c r="C27" i="58"/>
  <c r="D27" i="58" s="1"/>
  <c r="H26" i="58"/>
  <c r="I26" i="58" s="1"/>
  <c r="J26" i="58" s="1"/>
  <c r="C26" i="58"/>
  <c r="D26" i="58" s="1"/>
  <c r="H25" i="58"/>
  <c r="I25" i="58" s="1"/>
  <c r="J25" i="58" s="1"/>
  <c r="C25" i="58"/>
  <c r="D25" i="58" s="1"/>
  <c r="H24" i="58"/>
  <c r="I24" i="58" s="1"/>
  <c r="J24" i="58" s="1"/>
  <c r="C24" i="58"/>
  <c r="D24" i="58" s="1"/>
  <c r="H23" i="58"/>
  <c r="I23" i="58" s="1"/>
  <c r="J23" i="58" s="1"/>
  <c r="C23" i="58"/>
  <c r="D23" i="58" s="1"/>
  <c r="H22" i="58"/>
  <c r="I22" i="58" s="1"/>
  <c r="J22" i="58" s="1"/>
  <c r="C22" i="58"/>
  <c r="D22" i="58" s="1"/>
  <c r="H21" i="58"/>
  <c r="I21" i="58" s="1"/>
  <c r="J21" i="58" s="1"/>
  <c r="C21" i="58"/>
  <c r="D21" i="58" s="1"/>
  <c r="H20" i="58"/>
  <c r="I20" i="58" s="1"/>
  <c r="J20" i="58" s="1"/>
  <c r="C20" i="58"/>
  <c r="D20" i="58" s="1"/>
  <c r="H19" i="58"/>
  <c r="I19" i="58" s="1"/>
  <c r="J19" i="58" s="1"/>
  <c r="C19" i="58"/>
  <c r="D19" i="58" s="1"/>
  <c r="H18" i="58"/>
  <c r="I18" i="58" s="1"/>
  <c r="J18" i="58" s="1"/>
  <c r="C18" i="58"/>
  <c r="D18" i="58" s="1"/>
  <c r="I17" i="58"/>
  <c r="J17" i="58" s="1"/>
  <c r="D17" i="58"/>
  <c r="I16" i="58"/>
  <c r="J16" i="58" s="1"/>
  <c r="D16" i="58"/>
  <c r="I15" i="58"/>
  <c r="J15" i="58" s="1"/>
  <c r="D15" i="58"/>
  <c r="H14" i="58"/>
  <c r="I14" i="58" s="1"/>
  <c r="J14" i="58" s="1"/>
  <c r="C14" i="58"/>
  <c r="D14" i="58" s="1"/>
  <c r="H13" i="58"/>
  <c r="I13" i="58" s="1"/>
  <c r="J13" i="58" s="1"/>
  <c r="C13" i="58"/>
  <c r="D13" i="58" s="1"/>
  <c r="H12" i="58"/>
  <c r="I12" i="58" s="1"/>
  <c r="J12" i="58" s="1"/>
  <c r="C12" i="58"/>
  <c r="D12" i="58" s="1"/>
  <c r="H11" i="58"/>
  <c r="I11" i="58" s="1"/>
  <c r="J11" i="58" s="1"/>
  <c r="C11" i="58"/>
  <c r="D11" i="58" s="1"/>
  <c r="H10" i="58"/>
  <c r="I10" i="58" s="1"/>
  <c r="J10" i="58" s="1"/>
  <c r="C10" i="58"/>
  <c r="D10" i="58" s="1"/>
  <c r="H9" i="58"/>
  <c r="C9" i="58"/>
  <c r="D9" i="58" s="1"/>
  <c r="G8" i="58"/>
  <c r="B8" i="58"/>
  <c r="H4" i="58"/>
  <c r="C4" i="58"/>
  <c r="E4" i="58" s="1"/>
  <c r="E46" i="58" s="1"/>
  <c r="E42" i="58" l="1"/>
  <c r="E27" i="58"/>
  <c r="E49" i="58"/>
  <c r="E39" i="58"/>
  <c r="E51" i="58"/>
  <c r="E24" i="58"/>
  <c r="E45" i="58"/>
  <c r="E14" i="58"/>
  <c r="E21" i="58"/>
  <c r="E11" i="58"/>
  <c r="E18" i="58"/>
  <c r="E25" i="58"/>
  <c r="E15" i="58"/>
  <c r="E33" i="58"/>
  <c r="E36" i="58"/>
  <c r="E12" i="58"/>
  <c r="E47" i="58"/>
  <c r="E16" i="58"/>
  <c r="E34" i="58"/>
  <c r="E37" i="58"/>
  <c r="E58" i="58"/>
  <c r="E13" i="58"/>
  <c r="E41" i="58"/>
  <c r="E48" i="58"/>
  <c r="E31" i="58"/>
  <c r="E28" i="58"/>
  <c r="E52" i="58"/>
  <c r="E55" i="58"/>
  <c r="H8" i="58"/>
  <c r="E22" i="58"/>
  <c r="E17" i="58"/>
  <c r="E20" i="58"/>
  <c r="E23" i="58"/>
  <c r="E44" i="58"/>
  <c r="E30" i="58"/>
  <c r="E57" i="58"/>
  <c r="E10" i="58"/>
  <c r="E19" i="58"/>
  <c r="E32" i="58"/>
  <c r="E35" i="58"/>
  <c r="E40" i="58"/>
  <c r="E43" i="58"/>
  <c r="E59" i="58"/>
  <c r="E9" i="58"/>
  <c r="D8" i="58"/>
  <c r="E26" i="58"/>
  <c r="E29" i="58"/>
  <c r="E38" i="58"/>
  <c r="E50" i="58"/>
  <c r="E53" i="58"/>
  <c r="E56" i="58"/>
  <c r="I9" i="58"/>
  <c r="C8" i="58"/>
  <c r="E8" i="58" l="1"/>
  <c r="I8" i="58"/>
  <c r="J9" i="58"/>
  <c r="J8" i="58" s="1"/>
  <c r="I64" i="57" l="1"/>
  <c r="D64" i="57"/>
  <c r="I63" i="57"/>
  <c r="D63" i="57"/>
  <c r="I62" i="57"/>
  <c r="D62" i="57"/>
  <c r="H61" i="57"/>
  <c r="I61" i="57" s="1"/>
  <c r="C61" i="57"/>
  <c r="D61" i="57" s="1"/>
  <c r="H60" i="57"/>
  <c r="I60" i="57" s="1"/>
  <c r="D60" i="57"/>
  <c r="H59" i="57"/>
  <c r="I59" i="57" s="1"/>
  <c r="J59" i="57" s="1"/>
  <c r="C59" i="57"/>
  <c r="D59" i="57" s="1"/>
  <c r="H58" i="57"/>
  <c r="I58" i="57" s="1"/>
  <c r="J58" i="57" s="1"/>
  <c r="C58" i="57"/>
  <c r="D58" i="57" s="1"/>
  <c r="I57" i="57"/>
  <c r="J57" i="57" s="1"/>
  <c r="D57" i="57"/>
  <c r="H56" i="57"/>
  <c r="I56" i="57" s="1"/>
  <c r="J56" i="57" s="1"/>
  <c r="C56" i="57"/>
  <c r="D56" i="57" s="1"/>
  <c r="H55" i="57"/>
  <c r="I55" i="57" s="1"/>
  <c r="J55" i="57" s="1"/>
  <c r="C55" i="57"/>
  <c r="D55" i="57" s="1"/>
  <c r="H54" i="57"/>
  <c r="I54" i="57" s="1"/>
  <c r="J54" i="57" s="1"/>
  <c r="D54" i="57"/>
  <c r="H53" i="57"/>
  <c r="I53" i="57" s="1"/>
  <c r="J53" i="57" s="1"/>
  <c r="C53" i="57"/>
  <c r="D53" i="57" s="1"/>
  <c r="I52" i="57"/>
  <c r="J52" i="57" s="1"/>
  <c r="D52" i="57"/>
  <c r="H51" i="57"/>
  <c r="I51" i="57" s="1"/>
  <c r="J51" i="57" s="1"/>
  <c r="C51" i="57"/>
  <c r="D51" i="57" s="1"/>
  <c r="H50" i="57"/>
  <c r="I50" i="57" s="1"/>
  <c r="J50" i="57" s="1"/>
  <c r="C50" i="57"/>
  <c r="D50" i="57" s="1"/>
  <c r="H49" i="57"/>
  <c r="I49" i="57" s="1"/>
  <c r="J49" i="57" s="1"/>
  <c r="C49" i="57"/>
  <c r="D49" i="57" s="1"/>
  <c r="H48" i="57"/>
  <c r="I48" i="57" s="1"/>
  <c r="J48" i="57" s="1"/>
  <c r="C48" i="57"/>
  <c r="D48" i="57" s="1"/>
  <c r="H47" i="57"/>
  <c r="I47" i="57" s="1"/>
  <c r="J47" i="57" s="1"/>
  <c r="C47" i="57"/>
  <c r="D47" i="57" s="1"/>
  <c r="I46" i="57"/>
  <c r="J46" i="57" s="1"/>
  <c r="D46" i="57"/>
  <c r="H45" i="57"/>
  <c r="I45" i="57" s="1"/>
  <c r="J45" i="57" s="1"/>
  <c r="C45" i="57"/>
  <c r="D45" i="57" s="1"/>
  <c r="I44" i="57"/>
  <c r="J44" i="57" s="1"/>
  <c r="D44" i="57"/>
  <c r="H43" i="57"/>
  <c r="I43" i="57" s="1"/>
  <c r="J43" i="57" s="1"/>
  <c r="C43" i="57"/>
  <c r="D43" i="57" s="1"/>
  <c r="H42" i="57"/>
  <c r="I42" i="57" s="1"/>
  <c r="J42" i="57" s="1"/>
  <c r="C42" i="57"/>
  <c r="D42" i="57" s="1"/>
  <c r="H41" i="57"/>
  <c r="I41" i="57" s="1"/>
  <c r="J41" i="57" s="1"/>
  <c r="C41" i="57"/>
  <c r="D41" i="57" s="1"/>
  <c r="H40" i="57"/>
  <c r="I40" i="57" s="1"/>
  <c r="J40" i="57" s="1"/>
  <c r="C40" i="57"/>
  <c r="D40" i="57" s="1"/>
  <c r="H39" i="57"/>
  <c r="I39" i="57" s="1"/>
  <c r="J39" i="57" s="1"/>
  <c r="C39" i="57"/>
  <c r="D39" i="57" s="1"/>
  <c r="H38" i="57"/>
  <c r="I38" i="57" s="1"/>
  <c r="J38" i="57" s="1"/>
  <c r="C38" i="57"/>
  <c r="D38" i="57" s="1"/>
  <c r="H37" i="57"/>
  <c r="I37" i="57" s="1"/>
  <c r="J37" i="57" s="1"/>
  <c r="C37" i="57"/>
  <c r="D37" i="57" s="1"/>
  <c r="H36" i="57"/>
  <c r="I36" i="57" s="1"/>
  <c r="J36" i="57" s="1"/>
  <c r="C36" i="57"/>
  <c r="D36" i="57" s="1"/>
  <c r="H35" i="57"/>
  <c r="I35" i="57" s="1"/>
  <c r="J35" i="57" s="1"/>
  <c r="C35" i="57"/>
  <c r="D35" i="57" s="1"/>
  <c r="H34" i="57"/>
  <c r="I34" i="57" s="1"/>
  <c r="J34" i="57" s="1"/>
  <c r="C34" i="57"/>
  <c r="D34" i="57" s="1"/>
  <c r="H33" i="57"/>
  <c r="I33" i="57" s="1"/>
  <c r="J33" i="57" s="1"/>
  <c r="C33" i="57"/>
  <c r="D33" i="57" s="1"/>
  <c r="I32" i="57"/>
  <c r="J32" i="57" s="1"/>
  <c r="D32" i="57"/>
  <c r="I31" i="57"/>
  <c r="J31" i="57" s="1"/>
  <c r="D31" i="57"/>
  <c r="I30" i="57"/>
  <c r="J30" i="57" s="1"/>
  <c r="D30" i="57"/>
  <c r="I29" i="57"/>
  <c r="J29" i="57" s="1"/>
  <c r="D29" i="57"/>
  <c r="I28" i="57"/>
  <c r="J28" i="57" s="1"/>
  <c r="C28" i="57"/>
  <c r="D28" i="57" s="1"/>
  <c r="H27" i="57"/>
  <c r="I27" i="57" s="1"/>
  <c r="J27" i="57" s="1"/>
  <c r="C27" i="57"/>
  <c r="D27" i="57" s="1"/>
  <c r="H26" i="57"/>
  <c r="I26" i="57" s="1"/>
  <c r="J26" i="57" s="1"/>
  <c r="C26" i="57"/>
  <c r="D26" i="57" s="1"/>
  <c r="H25" i="57"/>
  <c r="I25" i="57" s="1"/>
  <c r="J25" i="57" s="1"/>
  <c r="C25" i="57"/>
  <c r="D25" i="57" s="1"/>
  <c r="H24" i="57"/>
  <c r="I24" i="57" s="1"/>
  <c r="J24" i="57" s="1"/>
  <c r="C24" i="57"/>
  <c r="D24" i="57" s="1"/>
  <c r="H23" i="57"/>
  <c r="I23" i="57" s="1"/>
  <c r="J23" i="57" s="1"/>
  <c r="D23" i="57"/>
  <c r="I22" i="57"/>
  <c r="J22" i="57" s="1"/>
  <c r="D22" i="57"/>
  <c r="H21" i="57"/>
  <c r="I21" i="57" s="1"/>
  <c r="J21" i="57" s="1"/>
  <c r="C21" i="57"/>
  <c r="D21" i="57" s="1"/>
  <c r="H20" i="57"/>
  <c r="I20" i="57" s="1"/>
  <c r="J20" i="57" s="1"/>
  <c r="C20" i="57"/>
  <c r="D20" i="57" s="1"/>
  <c r="H19" i="57"/>
  <c r="I19" i="57" s="1"/>
  <c r="J19" i="57" s="1"/>
  <c r="C19" i="57"/>
  <c r="D19" i="57" s="1"/>
  <c r="I18" i="57"/>
  <c r="J18" i="57" s="1"/>
  <c r="D18" i="57"/>
  <c r="I17" i="57"/>
  <c r="J17" i="57" s="1"/>
  <c r="D17" i="57"/>
  <c r="I16" i="57"/>
  <c r="J16" i="57" s="1"/>
  <c r="D16" i="57"/>
  <c r="I15" i="57"/>
  <c r="J15" i="57" s="1"/>
  <c r="D15" i="57"/>
  <c r="H14" i="57"/>
  <c r="I14" i="57" s="1"/>
  <c r="J14" i="57" s="1"/>
  <c r="C14" i="57"/>
  <c r="D14" i="57" s="1"/>
  <c r="E14" i="57" s="1"/>
  <c r="H13" i="57"/>
  <c r="I13" i="57" s="1"/>
  <c r="J13" i="57" s="1"/>
  <c r="C13" i="57"/>
  <c r="D13" i="57" s="1"/>
  <c r="H12" i="57"/>
  <c r="I12" i="57" s="1"/>
  <c r="J12" i="57" s="1"/>
  <c r="C12" i="57"/>
  <c r="D12" i="57" s="1"/>
  <c r="H11" i="57"/>
  <c r="I11" i="57" s="1"/>
  <c r="J11" i="57" s="1"/>
  <c r="C11" i="57"/>
  <c r="D11" i="57" s="1"/>
  <c r="H10" i="57"/>
  <c r="I10" i="57" s="1"/>
  <c r="J10" i="57" s="1"/>
  <c r="C10" i="57"/>
  <c r="D10" i="57" s="1"/>
  <c r="H9" i="57"/>
  <c r="C9" i="57"/>
  <c r="D9" i="57" s="1"/>
  <c r="G8" i="57"/>
  <c r="B8" i="57"/>
  <c r="H4" i="57"/>
  <c r="C4" i="57"/>
  <c r="E4" i="57" s="1"/>
  <c r="E17" i="57" l="1"/>
  <c r="E24" i="57"/>
  <c r="E27" i="57"/>
  <c r="E34" i="57"/>
  <c r="E54" i="57"/>
  <c r="E51" i="57"/>
  <c r="E55" i="57"/>
  <c r="E12" i="57"/>
  <c r="E15" i="57"/>
  <c r="E36" i="57"/>
  <c r="E48" i="57"/>
  <c r="E37" i="57"/>
  <c r="E57" i="57"/>
  <c r="E25" i="57"/>
  <c r="E28" i="57"/>
  <c r="E35" i="57"/>
  <c r="E38" i="57"/>
  <c r="E41" i="57"/>
  <c r="E45" i="57"/>
  <c r="E49" i="57"/>
  <c r="E52" i="57"/>
  <c r="E58" i="57"/>
  <c r="H8" i="57"/>
  <c r="E26" i="57"/>
  <c r="E29" i="57"/>
  <c r="E32" i="57"/>
  <c r="E39" i="57"/>
  <c r="E42" i="57"/>
  <c r="E46" i="57"/>
  <c r="C8" i="57"/>
  <c r="E13" i="57"/>
  <c r="E19" i="57"/>
  <c r="E11" i="57"/>
  <c r="E31" i="57"/>
  <c r="E50" i="57"/>
  <c r="E53" i="57"/>
  <c r="E59" i="57"/>
  <c r="E10" i="57"/>
  <c r="E23" i="57"/>
  <c r="E33" i="57"/>
  <c r="E43" i="57"/>
  <c r="E47" i="57"/>
  <c r="E56" i="57"/>
  <c r="D8" i="57"/>
  <c r="E9" i="57"/>
  <c r="E18" i="57"/>
  <c r="E16" i="57"/>
  <c r="E44" i="57"/>
  <c r="E22" i="57"/>
  <c r="E21" i="57"/>
  <c r="E20" i="57"/>
  <c r="E30" i="57"/>
  <c r="E40" i="57"/>
  <c r="I9" i="57"/>
  <c r="J9" i="57" l="1"/>
  <c r="J8" i="57" s="1"/>
  <c r="I8" i="57"/>
  <c r="E8" i="57"/>
  <c r="I64" i="56" l="1"/>
  <c r="D64" i="56"/>
  <c r="I63" i="56"/>
  <c r="D63" i="56"/>
  <c r="I62" i="56"/>
  <c r="D62" i="56"/>
  <c r="H61" i="56"/>
  <c r="I61" i="56" s="1"/>
  <c r="C61" i="56"/>
  <c r="D61" i="56" s="1"/>
  <c r="H60" i="56"/>
  <c r="I60" i="56" s="1"/>
  <c r="D60" i="56"/>
  <c r="H59" i="56"/>
  <c r="I59" i="56" s="1"/>
  <c r="J59" i="56" s="1"/>
  <c r="C59" i="56"/>
  <c r="D59" i="56" s="1"/>
  <c r="H58" i="56"/>
  <c r="I58" i="56" s="1"/>
  <c r="J58" i="56" s="1"/>
  <c r="C58" i="56"/>
  <c r="D58" i="56" s="1"/>
  <c r="I57" i="56"/>
  <c r="J57" i="56" s="1"/>
  <c r="D57" i="56"/>
  <c r="H56" i="56"/>
  <c r="I56" i="56" s="1"/>
  <c r="J56" i="56" s="1"/>
  <c r="C56" i="56"/>
  <c r="D56" i="56" s="1"/>
  <c r="H55" i="56"/>
  <c r="I55" i="56" s="1"/>
  <c r="J55" i="56" s="1"/>
  <c r="C55" i="56"/>
  <c r="D55" i="56" s="1"/>
  <c r="H54" i="56"/>
  <c r="I54" i="56" s="1"/>
  <c r="J54" i="56" s="1"/>
  <c r="C54" i="56"/>
  <c r="D54" i="56" s="1"/>
  <c r="H53" i="56"/>
  <c r="I53" i="56" s="1"/>
  <c r="J53" i="56" s="1"/>
  <c r="C53" i="56"/>
  <c r="D53" i="56" s="1"/>
  <c r="I52" i="56"/>
  <c r="J52" i="56" s="1"/>
  <c r="D52" i="56"/>
  <c r="H51" i="56"/>
  <c r="I51" i="56" s="1"/>
  <c r="J51" i="56" s="1"/>
  <c r="C51" i="56"/>
  <c r="D51" i="56" s="1"/>
  <c r="H50" i="56"/>
  <c r="I50" i="56" s="1"/>
  <c r="J50" i="56" s="1"/>
  <c r="C50" i="56"/>
  <c r="D50" i="56" s="1"/>
  <c r="H49" i="56"/>
  <c r="I49" i="56" s="1"/>
  <c r="J49" i="56" s="1"/>
  <c r="C49" i="56"/>
  <c r="D49" i="56" s="1"/>
  <c r="H48" i="56"/>
  <c r="I48" i="56" s="1"/>
  <c r="J48" i="56" s="1"/>
  <c r="C48" i="56"/>
  <c r="D48" i="56" s="1"/>
  <c r="H47" i="56"/>
  <c r="I47" i="56" s="1"/>
  <c r="J47" i="56" s="1"/>
  <c r="C47" i="56"/>
  <c r="D47" i="56" s="1"/>
  <c r="I46" i="56"/>
  <c r="J46" i="56" s="1"/>
  <c r="D46" i="56"/>
  <c r="H45" i="56"/>
  <c r="I45" i="56" s="1"/>
  <c r="J45" i="56" s="1"/>
  <c r="C45" i="56"/>
  <c r="D45" i="56" s="1"/>
  <c r="I44" i="56"/>
  <c r="J44" i="56" s="1"/>
  <c r="D44" i="56"/>
  <c r="H43" i="56"/>
  <c r="I43" i="56" s="1"/>
  <c r="J43" i="56" s="1"/>
  <c r="C43" i="56"/>
  <c r="D43" i="56" s="1"/>
  <c r="H42" i="56"/>
  <c r="I42" i="56" s="1"/>
  <c r="J42" i="56" s="1"/>
  <c r="C42" i="56"/>
  <c r="D42" i="56" s="1"/>
  <c r="H41" i="56"/>
  <c r="I41" i="56" s="1"/>
  <c r="J41" i="56" s="1"/>
  <c r="C41" i="56"/>
  <c r="D41" i="56" s="1"/>
  <c r="H40" i="56"/>
  <c r="I40" i="56" s="1"/>
  <c r="J40" i="56" s="1"/>
  <c r="C40" i="56"/>
  <c r="D40" i="56" s="1"/>
  <c r="H39" i="56"/>
  <c r="I39" i="56" s="1"/>
  <c r="J39" i="56" s="1"/>
  <c r="C39" i="56"/>
  <c r="D39" i="56" s="1"/>
  <c r="H38" i="56"/>
  <c r="I38" i="56" s="1"/>
  <c r="J38" i="56" s="1"/>
  <c r="C38" i="56"/>
  <c r="D38" i="56" s="1"/>
  <c r="H37" i="56"/>
  <c r="I37" i="56" s="1"/>
  <c r="J37" i="56" s="1"/>
  <c r="C37" i="56"/>
  <c r="D37" i="56" s="1"/>
  <c r="H36" i="56"/>
  <c r="I36" i="56" s="1"/>
  <c r="J36" i="56" s="1"/>
  <c r="C36" i="56"/>
  <c r="D36" i="56" s="1"/>
  <c r="H35" i="56"/>
  <c r="I35" i="56" s="1"/>
  <c r="J35" i="56" s="1"/>
  <c r="C35" i="56"/>
  <c r="D35" i="56" s="1"/>
  <c r="H34" i="56"/>
  <c r="I34" i="56" s="1"/>
  <c r="J34" i="56" s="1"/>
  <c r="C34" i="56"/>
  <c r="D34" i="56" s="1"/>
  <c r="H33" i="56"/>
  <c r="I33" i="56" s="1"/>
  <c r="J33" i="56" s="1"/>
  <c r="C33" i="56"/>
  <c r="D33" i="56" s="1"/>
  <c r="I32" i="56"/>
  <c r="J32" i="56" s="1"/>
  <c r="D32" i="56"/>
  <c r="H31" i="56"/>
  <c r="I31" i="56" s="1"/>
  <c r="J31" i="56" s="1"/>
  <c r="C31" i="56"/>
  <c r="D31" i="56" s="1"/>
  <c r="H30" i="56"/>
  <c r="I30" i="56" s="1"/>
  <c r="J30" i="56" s="1"/>
  <c r="C30" i="56"/>
  <c r="D30" i="56" s="1"/>
  <c r="H29" i="56"/>
  <c r="I29" i="56" s="1"/>
  <c r="J29" i="56" s="1"/>
  <c r="C29" i="56"/>
  <c r="D29" i="56" s="1"/>
  <c r="I28" i="56"/>
  <c r="J28" i="56" s="1"/>
  <c r="D28" i="56"/>
  <c r="H27" i="56"/>
  <c r="I27" i="56" s="1"/>
  <c r="J27" i="56" s="1"/>
  <c r="C27" i="56"/>
  <c r="D27" i="56" s="1"/>
  <c r="H26" i="56"/>
  <c r="I26" i="56" s="1"/>
  <c r="J26" i="56" s="1"/>
  <c r="C26" i="56"/>
  <c r="D26" i="56" s="1"/>
  <c r="H25" i="56"/>
  <c r="I25" i="56" s="1"/>
  <c r="J25" i="56" s="1"/>
  <c r="C25" i="56"/>
  <c r="D25" i="56" s="1"/>
  <c r="H24" i="56"/>
  <c r="I24" i="56" s="1"/>
  <c r="J24" i="56" s="1"/>
  <c r="C24" i="56"/>
  <c r="D24" i="56" s="1"/>
  <c r="H23" i="56"/>
  <c r="I23" i="56" s="1"/>
  <c r="J23" i="56" s="1"/>
  <c r="C23" i="56"/>
  <c r="D23" i="56" s="1"/>
  <c r="H22" i="56"/>
  <c r="I22" i="56" s="1"/>
  <c r="J22" i="56" s="1"/>
  <c r="C22" i="56"/>
  <c r="D22" i="56" s="1"/>
  <c r="H21" i="56"/>
  <c r="I21" i="56" s="1"/>
  <c r="J21" i="56" s="1"/>
  <c r="C21" i="56"/>
  <c r="D21" i="56" s="1"/>
  <c r="H20" i="56"/>
  <c r="I20" i="56" s="1"/>
  <c r="J20" i="56" s="1"/>
  <c r="C20" i="56"/>
  <c r="D20" i="56" s="1"/>
  <c r="H19" i="56"/>
  <c r="I19" i="56" s="1"/>
  <c r="J19" i="56" s="1"/>
  <c r="C19" i="56"/>
  <c r="D19" i="56" s="1"/>
  <c r="H18" i="56"/>
  <c r="I18" i="56" s="1"/>
  <c r="J18" i="56" s="1"/>
  <c r="D18" i="56"/>
  <c r="I17" i="56"/>
  <c r="J17" i="56" s="1"/>
  <c r="D17" i="56"/>
  <c r="I16" i="56"/>
  <c r="J16" i="56" s="1"/>
  <c r="D16" i="56"/>
  <c r="I15" i="56"/>
  <c r="J15" i="56" s="1"/>
  <c r="D15" i="56"/>
  <c r="H14" i="56"/>
  <c r="I14" i="56" s="1"/>
  <c r="J14" i="56" s="1"/>
  <c r="C14" i="56"/>
  <c r="D14" i="56" s="1"/>
  <c r="H13" i="56"/>
  <c r="I13" i="56" s="1"/>
  <c r="J13" i="56" s="1"/>
  <c r="C13" i="56"/>
  <c r="D13" i="56" s="1"/>
  <c r="H12" i="56"/>
  <c r="I12" i="56" s="1"/>
  <c r="C12" i="56"/>
  <c r="D12" i="56" s="1"/>
  <c r="H11" i="56"/>
  <c r="I11" i="56" s="1"/>
  <c r="J11" i="56" s="1"/>
  <c r="C11" i="56"/>
  <c r="D11" i="56" s="1"/>
  <c r="H10" i="56"/>
  <c r="I10" i="56" s="1"/>
  <c r="J10" i="56" s="1"/>
  <c r="C10" i="56"/>
  <c r="D10" i="56" s="1"/>
  <c r="H9" i="56"/>
  <c r="I9" i="56" s="1"/>
  <c r="J9" i="56" s="1"/>
  <c r="C9" i="56"/>
  <c r="D9" i="56" s="1"/>
  <c r="G8" i="56"/>
  <c r="B8" i="56"/>
  <c r="H4" i="56"/>
  <c r="C4" i="56"/>
  <c r="E4" i="56" s="1"/>
  <c r="E11" i="56" l="1"/>
  <c r="H8" i="56"/>
  <c r="E23" i="56"/>
  <c r="E37" i="56"/>
  <c r="E19" i="56"/>
  <c r="E27" i="56"/>
  <c r="E30" i="56"/>
  <c r="E33" i="56"/>
  <c r="E41" i="56"/>
  <c r="E52" i="56"/>
  <c r="E28" i="56"/>
  <c r="E12" i="56"/>
  <c r="E38" i="56"/>
  <c r="E31" i="56"/>
  <c r="E24" i="56"/>
  <c r="E15" i="56"/>
  <c r="E17" i="56"/>
  <c r="E48" i="56"/>
  <c r="E58" i="56"/>
  <c r="E45" i="56"/>
  <c r="E34" i="56"/>
  <c r="E55" i="56"/>
  <c r="E42" i="56"/>
  <c r="E20" i="56"/>
  <c r="J12" i="56"/>
  <c r="J8" i="56" s="1"/>
  <c r="I8" i="56"/>
  <c r="E36" i="56"/>
  <c r="E47" i="56"/>
  <c r="E16" i="56"/>
  <c r="E25" i="56"/>
  <c r="E53" i="56"/>
  <c r="E9" i="56"/>
  <c r="D8" i="56"/>
  <c r="E21" i="56"/>
  <c r="E32" i="56"/>
  <c r="E43" i="56"/>
  <c r="E39" i="56"/>
  <c r="E56" i="56"/>
  <c r="E14" i="56"/>
  <c r="E35" i="56"/>
  <c r="E46" i="56"/>
  <c r="E26" i="56"/>
  <c r="E51" i="56"/>
  <c r="E54" i="56"/>
  <c r="E59" i="56"/>
  <c r="E10" i="56"/>
  <c r="E22" i="56"/>
  <c r="E44" i="56"/>
  <c r="E49" i="56"/>
  <c r="E18" i="56"/>
  <c r="E29" i="56"/>
  <c r="E40" i="56"/>
  <c r="E57" i="56"/>
  <c r="E50" i="56"/>
  <c r="E13" i="56"/>
  <c r="C8" i="56"/>
  <c r="E8" i="56" l="1"/>
  <c r="I64" i="55" l="1"/>
  <c r="D64" i="55"/>
  <c r="I63" i="55"/>
  <c r="D63" i="55"/>
  <c r="I62" i="55"/>
  <c r="D62" i="55"/>
  <c r="I61" i="55"/>
  <c r="H61" i="55"/>
  <c r="C61" i="55"/>
  <c r="D61" i="55" s="1"/>
  <c r="H60" i="55"/>
  <c r="I60" i="55" s="1"/>
  <c r="D60" i="55"/>
  <c r="H59" i="55"/>
  <c r="I59" i="55" s="1"/>
  <c r="J59" i="55" s="1"/>
  <c r="C59" i="55"/>
  <c r="D59" i="55" s="1"/>
  <c r="H58" i="55"/>
  <c r="I58" i="55" s="1"/>
  <c r="J58" i="55" s="1"/>
  <c r="C58" i="55"/>
  <c r="D58" i="55" s="1"/>
  <c r="I57" i="55"/>
  <c r="J57" i="55" s="1"/>
  <c r="D57" i="55"/>
  <c r="H56" i="55"/>
  <c r="I56" i="55" s="1"/>
  <c r="J56" i="55" s="1"/>
  <c r="C56" i="55"/>
  <c r="D56" i="55" s="1"/>
  <c r="H55" i="55"/>
  <c r="I55" i="55" s="1"/>
  <c r="J55" i="55" s="1"/>
  <c r="C55" i="55"/>
  <c r="D55" i="55" s="1"/>
  <c r="H54" i="55"/>
  <c r="I54" i="55" s="1"/>
  <c r="J54" i="55" s="1"/>
  <c r="C54" i="55"/>
  <c r="D54" i="55" s="1"/>
  <c r="H53" i="55"/>
  <c r="I53" i="55" s="1"/>
  <c r="J53" i="55" s="1"/>
  <c r="C53" i="55"/>
  <c r="D53" i="55" s="1"/>
  <c r="I52" i="55"/>
  <c r="J52" i="55" s="1"/>
  <c r="D52" i="55"/>
  <c r="H51" i="55"/>
  <c r="I51" i="55" s="1"/>
  <c r="J51" i="55" s="1"/>
  <c r="C51" i="55"/>
  <c r="D51" i="55" s="1"/>
  <c r="H50" i="55"/>
  <c r="I50" i="55" s="1"/>
  <c r="J50" i="55" s="1"/>
  <c r="C50" i="55"/>
  <c r="D50" i="55" s="1"/>
  <c r="I49" i="55"/>
  <c r="J49" i="55" s="1"/>
  <c r="H49" i="55"/>
  <c r="C49" i="55"/>
  <c r="D49" i="55" s="1"/>
  <c r="H48" i="55"/>
  <c r="I48" i="55" s="1"/>
  <c r="J48" i="55" s="1"/>
  <c r="C48" i="55"/>
  <c r="D48" i="55" s="1"/>
  <c r="H47" i="55"/>
  <c r="I47" i="55" s="1"/>
  <c r="J47" i="55" s="1"/>
  <c r="C47" i="55"/>
  <c r="D47" i="55" s="1"/>
  <c r="I46" i="55"/>
  <c r="J46" i="55" s="1"/>
  <c r="D46" i="55"/>
  <c r="H45" i="55"/>
  <c r="I45" i="55" s="1"/>
  <c r="J45" i="55" s="1"/>
  <c r="C45" i="55"/>
  <c r="D45" i="55" s="1"/>
  <c r="I44" i="55"/>
  <c r="J44" i="55" s="1"/>
  <c r="D44" i="55"/>
  <c r="H43" i="55"/>
  <c r="I43" i="55" s="1"/>
  <c r="J43" i="55" s="1"/>
  <c r="C43" i="55"/>
  <c r="D43" i="55" s="1"/>
  <c r="H42" i="55"/>
  <c r="I42" i="55" s="1"/>
  <c r="J42" i="55" s="1"/>
  <c r="C42" i="55"/>
  <c r="D42" i="55" s="1"/>
  <c r="H41" i="55"/>
  <c r="I41" i="55" s="1"/>
  <c r="J41" i="55" s="1"/>
  <c r="C41" i="55"/>
  <c r="D41" i="55" s="1"/>
  <c r="H40" i="55"/>
  <c r="I40" i="55" s="1"/>
  <c r="J40" i="55" s="1"/>
  <c r="C40" i="55"/>
  <c r="D40" i="55" s="1"/>
  <c r="H39" i="55"/>
  <c r="I39" i="55" s="1"/>
  <c r="J39" i="55" s="1"/>
  <c r="C39" i="55"/>
  <c r="D39" i="55" s="1"/>
  <c r="H38" i="55"/>
  <c r="I38" i="55" s="1"/>
  <c r="J38" i="55" s="1"/>
  <c r="C38" i="55"/>
  <c r="D38" i="55" s="1"/>
  <c r="H37" i="55"/>
  <c r="I37" i="55" s="1"/>
  <c r="J37" i="55" s="1"/>
  <c r="C37" i="55"/>
  <c r="D37" i="55" s="1"/>
  <c r="H36" i="55"/>
  <c r="I36" i="55" s="1"/>
  <c r="J36" i="55" s="1"/>
  <c r="C36" i="55"/>
  <c r="D36" i="55" s="1"/>
  <c r="H35" i="55"/>
  <c r="I35" i="55" s="1"/>
  <c r="J35" i="55" s="1"/>
  <c r="C35" i="55"/>
  <c r="D35" i="55" s="1"/>
  <c r="H34" i="55"/>
  <c r="I34" i="55" s="1"/>
  <c r="J34" i="55" s="1"/>
  <c r="C34" i="55"/>
  <c r="D34" i="55" s="1"/>
  <c r="H33" i="55"/>
  <c r="I33" i="55" s="1"/>
  <c r="J33" i="55" s="1"/>
  <c r="C33" i="55"/>
  <c r="D33" i="55" s="1"/>
  <c r="H32" i="55"/>
  <c r="I32" i="55" s="1"/>
  <c r="J32" i="55" s="1"/>
  <c r="C32" i="55"/>
  <c r="D32" i="55" s="1"/>
  <c r="H31" i="55"/>
  <c r="I31" i="55" s="1"/>
  <c r="J31" i="55" s="1"/>
  <c r="C31" i="55"/>
  <c r="D31" i="55" s="1"/>
  <c r="H30" i="55"/>
  <c r="I30" i="55" s="1"/>
  <c r="J30" i="55" s="1"/>
  <c r="C30" i="55"/>
  <c r="D30" i="55" s="1"/>
  <c r="H29" i="55"/>
  <c r="I29" i="55" s="1"/>
  <c r="J29" i="55" s="1"/>
  <c r="C29" i="55"/>
  <c r="D29" i="55" s="1"/>
  <c r="I28" i="55"/>
  <c r="J28" i="55" s="1"/>
  <c r="C28" i="55"/>
  <c r="D28" i="55" s="1"/>
  <c r="H27" i="55"/>
  <c r="I27" i="55" s="1"/>
  <c r="J27" i="55" s="1"/>
  <c r="C27" i="55"/>
  <c r="D27" i="55" s="1"/>
  <c r="H26" i="55"/>
  <c r="I26" i="55" s="1"/>
  <c r="J26" i="55" s="1"/>
  <c r="C26" i="55"/>
  <c r="D26" i="55" s="1"/>
  <c r="I25" i="55"/>
  <c r="J25" i="55" s="1"/>
  <c r="C25" i="55"/>
  <c r="D25" i="55" s="1"/>
  <c r="I24" i="55"/>
  <c r="J24" i="55" s="1"/>
  <c r="D24" i="55"/>
  <c r="H23" i="55"/>
  <c r="I23" i="55" s="1"/>
  <c r="J23" i="55" s="1"/>
  <c r="C23" i="55"/>
  <c r="D23" i="55" s="1"/>
  <c r="H22" i="55"/>
  <c r="I22" i="55" s="1"/>
  <c r="J22" i="55" s="1"/>
  <c r="C22" i="55"/>
  <c r="D22" i="55" s="1"/>
  <c r="E22" i="55" s="1"/>
  <c r="H21" i="55"/>
  <c r="I21" i="55" s="1"/>
  <c r="J21" i="55" s="1"/>
  <c r="C21" i="55"/>
  <c r="D21" i="55" s="1"/>
  <c r="H20" i="55"/>
  <c r="I20" i="55" s="1"/>
  <c r="J20" i="55" s="1"/>
  <c r="D20" i="55"/>
  <c r="C20" i="55"/>
  <c r="H19" i="55"/>
  <c r="I19" i="55" s="1"/>
  <c r="J19" i="55" s="1"/>
  <c r="C19" i="55"/>
  <c r="D19" i="55" s="1"/>
  <c r="H18" i="55"/>
  <c r="I18" i="55" s="1"/>
  <c r="J18" i="55" s="1"/>
  <c r="C18" i="55"/>
  <c r="D18" i="55" s="1"/>
  <c r="I17" i="55"/>
  <c r="J17" i="55" s="1"/>
  <c r="D17" i="55"/>
  <c r="I16" i="55"/>
  <c r="J16" i="55" s="1"/>
  <c r="D16" i="55"/>
  <c r="I15" i="55"/>
  <c r="J15" i="55" s="1"/>
  <c r="D15" i="55"/>
  <c r="H14" i="55"/>
  <c r="I14" i="55" s="1"/>
  <c r="J14" i="55" s="1"/>
  <c r="C14" i="55"/>
  <c r="D14" i="55" s="1"/>
  <c r="H13" i="55"/>
  <c r="I13" i="55" s="1"/>
  <c r="J13" i="55" s="1"/>
  <c r="C13" i="55"/>
  <c r="D13" i="55" s="1"/>
  <c r="H12" i="55"/>
  <c r="I12" i="55" s="1"/>
  <c r="J12" i="55" s="1"/>
  <c r="C12" i="55"/>
  <c r="D12" i="55" s="1"/>
  <c r="H11" i="55"/>
  <c r="I11" i="55" s="1"/>
  <c r="J11" i="55" s="1"/>
  <c r="C11" i="55"/>
  <c r="D11" i="55" s="1"/>
  <c r="H10" i="55"/>
  <c r="I10" i="55" s="1"/>
  <c r="J10" i="55" s="1"/>
  <c r="C10" i="55"/>
  <c r="H9" i="55"/>
  <c r="I9" i="55" s="1"/>
  <c r="D9" i="55"/>
  <c r="G8" i="55"/>
  <c r="B8" i="55"/>
  <c r="H4" i="55"/>
  <c r="C4" i="55"/>
  <c r="E4" i="55" s="1"/>
  <c r="I64" i="54"/>
  <c r="D64" i="54"/>
  <c r="I63" i="54"/>
  <c r="D63" i="54"/>
  <c r="I62" i="54"/>
  <c r="D62" i="54"/>
  <c r="H61" i="54"/>
  <c r="I61" i="54" s="1"/>
  <c r="C61" i="54"/>
  <c r="D61" i="54" s="1"/>
  <c r="H60" i="54"/>
  <c r="I60" i="54" s="1"/>
  <c r="D60" i="54"/>
  <c r="H59" i="54"/>
  <c r="I59" i="54" s="1"/>
  <c r="J59" i="54" s="1"/>
  <c r="C59" i="54"/>
  <c r="D59" i="54" s="1"/>
  <c r="H58" i="54"/>
  <c r="I58" i="54" s="1"/>
  <c r="J58" i="54" s="1"/>
  <c r="C58" i="54"/>
  <c r="D58" i="54" s="1"/>
  <c r="I57" i="54"/>
  <c r="J57" i="54" s="1"/>
  <c r="D57" i="54"/>
  <c r="H56" i="54"/>
  <c r="I56" i="54" s="1"/>
  <c r="J56" i="54" s="1"/>
  <c r="C56" i="54"/>
  <c r="D56" i="54" s="1"/>
  <c r="H55" i="54"/>
  <c r="I55" i="54" s="1"/>
  <c r="J55" i="54" s="1"/>
  <c r="C55" i="54"/>
  <c r="D55" i="54" s="1"/>
  <c r="H54" i="54"/>
  <c r="I54" i="54" s="1"/>
  <c r="J54" i="54" s="1"/>
  <c r="C54" i="54"/>
  <c r="D54" i="54" s="1"/>
  <c r="H53" i="54"/>
  <c r="I53" i="54" s="1"/>
  <c r="J53" i="54" s="1"/>
  <c r="D53" i="54"/>
  <c r="C53" i="54"/>
  <c r="I52" i="54"/>
  <c r="J52" i="54" s="1"/>
  <c r="D52" i="54"/>
  <c r="H51" i="54"/>
  <c r="I51" i="54" s="1"/>
  <c r="J51" i="54" s="1"/>
  <c r="C51" i="54"/>
  <c r="D51" i="54" s="1"/>
  <c r="H50" i="54"/>
  <c r="I50" i="54" s="1"/>
  <c r="J50" i="54" s="1"/>
  <c r="C50" i="54"/>
  <c r="D50" i="54" s="1"/>
  <c r="H49" i="54"/>
  <c r="I49" i="54" s="1"/>
  <c r="J49" i="54" s="1"/>
  <c r="C49" i="54"/>
  <c r="D49" i="54" s="1"/>
  <c r="H48" i="54"/>
  <c r="I48" i="54" s="1"/>
  <c r="J48" i="54" s="1"/>
  <c r="C48" i="54"/>
  <c r="D48" i="54" s="1"/>
  <c r="H47" i="54"/>
  <c r="I47" i="54" s="1"/>
  <c r="J47" i="54" s="1"/>
  <c r="C47" i="54"/>
  <c r="D47" i="54" s="1"/>
  <c r="I46" i="54"/>
  <c r="J46" i="54" s="1"/>
  <c r="D46" i="54"/>
  <c r="H45" i="54"/>
  <c r="I45" i="54" s="1"/>
  <c r="J45" i="54" s="1"/>
  <c r="C45" i="54"/>
  <c r="D45" i="54" s="1"/>
  <c r="I44" i="54"/>
  <c r="J44" i="54" s="1"/>
  <c r="D44" i="54"/>
  <c r="H43" i="54"/>
  <c r="I43" i="54" s="1"/>
  <c r="J43" i="54" s="1"/>
  <c r="C43" i="54"/>
  <c r="D43" i="54" s="1"/>
  <c r="H42" i="54"/>
  <c r="I42" i="54" s="1"/>
  <c r="J42" i="54" s="1"/>
  <c r="C42" i="54"/>
  <c r="D42" i="54" s="1"/>
  <c r="H41" i="54"/>
  <c r="I41" i="54" s="1"/>
  <c r="J41" i="54" s="1"/>
  <c r="C41" i="54"/>
  <c r="D41" i="54" s="1"/>
  <c r="H40" i="54"/>
  <c r="I40" i="54" s="1"/>
  <c r="J40" i="54" s="1"/>
  <c r="C40" i="54"/>
  <c r="D40" i="54" s="1"/>
  <c r="H39" i="54"/>
  <c r="I39" i="54" s="1"/>
  <c r="J39" i="54" s="1"/>
  <c r="C39" i="54"/>
  <c r="D39" i="54" s="1"/>
  <c r="H38" i="54"/>
  <c r="I38" i="54" s="1"/>
  <c r="J38" i="54" s="1"/>
  <c r="C38" i="54"/>
  <c r="D38" i="54" s="1"/>
  <c r="H37" i="54"/>
  <c r="I37" i="54" s="1"/>
  <c r="J37" i="54" s="1"/>
  <c r="C37" i="54"/>
  <c r="D37" i="54" s="1"/>
  <c r="H36" i="54"/>
  <c r="I36" i="54" s="1"/>
  <c r="J36" i="54" s="1"/>
  <c r="C36" i="54"/>
  <c r="D36" i="54" s="1"/>
  <c r="H35" i="54"/>
  <c r="I35" i="54" s="1"/>
  <c r="J35" i="54" s="1"/>
  <c r="C35" i="54"/>
  <c r="D35" i="54" s="1"/>
  <c r="H34" i="54"/>
  <c r="I34" i="54" s="1"/>
  <c r="J34" i="54" s="1"/>
  <c r="C34" i="54"/>
  <c r="D34" i="54" s="1"/>
  <c r="H33" i="54"/>
  <c r="I33" i="54" s="1"/>
  <c r="J33" i="54" s="1"/>
  <c r="C33" i="54"/>
  <c r="D33" i="54" s="1"/>
  <c r="I32" i="54"/>
  <c r="J32" i="54" s="1"/>
  <c r="H32" i="54"/>
  <c r="C32" i="54"/>
  <c r="D32" i="54" s="1"/>
  <c r="H31" i="54"/>
  <c r="I31" i="54" s="1"/>
  <c r="J31" i="54" s="1"/>
  <c r="C31" i="54"/>
  <c r="D31" i="54" s="1"/>
  <c r="H30" i="54"/>
  <c r="I30" i="54" s="1"/>
  <c r="J30" i="54" s="1"/>
  <c r="C30" i="54"/>
  <c r="D30" i="54" s="1"/>
  <c r="H29" i="54"/>
  <c r="I29" i="54" s="1"/>
  <c r="J29" i="54" s="1"/>
  <c r="C29" i="54"/>
  <c r="D29" i="54" s="1"/>
  <c r="I28" i="54"/>
  <c r="J28" i="54" s="1"/>
  <c r="C28" i="54"/>
  <c r="D28" i="54" s="1"/>
  <c r="H27" i="54"/>
  <c r="I27" i="54" s="1"/>
  <c r="J27" i="54" s="1"/>
  <c r="C27" i="54"/>
  <c r="D27" i="54" s="1"/>
  <c r="H26" i="54"/>
  <c r="I26" i="54" s="1"/>
  <c r="J26" i="54" s="1"/>
  <c r="C26" i="54"/>
  <c r="D26" i="54" s="1"/>
  <c r="H25" i="54"/>
  <c r="I25" i="54" s="1"/>
  <c r="J25" i="54" s="1"/>
  <c r="C25" i="54"/>
  <c r="D25" i="54" s="1"/>
  <c r="I24" i="54"/>
  <c r="J24" i="54" s="1"/>
  <c r="D24" i="54"/>
  <c r="I23" i="54"/>
  <c r="J23" i="54" s="1"/>
  <c r="H23" i="54"/>
  <c r="C23" i="54"/>
  <c r="D23" i="54" s="1"/>
  <c r="H22" i="54"/>
  <c r="I22" i="54" s="1"/>
  <c r="J22" i="54" s="1"/>
  <c r="C22" i="54"/>
  <c r="D22" i="54" s="1"/>
  <c r="H21" i="54"/>
  <c r="I21" i="54" s="1"/>
  <c r="J21" i="54" s="1"/>
  <c r="C21" i="54"/>
  <c r="D21" i="54" s="1"/>
  <c r="H20" i="54"/>
  <c r="I20" i="54" s="1"/>
  <c r="J20" i="54" s="1"/>
  <c r="C20" i="54"/>
  <c r="D20" i="54" s="1"/>
  <c r="H19" i="54"/>
  <c r="I19" i="54" s="1"/>
  <c r="J19" i="54" s="1"/>
  <c r="C19" i="54"/>
  <c r="D19" i="54" s="1"/>
  <c r="H18" i="54"/>
  <c r="I18" i="54" s="1"/>
  <c r="J18" i="54" s="1"/>
  <c r="C18" i="54"/>
  <c r="D18" i="54" s="1"/>
  <c r="I17" i="54"/>
  <c r="J17" i="54" s="1"/>
  <c r="D17" i="54"/>
  <c r="I16" i="54"/>
  <c r="J16" i="54" s="1"/>
  <c r="D16" i="54"/>
  <c r="I15" i="54"/>
  <c r="J15" i="54" s="1"/>
  <c r="D15" i="54"/>
  <c r="H14" i="54"/>
  <c r="I14" i="54" s="1"/>
  <c r="J14" i="54" s="1"/>
  <c r="C14" i="54"/>
  <c r="D14" i="54" s="1"/>
  <c r="H13" i="54"/>
  <c r="I13" i="54" s="1"/>
  <c r="J13" i="54" s="1"/>
  <c r="C13" i="54"/>
  <c r="D13" i="54" s="1"/>
  <c r="H12" i="54"/>
  <c r="I12" i="54" s="1"/>
  <c r="J12" i="54" s="1"/>
  <c r="C12" i="54"/>
  <c r="D12" i="54" s="1"/>
  <c r="H11" i="54"/>
  <c r="I11" i="54" s="1"/>
  <c r="J11" i="54" s="1"/>
  <c r="C11" i="54"/>
  <c r="D11" i="54" s="1"/>
  <c r="H10" i="54"/>
  <c r="I10" i="54" s="1"/>
  <c r="J10" i="54" s="1"/>
  <c r="C10" i="54"/>
  <c r="D10" i="54" s="1"/>
  <c r="H9" i="54"/>
  <c r="I9" i="54" s="1"/>
  <c r="D9" i="54"/>
  <c r="G8" i="54"/>
  <c r="B8" i="54"/>
  <c r="H4" i="54"/>
  <c r="C4" i="54"/>
  <c r="E4" i="54" s="1"/>
  <c r="E9" i="54" s="1"/>
  <c r="E20" i="54" l="1"/>
  <c r="E18" i="55"/>
  <c r="E21" i="55"/>
  <c r="C8" i="54"/>
  <c r="E16" i="55"/>
  <c r="E11" i="54"/>
  <c r="E32" i="54"/>
  <c r="E26" i="54"/>
  <c r="E23" i="54"/>
  <c r="E36" i="54"/>
  <c r="E25" i="54"/>
  <c r="E34" i="54"/>
  <c r="E43" i="54"/>
  <c r="E56" i="54"/>
  <c r="E40" i="54"/>
  <c r="E47" i="54"/>
  <c r="E50" i="54"/>
  <c r="E53" i="54"/>
  <c r="E28" i="54"/>
  <c r="E37" i="54"/>
  <c r="E35" i="54"/>
  <c r="H8" i="55"/>
  <c r="E29" i="54"/>
  <c r="E38" i="54"/>
  <c r="E48" i="54"/>
  <c r="E14" i="54"/>
  <c r="E12" i="54"/>
  <c r="E18" i="54"/>
  <c r="E41" i="54"/>
  <c r="E51" i="54"/>
  <c r="E54" i="54"/>
  <c r="E31" i="55"/>
  <c r="E37" i="55"/>
  <c r="E21" i="54"/>
  <c r="E45" i="54"/>
  <c r="E49" i="54"/>
  <c r="E58" i="54"/>
  <c r="C8" i="55"/>
  <c r="E40" i="55"/>
  <c r="E43" i="55"/>
  <c r="E46" i="55"/>
  <c r="E39" i="54"/>
  <c r="E13" i="54"/>
  <c r="E33" i="54"/>
  <c r="E42" i="54"/>
  <c r="E52" i="54"/>
  <c r="E55" i="54"/>
  <c r="E30" i="54"/>
  <c r="E16" i="54"/>
  <c r="E19" i="54"/>
  <c r="E22" i="54"/>
  <c r="E27" i="54"/>
  <c r="E31" i="54"/>
  <c r="E46" i="54"/>
  <c r="E59" i="54"/>
  <c r="I8" i="55"/>
  <c r="J9" i="55"/>
  <c r="J8" i="55" s="1"/>
  <c r="E58" i="55"/>
  <c r="E48" i="55"/>
  <c r="E11" i="55"/>
  <c r="E9" i="55"/>
  <c r="E55" i="55"/>
  <c r="E45" i="55"/>
  <c r="E38" i="55"/>
  <c r="E20" i="55"/>
  <c r="E52" i="55"/>
  <c r="E24" i="55"/>
  <c r="E17" i="55"/>
  <c r="E15" i="55"/>
  <c r="E42" i="55"/>
  <c r="E34" i="55"/>
  <c r="E30" i="55"/>
  <c r="E13" i="55"/>
  <c r="E23" i="55"/>
  <c r="E26" i="55"/>
  <c r="E29" i="55"/>
  <c r="E49" i="55"/>
  <c r="E32" i="55"/>
  <c r="E35" i="55"/>
  <c r="E41" i="55"/>
  <c r="E14" i="55"/>
  <c r="E27" i="55"/>
  <c r="E44" i="55"/>
  <c r="E47" i="55"/>
  <c r="E53" i="55"/>
  <c r="E56" i="55"/>
  <c r="E59" i="55"/>
  <c r="E33" i="55"/>
  <c r="E50" i="55"/>
  <c r="E36" i="55"/>
  <c r="E39" i="55"/>
  <c r="E54" i="55"/>
  <c r="E12" i="55"/>
  <c r="E19" i="55"/>
  <c r="E25" i="55"/>
  <c r="E28" i="55"/>
  <c r="E51" i="55"/>
  <c r="E57" i="55"/>
  <c r="D10" i="55"/>
  <c r="D8" i="54"/>
  <c r="I8" i="54"/>
  <c r="J9" i="54"/>
  <c r="J8" i="54" s="1"/>
  <c r="E15" i="54"/>
  <c r="E17" i="54"/>
  <c r="E24" i="54"/>
  <c r="H8" i="54"/>
  <c r="E10" i="54"/>
  <c r="E44" i="54"/>
  <c r="E57" i="54"/>
  <c r="E8" i="54" l="1"/>
  <c r="D8" i="55"/>
  <c r="E10" i="55"/>
  <c r="E8" i="55" s="1"/>
  <c r="I64" i="53"/>
  <c r="D64" i="53"/>
  <c r="I63" i="53"/>
  <c r="D63" i="53"/>
  <c r="I62" i="53"/>
  <c r="D62" i="53"/>
  <c r="H61" i="53"/>
  <c r="I61" i="53" s="1"/>
  <c r="C61" i="53"/>
  <c r="D61" i="53" s="1"/>
  <c r="H60" i="53"/>
  <c r="I60" i="53" s="1"/>
  <c r="D60" i="53"/>
  <c r="H59" i="53"/>
  <c r="I59" i="53" s="1"/>
  <c r="J59" i="53" s="1"/>
  <c r="C59" i="53"/>
  <c r="D59" i="53" s="1"/>
  <c r="H58" i="53"/>
  <c r="I58" i="53" s="1"/>
  <c r="J58" i="53" s="1"/>
  <c r="C58" i="53"/>
  <c r="D58" i="53" s="1"/>
  <c r="I57" i="53"/>
  <c r="J57" i="53" s="1"/>
  <c r="D57" i="53"/>
  <c r="H56" i="53"/>
  <c r="I56" i="53" s="1"/>
  <c r="J56" i="53" s="1"/>
  <c r="C56" i="53"/>
  <c r="D56" i="53" s="1"/>
  <c r="H55" i="53"/>
  <c r="I55" i="53" s="1"/>
  <c r="J55" i="53" s="1"/>
  <c r="C55" i="53"/>
  <c r="D55" i="53" s="1"/>
  <c r="H54" i="53"/>
  <c r="I54" i="53" s="1"/>
  <c r="J54" i="53" s="1"/>
  <c r="C54" i="53"/>
  <c r="D54" i="53" s="1"/>
  <c r="H53" i="53"/>
  <c r="I53" i="53" s="1"/>
  <c r="J53" i="53" s="1"/>
  <c r="C53" i="53"/>
  <c r="D53" i="53" s="1"/>
  <c r="I52" i="53"/>
  <c r="J52" i="53" s="1"/>
  <c r="D52" i="53"/>
  <c r="H51" i="53"/>
  <c r="I51" i="53" s="1"/>
  <c r="J51" i="53" s="1"/>
  <c r="C51" i="53"/>
  <c r="D51" i="53" s="1"/>
  <c r="H50" i="53"/>
  <c r="I50" i="53" s="1"/>
  <c r="J50" i="53" s="1"/>
  <c r="C50" i="53"/>
  <c r="D50" i="53" s="1"/>
  <c r="H49" i="53"/>
  <c r="I49" i="53" s="1"/>
  <c r="J49" i="53" s="1"/>
  <c r="C49" i="53"/>
  <c r="D49" i="53" s="1"/>
  <c r="H48" i="53"/>
  <c r="I48" i="53" s="1"/>
  <c r="J48" i="53" s="1"/>
  <c r="C48" i="53"/>
  <c r="D48" i="53" s="1"/>
  <c r="H47" i="53"/>
  <c r="I47" i="53" s="1"/>
  <c r="J47" i="53" s="1"/>
  <c r="C47" i="53"/>
  <c r="D47" i="53" s="1"/>
  <c r="I46" i="53"/>
  <c r="J46" i="53" s="1"/>
  <c r="D46" i="53"/>
  <c r="H45" i="53"/>
  <c r="I45" i="53" s="1"/>
  <c r="J45" i="53" s="1"/>
  <c r="C45" i="53"/>
  <c r="D45" i="53" s="1"/>
  <c r="I44" i="53"/>
  <c r="J44" i="53" s="1"/>
  <c r="D44" i="53"/>
  <c r="H43" i="53"/>
  <c r="I43" i="53" s="1"/>
  <c r="J43" i="53" s="1"/>
  <c r="C43" i="53"/>
  <c r="D43" i="53" s="1"/>
  <c r="H42" i="53"/>
  <c r="I42" i="53" s="1"/>
  <c r="J42" i="53" s="1"/>
  <c r="C42" i="53"/>
  <c r="D42" i="53" s="1"/>
  <c r="H41" i="53"/>
  <c r="I41" i="53" s="1"/>
  <c r="J41" i="53" s="1"/>
  <c r="C41" i="53"/>
  <c r="D41" i="53" s="1"/>
  <c r="H40" i="53"/>
  <c r="I40" i="53" s="1"/>
  <c r="J40" i="53" s="1"/>
  <c r="C40" i="53"/>
  <c r="D40" i="53" s="1"/>
  <c r="H39" i="53"/>
  <c r="I39" i="53" s="1"/>
  <c r="J39" i="53" s="1"/>
  <c r="C39" i="53"/>
  <c r="D39" i="53" s="1"/>
  <c r="H38" i="53"/>
  <c r="I38" i="53" s="1"/>
  <c r="J38" i="53" s="1"/>
  <c r="C38" i="53"/>
  <c r="D38" i="53" s="1"/>
  <c r="H37" i="53"/>
  <c r="I37" i="53" s="1"/>
  <c r="J37" i="53" s="1"/>
  <c r="C37" i="53"/>
  <c r="D37" i="53" s="1"/>
  <c r="H36" i="53"/>
  <c r="I36" i="53" s="1"/>
  <c r="J36" i="53" s="1"/>
  <c r="C36" i="53"/>
  <c r="D36" i="53" s="1"/>
  <c r="H35" i="53"/>
  <c r="I35" i="53" s="1"/>
  <c r="J35" i="53" s="1"/>
  <c r="C35" i="53"/>
  <c r="D35" i="53" s="1"/>
  <c r="H34" i="53"/>
  <c r="I34" i="53" s="1"/>
  <c r="J34" i="53" s="1"/>
  <c r="C34" i="53"/>
  <c r="D34" i="53" s="1"/>
  <c r="H33" i="53"/>
  <c r="I33" i="53" s="1"/>
  <c r="J33" i="53" s="1"/>
  <c r="C33" i="53"/>
  <c r="D33" i="53" s="1"/>
  <c r="H32" i="53"/>
  <c r="I32" i="53" s="1"/>
  <c r="J32" i="53" s="1"/>
  <c r="C32" i="53"/>
  <c r="D32" i="53" s="1"/>
  <c r="H31" i="53"/>
  <c r="I31" i="53" s="1"/>
  <c r="J31" i="53" s="1"/>
  <c r="C31" i="53"/>
  <c r="D31" i="53" s="1"/>
  <c r="H30" i="53"/>
  <c r="I30" i="53" s="1"/>
  <c r="J30" i="53" s="1"/>
  <c r="C30" i="53"/>
  <c r="D30" i="53" s="1"/>
  <c r="H29" i="53"/>
  <c r="I29" i="53" s="1"/>
  <c r="J29" i="53" s="1"/>
  <c r="C29" i="53"/>
  <c r="D29" i="53" s="1"/>
  <c r="I28" i="53"/>
  <c r="J28" i="53" s="1"/>
  <c r="C28" i="53"/>
  <c r="D28" i="53" s="1"/>
  <c r="H27" i="53"/>
  <c r="I27" i="53" s="1"/>
  <c r="J27" i="53" s="1"/>
  <c r="C27" i="53"/>
  <c r="D27" i="53" s="1"/>
  <c r="H26" i="53"/>
  <c r="I26" i="53" s="1"/>
  <c r="J26" i="53" s="1"/>
  <c r="C26" i="53"/>
  <c r="D26" i="53" s="1"/>
  <c r="H25" i="53"/>
  <c r="I25" i="53" s="1"/>
  <c r="J25" i="53" s="1"/>
  <c r="C25" i="53"/>
  <c r="D25" i="53" s="1"/>
  <c r="I24" i="53"/>
  <c r="J24" i="53" s="1"/>
  <c r="D24" i="53"/>
  <c r="H23" i="53"/>
  <c r="I23" i="53" s="1"/>
  <c r="J23" i="53" s="1"/>
  <c r="C23" i="53"/>
  <c r="D23" i="53" s="1"/>
  <c r="H22" i="53"/>
  <c r="I22" i="53" s="1"/>
  <c r="J22" i="53" s="1"/>
  <c r="C22" i="53"/>
  <c r="D22" i="53" s="1"/>
  <c r="H21" i="53"/>
  <c r="I21" i="53" s="1"/>
  <c r="J21" i="53" s="1"/>
  <c r="C21" i="53"/>
  <c r="D21" i="53" s="1"/>
  <c r="H20" i="53"/>
  <c r="I20" i="53" s="1"/>
  <c r="J20" i="53" s="1"/>
  <c r="C20" i="53"/>
  <c r="D20" i="53" s="1"/>
  <c r="H19" i="53"/>
  <c r="I19" i="53" s="1"/>
  <c r="J19" i="53" s="1"/>
  <c r="C19" i="53"/>
  <c r="D19" i="53" s="1"/>
  <c r="H18" i="53"/>
  <c r="I18" i="53" s="1"/>
  <c r="J18" i="53" s="1"/>
  <c r="C18" i="53"/>
  <c r="D18" i="53" s="1"/>
  <c r="I17" i="53"/>
  <c r="J17" i="53" s="1"/>
  <c r="D17" i="53"/>
  <c r="I16" i="53"/>
  <c r="J16" i="53" s="1"/>
  <c r="D16" i="53"/>
  <c r="I15" i="53"/>
  <c r="J15" i="53" s="1"/>
  <c r="D15" i="53"/>
  <c r="H14" i="53"/>
  <c r="I14" i="53" s="1"/>
  <c r="J14" i="53" s="1"/>
  <c r="C14" i="53"/>
  <c r="D14" i="53" s="1"/>
  <c r="H13" i="53"/>
  <c r="I13" i="53" s="1"/>
  <c r="J13" i="53" s="1"/>
  <c r="C13" i="53"/>
  <c r="H12" i="53"/>
  <c r="I12" i="53" s="1"/>
  <c r="J12" i="53" s="1"/>
  <c r="C12" i="53"/>
  <c r="D12" i="53" s="1"/>
  <c r="H11" i="53"/>
  <c r="I11" i="53" s="1"/>
  <c r="J11" i="53" s="1"/>
  <c r="C11" i="53"/>
  <c r="D11" i="53" s="1"/>
  <c r="H10" i="53"/>
  <c r="I10" i="53" s="1"/>
  <c r="J10" i="53" s="1"/>
  <c r="D10" i="53"/>
  <c r="C10" i="53"/>
  <c r="H9" i="53"/>
  <c r="I9" i="53" s="1"/>
  <c r="D9" i="53"/>
  <c r="G8" i="53"/>
  <c r="B8" i="53"/>
  <c r="H4" i="53"/>
  <c r="C4" i="53"/>
  <c r="E4" i="53" s="1"/>
  <c r="E24" i="53" l="1"/>
  <c r="E11" i="53"/>
  <c r="E26" i="53"/>
  <c r="E23" i="53"/>
  <c r="E27" i="53"/>
  <c r="E10" i="53"/>
  <c r="E29" i="53"/>
  <c r="E39" i="53"/>
  <c r="E42" i="53"/>
  <c r="E56" i="53"/>
  <c r="E36" i="53"/>
  <c r="E46" i="53"/>
  <c r="E53" i="53"/>
  <c r="E30" i="53"/>
  <c r="E33" i="53"/>
  <c r="E43" i="53"/>
  <c r="E50" i="53"/>
  <c r="E40" i="53"/>
  <c r="E47" i="53"/>
  <c r="E57" i="53"/>
  <c r="E18" i="53"/>
  <c r="E21" i="53"/>
  <c r="E31" i="53"/>
  <c r="E34" i="53"/>
  <c r="E37" i="53"/>
  <c r="E54" i="53"/>
  <c r="E20" i="53"/>
  <c r="E12" i="53"/>
  <c r="E44" i="53"/>
  <c r="E48" i="53"/>
  <c r="E51" i="53"/>
  <c r="E58" i="53"/>
  <c r="E22" i="53"/>
  <c r="E25" i="53"/>
  <c r="E28" i="53"/>
  <c r="E35" i="53"/>
  <c r="E38" i="53"/>
  <c r="E41" i="53"/>
  <c r="E55" i="53"/>
  <c r="E14" i="53"/>
  <c r="C8" i="53"/>
  <c r="E16" i="53"/>
  <c r="E19" i="53"/>
  <c r="E32" i="53"/>
  <c r="E45" i="53"/>
  <c r="E49" i="53"/>
  <c r="E52" i="53"/>
  <c r="E59" i="53"/>
  <c r="I8" i="53"/>
  <c r="J9" i="53"/>
  <c r="J8" i="53" s="1"/>
  <c r="D13" i="53"/>
  <c r="E13" i="53" s="1"/>
  <c r="E15" i="53"/>
  <c r="E17" i="53"/>
  <c r="H8" i="53"/>
  <c r="E9" i="53"/>
  <c r="D8" i="53" l="1"/>
  <c r="E8" i="53"/>
  <c r="I64" i="52" l="1"/>
  <c r="D64" i="52"/>
  <c r="I63" i="52"/>
  <c r="D63" i="52"/>
  <c r="I62" i="52"/>
  <c r="D62" i="52"/>
  <c r="H61" i="52"/>
  <c r="I61" i="52" s="1"/>
  <c r="C61" i="52"/>
  <c r="D61" i="52" s="1"/>
  <c r="H60" i="52"/>
  <c r="I60" i="52" s="1"/>
  <c r="D60" i="52"/>
  <c r="H59" i="52"/>
  <c r="I59" i="52" s="1"/>
  <c r="J59" i="52" s="1"/>
  <c r="C59" i="52"/>
  <c r="D59" i="52" s="1"/>
  <c r="H58" i="52"/>
  <c r="I58" i="52" s="1"/>
  <c r="J58" i="52" s="1"/>
  <c r="C58" i="52"/>
  <c r="D58" i="52" s="1"/>
  <c r="I57" i="52"/>
  <c r="J57" i="52" s="1"/>
  <c r="D57" i="52"/>
  <c r="H56" i="52"/>
  <c r="I56" i="52" s="1"/>
  <c r="J56" i="52" s="1"/>
  <c r="C56" i="52"/>
  <c r="D56" i="52" s="1"/>
  <c r="H55" i="52"/>
  <c r="I55" i="52" s="1"/>
  <c r="J55" i="52" s="1"/>
  <c r="C55" i="52"/>
  <c r="D55" i="52" s="1"/>
  <c r="H54" i="52"/>
  <c r="I54" i="52" s="1"/>
  <c r="J54" i="52" s="1"/>
  <c r="C54" i="52"/>
  <c r="D54" i="52" s="1"/>
  <c r="H53" i="52"/>
  <c r="I53" i="52" s="1"/>
  <c r="J53" i="52" s="1"/>
  <c r="C53" i="52"/>
  <c r="D53" i="52" s="1"/>
  <c r="I52" i="52"/>
  <c r="J52" i="52" s="1"/>
  <c r="D52" i="52"/>
  <c r="H51" i="52"/>
  <c r="I51" i="52" s="1"/>
  <c r="J51" i="52" s="1"/>
  <c r="C51" i="52"/>
  <c r="D51" i="52" s="1"/>
  <c r="H50" i="52"/>
  <c r="I50" i="52" s="1"/>
  <c r="J50" i="52" s="1"/>
  <c r="C50" i="52"/>
  <c r="D50" i="52" s="1"/>
  <c r="H49" i="52"/>
  <c r="I49" i="52" s="1"/>
  <c r="J49" i="52" s="1"/>
  <c r="C49" i="52"/>
  <c r="D49" i="52" s="1"/>
  <c r="H48" i="52"/>
  <c r="I48" i="52" s="1"/>
  <c r="J48" i="52" s="1"/>
  <c r="C48" i="52"/>
  <c r="D48" i="52" s="1"/>
  <c r="H47" i="52"/>
  <c r="I47" i="52" s="1"/>
  <c r="J47" i="52" s="1"/>
  <c r="C47" i="52"/>
  <c r="D47" i="52" s="1"/>
  <c r="I46" i="52"/>
  <c r="J46" i="52" s="1"/>
  <c r="D46" i="52"/>
  <c r="H45" i="52"/>
  <c r="I45" i="52" s="1"/>
  <c r="J45" i="52" s="1"/>
  <c r="C45" i="52"/>
  <c r="D45" i="52" s="1"/>
  <c r="I44" i="52"/>
  <c r="J44" i="52" s="1"/>
  <c r="D44" i="52"/>
  <c r="H43" i="52"/>
  <c r="I43" i="52" s="1"/>
  <c r="J43" i="52" s="1"/>
  <c r="C43" i="52"/>
  <c r="D43" i="52" s="1"/>
  <c r="H42" i="52"/>
  <c r="I42" i="52" s="1"/>
  <c r="J42" i="52" s="1"/>
  <c r="C42" i="52"/>
  <c r="D42" i="52" s="1"/>
  <c r="H41" i="52"/>
  <c r="I41" i="52" s="1"/>
  <c r="J41" i="52" s="1"/>
  <c r="C41" i="52"/>
  <c r="D41" i="52" s="1"/>
  <c r="H40" i="52"/>
  <c r="I40" i="52" s="1"/>
  <c r="J40" i="52" s="1"/>
  <c r="C40" i="52"/>
  <c r="D40" i="52" s="1"/>
  <c r="H39" i="52"/>
  <c r="I39" i="52" s="1"/>
  <c r="J39" i="52" s="1"/>
  <c r="C39" i="52"/>
  <c r="D39" i="52" s="1"/>
  <c r="H38" i="52"/>
  <c r="I38" i="52" s="1"/>
  <c r="J38" i="52" s="1"/>
  <c r="C38" i="52"/>
  <c r="D38" i="52" s="1"/>
  <c r="H37" i="52"/>
  <c r="I37" i="52" s="1"/>
  <c r="J37" i="52" s="1"/>
  <c r="C37" i="52"/>
  <c r="D37" i="52" s="1"/>
  <c r="H36" i="52"/>
  <c r="I36" i="52" s="1"/>
  <c r="J36" i="52" s="1"/>
  <c r="C36" i="52"/>
  <c r="D36" i="52" s="1"/>
  <c r="H35" i="52"/>
  <c r="I35" i="52" s="1"/>
  <c r="J35" i="52" s="1"/>
  <c r="C35" i="52"/>
  <c r="D35" i="52" s="1"/>
  <c r="H34" i="52"/>
  <c r="I34" i="52" s="1"/>
  <c r="J34" i="52" s="1"/>
  <c r="C34" i="52"/>
  <c r="D34" i="52" s="1"/>
  <c r="H33" i="52"/>
  <c r="I33" i="52" s="1"/>
  <c r="J33" i="52" s="1"/>
  <c r="C33" i="52"/>
  <c r="D33" i="52" s="1"/>
  <c r="H32" i="52"/>
  <c r="I32" i="52" s="1"/>
  <c r="J32" i="52" s="1"/>
  <c r="C32" i="52"/>
  <c r="D32" i="52" s="1"/>
  <c r="H31" i="52"/>
  <c r="I31" i="52" s="1"/>
  <c r="J31" i="52" s="1"/>
  <c r="C31" i="52"/>
  <c r="D31" i="52" s="1"/>
  <c r="H30" i="52"/>
  <c r="I30" i="52" s="1"/>
  <c r="J30" i="52" s="1"/>
  <c r="C30" i="52"/>
  <c r="D30" i="52" s="1"/>
  <c r="H29" i="52"/>
  <c r="I29" i="52" s="1"/>
  <c r="J29" i="52" s="1"/>
  <c r="C29" i="52"/>
  <c r="D29" i="52" s="1"/>
  <c r="I28" i="52"/>
  <c r="J28" i="52" s="1"/>
  <c r="C28" i="52"/>
  <c r="D28" i="52" s="1"/>
  <c r="H27" i="52"/>
  <c r="I27" i="52" s="1"/>
  <c r="J27" i="52" s="1"/>
  <c r="C27" i="52"/>
  <c r="D27" i="52" s="1"/>
  <c r="H26" i="52"/>
  <c r="I26" i="52" s="1"/>
  <c r="J26" i="52" s="1"/>
  <c r="C26" i="52"/>
  <c r="D26" i="52" s="1"/>
  <c r="H25" i="52"/>
  <c r="I25" i="52" s="1"/>
  <c r="J25" i="52" s="1"/>
  <c r="C25" i="52"/>
  <c r="D25" i="52" s="1"/>
  <c r="I24" i="52"/>
  <c r="J24" i="52" s="1"/>
  <c r="D24" i="52"/>
  <c r="H23" i="52"/>
  <c r="I23" i="52" s="1"/>
  <c r="J23" i="52" s="1"/>
  <c r="C23" i="52"/>
  <c r="D23" i="52" s="1"/>
  <c r="H22" i="52"/>
  <c r="I22" i="52" s="1"/>
  <c r="J22" i="52" s="1"/>
  <c r="C22" i="52"/>
  <c r="D22" i="52" s="1"/>
  <c r="H21" i="52"/>
  <c r="I21" i="52" s="1"/>
  <c r="J21" i="52" s="1"/>
  <c r="C21" i="52"/>
  <c r="D21" i="52" s="1"/>
  <c r="H20" i="52"/>
  <c r="I20" i="52" s="1"/>
  <c r="J20" i="52" s="1"/>
  <c r="C20" i="52"/>
  <c r="D20" i="52" s="1"/>
  <c r="H19" i="52"/>
  <c r="I19" i="52" s="1"/>
  <c r="J19" i="52" s="1"/>
  <c r="C19" i="52"/>
  <c r="D19" i="52" s="1"/>
  <c r="H18" i="52"/>
  <c r="I18" i="52" s="1"/>
  <c r="J18" i="52" s="1"/>
  <c r="C18" i="52"/>
  <c r="D18" i="52" s="1"/>
  <c r="I17" i="52"/>
  <c r="J17" i="52" s="1"/>
  <c r="D17" i="52"/>
  <c r="I16" i="52"/>
  <c r="J16" i="52" s="1"/>
  <c r="D16" i="52"/>
  <c r="I15" i="52"/>
  <c r="J15" i="52" s="1"/>
  <c r="D15" i="52"/>
  <c r="H14" i="52"/>
  <c r="I14" i="52" s="1"/>
  <c r="J14" i="52" s="1"/>
  <c r="C14" i="52"/>
  <c r="D14" i="52" s="1"/>
  <c r="H13" i="52"/>
  <c r="I13" i="52" s="1"/>
  <c r="J13" i="52" s="1"/>
  <c r="C13" i="52"/>
  <c r="D13" i="52" s="1"/>
  <c r="H12" i="52"/>
  <c r="I12" i="52" s="1"/>
  <c r="J12" i="52" s="1"/>
  <c r="C12" i="52"/>
  <c r="D12" i="52" s="1"/>
  <c r="H11" i="52"/>
  <c r="I11" i="52" s="1"/>
  <c r="J11" i="52" s="1"/>
  <c r="C11" i="52"/>
  <c r="D11" i="52" s="1"/>
  <c r="H10" i="52"/>
  <c r="I10" i="52" s="1"/>
  <c r="J10" i="52" s="1"/>
  <c r="C10" i="52"/>
  <c r="H9" i="52"/>
  <c r="I9" i="52" s="1"/>
  <c r="D9" i="52"/>
  <c r="G8" i="52"/>
  <c r="B8" i="52"/>
  <c r="H4" i="52"/>
  <c r="C4" i="52"/>
  <c r="E4" i="52" s="1"/>
  <c r="E52" i="52" s="1"/>
  <c r="E45" i="52" l="1"/>
  <c r="E27" i="52"/>
  <c r="E42" i="52"/>
  <c r="E23" i="52"/>
  <c r="E20" i="52"/>
  <c r="E58" i="52"/>
  <c r="E16" i="52"/>
  <c r="E9" i="52"/>
  <c r="E55" i="52"/>
  <c r="E48" i="52"/>
  <c r="E12" i="52"/>
  <c r="E13" i="52"/>
  <c r="E33" i="52"/>
  <c r="E36" i="52"/>
  <c r="E39" i="52"/>
  <c r="E46" i="52"/>
  <c r="C8" i="52"/>
  <c r="E15" i="52"/>
  <c r="E54" i="52"/>
  <c r="H8" i="52"/>
  <c r="E24" i="52"/>
  <c r="E30" i="52"/>
  <c r="E40" i="52"/>
  <c r="E43" i="52"/>
  <c r="E49" i="52"/>
  <c r="E59" i="52"/>
  <c r="E11" i="52"/>
  <c r="E14" i="52"/>
  <c r="E21" i="52"/>
  <c r="E28" i="52"/>
  <c r="E53" i="52"/>
  <c r="E56" i="52"/>
  <c r="E17" i="52"/>
  <c r="E37" i="52"/>
  <c r="E18" i="52"/>
  <c r="E25" i="52"/>
  <c r="E31" i="52"/>
  <c r="E34" i="52"/>
  <c r="E41" i="52"/>
  <c r="E44" i="52"/>
  <c r="E47" i="52"/>
  <c r="E50" i="52"/>
  <c r="E57" i="52"/>
  <c r="J9" i="52"/>
  <c r="J8" i="52" s="1"/>
  <c r="I8" i="52"/>
  <c r="E19" i="52"/>
  <c r="E22" i="52"/>
  <c r="E26" i="52"/>
  <c r="E29" i="52"/>
  <c r="E32" i="52"/>
  <c r="E35" i="52"/>
  <c r="E38" i="52"/>
  <c r="E51" i="52"/>
  <c r="D10" i="52"/>
  <c r="D8" i="52" l="1"/>
  <c r="E10" i="52"/>
  <c r="E8" i="52" s="1"/>
  <c r="C4" i="51" l="1"/>
  <c r="E4" i="51" s="1"/>
  <c r="H4" i="51"/>
  <c r="B8" i="51"/>
  <c r="G8" i="51"/>
  <c r="D9" i="51"/>
  <c r="H9" i="51"/>
  <c r="I9" i="51" s="1"/>
  <c r="C10" i="51"/>
  <c r="D10" i="51" s="1"/>
  <c r="H10" i="51"/>
  <c r="I10" i="51" s="1"/>
  <c r="J10" i="51" s="1"/>
  <c r="C11" i="51"/>
  <c r="H11" i="51"/>
  <c r="I11" i="51" s="1"/>
  <c r="J11" i="51" s="1"/>
  <c r="C12" i="51"/>
  <c r="D12" i="51" s="1"/>
  <c r="H12" i="51"/>
  <c r="I12" i="51" s="1"/>
  <c r="J12" i="51" s="1"/>
  <c r="C13" i="51"/>
  <c r="D13" i="51" s="1"/>
  <c r="H13" i="51"/>
  <c r="I13" i="51" s="1"/>
  <c r="J13" i="51" s="1"/>
  <c r="C14" i="51"/>
  <c r="D14" i="51" s="1"/>
  <c r="I14" i="51"/>
  <c r="J14" i="51"/>
  <c r="D15" i="51"/>
  <c r="I15" i="51"/>
  <c r="J15" i="51" s="1"/>
  <c r="D16" i="51"/>
  <c r="I16" i="51"/>
  <c r="J16" i="51" s="1"/>
  <c r="D17" i="51"/>
  <c r="I17" i="51"/>
  <c r="J17" i="51" s="1"/>
  <c r="C18" i="51"/>
  <c r="D18" i="51" s="1"/>
  <c r="E18" i="51" s="1"/>
  <c r="H18" i="51"/>
  <c r="I18" i="51" s="1"/>
  <c r="J18" i="51" s="1"/>
  <c r="C19" i="51"/>
  <c r="D19" i="51" s="1"/>
  <c r="H19" i="51"/>
  <c r="I19" i="51" s="1"/>
  <c r="J19" i="51" s="1"/>
  <c r="C20" i="51"/>
  <c r="D20" i="51"/>
  <c r="H20" i="51"/>
  <c r="I20" i="51" s="1"/>
  <c r="J20" i="51" s="1"/>
  <c r="C21" i="51"/>
  <c r="D21" i="51"/>
  <c r="H21" i="51"/>
  <c r="I21" i="51" s="1"/>
  <c r="J21" i="51" s="1"/>
  <c r="C22" i="51"/>
  <c r="D22" i="51" s="1"/>
  <c r="H22" i="51"/>
  <c r="I22" i="51"/>
  <c r="J22" i="51" s="1"/>
  <c r="C23" i="51"/>
  <c r="D23" i="51"/>
  <c r="H23" i="51"/>
  <c r="I23" i="51" s="1"/>
  <c r="J23" i="51" s="1"/>
  <c r="D24" i="51"/>
  <c r="I24" i="51"/>
  <c r="J24" i="51" s="1"/>
  <c r="C25" i="51"/>
  <c r="D25" i="51" s="1"/>
  <c r="E25" i="51" s="1"/>
  <c r="H25" i="51"/>
  <c r="I25" i="51"/>
  <c r="J25" i="51" s="1"/>
  <c r="C26" i="51"/>
  <c r="D26" i="51"/>
  <c r="E26" i="51" s="1"/>
  <c r="H26" i="51"/>
  <c r="I26" i="51" s="1"/>
  <c r="J26" i="51" s="1"/>
  <c r="C27" i="51"/>
  <c r="D27" i="51" s="1"/>
  <c r="H27" i="51"/>
  <c r="I27" i="51" s="1"/>
  <c r="J27" i="51" s="1"/>
  <c r="C28" i="51"/>
  <c r="D28" i="51"/>
  <c r="I28" i="51"/>
  <c r="J28" i="51" s="1"/>
  <c r="C29" i="51"/>
  <c r="D29" i="51" s="1"/>
  <c r="H29" i="51"/>
  <c r="I29" i="51"/>
  <c r="J29" i="51" s="1"/>
  <c r="C30" i="51"/>
  <c r="D30" i="51" s="1"/>
  <c r="H30" i="51"/>
  <c r="I30" i="51"/>
  <c r="J30" i="51" s="1"/>
  <c r="C31" i="51"/>
  <c r="D31" i="51"/>
  <c r="H31" i="51"/>
  <c r="I31" i="51"/>
  <c r="J31" i="51" s="1"/>
  <c r="C32" i="51"/>
  <c r="D32" i="51" s="1"/>
  <c r="H32" i="51"/>
  <c r="I32" i="51" s="1"/>
  <c r="J32" i="51" s="1"/>
  <c r="C33" i="51"/>
  <c r="D33" i="51" s="1"/>
  <c r="H33" i="51"/>
  <c r="I33" i="51"/>
  <c r="J33" i="51" s="1"/>
  <c r="D34" i="51"/>
  <c r="E34" i="51" s="1"/>
  <c r="H34" i="51"/>
  <c r="I34" i="51" s="1"/>
  <c r="J34" i="51" s="1"/>
  <c r="C35" i="51"/>
  <c r="D35" i="51" s="1"/>
  <c r="H35" i="51"/>
  <c r="I35" i="51" s="1"/>
  <c r="J35" i="51" s="1"/>
  <c r="C36" i="51"/>
  <c r="D36" i="51"/>
  <c r="H36" i="51"/>
  <c r="I36" i="51" s="1"/>
  <c r="J36" i="51" s="1"/>
  <c r="C37" i="51"/>
  <c r="D37" i="51"/>
  <c r="H37" i="51"/>
  <c r="I37" i="51" s="1"/>
  <c r="J37" i="51" s="1"/>
  <c r="C38" i="51"/>
  <c r="D38" i="51"/>
  <c r="H38" i="51"/>
  <c r="I38" i="51" s="1"/>
  <c r="J38" i="51" s="1"/>
  <c r="C39" i="51"/>
  <c r="D39" i="51" s="1"/>
  <c r="H39" i="51"/>
  <c r="I39" i="51" s="1"/>
  <c r="J39" i="51" s="1"/>
  <c r="C40" i="51"/>
  <c r="D40" i="51"/>
  <c r="H40" i="51"/>
  <c r="I40" i="51" s="1"/>
  <c r="J40" i="51" s="1"/>
  <c r="C41" i="51"/>
  <c r="D41" i="51" s="1"/>
  <c r="H41" i="51"/>
  <c r="I41" i="51" s="1"/>
  <c r="J41" i="51" s="1"/>
  <c r="C42" i="51"/>
  <c r="D42" i="51" s="1"/>
  <c r="H42" i="51"/>
  <c r="I42" i="51" s="1"/>
  <c r="J42" i="51" s="1"/>
  <c r="C43" i="51"/>
  <c r="D43" i="51" s="1"/>
  <c r="H43" i="51"/>
  <c r="I43" i="51" s="1"/>
  <c r="J43" i="51" s="1"/>
  <c r="D44" i="51"/>
  <c r="I44" i="51"/>
  <c r="J44" i="51" s="1"/>
  <c r="C45" i="51"/>
  <c r="D45" i="51" s="1"/>
  <c r="H45" i="51"/>
  <c r="I45" i="51"/>
  <c r="J45" i="51" s="1"/>
  <c r="D46" i="51"/>
  <c r="I46" i="51"/>
  <c r="J46" i="51" s="1"/>
  <c r="C47" i="51"/>
  <c r="D47" i="51"/>
  <c r="H47" i="51"/>
  <c r="I47" i="51" s="1"/>
  <c r="J47" i="51" s="1"/>
  <c r="C48" i="51"/>
  <c r="D48" i="51" s="1"/>
  <c r="H48" i="51"/>
  <c r="I48" i="51" s="1"/>
  <c r="J48" i="51" s="1"/>
  <c r="C49" i="51"/>
  <c r="D49" i="51"/>
  <c r="H49" i="51"/>
  <c r="I49" i="51" s="1"/>
  <c r="J49" i="51" s="1"/>
  <c r="C50" i="51"/>
  <c r="D50" i="51" s="1"/>
  <c r="H50" i="51"/>
  <c r="I50" i="51" s="1"/>
  <c r="J50" i="51" s="1"/>
  <c r="C51" i="51"/>
  <c r="D51" i="51"/>
  <c r="H51" i="51"/>
  <c r="I51" i="51" s="1"/>
  <c r="J51" i="51" s="1"/>
  <c r="D52" i="51"/>
  <c r="I52" i="51"/>
  <c r="J52" i="51" s="1"/>
  <c r="C53" i="51"/>
  <c r="D53" i="51" s="1"/>
  <c r="E53" i="51" s="1"/>
  <c r="H53" i="51"/>
  <c r="I53" i="51"/>
  <c r="J53" i="51"/>
  <c r="C54" i="51"/>
  <c r="D54" i="51" s="1"/>
  <c r="E54" i="51" s="1"/>
  <c r="H54" i="51"/>
  <c r="I54" i="51" s="1"/>
  <c r="J54" i="51" s="1"/>
  <c r="C55" i="51"/>
  <c r="D55" i="51" s="1"/>
  <c r="H55" i="51"/>
  <c r="I55" i="51" s="1"/>
  <c r="J55" i="51" s="1"/>
  <c r="C56" i="51"/>
  <c r="D56" i="51" s="1"/>
  <c r="H56" i="51"/>
  <c r="I56" i="51" s="1"/>
  <c r="J56" i="51" s="1"/>
  <c r="D57" i="51"/>
  <c r="I57" i="51"/>
  <c r="J57" i="51" s="1"/>
  <c r="C58" i="51"/>
  <c r="D58" i="51"/>
  <c r="H58" i="51"/>
  <c r="I58" i="51" s="1"/>
  <c r="J58" i="51" s="1"/>
  <c r="C59" i="51"/>
  <c r="D59" i="51"/>
  <c r="H59" i="51"/>
  <c r="I59" i="51" s="1"/>
  <c r="J59" i="51" s="1"/>
  <c r="D60" i="51"/>
  <c r="H60" i="51"/>
  <c r="I60" i="51" s="1"/>
  <c r="C61" i="51"/>
  <c r="D61" i="51"/>
  <c r="H61" i="51"/>
  <c r="I61" i="51" s="1"/>
  <c r="D62" i="51"/>
  <c r="I62" i="51"/>
  <c r="D63" i="51"/>
  <c r="I63" i="51"/>
  <c r="D64" i="51"/>
  <c r="I64" i="51"/>
  <c r="E32" i="51" l="1"/>
  <c r="E38" i="51"/>
  <c r="E20" i="51"/>
  <c r="E48" i="51"/>
  <c r="E14" i="51"/>
  <c r="E22" i="51"/>
  <c r="E30" i="51"/>
  <c r="E19" i="51"/>
  <c r="E55" i="51"/>
  <c r="E41" i="51"/>
  <c r="E50" i="51"/>
  <c r="E29" i="51"/>
  <c r="E36" i="51"/>
  <c r="E27" i="51"/>
  <c r="H8" i="51"/>
  <c r="C8" i="51"/>
  <c r="I8" i="51"/>
  <c r="E51" i="51"/>
  <c r="E47" i="51"/>
  <c r="E45" i="51"/>
  <c r="E40" i="51"/>
  <c r="E33" i="51"/>
  <c r="E58" i="51"/>
  <c r="E42" i="51"/>
  <c r="E37" i="51"/>
  <c r="E23" i="51"/>
  <c r="E13" i="51"/>
  <c r="E57" i="51"/>
  <c r="E59" i="51"/>
  <c r="E16" i="51"/>
  <c r="E15" i="51"/>
  <c r="E9" i="51"/>
  <c r="E46" i="51"/>
  <c r="E21" i="51"/>
  <c r="E28" i="51"/>
  <c r="E35" i="51"/>
  <c r="E39" i="51"/>
  <c r="E43" i="51"/>
  <c r="E56" i="51"/>
  <c r="E17" i="51"/>
  <c r="E31" i="51"/>
  <c r="E52" i="51"/>
  <c r="E10" i="51"/>
  <c r="E44" i="51"/>
  <c r="E49" i="51"/>
  <c r="E12" i="51"/>
  <c r="E24" i="51"/>
  <c r="D11" i="51"/>
  <c r="J9" i="51"/>
  <c r="J8" i="51" s="1"/>
  <c r="E11" i="51" l="1"/>
  <c r="E8" i="51" s="1"/>
  <c r="D8" i="51"/>
</calcChain>
</file>

<file path=xl/sharedStrings.xml><?xml version="1.0" encoding="utf-8"?>
<sst xmlns="http://schemas.openxmlformats.org/spreadsheetml/2006/main" count="2720" uniqueCount="483">
  <si>
    <t xml:space="preserve">Arizona  </t>
  </si>
  <si>
    <t xml:space="preserve">Colorado </t>
  </si>
  <si>
    <t xml:space="preserve">District of Columbia  </t>
  </si>
  <si>
    <t xml:space="preserve">Idaho </t>
  </si>
  <si>
    <t xml:space="preserve">Delaware </t>
  </si>
  <si>
    <t xml:space="preserve">Kansas </t>
  </si>
  <si>
    <t xml:space="preserve">Kentucky </t>
  </si>
  <si>
    <t xml:space="preserve">Louisiana </t>
  </si>
  <si>
    <t xml:space="preserve">Maine </t>
  </si>
  <si>
    <t xml:space="preserve">Maryland </t>
  </si>
  <si>
    <t xml:space="preserve">Minnesota </t>
  </si>
  <si>
    <t xml:space="preserve">North Dakota </t>
  </si>
  <si>
    <t xml:space="preserve">Pennsylvania </t>
  </si>
  <si>
    <t xml:space="preserve">South Dakota </t>
  </si>
  <si>
    <t xml:space="preserve">Rhode Island </t>
  </si>
  <si>
    <t xml:space="preserve">Nebraska </t>
  </si>
  <si>
    <t xml:space="preserve">New Hampshire </t>
  </si>
  <si>
    <t xml:space="preserve">North Carolina </t>
  </si>
  <si>
    <t xml:space="preserve">Oklahoma </t>
  </si>
  <si>
    <t xml:space="preserve">Tennessee </t>
  </si>
  <si>
    <t xml:space="preserve">Wisconsin </t>
  </si>
  <si>
    <t xml:space="preserve">Wyoming </t>
  </si>
  <si>
    <t xml:space="preserve">New Mexico </t>
  </si>
  <si>
    <t xml:space="preserve">Ohio </t>
  </si>
  <si>
    <t xml:space="preserve">Texas </t>
  </si>
  <si>
    <t xml:space="preserve">Utah </t>
  </si>
  <si>
    <t xml:space="preserve">West Virginia </t>
  </si>
  <si>
    <t xml:space="preserve">Mississippi[4] </t>
  </si>
  <si>
    <t xml:space="preserve">Missouri[4] </t>
  </si>
  <si>
    <t xml:space="preserve">Montana[4] </t>
  </si>
  <si>
    <t xml:space="preserve">Nevada[4] </t>
  </si>
  <si>
    <t xml:space="preserve">Oregon[4] </t>
  </si>
  <si>
    <t xml:space="preserve">Washington[4] </t>
  </si>
  <si>
    <t xml:space="preserve">Alabama[4] </t>
  </si>
  <si>
    <t xml:space="preserve">Average state tax </t>
  </si>
  <si>
    <t>5 The State of Alaska suspended its motor fuels taxes on all fuel types and uses for a period of one year beginning September 1, 2008 and ending August 31, 2009.</t>
  </si>
  <si>
    <t>Massachusetts</t>
  </si>
  <si>
    <t>State tax</t>
  </si>
  <si>
    <t>State &amp; Federal</t>
  </si>
  <si>
    <t xml:space="preserve">Other taxes &amp; Fees[2]   </t>
  </si>
  <si>
    <t>4 Local option taxes (LOTS) are allowed.</t>
  </si>
  <si>
    <t>maureen.klein@eia.gov</t>
  </si>
  <si>
    <t xml:space="preserve">                                        Gasoline   </t>
  </si>
  <si>
    <t xml:space="preserve">             Excise</t>
  </si>
  <si>
    <t xml:space="preserve">                 LUST Fee </t>
  </si>
  <si>
    <t xml:space="preserve">         Total</t>
  </si>
  <si>
    <t xml:space="preserve">              Excise</t>
  </si>
  <si>
    <t xml:space="preserve">        Total</t>
  </si>
  <si>
    <t xml:space="preserve">                                              Diesel</t>
  </si>
  <si>
    <t>American Samoa</t>
  </si>
  <si>
    <t>Guam</t>
  </si>
  <si>
    <t>Northern Mariana Islands</t>
  </si>
  <si>
    <t>Puerto Rico</t>
  </si>
  <si>
    <t xml:space="preserve">Leaking Underground Storage Tank (LUST) fee: $0.001/gal. </t>
  </si>
  <si>
    <t>"Use Class motor vehicle" diesel rate = $0.26/gal; Storage Tank tax: $0.01/gal.</t>
  </si>
  <si>
    <t>Border Zone rates may apply (state excise rate will not be more than $0.01/gal higher than the adjoining state's rate.  See A.C.A. § 26-55-210 for details); Environmental Assurance fee: $0.003/gal.</t>
  </si>
  <si>
    <t xml:space="preserve">Petroleum Products Gross Earnings tax (PPGET): 8.1% on first sale of all products in the state.  PPGET does not apply to products to be used as heating fuels or bunker fuels.  </t>
  </si>
  <si>
    <t xml:space="preserve">DE Hazardous Substance: 0.9% tax on gross receipts from the sales of petroleum or petroleum products.  </t>
  </si>
  <si>
    <t xml:space="preserve">Petroleum Transfer Fee (all fuels): $0.01/gal. </t>
  </si>
  <si>
    <t>State Inspection fee (applies to all petroleum products): $0.00125/gal. Motor Fuels Underground Storage Tank Trust Fund fee applies to gasoline, No. 1 diesel, No. 2 diesel, kerosene, and all aviation fuels (not to LPG): $72 per 9000 gallon load ($0.008/gal).</t>
  </si>
  <si>
    <t>Seawall Tax: $0.03/gal (gasoline only) in effect in Harrison, Hancock, and Jackson Counties.  Environmental Protection Fee: $0.004/gal.  Underground Storage Tank fee: $100 per tank per year.</t>
  </si>
  <si>
    <t xml:space="preserve">Petroleum Storage Tank Cleanup fee : $0.0075/gal on gasoline, diesel and fuel oil, aviation gasoline, and (non-military use) jet fuel. </t>
  </si>
  <si>
    <t>Petroleum Release Remedial Action fee: gasoline, gasohol, aviation gasoline, ethanol: $0.009/gal; diesel, jet fuel, all others products: $0.003/gal.</t>
  </si>
  <si>
    <t>Petroleum Products Loading fee: $150 per 8000 gallon load on gasoline and special fuels ($0.01875/gal).  LOTS allowed, not in effect.</t>
  </si>
  <si>
    <t>Inspection fee: $0.00025/gal on gasoline, kerosene, tractor fuel, heating oil, or diesel fuel.</t>
  </si>
  <si>
    <t xml:space="preserve">Petroleum Storage Underground Tank Release fee: $0.010/gal on gasoline, diesel fuel and blended fuel (gasohol, ethanol and fuel grade ethanol).  </t>
  </si>
  <si>
    <t>LOTS allowed and levied at the county and municipal levels. Petroleum load fee: $7.00 per load (load = anything over 100 gals.)</t>
  </si>
  <si>
    <t>Inspection Fee: $0.0025/gal; Environmental Impact Fee: $0.005/gal.</t>
  </si>
  <si>
    <t>Tank Inspection Fee: $0.02/gal.</t>
  </si>
  <si>
    <t xml:space="preserve">Special Privilege Tax: $0.01/gal.  Environmental Assurance fee:  $0.004/gal. </t>
  </si>
  <si>
    <t>Petro products delivery fee varies on load size (applies to all petro products).</t>
  </si>
  <si>
    <t xml:space="preserve">Environmental Assurance fee: $0.0065/gal. </t>
  </si>
  <si>
    <t xml:space="preserve">Petroleum Inspection fee: $0.02/gal. </t>
  </si>
  <si>
    <t xml:space="preserve">License Tax: $0.01/gal.  </t>
  </si>
  <si>
    <t>Not subject to federal excise. Automotive Surcharge (gasoline): $0.04/gal.  Mass Transit Automotive Surcharge (diesel): $0.04/gal.</t>
  </si>
  <si>
    <t xml:space="preserve">Vermont </t>
  </si>
  <si>
    <t>Notes</t>
  </si>
  <si>
    <t>2 May include sales and/or use taxes, inspection fees, environmental fees, or other charges.</t>
  </si>
  <si>
    <t>Federal</t>
  </si>
  <si>
    <t xml:space="preserve">Oil Discharge and Disposal Cleanup Fund fee: $0.015/gal on gasoline and diesel fuels, excluding heating fuels.  Oil Pollution Control Fund fee: $0.00125/gal on all petroleum products except LPG and natural gas. </t>
  </si>
  <si>
    <t xml:space="preserve">Federal and state motor fuels taxes[1]  </t>
  </si>
  <si>
    <t>U.S. Virgin Islands</t>
  </si>
  <si>
    <t xml:space="preserve">Gasoline and Oil Inspection fee: $0.0025/gal on all motor fuels.  </t>
  </si>
  <si>
    <t>Environmental Protection Regulatory fee (EPRF): $0.01/gal. Uniform Oil Response and Prevention fee: $0.05 cents per barrel ($0.0012/gal).</t>
  </si>
  <si>
    <t>Storage tank fee = $0.006/gal.   Wholesale Sales Tax: 2.1% on fuels sold in the Northern Virginia area and the Hampton Roads Planning District Commission area.</t>
  </si>
  <si>
    <t xml:space="preserve">Not subject to federal excise. </t>
  </si>
  <si>
    <t>Arkansas</t>
  </si>
  <si>
    <t xml:space="preserve">Florida[4]  </t>
  </si>
  <si>
    <t xml:space="preserve">Georgia[4]  </t>
  </si>
  <si>
    <t>Total State[3]</t>
  </si>
  <si>
    <t xml:space="preserve">3 Average of Total State taxes may not equal the sum due to rounding. </t>
  </si>
  <si>
    <t>Connecticut</t>
  </si>
  <si>
    <t xml:space="preserve">Illinois[4]  </t>
  </si>
  <si>
    <t>Indiana</t>
  </si>
  <si>
    <t>Iowa</t>
  </si>
  <si>
    <t>Michigan</t>
  </si>
  <si>
    <t>New Jersey</t>
  </si>
  <si>
    <t xml:space="preserve">New York[4] </t>
  </si>
  <si>
    <t>Virginia</t>
  </si>
  <si>
    <t>Refined Fuel Surcharge: $0.0095/gal.</t>
  </si>
  <si>
    <t>Additional county and local option taxes on motor fuels add $0.05 to $0.10/gal to the state rate (County mandatory: $0.01/gal, County Option: $0.04-$0.9/gal). Petroleum Products Inspection Fee: $0.00055/gal on gasoline; Clean-up Fee on gasoline, No. 1 and No. 2 distillates: $0.0075/gal.</t>
  </si>
  <si>
    <t>Oil Spill Administration Tax: $0.04 per barrel ($0.0009523/gal). Oil Spill Response tax: $0.01/bbl ($0.000238/gal). Hazardous Substance tax: .007 times the w/s price of the substance.  "Border Zone Area Motor Fuel Tax" $0.01/gal in counties bordering Canada.</t>
  </si>
  <si>
    <t>Petroleum Storage Tank Environmental Assurance Fee: $0.014/gal.  Rates are calculated quarterly on the average wholesale price of fuel.  Beginning July 1, 2016, rates are calculated and adjusted on an annual basis.</t>
  </si>
  <si>
    <t>A variable rate is calculated annually and replaced the OCS and Liquid Fuels Tax (see PA Bulletin for updated rate info).  Underground Storage Tank Fund fee: $0.011/gal.  See PA Insurance Dept, Bureau of Special Funds, USTIF for UST fees.</t>
  </si>
  <si>
    <r>
      <t xml:space="preserve">Notes: Entries in </t>
    </r>
    <r>
      <rPr>
        <sz val="9"/>
        <color theme="4"/>
        <rFont val="Calibri"/>
        <family val="2"/>
        <scheme val="minor"/>
      </rPr>
      <t xml:space="preserve">blue </t>
    </r>
    <r>
      <rPr>
        <sz val="9"/>
        <color theme="1"/>
        <rFont val="Calibri"/>
        <family val="2"/>
        <scheme val="minor"/>
      </rPr>
      <t>indicate a change from the last edition of this table.</t>
    </r>
  </si>
  <si>
    <t xml:space="preserve">Maine Coastal and Inland Surface Oil Clean-up Fund fee (no longer in effect after July 3, 2015): $0.03 per barrel ($0.0007/gal) for all crude oil and refined oil, including #6 fuel oil, #2 fuel oil, kerosene, gasoline, jet fuel, diesel fuel and liquid asphalt.  Ground Water Oil Clean-up Fund fees: $0.59 per barrel ($0.0140476/gal) of gasoline; $0.28 per barrel ($0.0067/gal) of refined petroleum products and their by-products (other than gasoline and #6 fuel oil), including #2 fuel oil, kerosene, jet fuel and diesel fuel; and $0.04 per barrel of #6 fuel oil.  Petroleum Marketing Fund Fee: $0.40 per 10,000 gallons of home heating oil and motor fuel oil.  </t>
  </si>
  <si>
    <t xml:space="preserve">Questions concerning the information in this document may be directed to:  </t>
  </si>
  <si>
    <t>Rate for ethanol-blended gasoline: $0.29/gal. Rate for B11 (or higher) diesel: $0.295/gal.  Environmental Protection Charge (EPC): Repealed as of 12/31/16 ($0.01/gal on petroleum products).</t>
  </si>
  <si>
    <t xml:space="preserve">The listed gasoline rate does not include additional local option taxes above the statewide minimum of $0.05/gal.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</si>
  <si>
    <t>Environmental Assurance Fee: $0.01/gal (only periodically in effect). Petroleum Product Inspection Fee: 0.015 cents per barrel (bbl = 50 gals) or $0.0003/gal.</t>
  </si>
  <si>
    <t xml:space="preserve">Excise tax $0.205/gal, Consumers Sales and Service Tax: $0.152/gal. </t>
  </si>
  <si>
    <t>Alaska[5]</t>
  </si>
  <si>
    <t>Georgia Underground Storage Tank (GUST) fee on petro products: $0.005/gal.  The average retail price used for the Prepaid Local Tax (TSPLOST) changed as of 1/1/16; for more information, see https://dor.georgia.gov/motor-fuel-rates.</t>
  </si>
  <si>
    <t>Petroleum Tank Release Cleanup Fee (only in effect form February 2018 through May 2018): $20 per 1,000 gallons ($0.02/gal). Inspection fee: $1 for every 1,000 gallons received ($0.001/gal).</t>
  </si>
  <si>
    <t xml:space="preserve">Inspection Fee (applies to all gasoline): $0.02/gal. The Inspection Fee only applies to diesel fuel that is not subject to excise.  Storage Tank Trust Fund Charge: $0.01/gal.  Wholesale Oil License fee: $0.0075/gal on diesel fuel only.  Local option taxes permitted.   </t>
  </si>
  <si>
    <t>Updated February 2019</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</si>
  <si>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theme="4"/>
        <rFont val="Calibri"/>
        <family val="2"/>
        <scheme val="minor"/>
      </rPr>
      <t>January 1, 2019</t>
    </r>
    <r>
      <rPr>
        <sz val="9"/>
        <color theme="1"/>
        <rFont val="Calibri"/>
        <family val="2"/>
        <scheme val="minor"/>
      </rPr>
      <t xml:space="preserve">. Sources: State and Territorial statutes and government agencies. </t>
    </r>
  </si>
  <si>
    <t xml:space="preserve">California[4]  </t>
  </si>
  <si>
    <t xml:space="preserve">Hawaii[4]  </t>
  </si>
  <si>
    <t xml:space="preserve">South Carolina[4] </t>
  </si>
  <si>
    <r>
      <rPr>
        <sz val="9"/>
        <rFont val="Calibri"/>
        <family val="2"/>
        <scheme val="minor"/>
      </rPr>
      <t xml:space="preserve">2.25% state sales tax on gasoline, 13.00% state sales tax on diesel (prepaid rates for these sales taxes: gasoline $0.06/gal; diesel $0.31/gal).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</si>
  <si>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Environmental Response Surcharge (ERS Fee): </t>
    </r>
    <r>
      <rPr>
        <sz val="9"/>
        <color theme="4"/>
        <rFont val="Calibri"/>
        <family val="2"/>
        <scheme val="minor"/>
      </rPr>
      <t>$75</t>
    </r>
    <r>
      <rPr>
        <sz val="9"/>
        <rFont val="Calibri"/>
        <family val="2"/>
        <scheme val="minor"/>
      </rPr>
      <t xml:space="preserve"> per tanker load (8000 gallons) or</t>
    </r>
    <r>
      <rPr>
        <sz val="9"/>
        <color theme="4"/>
        <rFont val="Calibri"/>
        <family val="2"/>
        <scheme val="minor"/>
      </rPr>
      <t xml:space="preserve"> $0.009375</t>
    </r>
    <r>
      <rPr>
        <sz val="9"/>
        <rFont val="Calibri"/>
        <family val="2"/>
        <scheme val="minor"/>
      </rPr>
      <t xml:space="preserve">/gal on all motor fuels. </t>
    </r>
  </si>
  <si>
    <t xml:space="preserve">In addition to State rates: Honolulu: $0.165/gal; Maui: $0.23/gal; Hawaii: $0.19/gal; Kauai: $0.17/gal.  Environmental Response Tax $0.025/gal. </t>
  </si>
  <si>
    <t>CPI component $0.021/gal as of 7/1/18, Sales and Use Tax Equivalent rate (SUTE) component $0.097/gal as of 7/1/18 Oil transfer Fee: $0.08 per barrel ($0.0019/gal) of oil transferred into the State.</t>
  </si>
  <si>
    <r>
      <t xml:space="preserve">"Part B", mandatory prepaid sales tax, aka "Tax Prepayment by Motor Fuel Retailers"  (sales tax is 6.25%): </t>
    </r>
    <r>
      <rPr>
        <sz val="9"/>
        <color theme="4"/>
        <rFont val="Calibri"/>
        <family val="2"/>
        <scheme val="minor"/>
      </rPr>
      <t>$0.16</t>
    </r>
    <r>
      <rPr>
        <sz val="9"/>
        <rFont val="Calibri"/>
        <family val="2"/>
        <scheme val="minor"/>
      </rPr>
      <t xml:space="preserve">/gal for gasoline, gasohol, and diesel. For biodiesel (1 to 10% blends), the prepaid rate is $0.12/gal.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</si>
  <si>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$0.120</t>
    </r>
    <r>
      <rPr>
        <sz val="9"/>
        <rFont val="Calibri"/>
        <family val="2"/>
        <scheme val="minor"/>
      </rPr>
      <t>/gal as of</t>
    </r>
    <r>
      <rPr>
        <sz val="9"/>
        <color theme="4"/>
        <rFont val="Calibri"/>
        <family val="2"/>
        <scheme val="minor"/>
      </rPr>
      <t xml:space="preserve"> 1/1/19</t>
    </r>
    <r>
      <rPr>
        <sz val="9"/>
        <rFont val="Calibri"/>
        <family val="2"/>
        <scheme val="minor"/>
      </rPr>
      <t xml:space="preserve">.  A 7% sales tax on diesel fuel no longer applies. Oil Inspection fee: $0.01/gal.  </t>
    </r>
  </si>
  <si>
    <r>
      <t xml:space="preserve">Underground Storage Tank Petroleum Product Cleanup Fund Delivery fee: </t>
    </r>
    <r>
      <rPr>
        <sz val="9"/>
        <color theme="4"/>
        <rFont val="Calibri"/>
        <family val="2"/>
        <scheme val="minor"/>
      </rPr>
      <t>$268.60</t>
    </r>
    <r>
      <rPr>
        <sz val="9"/>
        <rFont val="Calibri"/>
        <family val="2"/>
        <scheme val="minor"/>
      </rPr>
      <t xml:space="preserve"> per 10k load (</t>
    </r>
    <r>
      <rPr>
        <sz val="9"/>
        <color theme="4"/>
        <rFont val="Calibri"/>
        <family val="2"/>
        <scheme val="minor"/>
      </rPr>
      <t>$0.02686</t>
    </r>
    <r>
      <rPr>
        <sz val="9"/>
        <rFont val="Calibri"/>
        <family val="2"/>
        <scheme val="minor"/>
      </rPr>
      <t>/gal).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</si>
  <si>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2019 Prepaid Sales Tax rates on fuels:  gasoline </t>
    </r>
    <r>
      <rPr>
        <sz val="9"/>
        <color theme="4"/>
        <rFont val="Calibri"/>
        <family val="2"/>
        <scheme val="minor"/>
      </rPr>
      <t>$0.129</t>
    </r>
    <r>
      <rPr>
        <sz val="9"/>
        <rFont val="Calibri"/>
        <family val="2"/>
        <scheme val="minor"/>
      </rPr>
      <t xml:space="preserve">/gal; diesel fuel </t>
    </r>
    <r>
      <rPr>
        <sz val="9"/>
        <color theme="4"/>
        <rFont val="Calibri"/>
        <family val="2"/>
        <scheme val="minor"/>
      </rPr>
      <t>$0.173</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</si>
  <si>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r>
      <t xml:space="preserve">Petroleum Products Gross Receipts Tax - requires quarterly adjustment. As of 1/1/19: </t>
    </r>
    <r>
      <rPr>
        <sz val="9"/>
        <color theme="4"/>
        <rFont val="Calibri"/>
        <family val="2"/>
        <scheme val="minor"/>
      </rPr>
      <t>$.309</t>
    </r>
    <r>
      <rPr>
        <sz val="9"/>
        <rFont val="Calibri"/>
        <family val="2"/>
        <scheme val="minor"/>
      </rPr>
      <t xml:space="preserve">/gal for gasoline, </t>
    </r>
    <r>
      <rPr>
        <sz val="9"/>
        <color theme="4"/>
        <rFont val="Calibri"/>
        <family val="2"/>
        <scheme val="minor"/>
      </rPr>
      <t>$0.350</t>
    </r>
    <r>
      <rPr>
        <sz val="9"/>
        <rFont val="Calibri"/>
        <family val="2"/>
        <scheme val="minor"/>
      </rPr>
      <t>/gal for diesel fuel.  Spill Compensation and Control Act: $0.023  per barrel ($0.0005/gal) on all petroleum products.</t>
    </r>
  </si>
  <si>
    <r>
      <t xml:space="preserve">Petroleum Business Tax (13-A) - requires annual adjustment (gasoline </t>
    </r>
    <r>
      <rPr>
        <sz val="9"/>
        <color theme="4"/>
        <rFont val="Calibri"/>
        <family val="2"/>
        <scheme val="minor"/>
      </rPr>
      <t>$0.177</t>
    </r>
    <r>
      <rPr>
        <sz val="9"/>
        <rFont val="Calibri"/>
        <family val="2"/>
        <scheme val="minor"/>
      </rPr>
      <t xml:space="preserve">/gal, diesel </t>
    </r>
    <r>
      <rPr>
        <sz val="9"/>
        <color theme="4"/>
        <rFont val="Calibri"/>
        <family val="2"/>
        <scheme val="minor"/>
      </rPr>
      <t>$0.1595</t>
    </r>
    <r>
      <rPr>
        <sz val="9"/>
        <rFont val="Calibri"/>
        <family val="2"/>
        <scheme val="minor"/>
      </rPr>
      <t>/gal).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r>
  </si>
  <si>
    <r>
      <t xml:space="preserve">Petroleum Distributor fee: $0.01/gal. Motor Fuel Transportation Infrastructure Assessment (MFTIA) fee: gasoline </t>
    </r>
    <r>
      <rPr>
        <sz val="9"/>
        <color theme="4"/>
        <rFont val="Calibri"/>
        <family val="2"/>
        <scheme val="minor"/>
      </rPr>
      <t>$0.0469</t>
    </r>
    <r>
      <rPr>
        <sz val="9"/>
        <rFont val="Calibri"/>
        <family val="2"/>
        <scheme val="minor"/>
      </rPr>
      <t>/gal.; diesel $0.03/gal. Motor Fuel Tax Assessment (MFTA) applies to gasoline only: $0.134/gal.</t>
    </r>
  </si>
  <si>
    <r>
      <t>Petroleum Inspection fee: $0.035 per 50 gallons ($0.0007/gal); Transport Load Fee</t>
    </r>
    <r>
      <rPr>
        <sz val="9"/>
        <color theme="4"/>
        <rFont val="Calibri"/>
        <family val="2"/>
        <scheme val="minor"/>
      </rPr>
      <t xml:space="preserve"> $28.00</t>
    </r>
    <r>
      <rPr>
        <sz val="9"/>
        <rFont val="Calibri"/>
        <family val="2"/>
        <scheme val="minor"/>
      </rPr>
      <t xml:space="preserve"> per 8,000 gallons (</t>
    </r>
    <r>
      <rPr>
        <sz val="9"/>
        <color theme="4"/>
        <rFont val="Calibri"/>
        <family val="2"/>
        <scheme val="minor"/>
      </rPr>
      <t>$0.0035</t>
    </r>
    <r>
      <rPr>
        <sz val="9"/>
        <rFont val="Calibri"/>
        <family val="2"/>
        <scheme val="minor"/>
      </rPr>
      <t>/gal).</t>
    </r>
  </si>
  <si>
    <r>
      <t>Finished gasoline is subject to an additional $15.50/bbl ($0.369/gal) in taxes. Diesel fuel is also subject to an additional $9.25/bbl ($0.220/gal) in taxes.  See 13 L.P.R.A. § 31626, 13 L.P.R.A. § 31627, and 13 L.P.R.A. § 31627a. Not subject to federal excise.  (</t>
    </r>
    <r>
      <rPr>
        <sz val="9"/>
        <color theme="4"/>
        <rFont val="Calibri"/>
        <family val="2"/>
        <scheme val="minor"/>
      </rPr>
      <t>This information revised March 2019</t>
    </r>
    <r>
      <rPr>
        <sz val="9"/>
        <rFont val="Calibri"/>
        <family val="2"/>
        <scheme val="minor"/>
      </rPr>
      <t>.)</t>
    </r>
  </si>
  <si>
    <t xml:space="preserve">Environmental Response Surcharge (ERS Fee): $75 per tanker load (8000 gallons) or $0.009375/gal on all motor fuels. </t>
  </si>
  <si>
    <r>
      <t>Underground Storage Tank Petroleum Product Cleanup Fund Delivery fee: $268.60 per 10k load ($0.02686/gal).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</si>
  <si>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t>Petroleum Inspection fee: $0.035 per 50 gallons ($0.0007/gal); Transport Load Fee $28.00 per 8,000 gallons ($0.0035/gal).</t>
  </si>
  <si>
    <t>Petroleum Products Gross Receipts Tax - requires quarterly adjustment. As of 1/1/19: $.309/gal for gasoline, $0.350/gal for diesel fuel.  Spill Compensation and Control Act: $0.023  per barrel ($0.0005/gal) on all petroleum products.</t>
  </si>
  <si>
    <t>Petroleum Business Tax (13-A) - requires annual adjustment (gasoline $0.177/gal, diesel $0.1595/gal).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</si>
  <si>
    <t>Updated August 2018</t>
  </si>
  <si>
    <r>
      <t>California</t>
    </r>
    <r>
      <rPr>
        <sz val="9"/>
        <rFont val="Calibri"/>
        <family val="2"/>
        <scheme val="minor"/>
      </rPr>
      <t>[4]</t>
    </r>
    <r>
      <rPr>
        <sz val="9"/>
        <color theme="4"/>
        <rFont val="Calibri"/>
        <family val="2"/>
        <scheme val="minor"/>
      </rPr>
      <t xml:space="preserve">  </t>
    </r>
  </si>
  <si>
    <r>
      <rPr>
        <sz val="9"/>
        <rFont val="Calibri"/>
        <family val="2"/>
        <scheme val="minor"/>
      </rPr>
      <t>2.25% state sales tax on gasoline, 13.00% state sales tax on diesel (prepaid rates for these sales taxes: gasoline</t>
    </r>
    <r>
      <rPr>
        <sz val="9"/>
        <color theme="4"/>
        <rFont val="Calibri"/>
        <family val="2"/>
        <scheme val="minor"/>
      </rPr>
      <t xml:space="preserve"> $0.06</t>
    </r>
    <r>
      <rPr>
        <sz val="9"/>
        <rFont val="Calibri"/>
        <family val="2"/>
        <scheme val="minor"/>
      </rPr>
      <t xml:space="preserve">/gal; diesel </t>
    </r>
    <r>
      <rPr>
        <sz val="9"/>
        <color theme="4"/>
        <rFont val="Calibri"/>
        <family val="2"/>
        <scheme val="minor"/>
      </rPr>
      <t>$0.31</t>
    </r>
    <r>
      <rPr>
        <sz val="9"/>
        <rFont val="Calibri"/>
        <family val="2"/>
        <scheme val="minor"/>
      </rPr>
      <t xml:space="preserve">/gal).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</si>
  <si>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t xml:space="preserve">Environmental Response Surcharge (ERS Fee): $100 per tanker load (8000 gallons) or $0.0125/gal on all motor fuels. </t>
  </si>
  <si>
    <r>
      <t>Hawaii</t>
    </r>
    <r>
      <rPr>
        <sz val="9"/>
        <rFont val="Calibri"/>
        <family val="2"/>
        <scheme val="minor"/>
      </rPr>
      <t>[4]</t>
    </r>
    <r>
      <rPr>
        <sz val="9"/>
        <color theme="4"/>
        <rFont val="Calibri"/>
        <family val="2"/>
        <scheme val="minor"/>
      </rPr>
      <t xml:space="preserve">  </t>
    </r>
  </si>
  <si>
    <r>
      <t xml:space="preserve">In addition to State rates: Honolulu: $0.165/gal; Maui: $0.23/gal; </t>
    </r>
    <r>
      <rPr>
        <sz val="9"/>
        <color theme="4"/>
        <rFont val="Calibri"/>
        <family val="2"/>
        <scheme val="minor"/>
      </rPr>
      <t>Hawaii: $0.19</t>
    </r>
    <r>
      <rPr>
        <sz val="9"/>
        <rFont val="Calibri"/>
        <family val="2"/>
        <scheme val="minor"/>
      </rPr>
      <t xml:space="preserve">/gal; Kauai: $0.17/gal.  Environmental Response Tax $0.025/gal. </t>
    </r>
  </si>
  <si>
    <r>
      <t xml:space="preserve">"Part B", mandatory prepaid sales tax, aka "Tax Prepayment by Motor Fuel Retailers"  (sales tax is 6.25%): </t>
    </r>
    <r>
      <rPr>
        <sz val="9"/>
        <color theme="4"/>
        <rFont val="Calibri"/>
        <family val="2"/>
        <scheme val="minor"/>
      </rPr>
      <t>$0.15</t>
    </r>
    <r>
      <rPr>
        <sz val="9"/>
        <rFont val="Calibri"/>
        <family val="2"/>
        <scheme val="minor"/>
      </rPr>
      <t>/gal for gasoline,</t>
    </r>
    <r>
      <rPr>
        <sz val="9"/>
        <color theme="4"/>
        <rFont val="Calibri"/>
        <family val="2"/>
        <scheme val="minor"/>
      </rPr>
      <t xml:space="preserve"> gasohol</t>
    </r>
    <r>
      <rPr>
        <sz val="9"/>
        <rFont val="Calibri"/>
        <family val="2"/>
        <scheme val="minor"/>
      </rPr>
      <t xml:space="preserve">, and diesel. For biodiesel (1 to 10% blends), the prepaid rate is </t>
    </r>
    <r>
      <rPr>
        <sz val="9"/>
        <color theme="4"/>
        <rFont val="Calibri"/>
        <family val="2"/>
        <scheme val="minor"/>
      </rPr>
      <t>$0.12</t>
    </r>
    <r>
      <rPr>
        <sz val="9"/>
        <rFont val="Calibri"/>
        <family val="2"/>
        <scheme val="minor"/>
      </rPr>
      <t xml:space="preserve">/gal.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</si>
  <si>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$0.167</t>
    </r>
    <r>
      <rPr>
        <sz val="9"/>
        <rFont val="Calibri"/>
        <family val="2"/>
        <scheme val="minor"/>
      </rPr>
      <t xml:space="preserve">/gal as of 7/1/18.  </t>
    </r>
    <r>
      <rPr>
        <sz val="9"/>
        <color theme="4"/>
        <rFont val="Calibri"/>
        <family val="2"/>
        <scheme val="minor"/>
      </rPr>
      <t xml:space="preserve">A 7% sales tax on diesel fuel no longer applies. </t>
    </r>
    <r>
      <rPr>
        <sz val="9"/>
        <rFont val="Calibri"/>
        <family val="2"/>
        <scheme val="minor"/>
      </rPr>
      <t xml:space="preserve">Oil Inspection fee: $0.01/gal.  </t>
    </r>
  </si>
  <si>
    <r>
      <t xml:space="preserve">CPI component </t>
    </r>
    <r>
      <rPr>
        <sz val="9"/>
        <color theme="4"/>
        <rFont val="Calibri"/>
        <family val="2"/>
        <scheme val="minor"/>
      </rPr>
      <t>$0.021</t>
    </r>
    <r>
      <rPr>
        <sz val="9"/>
        <rFont val="Calibri"/>
        <family val="2"/>
        <scheme val="minor"/>
      </rPr>
      <t xml:space="preserve">/gal as of 7/1/18, Sales and Use Tax Equivalent rate (SUTE) component </t>
    </r>
    <r>
      <rPr>
        <sz val="9"/>
        <color theme="4"/>
        <rFont val="Calibri"/>
        <family val="2"/>
        <scheme val="minor"/>
      </rPr>
      <t>$0.097</t>
    </r>
    <r>
      <rPr>
        <sz val="9"/>
        <rFont val="Calibri"/>
        <family val="2"/>
        <scheme val="minor"/>
      </rPr>
      <t>/gal as of 7/1/18 Oil transfer Fee: $0.08 per barrel ($0.0019/gal) of oil transferred into the State.</t>
    </r>
  </si>
  <si>
    <r>
      <t>Underground Storage Tank Petroleum Product Cleanup Fund Delivery fee: $262.26 per 10k load ($0.026226/gal).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</si>
  <si>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July 2018 Prepaid Sales Tax rates on fuels:  gasoline </t>
    </r>
    <r>
      <rPr>
        <sz val="9"/>
        <color theme="4"/>
        <rFont val="Calibri"/>
        <family val="2"/>
        <scheme val="minor"/>
      </rPr>
      <t>$0.154</t>
    </r>
    <r>
      <rPr>
        <sz val="9"/>
        <rFont val="Calibri"/>
        <family val="2"/>
        <scheme val="minor"/>
      </rPr>
      <t xml:space="preserve">/gal; diesel fuel </t>
    </r>
    <r>
      <rPr>
        <sz val="9"/>
        <color theme="4"/>
        <rFont val="Calibri"/>
        <family val="2"/>
        <scheme val="minor"/>
      </rPr>
      <t>$0.168</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$0.00875/gal all products. </t>
    </r>
  </si>
  <si>
    <t>Petroleum Inspection fee: $0.035 per 50 gallons ($0.0007/gal); Transport Load Fee $20.00 per 8,000 gallons ($0.0025/gal).</t>
  </si>
  <si>
    <t>Petroleum Products Gross Receipts Tax - requires quarterly adjustment. As of 7/1/17: $.226/gal for gasoline, $0.307/gal for diesel fuel.  Spill Compensation and Control Act: $0.023  per barrel ($0.0005/gal) on all petroleum products.</t>
  </si>
  <si>
    <t>Petroleum Business Tax (13-A) - requires annual adjustment (gasoline $0.169/gal, diesel $0.1515/gal).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</si>
  <si>
    <r>
      <t>South Carolina</t>
    </r>
    <r>
      <rPr>
        <sz val="9"/>
        <rFont val="Calibri"/>
        <family val="2"/>
        <scheme val="minor"/>
      </rPr>
      <t>[4]</t>
    </r>
    <r>
      <rPr>
        <sz val="9"/>
        <color theme="4"/>
        <rFont val="Calibri"/>
        <family val="2"/>
        <scheme val="minor"/>
      </rPr>
      <t xml:space="preserve"> </t>
    </r>
  </si>
  <si>
    <r>
      <t xml:space="preserve">Petroleum Distributor fee: $0.01/gal. Motor Fuel Transportation Infrastructure Assessment (MFTIA) fee: gasoline </t>
    </r>
    <r>
      <rPr>
        <sz val="9"/>
        <color theme="4"/>
        <rFont val="Calibri"/>
        <family val="2"/>
        <scheme val="minor"/>
      </rPr>
      <t>$0.0472</t>
    </r>
    <r>
      <rPr>
        <sz val="9"/>
        <rFont val="Calibri"/>
        <family val="2"/>
        <scheme val="minor"/>
      </rPr>
      <t>/gal.; diesel $0.03/gal. Motor Fuel Tax Assessment (MFTA) applies to gasoline only: $0.134/gal.</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</si>
  <si>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theme="4"/>
        <rFont val="Calibri"/>
        <family val="2"/>
        <scheme val="minor"/>
      </rPr>
      <t>July 1, 2018</t>
    </r>
    <r>
      <rPr>
        <sz val="9"/>
        <color theme="1"/>
        <rFont val="Calibri"/>
        <family val="2"/>
        <scheme val="minor"/>
      </rPr>
      <t xml:space="preserve">. Sources: State and Territorial statutes and government agencies. </t>
    </r>
  </si>
  <si>
    <t>Updated February 2018</t>
  </si>
  <si>
    <t xml:space="preserve">Inspection Fee (applies to all gasoline): $0.02/gal. The Inspection Fee only applies to diesel fuel that is not subject to excise.  Storage Tank Trust Fund Charge: $0.01/gal.  Wholesale Oil License fee: $0.0075/gal on diesel fuel only.  LOTs arithmetic average = $0.019/gal. No sales tax when excise is paid.  </t>
  </si>
  <si>
    <r>
      <rPr>
        <sz val="9"/>
        <rFont val="Calibri"/>
        <family val="2"/>
        <scheme val="minor"/>
      </rPr>
      <t xml:space="preserve">2.25% state sales tax on gasoline, </t>
    </r>
    <r>
      <rPr>
        <sz val="9"/>
        <color theme="4"/>
        <rFont val="Calibri"/>
        <family val="2"/>
        <scheme val="minor"/>
      </rPr>
      <t>13.00%</t>
    </r>
    <r>
      <rPr>
        <sz val="9"/>
        <rFont val="Calibri"/>
        <family val="2"/>
        <scheme val="minor"/>
      </rPr>
      <t xml:space="preserve"> state sales tax on diesel (prepaid rates for these sales taxes: gasoline $0.05/gal; diesel </t>
    </r>
    <r>
      <rPr>
        <sz val="9"/>
        <color theme="4"/>
        <rFont val="Calibri"/>
        <family val="2"/>
        <scheme val="minor"/>
      </rPr>
      <t>$0.25</t>
    </r>
    <r>
      <rPr>
        <sz val="9"/>
        <rFont val="Calibri"/>
        <family val="2"/>
        <scheme val="minor"/>
      </rPr>
      <t xml:space="preserve">/gal).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</si>
  <si>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Environmental Response Surcharge (ERS Fee): </t>
    </r>
    <r>
      <rPr>
        <sz val="9"/>
        <color theme="4"/>
        <rFont val="Calibri"/>
        <family val="2"/>
        <scheme val="minor"/>
      </rPr>
      <t>$100</t>
    </r>
    <r>
      <rPr>
        <sz val="9"/>
        <rFont val="Calibri"/>
        <family val="2"/>
        <scheme val="minor"/>
      </rPr>
      <t xml:space="preserve"> per tanker load (8000 gallons) or </t>
    </r>
    <r>
      <rPr>
        <sz val="9"/>
        <color theme="4"/>
        <rFont val="Calibri"/>
        <family val="2"/>
        <scheme val="minor"/>
      </rPr>
      <t>$0.0125</t>
    </r>
    <r>
      <rPr>
        <sz val="9"/>
        <rFont val="Calibri"/>
        <family val="2"/>
        <scheme val="minor"/>
      </rPr>
      <t xml:space="preserve">/gal on all motor fuels. </t>
    </r>
  </si>
  <si>
    <r>
      <t xml:space="preserve">In addition to State rates: Honolulu: $0.165/gal; Maui: $0.23/gal; </t>
    </r>
    <r>
      <rPr>
        <sz val="9"/>
        <color theme="4"/>
        <rFont val="Calibri"/>
        <family val="2"/>
        <scheme val="minor"/>
      </rPr>
      <t>Hawaii</t>
    </r>
    <r>
      <rPr>
        <sz val="9"/>
        <rFont val="Calibri"/>
        <family val="2"/>
        <scheme val="minor"/>
      </rPr>
      <t xml:space="preserve">: </t>
    </r>
    <r>
      <rPr>
        <sz val="9"/>
        <color rgb="FF00B0F0"/>
        <rFont val="Calibri"/>
        <family val="2"/>
        <scheme val="minor"/>
      </rPr>
      <t>$0.15</t>
    </r>
    <r>
      <rPr>
        <sz val="9"/>
        <rFont val="Calibri"/>
        <family val="2"/>
        <scheme val="minor"/>
      </rPr>
      <t xml:space="preserve">/gal; Kauai: $0.17/gal.  Environmental Response Tax $0.025/gal. </t>
    </r>
  </si>
  <si>
    <r>
      <t xml:space="preserve">"Part B", mandatory prepaid sales tax, aka "Tax Prepayment by Motor Fuel Retailers"  (sales tax is 6.25%): </t>
    </r>
    <r>
      <rPr>
        <sz val="9"/>
        <color theme="4"/>
        <rFont val="Calibri"/>
        <family val="2"/>
        <scheme val="minor"/>
      </rPr>
      <t>$0.14</t>
    </r>
    <r>
      <rPr>
        <sz val="9"/>
        <rFont val="Calibri"/>
        <family val="2"/>
        <scheme val="minor"/>
      </rPr>
      <t xml:space="preserve">/gal for gasoline and diesel. For gasohol and biodiesel (1 to 10% blends), the prepaid rate is </t>
    </r>
    <r>
      <rPr>
        <sz val="9"/>
        <color rgb="FF00B0F0"/>
        <rFont val="Calibri"/>
        <family val="2"/>
        <scheme val="minor"/>
      </rPr>
      <t>$0.11</t>
    </r>
    <r>
      <rPr>
        <sz val="9"/>
        <rFont val="Calibri"/>
        <family val="2"/>
        <scheme val="minor"/>
      </rPr>
      <t xml:space="preserve">/gal.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</si>
  <si>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$0.136</t>
    </r>
    <r>
      <rPr>
        <sz val="9"/>
        <rFont val="Calibri"/>
        <family val="2"/>
        <scheme val="minor"/>
      </rPr>
      <t xml:space="preserve">/gal as of 1/1/18.  </t>
    </r>
    <r>
      <rPr>
        <b/>
        <sz val="9"/>
        <rFont val="Calibri"/>
        <family val="2"/>
        <scheme val="minor"/>
      </rPr>
      <t xml:space="preserve"> A 7% sales tax applies at the pump to retail, on-highway use diesel before state and federal excise taxes are applied</t>
    </r>
    <r>
      <rPr>
        <sz val="9"/>
        <rFont val="Calibri"/>
        <family val="2"/>
        <scheme val="minor"/>
      </rPr>
      <t xml:space="preserve">. Oil Inspection fee: $0.01/gal.  </t>
    </r>
  </si>
  <si>
    <t>CPI component $0.016/gal as of 7/1/17, Sales and Use Tax Equivalent rate (SUTE) component $0.087/gal as of 7/1/17 Oil transfer Fee: $0.08 per barrel ($0.0019/gal) of oil transferred into the State.</t>
  </si>
  <si>
    <r>
      <t xml:space="preserve">Underground Storage Tank Petroleum Product Cleanup Fund Delivery fee: </t>
    </r>
    <r>
      <rPr>
        <sz val="9"/>
        <color theme="4"/>
        <rFont val="Calibri"/>
        <family val="2"/>
        <scheme val="minor"/>
      </rPr>
      <t>$262.26 per 10k load ($0.026226</t>
    </r>
    <r>
      <rPr>
        <sz val="9"/>
        <rFont val="Calibri"/>
        <family val="2"/>
        <scheme val="minor"/>
      </rPr>
      <t>/gal).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</si>
  <si>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2018 Prepaid Sales Tax rates on fuels:  gasoline </t>
    </r>
    <r>
      <rPr>
        <sz val="9"/>
        <color theme="4"/>
        <rFont val="Calibri"/>
        <family val="2"/>
        <scheme val="minor"/>
      </rPr>
      <t>$0.135</t>
    </r>
    <r>
      <rPr>
        <sz val="9"/>
        <rFont val="Calibri"/>
        <family val="2"/>
        <scheme val="minor"/>
      </rPr>
      <t xml:space="preserve">/gal; diesel fuel </t>
    </r>
    <r>
      <rPr>
        <sz val="9"/>
        <color theme="4"/>
        <rFont val="Calibri"/>
        <family val="2"/>
        <scheme val="minor"/>
      </rPr>
      <t>$0.151</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$0.00875/gal all products. </t>
    </r>
  </si>
  <si>
    <r>
      <t xml:space="preserve">Petroleum Tank Release Cleanup Fee (only </t>
    </r>
    <r>
      <rPr>
        <sz val="9"/>
        <color theme="4"/>
        <rFont val="Calibri"/>
        <family val="2"/>
        <scheme val="minor"/>
      </rPr>
      <t>in effect form February 2018 through May 2018</t>
    </r>
    <r>
      <rPr>
        <sz val="9"/>
        <rFont val="Calibri"/>
        <family val="2"/>
        <scheme val="minor"/>
      </rPr>
      <t>): $20 per 1,000 gallons (</t>
    </r>
    <r>
      <rPr>
        <sz val="9"/>
        <color theme="4"/>
        <rFont val="Calibri"/>
        <family val="2"/>
        <scheme val="minor"/>
      </rPr>
      <t>$0.02</t>
    </r>
    <r>
      <rPr>
        <sz val="9"/>
        <rFont val="Calibri"/>
        <family val="2"/>
        <scheme val="minor"/>
      </rPr>
      <t>/gal). Inspection fee: $1 for every 1,000 gallons received ($0.001/gal).</t>
    </r>
  </si>
  <si>
    <r>
      <t xml:space="preserve">Petroleum Inspection fee: </t>
    </r>
    <r>
      <rPr>
        <sz val="9"/>
        <color theme="4"/>
        <rFont val="Calibri"/>
        <family val="2"/>
        <scheme val="minor"/>
      </rPr>
      <t>$0.035</t>
    </r>
    <r>
      <rPr>
        <sz val="9"/>
        <rFont val="Calibri"/>
        <family val="2"/>
        <scheme val="minor"/>
      </rPr>
      <t xml:space="preserve"> per 50 gallons (</t>
    </r>
    <r>
      <rPr>
        <sz val="9"/>
        <color theme="4"/>
        <rFont val="Calibri"/>
        <family val="2"/>
        <scheme val="minor"/>
      </rPr>
      <t>$0.0007</t>
    </r>
    <r>
      <rPr>
        <sz val="9"/>
        <rFont val="Calibri"/>
        <family val="2"/>
        <scheme val="minor"/>
      </rPr>
      <t>/gal); Transport Load Fee $20.00 per 8,000 gallons ($0.0025/gal).</t>
    </r>
  </si>
  <si>
    <r>
      <t>Petroleum Business Tax (13-A) - requires annual adjustment (</t>
    </r>
    <r>
      <rPr>
        <sz val="9"/>
        <color theme="4"/>
        <rFont val="Calibri"/>
        <family val="2"/>
        <scheme val="minor"/>
      </rPr>
      <t>gasoline $0.169</t>
    </r>
    <r>
      <rPr>
        <sz val="9"/>
        <rFont val="Calibri"/>
        <family val="2"/>
        <scheme val="minor"/>
      </rPr>
      <t>/gal</t>
    </r>
    <r>
      <rPr>
        <sz val="9"/>
        <color theme="4"/>
        <rFont val="Calibri"/>
        <family val="2"/>
        <scheme val="minor"/>
      </rPr>
      <t>, diesel $0.1515</t>
    </r>
    <r>
      <rPr>
        <sz val="9"/>
        <rFont val="Calibri"/>
        <family val="2"/>
        <scheme val="minor"/>
      </rPr>
      <t xml:space="preserve">/gal).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t>
    </r>
    <r>
      <rPr>
        <sz val="9"/>
        <color theme="4"/>
        <rFont val="Calibri"/>
        <family val="2"/>
        <scheme val="minor"/>
      </rPr>
      <t>$0.160</t>
    </r>
    <r>
      <rPr>
        <sz val="9"/>
        <rFont val="Calibri"/>
        <family val="2"/>
        <scheme val="minor"/>
      </rPr>
      <t>/gal</t>
    </r>
    <r>
      <rPr>
        <sz val="9"/>
        <color theme="4"/>
        <rFont val="Calibri"/>
        <family val="2"/>
        <scheme val="minor"/>
      </rPr>
      <t>, $0.160</t>
    </r>
    <r>
      <rPr>
        <sz val="9"/>
        <rFont val="Calibri"/>
        <family val="2"/>
        <scheme val="minor"/>
      </rPr>
      <t>/gal</t>
    </r>
    <r>
      <rPr>
        <sz val="9"/>
        <color theme="4"/>
        <rFont val="Calibri"/>
        <family val="2"/>
        <scheme val="minor"/>
      </rPr>
      <t>, $0.150</t>
    </r>
    <r>
      <rPr>
        <sz val="9"/>
        <rFont val="Calibri"/>
        <family val="2"/>
        <scheme val="minor"/>
      </rPr>
      <t>/gal for Regions 1, 2, 3, respectively.   Oil Spill Prevention, Control, and Compensation License fee: $0.0925/bbl plus a surcharge of $0.0425/bbl, all petroleum products ($0.003274/gal).</t>
    </r>
  </si>
  <si>
    <r>
      <t xml:space="preserve">Petroleum Distributor fee: $0.01/gal. Motor Fuel Transportation Infrastructure Assessment (MFTIA) fee: gasoline </t>
    </r>
    <r>
      <rPr>
        <sz val="9"/>
        <color theme="4"/>
        <rFont val="Calibri"/>
        <family val="2"/>
        <scheme val="minor"/>
      </rPr>
      <t>$0.0422</t>
    </r>
    <r>
      <rPr>
        <sz val="9"/>
        <rFont val="Calibri"/>
        <family val="2"/>
        <scheme val="minor"/>
      </rPr>
      <t>/gal.; diesel $0.03/gal. Motor Fuel Tax Assessment (MFTA) applies to gasoline only: $0.134/gal.</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</si>
  <si>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January 1, 2018. Sources: State and Territorial statutes and government agencies. </t>
    </r>
  </si>
  <si>
    <t>Updated August 2017</t>
  </si>
  <si>
    <t>Alaska</t>
  </si>
  <si>
    <r>
      <rPr>
        <sz val="9"/>
        <rFont val="Calibri"/>
        <family val="2"/>
        <scheme val="minor"/>
      </rPr>
      <t xml:space="preserve">2.25% state sales tax on gasoline, </t>
    </r>
    <r>
      <rPr>
        <sz val="9"/>
        <color theme="4"/>
        <rFont val="Calibri"/>
        <family val="2"/>
        <scheme val="minor"/>
      </rPr>
      <t>9.00%</t>
    </r>
    <r>
      <rPr>
        <sz val="9"/>
        <rFont val="Calibri"/>
        <family val="2"/>
        <scheme val="minor"/>
      </rPr>
      <t xml:space="preserve"> state sales tax on diesel (prepaid rates for these sales taxes: gasoline $0.05/gal; diesel </t>
    </r>
    <r>
      <rPr>
        <sz val="9"/>
        <color theme="4"/>
        <rFont val="Calibri"/>
        <family val="2"/>
        <scheme val="minor"/>
      </rPr>
      <t>$0.180</t>
    </r>
    <r>
      <rPr>
        <sz val="9"/>
        <rFont val="Calibri"/>
        <family val="2"/>
        <scheme val="minor"/>
      </rPr>
      <t xml:space="preserve">/gal).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 </t>
    </r>
    <r>
      <rPr>
        <sz val="9"/>
        <color theme="4"/>
        <rFont val="Calibri"/>
        <family val="2"/>
        <scheme val="minor"/>
      </rPr>
      <t>California will apply revised excise and sales tax rates, effective November 1, 2017.</t>
    </r>
    <r>
      <rPr>
        <sz val="9"/>
        <rFont val="Calibri"/>
        <family val="2"/>
        <scheme val="minor"/>
      </rPr>
      <t xml:space="preserve">  See http://www.boe.ca.gov/pdf/l500.pdf for more information.</t>
    </r>
  </si>
  <si>
    <r>
      <t xml:space="preserve">Environmental Response Surcharge (ERS Fee): </t>
    </r>
    <r>
      <rPr>
        <sz val="9"/>
        <color theme="4"/>
        <rFont val="Calibri"/>
        <family val="2"/>
        <scheme val="minor"/>
      </rPr>
      <t>$75</t>
    </r>
    <r>
      <rPr>
        <sz val="9"/>
        <rFont val="Calibri"/>
        <family val="2"/>
        <scheme val="minor"/>
      </rPr>
      <t xml:space="preserve"> per tanker load (8000 gallons) or </t>
    </r>
    <r>
      <rPr>
        <sz val="9"/>
        <color theme="4"/>
        <rFont val="Calibri"/>
        <family val="2"/>
        <scheme val="minor"/>
      </rPr>
      <t>$0.0094</t>
    </r>
    <r>
      <rPr>
        <sz val="9"/>
        <rFont val="Calibri"/>
        <family val="2"/>
        <scheme val="minor"/>
      </rPr>
      <t xml:space="preserve">/gal on all motor fuels. </t>
    </r>
  </si>
  <si>
    <t xml:space="preserve">The listed gasoline rate does not include additional local option taxes above the statewide minimum of $0.05/gal.  See http://dor.myflorida.com/dor/tips/pdf/14b05-01_chart.pdf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</si>
  <si>
    <t>Georgia Underground Storage Tank (GUST) fee on petro products: $0.005/gal.  The average retail price used for the Prepaid Local Tax (TSPLOST) changed as of 1/1/16; for more information, see https://dor.georgia.gov/motor-fuel-rates</t>
  </si>
  <si>
    <r>
      <t xml:space="preserve">In addition to State rates: Honolulu: $0.165/gal; Maui: $0.23/gal; </t>
    </r>
    <r>
      <rPr>
        <sz val="9"/>
        <color theme="4"/>
        <rFont val="Calibri"/>
        <family val="2"/>
        <scheme val="minor"/>
      </rPr>
      <t>Hawaii</t>
    </r>
    <r>
      <rPr>
        <sz val="9"/>
        <rFont val="Calibri"/>
        <family val="2"/>
        <scheme val="minor"/>
      </rPr>
      <t xml:space="preserve">: $0.088/gal ($0.15/gal as of Aug. 1, 2017); Kauai: $0.17/gal.  Environmental Response Tax $0.025/gal. </t>
    </r>
  </si>
  <si>
    <r>
      <t xml:space="preserve">"Part B", mandatory prepaid sales tax, aka "Tax Prepayment by Motor Fuel Retailers"  (sales tax is 6.25%): </t>
    </r>
    <r>
      <rPr>
        <sz val="9"/>
        <color theme="4"/>
        <rFont val="Calibri"/>
        <family val="2"/>
        <scheme val="minor"/>
      </rPr>
      <t>$0.13</t>
    </r>
    <r>
      <rPr>
        <sz val="9"/>
        <rFont val="Calibri"/>
        <family val="2"/>
        <scheme val="minor"/>
      </rPr>
      <t xml:space="preserve">/gal for gasoline and diesel. For gasohol and biodiesel (1 to 10% blends), the prepaid rate is $0.10/gal.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</si>
  <si>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$0.128</t>
    </r>
    <r>
      <rPr>
        <sz val="9"/>
        <rFont val="Calibri"/>
        <family val="2"/>
        <scheme val="minor"/>
      </rPr>
      <t xml:space="preserve">/gal as of 7/1/17.  </t>
    </r>
    <r>
      <rPr>
        <b/>
        <sz val="9"/>
        <rFont val="Calibri"/>
        <family val="2"/>
        <scheme val="minor"/>
      </rPr>
      <t xml:space="preserve"> A 7% sales tax applies at the pump to retail, on-highway use diesel before state and federal excise taxes are applied</t>
    </r>
    <r>
      <rPr>
        <sz val="9"/>
        <rFont val="Calibri"/>
        <family val="2"/>
        <scheme val="minor"/>
      </rPr>
      <t xml:space="preserve">. Oil Inspection fee: $0.01/gal.  </t>
    </r>
  </si>
  <si>
    <r>
      <t xml:space="preserve">Environmental Assurance Fee: </t>
    </r>
    <r>
      <rPr>
        <sz val="9"/>
        <color theme="4"/>
        <rFont val="Calibri"/>
        <family val="2"/>
        <scheme val="minor"/>
      </rPr>
      <t>$0.01</t>
    </r>
    <r>
      <rPr>
        <sz val="9"/>
        <rFont val="Calibri"/>
        <family val="2"/>
        <scheme val="minor"/>
      </rPr>
      <t>/gal (</t>
    </r>
    <r>
      <rPr>
        <sz val="9"/>
        <color theme="4"/>
        <rFont val="Calibri"/>
        <family val="2"/>
        <scheme val="minor"/>
      </rPr>
      <t>only periodically in effect</t>
    </r>
    <r>
      <rPr>
        <sz val="9"/>
        <rFont val="Calibri"/>
        <family val="2"/>
        <scheme val="minor"/>
      </rPr>
      <t>). Petroleum Product Inspection Fee: 0.015 cents per barrel (bbl = 50 gals) or $0.0003/gal.</t>
    </r>
  </si>
  <si>
    <r>
      <t>Underground Storage Tank Petroleum Product Cleanup Fund Delivery fee: $257.15 per 10k load ($0.025715/gal).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</si>
  <si>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July 2017 Prepaid Sales Tax rates on fuels:  gasoline </t>
    </r>
    <r>
      <rPr>
        <sz val="9"/>
        <color theme="4"/>
        <rFont val="Calibri"/>
        <family val="2"/>
        <scheme val="minor"/>
      </rPr>
      <t>$0.122</t>
    </r>
    <r>
      <rPr>
        <sz val="9"/>
        <rFont val="Calibri"/>
        <family val="2"/>
        <scheme val="minor"/>
      </rPr>
      <t xml:space="preserve">/gal; diesel fuel </t>
    </r>
    <r>
      <rPr>
        <sz val="9"/>
        <color theme="4"/>
        <rFont val="Calibri"/>
        <family val="2"/>
        <scheme val="minor"/>
      </rPr>
      <t>$0.129</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$0.00875/gal all products. </t>
    </r>
  </si>
  <si>
    <r>
      <t>Petroleum Tank Release Cleanup Fee (</t>
    </r>
    <r>
      <rPr>
        <sz val="9"/>
        <color theme="4"/>
        <rFont val="Calibri"/>
        <family val="2"/>
        <scheme val="minor"/>
      </rPr>
      <t>not currently in effect</t>
    </r>
    <r>
      <rPr>
        <sz val="9"/>
        <rFont val="Calibri"/>
        <family val="2"/>
        <scheme val="minor"/>
      </rPr>
      <t>): $20 per 1,000 gallons ($0.02/gal). Inspection fee: $1 for every 1,000 gallons received ($0.001/gal).</t>
    </r>
  </si>
  <si>
    <r>
      <t xml:space="preserve">Petroleum Products Gross Receipts Tax - requires quarterly adjustment. As of 7/1/17: $.226/gal for gasoline, </t>
    </r>
    <r>
      <rPr>
        <sz val="9"/>
        <color theme="4"/>
        <rFont val="Calibri"/>
        <family val="2"/>
        <scheme val="minor"/>
      </rPr>
      <t>$0.307</t>
    </r>
    <r>
      <rPr>
        <sz val="9"/>
        <rFont val="Calibri"/>
        <family val="2"/>
        <scheme val="minor"/>
      </rPr>
      <t>/gal for diesel fuel.  Spill Compensation and Control Act: $0.023  per barrel ($0.0005/gal) on all petroleum products.</t>
    </r>
  </si>
  <si>
    <r>
      <t xml:space="preserve">Petroleum Business Tax (13-A) - requires annual adjustment (gasoline $0.162/gal, diesel $0.1445/gal).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$0.175/gal, $0.21/gal, $0.16/gal for Regions 1, 2, 3, respectively.   Oil Spill Prevention, Control, and Compensation License fee: </t>
    </r>
    <r>
      <rPr>
        <sz val="9"/>
        <color theme="4"/>
        <rFont val="Calibri"/>
        <family val="2"/>
        <scheme val="minor"/>
      </rPr>
      <t>$0.0925</t>
    </r>
    <r>
      <rPr>
        <sz val="9"/>
        <rFont val="Calibri"/>
        <family val="2"/>
        <scheme val="minor"/>
      </rPr>
      <t>/bbl plus a surcharge of $0.0425/bbl, all petroleum products ($0.003274/gal).</t>
    </r>
  </si>
  <si>
    <t>Petroleum Distributor fee: $0.01/gal. Motor Fuel Transportation Infrastructure Assessment (MFTIA) fee: gasoline $0.0396/gal.; diesel $0.03/gal. Motor Fuel Tax Assessment (MFTA) applies to gasoline only: $0.134/gal.</t>
  </si>
  <si>
    <r>
      <t xml:space="preserve">Excise tax $0.205/gal, Consumers Sales and Service Tax as of 7/1/17: </t>
    </r>
    <r>
      <rPr>
        <sz val="9"/>
        <color theme="4"/>
        <rFont val="Calibri"/>
        <family val="2"/>
        <scheme val="minor"/>
      </rPr>
      <t>$0.152</t>
    </r>
    <r>
      <rPr>
        <sz val="9"/>
        <rFont val="Calibri"/>
        <family val="2"/>
        <scheme val="minor"/>
      </rPr>
      <t xml:space="preserve">/gal.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</si>
  <si>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July 1, 2017. Sources: State and Territorial statutes and government agencies. </t>
    </r>
  </si>
  <si>
    <t>Updated February 2017</t>
  </si>
  <si>
    <r>
      <rPr>
        <sz val="9"/>
        <rFont val="Calibri"/>
        <family val="2"/>
        <scheme val="minor"/>
      </rPr>
      <t xml:space="preserve">2.25% state sales tax on gasoline, 9.42% state sales tax on diesel (prepaid rates for these sales taxes: gasoline $0.05/gal; </t>
    </r>
    <r>
      <rPr>
        <sz val="9"/>
        <color theme="4"/>
        <rFont val="Calibri"/>
        <family val="2"/>
        <scheme val="minor"/>
      </rPr>
      <t>diesel $0.170/gal</t>
    </r>
    <r>
      <rPr>
        <sz val="9"/>
        <rFont val="Calibri"/>
        <family val="2"/>
        <scheme val="minor"/>
      </rPr>
      <t xml:space="preserve">).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  </t>
    </r>
  </si>
  <si>
    <t>Georgia Underground Storage Tank (GUST) fee on petro products: $0.005/gal.  The average retail price used for the Prepaid Local Tax (TSPLOST) will change as of 1/1/16; for more information, see https://dor.georgia.gov/motor-fuel-rates</t>
  </si>
  <si>
    <t xml:space="preserve">In addition to State rates: Honolulu: $0.165/gal; Maui: $0.23/gal; Hawaii: $0.088/gal; Kauai: $0.17/gal.  Environmental Response Tax $0.025/gal. </t>
  </si>
  <si>
    <t xml:space="preserve">"Part B", mandatory prepaid sales tax, aka "Tax Prepayment by Motor Fuel Retailers"  (sales tax is 6.25%): $0.12/gal for gasoline and diesel. For gasohol and biodiesel (1 to 10% blends), the prepaid rate is $0.10/gal.  Underground Storage Tank tax: $0.003/gal; Environmental Impact Fee: $0.008/gal.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</si>
  <si>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$0.116/gal</t>
    </r>
    <r>
      <rPr>
        <sz val="9"/>
        <rFont val="Calibri"/>
        <family val="2"/>
        <scheme val="minor"/>
      </rPr>
      <t xml:space="preserve"> as of 1/1/17.  </t>
    </r>
    <r>
      <rPr>
        <b/>
        <sz val="9"/>
        <rFont val="Calibri"/>
        <family val="2"/>
        <scheme val="minor"/>
      </rPr>
      <t xml:space="preserve"> A 7% sales tax applies at the pump to retail, on-highway use diesel before state and federal excise taxes are applied</t>
    </r>
    <r>
      <rPr>
        <sz val="9"/>
        <rFont val="Calibri"/>
        <family val="2"/>
        <scheme val="minor"/>
      </rPr>
      <t xml:space="preserve">. Oil Inspection fee: $0.01/gal.  </t>
    </r>
  </si>
  <si>
    <r>
      <t xml:space="preserve">Rate for ethanol-blended gasoline: $0.29/gal. Rate for B11 (or higher) diesel: $0.295/gal.  Environmental Protection Charge (EPC): </t>
    </r>
    <r>
      <rPr>
        <sz val="9"/>
        <color theme="4"/>
        <rFont val="Calibri"/>
        <family val="2"/>
        <scheme val="minor"/>
      </rPr>
      <t>Repealed as of 12/31/16</t>
    </r>
    <r>
      <rPr>
        <sz val="9"/>
        <rFont val="Calibri"/>
        <family val="2"/>
        <scheme val="minor"/>
      </rPr>
      <t xml:space="preserve"> ($0.01/gal on petroleum products).</t>
    </r>
  </si>
  <si>
    <r>
      <t xml:space="preserve">Environmental Assurance Fee: </t>
    </r>
    <r>
      <rPr>
        <sz val="9"/>
        <color theme="4"/>
        <rFont val="Calibri"/>
        <family val="2"/>
        <scheme val="minor"/>
      </rPr>
      <t>as of 9/1/16,</t>
    </r>
    <r>
      <rPr>
        <sz val="9"/>
        <rFont val="Calibri"/>
        <family val="2"/>
        <scheme val="minor"/>
      </rPr>
      <t xml:space="preserve"> </t>
    </r>
    <r>
      <rPr>
        <sz val="9"/>
        <color theme="4"/>
        <rFont val="Calibri"/>
        <family val="2"/>
        <scheme val="minor"/>
      </rPr>
      <t>not in effect until further notice</t>
    </r>
    <r>
      <rPr>
        <sz val="9"/>
        <rFont val="Calibri"/>
        <family val="2"/>
        <scheme val="minor"/>
      </rPr>
      <t xml:space="preserve"> ($0.01/gal). Petroleum Product Inspection Fee: 0.015 cents per barrel (bbl = 50 gals) or $0.0003/gal.</t>
    </r>
  </si>
  <si>
    <t>CPI component $0.012/gal as of 7/1/16, Sales and Use Tax Equivalent rate (SUTE) component $0.088/gal as of 7/1/16. Oil transfer Fee: $0.08 per barrel ($0.0019/gal) of oil transferred into the State.</t>
  </si>
  <si>
    <r>
      <t>Underground Storage Tank Petroleum Product Cleanup Fund Delivery fee:</t>
    </r>
    <r>
      <rPr>
        <sz val="9"/>
        <color theme="4"/>
        <rFont val="Calibri"/>
        <family val="2"/>
        <scheme val="minor"/>
      </rPr>
      <t xml:space="preserve"> $257.15 per 10k load </t>
    </r>
    <r>
      <rPr>
        <sz val="9"/>
        <rFont val="Calibri"/>
        <family val="2"/>
        <scheme val="minor"/>
      </rPr>
      <t>(</t>
    </r>
    <r>
      <rPr>
        <sz val="9"/>
        <color theme="4"/>
        <rFont val="Calibri"/>
        <family val="2"/>
        <scheme val="minor"/>
      </rPr>
      <t>$0.025715/gal</t>
    </r>
    <r>
      <rPr>
        <sz val="9"/>
        <rFont val="Calibri"/>
        <family val="2"/>
        <scheme val="minor"/>
      </rPr>
      <t>). Underground Storage Tank fee: $250 per year, per tank. Uniform Oil Response +</t>
    </r>
    <r>
      <rPr>
        <b/>
        <sz val="9"/>
        <rFont val="Calibri"/>
        <family val="2"/>
        <scheme val="minor"/>
      </rPr>
      <t xml:space="preserve"> </t>
    </r>
    <r>
      <rPr>
        <sz val="9"/>
        <rFont val="Calibri"/>
        <family val="2"/>
        <scheme val="minor"/>
      </rPr>
      <t>Prevention fee: $0.05/barrel ($0.001/gal), all products.</t>
    </r>
  </si>
  <si>
    <r>
      <t xml:space="preserve">The January 2017 Prepaid Sales Tax rates on fuels:  gasoline </t>
    </r>
    <r>
      <rPr>
        <sz val="9"/>
        <color theme="4"/>
        <rFont val="Calibri"/>
        <family val="2"/>
        <scheme val="minor"/>
      </rPr>
      <t>$0.109/gal</t>
    </r>
    <r>
      <rPr>
        <sz val="9"/>
        <rFont val="Calibri"/>
        <family val="2"/>
        <scheme val="minor"/>
      </rPr>
      <t xml:space="preserve">; diesel fuel </t>
    </r>
    <r>
      <rPr>
        <sz val="9"/>
        <color theme="4"/>
        <rFont val="Calibri"/>
        <family val="2"/>
        <scheme val="minor"/>
      </rPr>
      <t>$0.126/gal</t>
    </r>
    <r>
      <rPr>
        <sz val="9"/>
        <rFont val="Calibri"/>
        <family val="2"/>
        <scheme val="minor"/>
      </rPr>
      <t xml:space="preserve">.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$0.00875/gal all products. </t>
    </r>
  </si>
  <si>
    <r>
      <t>Petroleum Tank Release Cleanup Fee (</t>
    </r>
    <r>
      <rPr>
        <sz val="9"/>
        <color theme="4"/>
        <rFont val="Calibri"/>
        <family val="2"/>
        <scheme val="minor"/>
      </rPr>
      <t>in effect 1/1/17-4/30/17</t>
    </r>
    <r>
      <rPr>
        <sz val="9"/>
        <rFont val="Calibri"/>
        <family val="2"/>
        <scheme val="minor"/>
      </rPr>
      <t>): $20 per 1,000 gallons ($0.02/gal). Inspection fee: $1 for every 1,000 gallons received ($0.001/gal).</t>
    </r>
  </si>
  <si>
    <t>Petroleum Inspection fee:  $0.025 per 50 gallons ($0.0005/gal); Transport Load Fee $20.00 per 8,000 gallons ($0.0025/gal).</t>
  </si>
  <si>
    <r>
      <t xml:space="preserve">Petroleum Products Gross Receipts Tax - requires quarterly adjustment. As of 1/1/17: </t>
    </r>
    <r>
      <rPr>
        <sz val="9"/>
        <color theme="4"/>
        <rFont val="Calibri"/>
        <family val="2"/>
        <scheme val="minor"/>
      </rPr>
      <t>$.226/gal for gasoline, $0.199/gal for diesel fuel</t>
    </r>
    <r>
      <rPr>
        <sz val="9"/>
        <rFont val="Calibri"/>
        <family val="2"/>
        <scheme val="minor"/>
      </rPr>
      <t>.  Spill Compensation and Control Act: $0.023  per barrel ($0.0005/gal) on all petroleum products.</t>
    </r>
  </si>
  <si>
    <r>
      <t>Petroleum Business Tax (13-A) - requires annual adjustment (</t>
    </r>
    <r>
      <rPr>
        <sz val="9"/>
        <color theme="4"/>
        <rFont val="Calibri"/>
        <family val="2"/>
        <scheme val="minor"/>
      </rPr>
      <t>gasoline $0.162/gal, diesel $0.1445/gal</t>
    </r>
    <r>
      <rPr>
        <sz val="9"/>
        <rFont val="Calibri"/>
        <family val="2"/>
        <scheme val="minor"/>
      </rPr>
      <t>).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$0.175/gal, $0.21/gal, $0.16/gal for Regions 1, 2, 3, respectively.   Oil Spill Prevention, Control, and Compensation License fee: $0.08/bbl plus a surcharge of $0.0425/bbl, all petroleum products ($0.0029/gal).</t>
    </r>
  </si>
  <si>
    <t>Petroleum Distributor fee: $0.01/gal. Motor Fuel Transportation Infrastructure Assessment (MFTIA)fee: gasoline $0.0396/gal.; diesel $0.03/gal. Motor Fuel Tax Assessment (MFTA) applies to gasoline only: $0.134/gal.</t>
  </si>
  <si>
    <t xml:space="preserve">Excise tax $0.205/gal, Consumers Sales and Service Tax: $0.117/gal. </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</si>
  <si>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January 1, 2017. Sources: State and Territorial statutes and government agencies. </t>
    </r>
  </si>
  <si>
    <r>
      <rPr>
        <sz val="9"/>
        <rFont val="Calibri"/>
        <family val="2"/>
        <scheme val="minor"/>
      </rPr>
      <t xml:space="preserve">2.25% state sales tax on gasoline, 9.42% state sales tax on diesel (prepaid rates for these sales taxes: gasoline $0.05/gal; diesel $0.225/gal).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  </t>
    </r>
  </si>
  <si>
    <t xml:space="preserve">The listed gasoline rate does not include additional local option taxes above the statewide minimum of $0.05/gal.  See http://dor.myflorida.com/dor/tips/pdf/14b05-01_chart.pdf for more information.  Environmental taxes and other fees: Coastal Protection tax $0.00048/gal; Water Quality tax $0.0012/gal; Inland Protection tax  $0.019/gal; Petroleum Inspection fee $0.00125/gal on gasoline, kerosene and No. 1 fuel oil. Total of these additional taxes and fees: $0.02193/gal for gasoline, $0.02068/gal for diesel. </t>
  </si>
  <si>
    <t xml:space="preserve">"Part B", mandatory prepaid sales tax, aka "Tax Prepayment by Motor Fuel Retailers"  (sales tax is 6.25%): $0.13/gal for gasoline and diesel. For gasohol and biodiesel (1 to 10% blends), the prepaid rate is $0.10/gal.  Underground Storage Tank tax: $0.003/gal; Environmental Impact Fee: $0.008/gal.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</si>
  <si>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$0.141/gal as of 7/1/16.  </t>
    </r>
    <r>
      <rPr>
        <b/>
        <sz val="9"/>
        <rFont val="Calibri"/>
        <family val="2"/>
        <scheme val="minor"/>
      </rPr>
      <t xml:space="preserve"> A 7% sales tax applies at the pump to retail, on-highway use diesel before state and federal excise taxes are applied</t>
    </r>
    <r>
      <rPr>
        <sz val="9"/>
        <rFont val="Calibri"/>
        <family val="2"/>
        <scheme val="minor"/>
      </rPr>
      <t xml:space="preserve">. Oil Inspection fee: $0.01/gal.  </t>
    </r>
  </si>
  <si>
    <t>Rate for ethanol-blended gasoline: $0.29/gal. Rate for B11 (or higher) diesel: $0.295/gal.  Environmental Protection Charge: $0.01/gal on petroleum products.</t>
  </si>
  <si>
    <t>Environmental Assurance Fee: $0.01/gal. Petroleum Product Inspection Fee: 0.015 cents per barrel (bbl = 50 gals) or $0.0003/gal.</t>
  </si>
  <si>
    <t xml:space="preserve">Maine Coastal and Inland Surface Oil Clean-up Fund fee (no longer in effect after July 3, 2015): $0.03 per barrel ($0.0007/gal) for all crude oil and refined oil, including #6 fuel oil, #2 fuel oil, kerosene, gasoline, jet fuel, diesel fuel and liquid asphalt.  Ground Water Oil Clean-up Fund fees: $0.59 per barrel ($0.014/gal) of gasoline; $0.28 per barrel ($0.0067/gal) of refined petroleum products and their by-products (other than gasoline and #6 fuel oil), including #2 fuel oil, kerosene, jet fuel and diesel fuel; and $0.04 per barrel of #6 fuel oil.  Petroleum Marketing Fund Fee: $0.40 per 10,000 gallons of home heating oil and motor fuel oil.  </t>
  </si>
  <si>
    <r>
      <t>Underground Storage Tank Petroleum Product Cleanup Fund Delivery fee: $255.10 per 10k load ($0.02551/gal). Underground Storage Tank fee: $250 per year, per tank. Uniform Oil Response +</t>
    </r>
    <r>
      <rPr>
        <b/>
        <sz val="9"/>
        <rFont val="Calibri"/>
        <family val="2"/>
        <scheme val="minor"/>
      </rPr>
      <t xml:space="preserve"> </t>
    </r>
    <r>
      <rPr>
        <sz val="9"/>
        <rFont val="Calibri"/>
        <family val="2"/>
        <scheme val="minor"/>
      </rPr>
      <t>Prevention fee: $0.05/barrel ($0.001/gal), all products.</t>
    </r>
  </si>
  <si>
    <r>
      <t xml:space="preserve">The July 2016 Prepaid Sales Tax rates on fuels:  gasoline $0.122/gal; diesel fuel $0.122/gal.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$0.00875/gal all products. </t>
    </r>
  </si>
  <si>
    <t>Petroleum Tank Release Cleanup Fee (not currently in effect): $20 per 1,000 gallons ($0.02/gal). Inspection fee: $1 for every 1,000 gallons received ($0.001/gal).</t>
  </si>
  <si>
    <t>Petroleum Products Gross Receipts Tax: $0.04/gal.  Spill Compensation and Control Act: $0.023  per barrel ($0.0005/gal) on all petroleum products.</t>
  </si>
  <si>
    <t>Petroleum Business Tax (13-A) - requires annual adjustment (gasoline $0.17/gal, diesel $0.1525/gal).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$0.175/gal, $0.21/gal, $0.16/gal for Regions 1, 2, 3, respectively.   Oil Spill Prevention, Control, and Compensation License fee: $0.08/bbl plus a surcharge of $0.0425/bbl, all petroleum products ($0.0029/gal).</t>
  </si>
  <si>
    <t>A variable rate is calculated annually and replaces the OCS and Liquid Fuels Tax (see PA Bulletin for updated rate info).  Underground Storage Tank Fund fee: $0.011/gal.  See PA Insurance Dept, Bureau of Special Funds, USTIF for UST fees.</t>
  </si>
  <si>
    <t>Petroleum Distributor fee: $0.01/gal.  Motor Fuel Transportation Infrastructure Assessment (MFTIA)fee: gasoline $0.0396/gal.; diesel $0.03/gal.  Motor Fuel Tax Assessment (MFTA) applies to gasoline only: $0.134/gal.</t>
  </si>
  <si>
    <t xml:space="preserve">Excise tax $0.205/gal, Consumers Sales and Service Tax: $0.127/gal. </t>
  </si>
  <si>
    <t xml:space="preserve">Questions concerning this information may be directed to:  </t>
  </si>
  <si>
    <r>
      <rPr>
        <sz val="9"/>
        <rFont val="Calibri"/>
        <family val="2"/>
      </rPr>
      <t xml:space="preserve">2.25% state sales tax on gasoline, 9.42% state sales tax on diesel (prepaid rates for these sales taxes: gasoline $0.05/gal; diesel $0.225/gal).  </t>
    </r>
    <r>
      <rPr>
        <b/>
        <sz val="9"/>
        <rFont val="Calibri"/>
        <family val="2"/>
      </rPr>
      <t>Additional District sales taxes may apply.</t>
    </r>
    <r>
      <rPr>
        <sz val="9"/>
        <rFont val="Calibri"/>
        <family val="2"/>
      </rPr>
      <t xml:space="preserve">  State Underground Storage Tank fee (all products): $0.02/gal. Oil Spill Prevention and Administration Fee (all products): $0.065 per barrel ($0.00155/gal).  </t>
    </r>
  </si>
  <si>
    <t xml:space="preserve">In addition to State rates: Honolulu: $0.165/gal; Maui: $0.18/gal; Hawaii: $0.088/gal; Kauai: $0.17/gal.  Environmental Response Tax $0.025/gal.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</si>
  <si>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rPr>
      <t>The Gasoline Use Tax is calculated on a monthly basis</t>
    </r>
    <r>
      <rPr>
        <sz val="9"/>
        <rFont val="Calibri"/>
        <family val="2"/>
      </rPr>
      <t xml:space="preserve"> (see Departmental Notices for new rates). The rate is $0.10/gal as of 1/1/16.  </t>
    </r>
    <r>
      <rPr>
        <b/>
        <sz val="9"/>
        <rFont val="Calibri"/>
        <family val="2"/>
      </rPr>
      <t xml:space="preserve"> A 7% sales tax applies at the pump to retail, on-highway use diesel before state and federal excise taxes are applied</t>
    </r>
    <r>
      <rPr>
        <sz val="9"/>
        <rFont val="Calibri"/>
        <family val="2"/>
      </rPr>
      <t xml:space="preserve">. Oil Inspection fee: $0.01/gal.  </t>
    </r>
  </si>
  <si>
    <t>Rate for ethanol-blended gasoline: $0.293/gal.  Environmental Protection Charge: $0.01/gal on petroleum products.</t>
  </si>
  <si>
    <t>Petroleum Storage Tank Environmental Assurance Fee: $0.014/gal.  Rates are calculated quarterly on the average wholesale price of fuel.  Beginning July 1, 2016, rates will be calculated and adjusted on an annual basis.</t>
  </si>
  <si>
    <t xml:space="preserve">Maine Coastal and Inland Surface Oil Clean-up Fund fee (no longer in effect after July 3, 2015): $0.03 per barrel ($0.0007/gal) for all crude oil and refined oil, including #6 fuel oil, #2 fuel oil, kerosene, gasoline, jet fuel, diesel fuel and liquid asphalt.  Ground Water Oil Clean-up Fund fees: $0.59 per barrel ($0.014/gal) of gasoline; $0.28 per barrel ($0.0067/gal) of refined petroleum products and their by-products (other than gasoline and #6 fuel oil), including #2 fuel oil, kerosene, jet fuel and diesel fuel; and $0.04 per barrel of #6 fuel oil.   Petroleum Marketing Fund Fee: $0.40 per 10,000 gallons of home heating oil and motor fuel oil.  </t>
  </si>
  <si>
    <t>CPI component $0.011/gal as of 1/1/16, Sales and Use Tax Equivalent rate (SUTE) component $0.08/gal as of 1/1/16. Oil transfer Fee: $0.08 per barrel ($0.0019/gal) of oil transferred into the State.</t>
  </si>
  <si>
    <r>
      <t>Underground Storage Tank Petroleum Product Cleanup Fund Delivery fee: $255.10 per 10k load ($0.02551/gal). Underground Storage Tank fee: $250 per year, per tank. Uniform Oil Response +</t>
    </r>
    <r>
      <rPr>
        <b/>
        <sz val="9"/>
        <rFont val="Calibri"/>
        <family val="2"/>
      </rPr>
      <t xml:space="preserve"> </t>
    </r>
    <r>
      <rPr>
        <sz val="9"/>
        <rFont val="Calibri"/>
        <family val="2"/>
      </rPr>
      <t>Prevention fee: 5.0 ¢/barrel ($0.001/gal), all products.</t>
    </r>
  </si>
  <si>
    <r>
      <t xml:space="preserve">The January 2015 Prepaid Sales Tax rates on fuels:  gasoline $0.11/gal; diesel fuel $0.146/gal. </t>
    </r>
    <r>
      <rPr>
        <b/>
        <u/>
        <sz val="9"/>
        <rFont val="Calibri"/>
        <family val="2"/>
      </rPr>
      <t>NOTE</t>
    </r>
    <r>
      <rPr>
        <sz val="9"/>
        <rFont val="Calibri"/>
        <family val="2"/>
      </rPr>
      <t xml:space="preserve">: The prepaid sales tax rates are calculated each month, see Revenue Administrative Bulletins (RABs) for current rates.  Environmental protection regulatory fee: $0.00875/gal all products. </t>
    </r>
  </si>
  <si>
    <t>Petroleum Tank Release Cleanup Fee(back in effect 10/1/15 - 1/31/16): $20 per 1,000 gallons ($0.02/gal). Inspection fee: $1 for every 1,000 gallons received ($0.001/gal).</t>
  </si>
  <si>
    <t xml:space="preserve">Inspection Fee (applies to all gasoline): $0.02/gal. The Inspection Fee only applies to diesel fuel that is not subject to excise.  Storage Tank Trust Fund Charge: $0.01/gal.  Wholesale Oil License fee: $0.0075/gal on diesel fuel only.  LOTs arithmetic average = $0.0185/gal. No sales tax when excise is paid.  </t>
  </si>
  <si>
    <t xml:space="preserve">Georgia Underground Storage Tank (GUST) fee on petro products: $0.005/gal.  The average retail price used for the Prepaid Local Tax will change as of 7/1/15. </t>
  </si>
  <si>
    <t xml:space="preserve">In addition to State rates: Honolulu: $0.165/gal; Maui: $0.160/gal; Hawaii: $0.088/gal; Kauai: $0.170/gal.  Environmental Response Tax $0.025/gal. </t>
  </si>
  <si>
    <t xml:space="preserve">"Part B", mandatory prepaid sales tax, aka "Tax Prepayment by Motor Fuel Retailers"  (sales tax is 6.25%): $0.14/gal for gasoline and diesel. For gasohol and biodiesel (1 to 10% blends), the prepaid rate is $0.11/gal.  Underground Storage Tank tax: $0.003/gal; Environmental Impact Fee: $0.008/gal.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</si>
  <si>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$0.158/gal as of 7/1/15.  </t>
    </r>
    <r>
      <rPr>
        <b/>
        <sz val="9"/>
        <rFont val="Calibri"/>
        <family val="2"/>
        <scheme val="minor"/>
      </rPr>
      <t xml:space="preserve"> A 7% sales tax applies at the pump to retail, on-highway use diesel before state and federal excise taxes are applied</t>
    </r>
    <r>
      <rPr>
        <sz val="9"/>
        <rFont val="Calibri"/>
        <family val="2"/>
        <scheme val="minor"/>
      </rPr>
      <t xml:space="preserve">. Oil Inspection fee: $0.01/gal.  </t>
    </r>
  </si>
  <si>
    <t xml:space="preserve">Petroleum Storage Tank Environmental Assurance Fee: $0.014/gal.  Rates are calculated quarterly on the average wholesale price of fuel.  </t>
  </si>
  <si>
    <t xml:space="preserve">Maine Coastal and Inland Surface Oil Clean-up Fund fee: $0.03 per barrel ($0.0007/gal) for all crude oil and refined oil, including #6 fuel oil, #2 fuel oil, kerosene, gasoline, jet fuel, diesel fuel and liquid asphalt.  Ground Water Oil Clean-up Fund fees: $0.56 per barrel ($0.0133/gal) of gasoline; $0.25 per barrel ($0.0059/gal) of refined petroleum products and their by-products (other than gasoline and #6 fuel oil), including #2 fuel oil, kerosene, jet fuel and diesel fuel; and $0.04 per barrel of #6 fuel oil.   Petroleum Marketing Fund Fee: $0.40 per 10,000 gallons of home heating oil and motor fuel oil.  </t>
  </si>
  <si>
    <t>CPI component $0.008/gal as of 1/1/15, Sales and Use Tax Equivalent rate (SUTE) component $0.06/gal as of 1/1/15. Oil transfer Fee: $0.0775 cents per barrel ($0.0018/gal) of oil transferred into the State.</t>
  </si>
  <si>
    <r>
      <t>Underground Storage Tank Petroleum Product Cleanup Fund Delivery fee: $253.95 per 10k load ($0.025395/gal). Underground Storage Tank fee: $250 per year, per tank. Uniform Oil Response +</t>
    </r>
    <r>
      <rPr>
        <b/>
        <sz val="9"/>
        <rFont val="Calibri"/>
        <family val="2"/>
        <scheme val="minor"/>
      </rPr>
      <t xml:space="preserve"> </t>
    </r>
    <r>
      <rPr>
        <sz val="9"/>
        <rFont val="Calibri"/>
        <family val="2"/>
        <scheme val="minor"/>
      </rPr>
      <t>Prevention fee: 5.0 ¢/barrel ($0.001/gal), all products.</t>
    </r>
  </si>
  <si>
    <r>
      <t xml:space="preserve">The July 2015 Prepaid Sales Tax rates on fuels:  gasoline $0.138/gal; diesel fuel $0.152/gal.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$0.00875/gal all products. </t>
    </r>
  </si>
  <si>
    <t>Petroleum Business Tax (13-A) - requires annual adjustment (gasoline $0.178/gal, diesel $0.1605/gal).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$0.175/gal, $0.21/gal, $0.16/gal for Regions 1, 2, 3, respectively.   Oil Spill Prevention, Control, and Compensation License fee: $0.08/bbl plus a surcharge of $0.0425/bbl, all petroleum products ($0.0029/gal).</t>
  </si>
  <si>
    <t>Petroleum Distributor fee: $0.01/gal.  Motor Fuel Transportation Infrastructure Assessment (MFTIA)fee: gasoline $0.0431/gal.;  diesel $0.03/gal.  Motor Fuel Tax Assessment (MFTA) applies to gasoline only: $0.134/gal.</t>
  </si>
  <si>
    <t>Oil Spill Administration Tax: $0.04 per barrel ($0.0009523/gal).  Hazardous Substance tax: .007 times the w/s price of the substance.  "Border Zone Area Motor Fuel Tax" $0.01/gal in counties bordering Canada.</t>
  </si>
  <si>
    <t xml:space="preserve">Excise tax $0.205/gal, Consumers Sales and Service Tax: $0.141/gal. </t>
  </si>
  <si>
    <t>Total State</t>
  </si>
  <si>
    <t>Arkansas[3]</t>
  </si>
  <si>
    <t xml:space="preserve">California[3][4]  </t>
  </si>
  <si>
    <r>
      <rPr>
        <sz val="9"/>
        <rFont val="Calibri"/>
        <family val="2"/>
        <scheme val="minor"/>
      </rPr>
      <t xml:space="preserve">2.25% state sales tax on gasoline, 9.42% state sales tax on diesel (prepaid rates for these sales taxes: gasoline $0.065/gal; diesel $0.27/gal).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  </t>
    </r>
  </si>
  <si>
    <t xml:space="preserve">Connecticut[3]  </t>
  </si>
  <si>
    <t xml:space="preserve">Florida[3][4]  </t>
  </si>
  <si>
    <t xml:space="preserve">Georgia[3][4]  </t>
  </si>
  <si>
    <r>
      <t>Other taxes apply: a 3% Second Motor Fuel Tax, and a 1% Sales and Use Tax for a combined rate of 4%. These taxes are applied on a pre-paid, cents-per-gallon basis.  The rates are calculated semi-annually (adjustment of the prepaid state rates suspended for the period beginning 7/1/14; rates frozen at 1/1/14 levels</t>
    </r>
    <r>
      <rPr>
        <b/>
        <sz val="9"/>
        <rFont val="Calibri"/>
        <family val="2"/>
        <scheme val="minor"/>
      </rPr>
      <t>. This freeze does not apply to Prepaid Local Tax (i.e., the local 1% sales and use tax</t>
    </r>
    <r>
      <rPr>
        <sz val="9"/>
        <rFont val="Calibri"/>
        <family val="2"/>
        <scheme val="minor"/>
      </rPr>
      <t xml:space="preserve">)).  The mandatory prepaid rates for the 4% State S&amp;U tax are: $0.118/gal for gasoline, $0.138/gal for diesel. Georgia Underground Storage Tank (GUST) fee on petro products: $0.005/gal.  The average retail price used for the Prepaid Local Tax will change as of 4/1/15. </t>
    </r>
  </si>
  <si>
    <t xml:space="preserve">Hawaii[3][4]  </t>
  </si>
  <si>
    <t xml:space="preserve">Illinois[3][4]  </t>
  </si>
  <si>
    <t xml:space="preserve">"Part B", mandatory prepaid sales tax, aka "Tax Prepayment by Motor Fuel Retailers"  (sales tax is 6.25%): $0.19/gal for gasoline and diesel. For gasohol and biodiesel (1 to 10% blends), the prepaid rate is $0.15/gal.  Underground Storage Tank tax: $0.003/gal; Environmental Impact Fee: $0.008/gal.  </t>
  </si>
  <si>
    <t xml:space="preserve">Indiana[3]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</si>
  <si>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$0.152/gal as of 1/1/15.  </t>
    </r>
    <r>
      <rPr>
        <b/>
        <sz val="9"/>
        <rFont val="Calibri"/>
        <family val="2"/>
        <scheme val="minor"/>
      </rPr>
      <t xml:space="preserve"> A 7% sales tax applies at the pump to retail, on-highway use diesel before state and federal excise taxes are applied</t>
    </r>
    <r>
      <rPr>
        <sz val="9"/>
        <rFont val="Calibri"/>
        <family val="2"/>
        <scheme val="minor"/>
      </rPr>
      <t xml:space="preserve">. Oil Inspection fee: $0.01/gal.  </t>
    </r>
  </si>
  <si>
    <t xml:space="preserve">Iowa[3]  </t>
  </si>
  <si>
    <t>Rates will increase on March 1, 2015.  Rate for ethanol-blended gasoline: $0.19/gal.  Environmental Protection Charge: $0.01/gal on petroleum products.</t>
  </si>
  <si>
    <t xml:space="preserve">Michigan[3] </t>
  </si>
  <si>
    <r>
      <t xml:space="preserve">The January 2015 Prepaid Sales Tax Rates on Fuels:  gasoline $0.156/gal; diesel fuel $0.215/gal. </t>
    </r>
    <r>
      <rPr>
        <b/>
        <u/>
        <sz val="9"/>
        <rFont val="Calibri"/>
        <family val="2"/>
        <scheme val="minor"/>
      </rPr>
      <t>NOTE</t>
    </r>
    <r>
      <rPr>
        <sz val="9"/>
        <rFont val="Calibri"/>
        <family val="2"/>
        <scheme val="minor"/>
      </rPr>
      <t xml:space="preserve">: The prepaid sales tax rates are now calculated each month, see Revenue Administrative Bulletins (RABs).  Environmental protection regulatory fee: $0.00875/gal all products. </t>
    </r>
  </si>
  <si>
    <t>Petroleum Tank Release Cleanup Fee (not currently in effect, last active period 4/1/14-7/31/14: $20 per 1,000 gallons ($0.02/gal)). Inspection fee: $1 for every 1,000 gallons received ($0.001/gal).</t>
  </si>
  <si>
    <t>Additional county and local option taxes on motor fuels add $0.05 to $0.10/gal to the State rate. (County mandatory: $0.01/gal, County Option: $0.04-$0.9/gal). Petroleum Products Inspection Fee: $0.00055/gal on gasoline; Clean-up Fee on gasoline, No. 1 and No. 2 distillates: $0.0075/gal.</t>
  </si>
  <si>
    <t xml:space="preserve">New Jersey[3] </t>
  </si>
  <si>
    <t>Petroleum Products Gross Receipts Tax ("County Gasoline Tax"): $0.04/gal.  Spill Compensation and Control Act: 2.3 cents per barrel ($0.0005/gal) on all petroleum products.</t>
  </si>
  <si>
    <t xml:space="preserve">New York[3][4] </t>
  </si>
  <si>
    <t>Petroleum Business Tax (13-A) - requires annual adjustment (gasoline $0.178/gal, diesel $0.1605/gal).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$0.175/gal, $0.21/gal, $0.16/gal for Regions 1, 2, 3, respectively.   Oil Spill Prevention, Control, and Compensation License fee: 0.08 cents per barrel plus a surcharge of $0.0425 cents per barrel, all petroleum products ($0.0029/gal).</t>
  </si>
  <si>
    <t>$0.175/gal base rate plus adjusted amount based on weighted average wholesale price of gasoline and diesel; currently: gasoline = $0.20/gal, diesel = $0.20/gal.  Gasoline and Oil Inspection fee: $0.0025/gal on all motor fuels.  Total tax is currently capped at $0.375/gal.</t>
  </si>
  <si>
    <t>A variable rate is calculated annually and replaces the OCS and Liquid Fuels Tax (see PA Bulletin for updated rate info).  Underground Storage Tank Fund fee: $0.011/gal in addition to listed rates.  See PA Insurance Dept, Bureau of Special Funds, USTIF for UST fees.</t>
  </si>
  <si>
    <t>Environmental Protection Regulatory fee (EPRF): $0.01/gal.  Beginning 7/1/15 ERPF will be indexed to the U.S. CPI-U. Uniform Oil Response and Prevention fee: $0.05 cents per barrel ($0.0012/gal).</t>
  </si>
  <si>
    <t>Petroleum Distributor fee: $0.01/gal.  Motor Fuel Transportation Infrastructure Assessment (MFTIA)fee: gasoline $0.0547/gal.;  diesel $0.03/gal.  Motor Fuel Tax Assessment (MFTA) applies to gasoline only: $0.134/gal.</t>
  </si>
  <si>
    <t xml:space="preserve">Virginia[3] </t>
  </si>
  <si>
    <t>Storage tank fee = $0.006/gal.   2% sales tax in areas where mass transit systems exist.</t>
  </si>
  <si>
    <t xml:space="preserve">Not subject to federal excise.  http://www.asbar.org/archive/Newcode/Title%2011%28a%29.htm, see Ch. 10,11.1002(4) for rates. </t>
  </si>
  <si>
    <t>Not subject to federal excise. See http://www.cnmilaw.org/, Commonwealth Code, 4 CMC §1403, Fuel Tax.</t>
  </si>
  <si>
    <t>Not subject to federal excise. See 33 V.I.C. §91.</t>
  </si>
  <si>
    <t>3 Additional state taxes may be levied.</t>
  </si>
  <si>
    <t>Updated August 2019</t>
  </si>
  <si>
    <r>
      <rPr>
        <sz val="9"/>
        <rFont val="Calibri"/>
        <family val="2"/>
        <scheme val="minor"/>
      </rPr>
      <t>2.25% state sales tax on gasoline, 13.00% state sales tax on diesel (prepaid rates for these sales taxes: gasoline $0.06/gal;</t>
    </r>
    <r>
      <rPr>
        <sz val="9"/>
        <color theme="4"/>
        <rFont val="Calibri"/>
        <family val="2"/>
        <scheme val="minor"/>
      </rPr>
      <t xml:space="preserve"> diesel $0.32/gal</t>
    </r>
    <r>
      <rPr>
        <sz val="9"/>
        <rFont val="Calibri"/>
        <family val="2"/>
        <scheme val="minor"/>
      </rPr>
      <t xml:space="preserve">).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</si>
  <si>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In addition to State rates: Honolulu: $0.165/gal; Maui: $0.23/gal;</t>
    </r>
    <r>
      <rPr>
        <sz val="9"/>
        <color theme="4"/>
        <rFont val="Calibri"/>
        <family val="2"/>
        <scheme val="minor"/>
      </rPr>
      <t xml:space="preserve"> Hawaii: $0.23/gal</t>
    </r>
    <r>
      <rPr>
        <sz val="9"/>
        <rFont val="Calibri"/>
        <family val="2"/>
        <scheme val="minor"/>
      </rPr>
      <t xml:space="preserve">; Kauai: $0.17/gal.  Environmental Response Tax $0.025/gal. </t>
    </r>
  </si>
  <si>
    <r>
      <t xml:space="preserve">"Part B", mandatory prepaid sales tax, aka "Tax Prepayment by Motor Fuel Retailers"  (sales tax is 6.25%): </t>
    </r>
    <r>
      <rPr>
        <sz val="9"/>
        <color theme="4"/>
        <rFont val="Calibri"/>
        <family val="2"/>
        <scheme val="minor"/>
      </rPr>
      <t>$0.15/gal for gasoline, gasohol, and diesel</t>
    </r>
    <r>
      <rPr>
        <sz val="9"/>
        <rFont val="Calibri"/>
        <family val="2"/>
        <scheme val="minor"/>
      </rPr>
      <t xml:space="preserve">. For biodiesel (1 to 10% blends), the prepaid rate is $0.12/gal.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</si>
  <si>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$0.156/gal</t>
    </r>
    <r>
      <rPr>
        <sz val="9"/>
        <rFont val="Calibri"/>
        <family val="2"/>
        <scheme val="minor"/>
      </rPr>
      <t xml:space="preserve"> as of 7/1/19.  A 7% sales tax on diesel fuel no longer applies. Oil Inspection fee: $0.01/gal.  </t>
    </r>
  </si>
  <si>
    <r>
      <t xml:space="preserve">Environmental Assurance Fee: </t>
    </r>
    <r>
      <rPr>
        <sz val="9"/>
        <color theme="4"/>
        <rFont val="Calibri"/>
        <family val="2"/>
        <scheme val="minor"/>
      </rPr>
      <t>$0.01/gal (only periodically in effect)</t>
    </r>
    <r>
      <rPr>
        <sz val="9"/>
        <rFont val="Calibri"/>
        <family val="2"/>
        <scheme val="minor"/>
      </rPr>
      <t>. Petroleum Product Inspection Fee: 0.015 cents per barrel (bbl = 50 gals) or $0.0003/gal.</t>
    </r>
  </si>
  <si>
    <r>
      <t>CPI component</t>
    </r>
    <r>
      <rPr>
        <sz val="9"/>
        <color theme="8"/>
        <rFont val="Calibri"/>
        <family val="2"/>
        <scheme val="minor"/>
      </rPr>
      <t xml:space="preserve"> </t>
    </r>
    <r>
      <rPr>
        <sz val="9"/>
        <color theme="4"/>
        <rFont val="Calibri"/>
        <family val="2"/>
        <scheme val="minor"/>
      </rPr>
      <t xml:space="preserve">$0.027/gal </t>
    </r>
    <r>
      <rPr>
        <sz val="9"/>
        <rFont val="Calibri"/>
        <family val="2"/>
        <scheme val="minor"/>
      </rPr>
      <t>as of 7/1/19, Sales and Use Tax Equivalent rate (SUTE) component</t>
    </r>
    <r>
      <rPr>
        <sz val="9"/>
        <color theme="4"/>
        <rFont val="Calibri"/>
        <family val="2"/>
        <scheme val="minor"/>
      </rPr>
      <t xml:space="preserve"> $0.1050/gal</t>
    </r>
    <r>
      <rPr>
        <sz val="9"/>
        <rFont val="Calibri"/>
        <family val="2"/>
        <scheme val="minor"/>
      </rPr>
      <t xml:space="preserve"> as of 7/1/19 Oil transfer Fee: $0.08 per barrel ($0.0019/gal) of oil transferred into the State.</t>
    </r>
  </si>
  <si>
    <r>
      <t xml:space="preserve">The January 2019 Prepaid Sales Tax rates on fuels:  gasoline </t>
    </r>
    <r>
      <rPr>
        <sz val="9"/>
        <color theme="4"/>
        <rFont val="Calibri"/>
        <family val="2"/>
        <scheme val="minor"/>
      </rPr>
      <t>$0.148/gal</t>
    </r>
    <r>
      <rPr>
        <sz val="9"/>
        <rFont val="Calibri"/>
        <family val="2"/>
        <scheme val="minor"/>
      </rPr>
      <t xml:space="preserve">; diesel fuel </t>
    </r>
    <r>
      <rPr>
        <sz val="9"/>
        <color theme="4"/>
        <rFont val="Calibri"/>
        <family val="2"/>
        <scheme val="minor"/>
      </rPr>
      <t>$0.160/gal</t>
    </r>
    <r>
      <rPr>
        <sz val="9"/>
        <rFont val="Calibri"/>
        <family val="2"/>
        <scheme val="minor"/>
      </rPr>
      <t xml:space="preserve">.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</si>
  <si>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r>
      <t xml:space="preserve">Petroleum Tank Release Cleanup Fee (only in effect from </t>
    </r>
    <r>
      <rPr>
        <sz val="9"/>
        <color theme="4"/>
        <rFont val="Calibri"/>
        <family val="2"/>
        <scheme val="minor"/>
      </rPr>
      <t>July 2019 through October 2019</t>
    </r>
    <r>
      <rPr>
        <sz val="9"/>
        <rFont val="Calibri"/>
        <family val="2"/>
        <scheme val="minor"/>
      </rPr>
      <t>): $20 per 1,000 gallons ($0.02/gal). Inspection fee: $1 for every 1,000 gallons received ($0.001/gal).</t>
    </r>
  </si>
  <si>
    <r>
      <t xml:space="preserve">Petroleum Distributor fee: $0.01/gal. Motor Fuel Transportation Infrastructure Assessment (MFTIA) fee: gasoline </t>
    </r>
    <r>
      <rPr>
        <sz val="9"/>
        <color theme="4"/>
        <rFont val="Calibri"/>
        <family val="2"/>
        <scheme val="minor"/>
      </rPr>
      <t>$0.0451/gal</t>
    </r>
    <r>
      <rPr>
        <sz val="9"/>
        <rFont val="Calibri"/>
        <family val="2"/>
        <scheme val="minor"/>
      </rPr>
      <t>.; diesel $0.03/gal. Motor Fuel Tax Assessment (MFTA) applies to gasoline only: $0.134/gal.</t>
    </r>
  </si>
  <si>
    <r>
      <t xml:space="preserve">Oil Spill Administration Tax: $0.04 per barrel ($0.0009523/gal). Oil Spill Response tax: $0.01/bbl ($0.000238/gal). Hazardous Substance tax </t>
    </r>
    <r>
      <rPr>
        <sz val="9"/>
        <color theme="4"/>
        <rFont val="Calibri"/>
        <family val="2"/>
        <scheme val="minor"/>
      </rPr>
      <t>on petroleum products that can be measured on per barrel basis: $1.09/bbl ($0.02595/gal)</t>
    </r>
    <r>
      <rPr>
        <sz val="9"/>
        <rFont val="Calibri"/>
        <family val="2"/>
        <scheme val="minor"/>
      </rPr>
      <t>.  "Border Zone Area Motor Fuel Tax" $0.01/gal in counties bordering Canada.</t>
    </r>
  </si>
  <si>
    <t xml:space="preserve">Finished gasoline is subject to an additional $15.50/bbl ($0.369/gal) in taxes. Diesel fuel is also subject to an additional $9.25/bbl ($0.220/gal) in taxes.  See 13 L.P.R.A. § 31626, 13 L.P.R.A. § 31627, and 13 L.P.R.A. § 31627a. Not subject to federal excise. </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</si>
  <si>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theme="4"/>
        <rFont val="Calibri"/>
        <family val="2"/>
        <scheme val="minor"/>
      </rPr>
      <t>July 1, 2019</t>
    </r>
    <r>
      <rPr>
        <sz val="9"/>
        <color theme="1"/>
        <rFont val="Calibri"/>
        <family val="2"/>
        <scheme val="minor"/>
      </rPr>
      <t xml:space="preserve">. Sources: State and Territorial statutes and government agencies.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</si>
  <si>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9"/>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July 1, 2016. Sources: State and Territorial statutes and government agencies.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</si>
  <si>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9"/>
        <color theme="1"/>
        <rFont val="Calibri"/>
        <family val="2"/>
        <scheme val="minor"/>
      </rPr>
      <t>The information included in this document is for general informational purposes only and should not be construed as legal, tax, or other advice.</t>
    </r>
    <r>
      <rPr>
        <sz val="9"/>
        <color theme="1"/>
        <rFont val="Calibri"/>
        <family val="2"/>
        <scheme val="minor"/>
      </rPr>
      <t xml:space="preserve"> </t>
    </r>
    <r>
      <rPr>
        <b/>
        <sz val="9"/>
        <color theme="1"/>
        <rFont val="Calibri"/>
        <family val="2"/>
        <scheme val="minor"/>
      </rPr>
      <t>Contact the appropriate state agencies for official information or guidance about motor fuel taxes and fees.</t>
    </r>
    <r>
      <rPr>
        <sz val="9"/>
        <color theme="1"/>
        <rFont val="Calibri"/>
        <family val="2"/>
        <scheme val="minor"/>
      </rPr>
      <t xml:space="preserve"> State rates in effect as of July 1, 2015. Sources: State and Territorial statutes and government agencies.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</si>
  <si>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9"/>
        <color theme="1"/>
        <rFont val="Calibri"/>
        <family val="2"/>
        <scheme val="minor"/>
      </rPr>
      <t>The information included in this document is for general informational purposes only and should not be construed as legal, tax, or other advice.</t>
    </r>
    <r>
      <rPr>
        <sz val="9"/>
        <color theme="1"/>
        <rFont val="Calibri"/>
        <family val="2"/>
        <scheme val="minor"/>
      </rPr>
      <t xml:space="preserve"> </t>
    </r>
    <r>
      <rPr>
        <b/>
        <sz val="9"/>
        <color theme="1"/>
        <rFont val="Calibri"/>
        <family val="2"/>
        <scheme val="minor"/>
      </rPr>
      <t xml:space="preserve">Contact the appropriate state agencies for official information or guidance about motor fuel taxes and fees. </t>
    </r>
    <r>
      <rPr>
        <sz val="9"/>
        <color theme="1"/>
        <rFont val="Calibri"/>
        <family val="2"/>
        <scheme val="minor"/>
      </rPr>
      <t xml:space="preserve"> State rates in effect as of January 1, 2015.  Sources: State and Territorial statutes and government agencies.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</si>
  <si>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9"/>
        <color theme="1"/>
        <rFont val="Calibri"/>
        <family val="2"/>
        <scheme val="minor"/>
      </rPr>
      <t xml:space="preserve">The information included in this document is for general informational purposes only and should not be construed as legal, tax, or other advice.  Contact the appropriate state agencies for official information or guidance about motor fuel taxes and fees. </t>
    </r>
    <r>
      <rPr>
        <sz val="9"/>
        <color theme="1"/>
        <rFont val="Calibri"/>
        <family val="2"/>
        <scheme val="minor"/>
      </rPr>
      <t xml:space="preserve">State rates in effect as of January 1, 2016. Sources: State and Territorial statutes and government agencies. </t>
    </r>
  </si>
  <si>
    <r>
      <rPr>
        <sz val="9"/>
        <rFont val="Calibri"/>
        <family val="2"/>
        <scheme val="minor"/>
      </rPr>
      <t xml:space="preserve">2.25% state sales tax on gasoline, 13.00% state sales tax on diesel (prepaid rates for these sales taxes: gasoline $0.06/gal; diesel $0.32/gal).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</si>
  <si>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Environmental Response Surcharge (ERS Fee): $100 per tanker load (8000 gallons) or </t>
    </r>
    <r>
      <rPr>
        <sz val="9"/>
        <color theme="4"/>
        <rFont val="Calibri"/>
        <family val="2"/>
        <scheme val="minor"/>
      </rPr>
      <t>$0.0125</t>
    </r>
    <r>
      <rPr>
        <sz val="9"/>
        <rFont val="Calibri"/>
        <family val="2"/>
        <scheme val="minor"/>
      </rPr>
      <t xml:space="preserve">/gal on all motor fuels. </t>
    </r>
  </si>
  <si>
    <r>
      <t>Georgia Underground Storage Tank (GUST) fee on petro products:</t>
    </r>
    <r>
      <rPr>
        <sz val="9"/>
        <color theme="4"/>
        <rFont val="Calibri"/>
        <family val="2"/>
        <scheme val="minor"/>
      </rPr>
      <t xml:space="preserve"> $0.0075</t>
    </r>
    <r>
      <rPr>
        <sz val="9"/>
        <rFont val="Calibri"/>
        <family val="2"/>
        <scheme val="minor"/>
      </rPr>
      <t>/gal.  The average retail price used for the Prepaid Local Tax (TSPLOST) changed as of 1/1/16; for more information, see https://dor.georgia.gov/motor-fuel-rates.</t>
    </r>
  </si>
  <si>
    <t xml:space="preserve">In addition to State rates: Honolulu: $0.165/gal; Maui: $0.23/gal; Hawaii: $0.23/gal; Kauai: $0.17/gal.  Environmental Response Tax $0.025/gal. </t>
  </si>
  <si>
    <r>
      <t xml:space="preserve">"Part B", mandatory prepaid sales tax, aka "Tax Prepayment by Motor Fuel Retailers"  (sales tax is 6.25%): </t>
    </r>
    <r>
      <rPr>
        <sz val="9"/>
        <color theme="4"/>
        <rFont val="Calibri"/>
        <family val="2"/>
        <scheme val="minor"/>
      </rPr>
      <t>$0.14</t>
    </r>
    <r>
      <rPr>
        <sz val="9"/>
        <rFont val="Calibri"/>
        <family val="2"/>
        <scheme val="minor"/>
      </rPr>
      <t xml:space="preserve">/gal for gasoline, gasohol, and diesel. For biodiesel (1 to 10% blends), the prepaid rate is </t>
    </r>
    <r>
      <rPr>
        <sz val="9"/>
        <color theme="4"/>
        <rFont val="Calibri"/>
        <family val="2"/>
        <scheme val="minor"/>
      </rPr>
      <t>$0.11</t>
    </r>
    <r>
      <rPr>
        <sz val="9"/>
        <rFont val="Calibri"/>
        <family val="2"/>
        <scheme val="minor"/>
      </rPr>
      <t xml:space="preserve">/gal.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</si>
  <si>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t>
    </r>
    <r>
      <rPr>
        <sz val="9"/>
        <color theme="4"/>
        <rFont val="Calibri"/>
        <family val="2"/>
        <scheme val="minor"/>
      </rPr>
      <t xml:space="preserve"> $0.134</t>
    </r>
    <r>
      <rPr>
        <sz val="9"/>
        <rFont val="Calibri"/>
        <family val="2"/>
        <scheme val="minor"/>
      </rPr>
      <t xml:space="preserve">/gal as of 1/1/20.  A 7% sales tax on diesel fuel no longer applies. Oil Inspection fee: $0.01/gal.  </t>
    </r>
  </si>
  <si>
    <t>CPI component $0.027/gal as of 7/1/19, Sales and Use Tax Equivalent rate (SUTE) component $0.1050/gal as of 7/1/19 Oil transfer Fee: $0.08 per barrel ($0.0019/gal) of oil transferred into the State.</t>
  </si>
  <si>
    <r>
      <t xml:space="preserve">Underground Storage Tank Petroleum Product Cleanup Fund Delivery fee: </t>
    </r>
    <r>
      <rPr>
        <sz val="9"/>
        <color theme="4"/>
        <rFont val="Calibri"/>
        <family val="2"/>
        <scheme val="minor"/>
      </rPr>
      <t>$273.10</t>
    </r>
    <r>
      <rPr>
        <sz val="9"/>
        <rFont val="Calibri"/>
        <family val="2"/>
        <scheme val="minor"/>
      </rPr>
      <t xml:space="preserve"> per 10k load (</t>
    </r>
    <r>
      <rPr>
        <sz val="9"/>
        <color theme="4"/>
        <rFont val="Calibri"/>
        <family val="2"/>
        <scheme val="minor"/>
      </rPr>
      <t>$0.02737</t>
    </r>
    <r>
      <rPr>
        <sz val="9"/>
        <rFont val="Calibri"/>
        <family val="2"/>
        <scheme val="minor"/>
      </rPr>
      <t>/gal).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</si>
  <si>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2019 Prepaid Sales Tax rates on fuels:  gasoline </t>
    </r>
    <r>
      <rPr>
        <sz val="9"/>
        <color theme="4"/>
        <rFont val="Calibri"/>
        <family val="2"/>
        <scheme val="minor"/>
      </rPr>
      <t>$0.126</t>
    </r>
    <r>
      <rPr>
        <sz val="9"/>
        <rFont val="Calibri"/>
        <family val="2"/>
        <scheme val="minor"/>
      </rPr>
      <t xml:space="preserve">/gal; diesel fuel </t>
    </r>
    <r>
      <rPr>
        <sz val="9"/>
        <color theme="4"/>
        <rFont val="Calibri"/>
        <family val="2"/>
        <scheme val="minor"/>
      </rPr>
      <t>$0.155</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</si>
  <si>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r>
      <t>Petroleum Tank Release Cleanup Fee (</t>
    </r>
    <r>
      <rPr>
        <sz val="9"/>
        <color theme="4"/>
        <rFont val="Calibri"/>
        <family val="2"/>
        <scheme val="minor"/>
      </rPr>
      <t>not in effect as of 1/1/20</t>
    </r>
    <r>
      <rPr>
        <sz val="9"/>
        <rFont val="Calibri"/>
        <family val="2"/>
        <scheme val="minor"/>
      </rPr>
      <t>): $20 per 1,000 gallons ($0.02/gal). Inspection fee: $1 for every 1,000 gallons received ($0.001/gal).</t>
    </r>
  </si>
  <si>
    <r>
      <t xml:space="preserve">Petroleum Business Tax (13-A) - requires annual adjustment (gasoline </t>
    </r>
    <r>
      <rPr>
        <sz val="9"/>
        <color theme="4"/>
        <rFont val="Calibri"/>
        <family val="2"/>
        <scheme val="minor"/>
      </rPr>
      <t>$0.174</t>
    </r>
    <r>
      <rPr>
        <sz val="9"/>
        <rFont val="Calibri"/>
        <family val="2"/>
        <scheme val="minor"/>
      </rPr>
      <t xml:space="preserve">/gal, diesel </t>
    </r>
    <r>
      <rPr>
        <sz val="9"/>
        <color theme="4"/>
        <rFont val="Calibri"/>
        <family val="2"/>
        <scheme val="minor"/>
      </rPr>
      <t>$0.1565</t>
    </r>
    <r>
      <rPr>
        <sz val="9"/>
        <rFont val="Calibri"/>
        <family val="2"/>
        <scheme val="minor"/>
      </rPr>
      <t>/gal).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r>
  </si>
  <si>
    <r>
      <t xml:space="preserve">Petroleum Distributor fee: $0.01/gal. Motor Fuel Transportation Infrastructure Assessment (MFTIA) fee: gasoline </t>
    </r>
    <r>
      <rPr>
        <sz val="9"/>
        <color theme="4"/>
        <rFont val="Calibri"/>
        <family val="2"/>
        <scheme val="minor"/>
      </rPr>
      <t>$0.0431</t>
    </r>
    <r>
      <rPr>
        <sz val="9"/>
        <rFont val="Calibri"/>
        <family val="2"/>
        <scheme val="minor"/>
      </rPr>
      <t>/gal.; diesel $0.03/gal. Motor Fuel Tax Assessment (MFTA) applies to gasoline only: $0.134/gal.</t>
    </r>
  </si>
  <si>
    <r>
      <t xml:space="preserve">Oil Spill Administration Tax: $0.04 per barrel ($0.0009523/gal). Oil Spill Response tax: $0.01/bbl ($0.000238/gal). Hazardous Substance tax on petroleum products that can be measured on per barrel basis: $1.09/bbl ($0.02595/gal).  "Border Zone Area Motor Fuel Tax" $0.01/gal in counties bordering Canada. </t>
    </r>
    <r>
      <rPr>
        <sz val="9"/>
        <color theme="4"/>
        <rFont val="Calibri"/>
        <family val="2"/>
        <scheme val="minor"/>
      </rPr>
      <t>Petroleum Products Tax (PPT) reinstated as of 1/1/20: .003 (three-tenths of 1%) based on the product's wholesale value.</t>
    </r>
  </si>
  <si>
    <t>Updated February 2020</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</si>
  <si>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theme="4"/>
        <rFont val="Calibri"/>
        <family val="2"/>
        <scheme val="minor"/>
      </rPr>
      <t>January 1, 2020</t>
    </r>
    <r>
      <rPr>
        <sz val="9"/>
        <color theme="1"/>
        <rFont val="Calibri"/>
        <family val="2"/>
        <scheme val="minor"/>
      </rPr>
      <t xml:space="preserve">. Sources: State and Territorial statutes and government agencies. </t>
    </r>
  </si>
  <si>
    <r>
      <rPr>
        <sz val="9"/>
        <rFont val="Calibri"/>
        <family val="2"/>
        <scheme val="minor"/>
      </rPr>
      <t xml:space="preserve">2.25% state sales tax on gasoline, 13.00% state sales tax on diesel (prepaid rates for these sales taxes: gasoline </t>
    </r>
    <r>
      <rPr>
        <sz val="9"/>
        <color theme="4"/>
        <rFont val="Calibri"/>
        <family val="2"/>
        <scheme val="minor"/>
      </rPr>
      <t>$0.05/gal</t>
    </r>
    <r>
      <rPr>
        <sz val="9"/>
        <rFont val="Calibri"/>
        <family val="2"/>
        <scheme val="minor"/>
      </rPr>
      <t xml:space="preserve">; </t>
    </r>
    <r>
      <rPr>
        <sz val="9"/>
        <color theme="4"/>
        <rFont val="Calibri"/>
        <family val="2"/>
        <scheme val="minor"/>
      </rPr>
      <t>diesel $0.26/gal</t>
    </r>
    <r>
      <rPr>
        <sz val="9"/>
        <rFont val="Calibri"/>
        <family val="2"/>
        <scheme val="minor"/>
      </rPr>
      <t xml:space="preserve">).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</si>
  <si>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Petroleum Products Gross Earnings tax (PPGET): 8.1% on first sale of all products in the state. PPGET rate calculated for diesel fuel as of 7/1/20: </t>
    </r>
    <r>
      <rPr>
        <sz val="9"/>
        <color theme="4"/>
        <rFont val="Calibri"/>
        <family val="2"/>
        <scheme val="minor"/>
      </rPr>
      <t>$0.156/gal</t>
    </r>
    <r>
      <rPr>
        <sz val="9"/>
        <rFont val="Calibri"/>
        <family val="2"/>
        <scheme val="minor"/>
      </rPr>
      <t xml:space="preserve"> . PPGET does not apply to products to be used as heating fuels or bunker fuels.  </t>
    </r>
  </si>
  <si>
    <t>Georgia Underground Storage Tank (GUST) fee on petro products: $0.0075/gal.  The average retail price used for the Prepaid Local Tax (TSPLOST) changed as of 1/1/16; for more information, see https://dor.georgia.gov/motor-fuel-rates.</t>
  </si>
  <si>
    <t xml:space="preserve">"Part B", mandatory prepaid sales tax, aka "Tax Prepayment by Motor Fuel Retailers"  (sales tax is 6.25%): $0.14/gal for gasoline, gasohol, and diesel. For biodiesel (1 to 10% blends), the prepaid rate is $0.11/gal.  Underground Storage Tank tax: $0.003/gal; Environmental Impact Fee: $0.008/gal.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</si>
  <si>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theme="4"/>
        <rFont val="Calibri"/>
        <family val="2"/>
        <scheme val="minor"/>
      </rPr>
      <t xml:space="preserve">$0.104/gal </t>
    </r>
    <r>
      <rPr>
        <sz val="9"/>
        <rFont val="Calibri"/>
        <family val="2"/>
        <scheme val="minor"/>
      </rPr>
      <t xml:space="preserve">as of 7/1/20.  A 7% sales tax on diesel fuel no longer applies. Oil Inspection fee: $0.01/gal.  </t>
    </r>
  </si>
  <si>
    <r>
      <t>Rate for ethanol-blended (</t>
    </r>
    <r>
      <rPr>
        <sz val="9"/>
        <color theme="4"/>
        <rFont val="Calibri"/>
        <family val="2"/>
        <scheme val="minor"/>
      </rPr>
      <t>E15 or higher</t>
    </r>
    <r>
      <rPr>
        <sz val="9"/>
        <rFont val="Calibri"/>
        <family val="2"/>
        <scheme val="minor"/>
      </rPr>
      <t xml:space="preserve">) gasoline: </t>
    </r>
    <r>
      <rPr>
        <sz val="9"/>
        <color theme="4"/>
        <rFont val="Calibri"/>
        <family val="2"/>
        <scheme val="minor"/>
      </rPr>
      <t>$0.24/gal</t>
    </r>
    <r>
      <rPr>
        <sz val="9"/>
        <rFont val="Calibri"/>
        <family val="2"/>
        <scheme val="minor"/>
      </rPr>
      <t xml:space="preserve">. Rate for B11 (or higher) diesel: </t>
    </r>
    <r>
      <rPr>
        <sz val="9"/>
        <color theme="4"/>
        <rFont val="Calibri"/>
        <family val="2"/>
        <scheme val="minor"/>
      </rPr>
      <t>$0.301/gal</t>
    </r>
    <r>
      <rPr>
        <sz val="9"/>
        <rFont val="Calibri"/>
        <family val="2"/>
        <scheme val="minor"/>
      </rPr>
      <t xml:space="preserve">.  Environmental Protection Charge (EPC): Repealed as of 12/31/16 ($0.01/gal on petroleum products). </t>
    </r>
    <r>
      <rPr>
        <sz val="9"/>
        <color theme="4"/>
        <rFont val="Calibri"/>
        <family val="2"/>
        <scheme val="minor"/>
      </rPr>
      <t>Ethanol Blended Gasoline E-15 or Higher is a new fuel group effective 7/1/20.</t>
    </r>
  </si>
  <si>
    <r>
      <t>Environmental Assurance Fee: $0.01/gal (</t>
    </r>
    <r>
      <rPr>
        <sz val="9"/>
        <color theme="4"/>
        <rFont val="Calibri"/>
        <family val="2"/>
        <scheme val="minor"/>
      </rPr>
      <t>back in effect 1/1/20</t>
    </r>
    <r>
      <rPr>
        <sz val="9"/>
        <rFont val="Calibri"/>
        <family val="2"/>
        <scheme val="minor"/>
      </rPr>
      <t>). Petroleum Product Inspection Fee: 0.015 cents per barrel (bbl = 50 gals) or $0.0003/gal.</t>
    </r>
  </si>
  <si>
    <r>
      <t xml:space="preserve">CPI component </t>
    </r>
    <r>
      <rPr>
        <sz val="9"/>
        <color theme="4"/>
        <rFont val="Calibri"/>
        <family val="2"/>
        <scheme val="minor"/>
      </rPr>
      <t>$0.032/gal</t>
    </r>
    <r>
      <rPr>
        <sz val="9"/>
        <rFont val="Calibri"/>
        <family val="2"/>
        <scheme val="minor"/>
      </rPr>
      <t xml:space="preserve"> as of 7/1/20, Sales and Use Tax Equivalent rate (SUTE) component </t>
    </r>
    <r>
      <rPr>
        <sz val="9"/>
        <color theme="4"/>
        <rFont val="Calibri"/>
        <family val="2"/>
        <scheme val="minor"/>
      </rPr>
      <t>$0.0960/gal</t>
    </r>
    <r>
      <rPr>
        <sz val="9"/>
        <rFont val="Calibri"/>
        <family val="2"/>
        <scheme val="minor"/>
      </rPr>
      <t xml:space="preserve"> as of 7/1/19 Oil transfer Fee: $0.08 per barrel ($0.0019/gal) of oil transferred into the State.</t>
    </r>
  </si>
  <si>
    <r>
      <t>Underground Storage Tank Petroleum Product Cleanup Fund Delivery fee: $273.10 per 10k load ($0.02737/gal).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</si>
  <si>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July 2020 Prepaid Sales Tax rates on fuels:  gasoline </t>
    </r>
    <r>
      <rPr>
        <sz val="9"/>
        <color theme="4"/>
        <rFont val="Calibri"/>
        <family val="2"/>
        <scheme val="minor"/>
      </rPr>
      <t>$0.088/gal</t>
    </r>
    <r>
      <rPr>
        <sz val="9"/>
        <rFont val="Calibri"/>
        <family val="2"/>
        <scheme val="minor"/>
      </rPr>
      <t xml:space="preserve">; diesel fuel </t>
    </r>
    <r>
      <rPr>
        <sz val="9"/>
        <color theme="4"/>
        <rFont val="Calibri"/>
        <family val="2"/>
        <scheme val="minor"/>
      </rPr>
      <t>$0.124/gal</t>
    </r>
    <r>
      <rPr>
        <sz val="9"/>
        <rFont val="Calibri"/>
        <family val="2"/>
        <scheme val="minor"/>
      </rPr>
      <t xml:space="preserve">.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</si>
  <si>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t>Petroleum Tank Release Cleanup Fee (not in effect as of 1/1/20): $20 per 1,000 gallons ($0.02/gal). Inspection fee: $1 for every 1,000 gallons received ($0.001/gal).</t>
  </si>
  <si>
    <r>
      <t xml:space="preserve">Additional county and local option taxes on motor fuels add $0.05 to $0.10/gal </t>
    </r>
    <r>
      <rPr>
        <sz val="9"/>
        <color theme="4"/>
        <rFont val="Calibri"/>
        <family val="2"/>
        <scheme val="minor"/>
      </rPr>
      <t>(or more)</t>
    </r>
    <r>
      <rPr>
        <sz val="9"/>
        <rFont val="Calibri"/>
        <family val="2"/>
        <scheme val="minor"/>
      </rPr>
      <t xml:space="preserve"> to the state rate (County mandatory: $0.01/gal, County Option: $0.04-$0.9/gal </t>
    </r>
    <r>
      <rPr>
        <sz val="9"/>
        <color theme="4"/>
        <rFont val="Calibri"/>
        <family val="2"/>
        <scheme val="minor"/>
      </rPr>
      <t>(or indexed rate)</t>
    </r>
    <r>
      <rPr>
        <sz val="9"/>
        <rFont val="Calibri"/>
        <family val="2"/>
        <scheme val="minor"/>
      </rPr>
      <t>). Petroleum Products Inspection Fee: $0.00055/gal on gasoline; Clean-up Fee on gasoline, No. 1 and No. 2 distillates: $0.0075/gal.</t>
    </r>
  </si>
  <si>
    <t>Petroleum Business Tax (13-A) - requires annual adjustment (gasoline $0.174/gal, diesel $0.1565/gal).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</si>
  <si>
    <r>
      <t xml:space="preserve">LOTS allowed and levied at the county and municipal levels. Petroleum load fee: </t>
    </r>
    <r>
      <rPr>
        <sz val="9"/>
        <color theme="4"/>
        <rFont val="Calibri"/>
        <family val="2"/>
        <scheme val="minor"/>
      </rPr>
      <t>$10.00 per load</t>
    </r>
    <r>
      <rPr>
        <sz val="9"/>
        <rFont val="Calibri"/>
        <family val="2"/>
        <scheme val="minor"/>
      </rPr>
      <t xml:space="preserve"> (load = anything over 100 gals.)</t>
    </r>
  </si>
  <si>
    <r>
      <t xml:space="preserve">Petroleum Distributor fee: $0.01/gal. Motor Fuel Transportation Infrastructure Assessment (MFTIA) fee: gasoline </t>
    </r>
    <r>
      <rPr>
        <sz val="9"/>
        <color theme="4"/>
        <rFont val="Calibri"/>
        <family val="2"/>
        <scheme val="minor"/>
      </rPr>
      <t>$0.0367/gal</t>
    </r>
    <r>
      <rPr>
        <sz val="9"/>
        <rFont val="Calibri"/>
        <family val="2"/>
        <scheme val="minor"/>
      </rPr>
      <t>; diesel $0.03/gal. Motor Fuel Tax Assessment (MFTA) applies to gasoline only: $0.134/gal.</t>
    </r>
  </si>
  <si>
    <r>
      <t xml:space="preserve">Oil Spill Administration Tax: $0.04 per barrel ($0.0009523/gal). Oil Spill Response tax: $0.01/bbl ($0.000238/gal). Hazardous Substance tax on petroleum products that can be measured on per barrel basis: </t>
    </r>
    <r>
      <rPr>
        <sz val="9"/>
        <color theme="4"/>
        <rFont val="Calibri"/>
        <family val="2"/>
        <scheme val="minor"/>
      </rPr>
      <t>$1.130/bbl ($0.02691/gal)</t>
    </r>
    <r>
      <rPr>
        <sz val="9"/>
        <rFont val="Calibri"/>
        <family val="2"/>
        <scheme val="minor"/>
      </rPr>
      <t>.  "Border Zone Area Motor Fuel Tax" $0.01/gal in counties bordering Canada. Petroleum Products Tax (PPT) reinstated as of 1/1/20: .003 (three-tenths of 1%) based on the product's wholesale value.</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</si>
  <si>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theme="4"/>
        <rFont val="Calibri"/>
        <family val="2"/>
        <scheme val="minor"/>
      </rPr>
      <t>July 1, 2020</t>
    </r>
    <r>
      <rPr>
        <sz val="9"/>
        <color theme="1"/>
        <rFont val="Calibri"/>
        <family val="2"/>
        <scheme val="minor"/>
      </rPr>
      <t xml:space="preserve">. Sources: State and Territorial statutes and government agencies. </t>
    </r>
  </si>
  <si>
    <t>Updated September 2020</t>
  </si>
  <si>
    <r>
      <rPr>
        <sz val="9"/>
        <rFont val="Calibri"/>
        <family val="2"/>
        <scheme val="minor"/>
      </rPr>
      <t xml:space="preserve">2.25% state sales tax on gasoline, 13.00% state sales tax on diesel (prepaid rates for these sales taxes: gasoline $0.05/gal; diesel $0.26/gal).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</si>
  <si>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Environmental Response Surcharge (ERS Fee): </t>
    </r>
    <r>
      <rPr>
        <sz val="9"/>
        <color rgb="FF00B0F0"/>
        <rFont val="Calibri"/>
        <family val="2"/>
        <scheme val="minor"/>
      </rPr>
      <t>$125</t>
    </r>
    <r>
      <rPr>
        <sz val="9"/>
        <rFont val="Calibri"/>
        <family val="2"/>
        <scheme val="minor"/>
      </rPr>
      <t xml:space="preserve"> per tanker load (8000 gallons) or </t>
    </r>
    <r>
      <rPr>
        <sz val="9"/>
        <color rgb="FF00B0F0"/>
        <rFont val="Calibri"/>
        <family val="2"/>
        <scheme val="minor"/>
      </rPr>
      <t>$0.0156</t>
    </r>
    <r>
      <rPr>
        <sz val="9"/>
        <rFont val="Calibri"/>
        <family val="2"/>
        <scheme val="minor"/>
      </rPr>
      <t xml:space="preserve">/gal on all motor fuels. </t>
    </r>
  </si>
  <si>
    <r>
      <t xml:space="preserve">The listed gasoline rate does not include additional local option taxes above the statewide minimum of </t>
    </r>
    <r>
      <rPr>
        <sz val="9"/>
        <color rgb="FF00B0F0"/>
        <rFont val="Calibri"/>
        <family val="2"/>
        <scheme val="minor"/>
      </rPr>
      <t>$0.06</t>
    </r>
    <r>
      <rPr>
        <sz val="9"/>
        <rFont val="Calibri"/>
        <family val="2"/>
        <scheme val="minor"/>
      </rPr>
      <t xml:space="preserve">/gal.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r>
  </si>
  <si>
    <r>
      <t xml:space="preserve">In addition to State rates: Honolulu: $0.165/gal; </t>
    </r>
    <r>
      <rPr>
        <sz val="9"/>
        <color rgb="FF00B0F0"/>
        <rFont val="Calibri"/>
        <family val="2"/>
        <scheme val="minor"/>
      </rPr>
      <t>Maui: $0.24</t>
    </r>
    <r>
      <rPr>
        <sz val="9"/>
        <rFont val="Calibri"/>
        <family val="2"/>
        <scheme val="minor"/>
      </rPr>
      <t xml:space="preserve">/gal; Hawaii: $0.23/gal; Kauai: $0.17/gal.  Environmental Response Tax $0.025/gal. </t>
    </r>
  </si>
  <si>
    <r>
      <t xml:space="preserve">"Part B", mandatory prepaid sales tax, aka "Tax Prepayment by Motor Fuel Retailers" (sales tax is 6.25%): </t>
    </r>
    <r>
      <rPr>
        <sz val="9"/>
        <color rgb="FF00B0F0"/>
        <rFont val="Calibri"/>
        <family val="2"/>
        <scheme val="minor"/>
      </rPr>
      <t>$0.11</t>
    </r>
    <r>
      <rPr>
        <sz val="9"/>
        <rFont val="Calibri"/>
        <family val="2"/>
        <scheme val="minor"/>
      </rPr>
      <t xml:space="preserve">/gal for gasoline, gasohol, and diesel. For biodiesel (1 to 10% blends), the prepaid rate is </t>
    </r>
    <r>
      <rPr>
        <sz val="9"/>
        <color rgb="FF00B0F0"/>
        <rFont val="Calibri"/>
        <family val="2"/>
        <scheme val="minor"/>
      </rPr>
      <t>$0.11</t>
    </r>
    <r>
      <rPr>
        <sz val="9"/>
        <rFont val="Calibri"/>
        <family val="2"/>
        <scheme val="minor"/>
      </rPr>
      <t xml:space="preserve">/gal.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</si>
  <si>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$0.102</t>
    </r>
    <r>
      <rPr>
        <sz val="9"/>
        <rFont val="Calibri"/>
        <family val="2"/>
        <scheme val="minor"/>
      </rPr>
      <t xml:space="preserve">/gal as of 1/1/21.  A 7% sales tax on diesel fuel no longer applies. Oil Inspection fee: $0.01/gal.  </t>
    </r>
  </si>
  <si>
    <t>Rate for ethanol-blended (E15 or higher) gasoline: $0.24/gal. Rate for B11 (or higher) diesel: $0.301/gal.  Environmental Protection Charge (EPC): Repealed as of 12/31/16 ($0.01/gal on petroleum products). Ethanol Blended Gasoline E-15 or Higher is a new fuel group effective 7/1/20.</t>
  </si>
  <si>
    <t>Environmental Assurance Fee: $0.01/gal (back in effect 1/1/20). Petroleum Product Inspection Fee: 0.015 cents per barrel (bbl = 50 gals) or $0.0003/gal.</t>
  </si>
  <si>
    <t>CPI component $0.032/gal as of 7/1/20, Sales and Use Tax Equivalent rate (SUTE) component $0.0960/gal as of 7/1/19 Oil transfer Fee: $0.08 per barrel ($0.0019/gal) of oil transferred into the State.</t>
  </si>
  <si>
    <r>
      <t xml:space="preserve">Underground Storage Tank Petroleum Product Cleanup Fund Delivery fee: </t>
    </r>
    <r>
      <rPr>
        <sz val="9"/>
        <color rgb="FF00B0F0"/>
        <rFont val="Calibri"/>
        <family val="2"/>
        <scheme val="minor"/>
      </rPr>
      <t>$277.69</t>
    </r>
    <r>
      <rPr>
        <sz val="9"/>
        <rFont val="Calibri"/>
        <family val="2"/>
        <scheme val="minor"/>
      </rPr>
      <t xml:space="preserve"> per 10k load (</t>
    </r>
    <r>
      <rPr>
        <sz val="9"/>
        <color rgb="FF00B0F0"/>
        <rFont val="Calibri"/>
        <family val="2"/>
        <scheme val="minor"/>
      </rPr>
      <t>$0.027769</t>
    </r>
    <r>
      <rPr>
        <sz val="9"/>
        <rFont val="Calibri"/>
        <family val="2"/>
        <scheme val="minor"/>
      </rPr>
      <t>/gal).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</si>
  <si>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2021 Prepaid Sales Tax rates on fuels:  gasoline </t>
    </r>
    <r>
      <rPr>
        <sz val="9"/>
        <color rgb="FF00B0F0"/>
        <rFont val="Calibri"/>
        <family val="2"/>
        <scheme val="minor"/>
      </rPr>
      <t>$0.099</t>
    </r>
    <r>
      <rPr>
        <sz val="9"/>
        <rFont val="Calibri"/>
        <family val="2"/>
        <scheme val="minor"/>
      </rPr>
      <t xml:space="preserve">/gal; diesel fuel </t>
    </r>
    <r>
      <rPr>
        <sz val="9"/>
        <color rgb="FF00B0F0"/>
        <rFont val="Calibri"/>
        <family val="2"/>
        <scheme val="minor"/>
      </rPr>
      <t>$0.120</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</si>
  <si>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t>Petroleum Tank Release Cleanup Fee (back in effect for January 2021 - March 2021): $20 per 1,000 gallons ($0.02/gal). Inspection fee: $1 for every 1,000 gallons received ($0.001/gal).</t>
  </si>
  <si>
    <t>Additional county and local option taxes on motor fuels add $0.05 to $0.10/gal (or more) to the state rate (County mandatory: $0.01/gal, County Option: $0.04-$0.9/gal (or indexed rate)). Petroleum Products Inspection Fee: $0.00055/gal on gasoline; Clean-up Fee on gasoline, No. 1 and No. 2 distillates: $0.0075/gal.</t>
  </si>
  <si>
    <r>
      <t xml:space="preserve">Petroleum Products Gross Receipts Tax - requires quarterly adjustment. As of 1/1/21: </t>
    </r>
    <r>
      <rPr>
        <sz val="9"/>
        <color rgb="FF00B0F0"/>
        <rFont val="Calibri"/>
        <family val="2"/>
        <scheme val="minor"/>
      </rPr>
      <t>$.402</t>
    </r>
    <r>
      <rPr>
        <sz val="9"/>
        <rFont val="Calibri"/>
        <family val="2"/>
        <scheme val="minor"/>
      </rPr>
      <t xml:space="preserve">/gal for gasoline, </t>
    </r>
    <r>
      <rPr>
        <sz val="9"/>
        <color rgb="FF00B0F0"/>
        <rFont val="Calibri"/>
        <family val="2"/>
        <scheme val="minor"/>
      </rPr>
      <t>$0.442</t>
    </r>
    <r>
      <rPr>
        <sz val="9"/>
        <rFont val="Calibri"/>
        <family val="2"/>
        <scheme val="minor"/>
      </rPr>
      <t>/gal for diesel fuel.  Spill Compensation and Control Act: $0.023  per barrel ($0.0005/gal) on all petroleum products.</t>
    </r>
  </si>
  <si>
    <r>
      <t xml:space="preserve">Petroleum Business Tax (13-A) - requires annual adjustment (gasoline </t>
    </r>
    <r>
      <rPr>
        <sz val="9"/>
        <color rgb="FF00B0F0"/>
        <rFont val="Calibri"/>
        <family val="2"/>
        <scheme val="minor"/>
      </rPr>
      <t>$0.166</t>
    </r>
    <r>
      <rPr>
        <sz val="9"/>
        <rFont val="Calibri"/>
        <family val="2"/>
        <scheme val="minor"/>
      </rPr>
      <t>/gal, diesel</t>
    </r>
    <r>
      <rPr>
        <sz val="9"/>
        <color rgb="FF00B0F0"/>
        <rFont val="Calibri"/>
        <family val="2"/>
        <scheme val="minor"/>
      </rPr>
      <t xml:space="preserve"> $0.1485</t>
    </r>
    <r>
      <rPr>
        <sz val="9"/>
        <rFont val="Calibri"/>
        <family val="2"/>
        <scheme val="minor"/>
      </rPr>
      <t>/gal).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r>
  </si>
  <si>
    <t>LOTS allowed and levied at the county and municipal levels. Petroleum load fee: $10.00 per load (load = anything over 100 gals.)</t>
  </si>
  <si>
    <r>
      <t xml:space="preserve">Petroleum Distributor fee: $0.01/gal. Motor Fuel Transportation Infrastructure Assessment (MFTIA) fee: gasoline </t>
    </r>
    <r>
      <rPr>
        <sz val="9"/>
        <color rgb="FF00B0F0"/>
        <rFont val="Calibri"/>
        <family val="2"/>
        <scheme val="minor"/>
      </rPr>
      <t>$0.0396</t>
    </r>
    <r>
      <rPr>
        <sz val="9"/>
        <rFont val="Calibri"/>
        <family val="2"/>
        <scheme val="minor"/>
      </rPr>
      <t>/gal; diesel $0.03/gal. Motor Fuel Tax Assessment (MFTA) applies to gasoline only: $0.134/gal.</t>
    </r>
  </si>
  <si>
    <t>Oil Spill Administration Tax: $0.04 per barrel ($0.0009523/gal). Oil Spill Response tax: $0.01/bbl ($0.000238/gal). Hazardous Substance tax on petroleum products that can be measured on per barrel basis: $1.130/bbl ($0.02691/gal).  "Border Zone Area Motor Fuel Tax" $0.01/gal in counties bordering Canada. Petroleum Products Tax (PPT) reinstated as of 1/1/20: .003 (three-tenths of 1%) based on the product's wholesale value.</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</si>
  <si>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theme="4"/>
        <rFont val="Calibri"/>
        <family val="2"/>
        <scheme val="minor"/>
      </rPr>
      <t>January 1, 2021</t>
    </r>
    <r>
      <rPr>
        <sz val="9"/>
        <color theme="1"/>
        <rFont val="Calibri"/>
        <family val="2"/>
        <scheme val="minor"/>
      </rPr>
      <t xml:space="preserve">. Sources: State and Territorial statutes and government agencies. </t>
    </r>
  </si>
  <si>
    <t xml:space="preserve">Petroleum Activity Tax (PAT): 0.65% on the gross receipts from the first sale, transfer, exchange, or other disposition of motor fuel in Ohio to a point outside of the distribution system. </t>
  </si>
  <si>
    <t xml:space="preserve">* Ohio </t>
  </si>
  <si>
    <t>Surcharge: $0.053/gal as of 10/1/20.</t>
  </si>
  <si>
    <t xml:space="preserve">* District of Columbia  </t>
  </si>
  <si>
    <r>
      <t xml:space="preserve">Petroleum Products Gross Earnings tax (PPGET): 8.1% on first sale of gasoline in the state. </t>
    </r>
    <r>
      <rPr>
        <sz val="9"/>
        <color rgb="FF00B0F0"/>
        <rFont val="Calibri"/>
        <family val="2"/>
        <scheme val="minor"/>
      </rPr>
      <t>The varible rate portion for diesel fuel: $0.156/gal as of 7/1/20 (calculated as 8.1% of the average wholesale price for a 12-month period ending by June 15 each year)</t>
    </r>
    <r>
      <rPr>
        <sz val="9"/>
        <rFont val="Calibri"/>
        <family val="2"/>
        <scheme val="minor"/>
      </rPr>
      <t xml:space="preserve">. PPGET does not apply to products to be used as heating fuels or bunker fuels.  </t>
    </r>
  </si>
  <si>
    <t>* Connecticut</t>
  </si>
  <si>
    <t>Updated February 2021 (*revised May 2021)</t>
  </si>
  <si>
    <t xml:space="preserve">Updated August 2021 </t>
  </si>
  <si>
    <r>
      <t xml:space="preserve">Inspection Fee (applies to all gasoline): $0.02/gal. The Inspection Fee only applies to diesel fuel that is not subject to excise.  Storage Tank Trust Fund Charge: </t>
    </r>
    <r>
      <rPr>
        <sz val="9"/>
        <color rgb="FF00B0F0"/>
        <rFont val="Calibri"/>
        <family val="2"/>
        <scheme val="minor"/>
      </rPr>
      <t>$0.012/gal</t>
    </r>
    <r>
      <rPr>
        <sz val="9"/>
        <rFont val="Calibri"/>
        <family val="2"/>
        <scheme val="minor"/>
      </rPr>
      <t xml:space="preserve">.  Wholesale Oil License fee: $0.0075/gal on diesel fuel only.  Local option taxes permitted.   </t>
    </r>
  </si>
  <si>
    <r>
      <rPr>
        <sz val="9"/>
        <rFont val="Calibri"/>
        <family val="2"/>
        <scheme val="minor"/>
      </rPr>
      <t xml:space="preserve">2.25% state sales tax on gasoline, 13.00% state sales tax on diesel (prepaid rates for these sales taxes: gasoline </t>
    </r>
    <r>
      <rPr>
        <sz val="9"/>
        <color rgb="FF00B0F0"/>
        <rFont val="Calibri"/>
        <family val="2"/>
        <scheme val="minor"/>
      </rPr>
      <t>$0.055/ga</t>
    </r>
    <r>
      <rPr>
        <sz val="9"/>
        <rFont val="Calibri"/>
        <family val="2"/>
        <scheme val="minor"/>
      </rPr>
      <t xml:space="preserve">l; diesel </t>
    </r>
    <r>
      <rPr>
        <sz val="9"/>
        <color rgb="FF00B0F0"/>
        <rFont val="Calibri"/>
        <family val="2"/>
        <scheme val="minor"/>
      </rPr>
      <t>$0.27/ga</t>
    </r>
    <r>
      <rPr>
        <sz val="9"/>
        <rFont val="Calibri"/>
        <family val="2"/>
        <scheme val="minor"/>
      </rPr>
      <t xml:space="preserve">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</si>
  <si>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t xml:space="preserve">Environmental Response Surcharge (ERS Fee): $125 per tanker load (8000 gallons) or $0.0156/gal on all motor fuels. </t>
  </si>
  <si>
    <r>
      <t xml:space="preserve">Petroleum Products Gross Earnings tax (PPGET): 8.1% on first sale of gasoline in the state. The varible rate portion for diesel fuel: </t>
    </r>
    <r>
      <rPr>
        <sz val="9"/>
        <color rgb="FF00B0F0"/>
        <rFont val="Calibri"/>
        <family val="2"/>
        <scheme val="minor"/>
      </rPr>
      <t>$0.111/gal</t>
    </r>
    <r>
      <rPr>
        <sz val="9"/>
        <rFont val="Calibri"/>
        <family val="2"/>
        <scheme val="minor"/>
      </rPr>
      <t xml:space="preserve"> as of 7/1/21 (calculated as 8.1% of the average wholesale price for a 12-month period ending by June 15 each year). PPGET does not apply to products to be used as heating fuels or bunker fuels.  </t>
    </r>
  </si>
  <si>
    <t xml:space="preserve">The listed gasoline rate does not include additional local option taxes above the statewide minimum of $0.06/gal.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</si>
  <si>
    <t xml:space="preserve">In addition to State rates: Honolulu: $0.165/gal; Maui: $0.24/gal; Hawaii: $0.23/gal; Kauai: $0.17/gal.  Environmental Response Tax $0.025/gal. </t>
  </si>
  <si>
    <r>
      <t>"Part B", mandatory prepaid sales tax, aka "Tax Prepayment by Motor Fuel Retailers" (sales tax is 6.25%):</t>
    </r>
    <r>
      <rPr>
        <sz val="9"/>
        <color rgb="FF00B0F0"/>
        <rFont val="Calibri"/>
        <family val="2"/>
        <scheme val="minor"/>
      </rPr>
      <t xml:space="preserve"> $0.15/gal</t>
    </r>
    <r>
      <rPr>
        <sz val="9"/>
        <rFont val="Calibri"/>
        <family val="2"/>
        <scheme val="minor"/>
      </rPr>
      <t xml:space="preserve"> for gasoline, gasohol, and diesel. For biodiesel (1 to 10% blends), the prepaid rate is</t>
    </r>
    <r>
      <rPr>
        <sz val="9"/>
        <color rgb="FF00B0F0"/>
        <rFont val="Calibri"/>
        <family val="2"/>
        <scheme val="minor"/>
      </rPr>
      <t xml:space="preserve"> $0.15/gal</t>
    </r>
    <r>
      <rPr>
        <sz val="9"/>
        <rFont val="Calibri"/>
        <family val="2"/>
        <scheme val="minor"/>
      </rPr>
      <t xml:space="preserve">.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</si>
  <si>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$0.168/gal</t>
    </r>
    <r>
      <rPr>
        <sz val="9"/>
        <rFont val="Calibri"/>
        <family val="2"/>
        <scheme val="minor"/>
      </rPr>
      <t xml:space="preserve"> as of 7/1/21.  A 7% sales tax on diesel fuel no longer applies. Oil Inspection fee: $0.01/gal.  </t>
    </r>
  </si>
  <si>
    <r>
      <t xml:space="preserve">CPI component </t>
    </r>
    <r>
      <rPr>
        <sz val="9"/>
        <color rgb="FF00B0F0"/>
        <rFont val="Calibri"/>
        <family val="2"/>
        <scheme val="minor"/>
      </rPr>
      <t>$0.036</t>
    </r>
    <r>
      <rPr>
        <sz val="9"/>
        <rFont val="Calibri"/>
        <family val="2"/>
        <scheme val="minor"/>
      </rPr>
      <t xml:space="preserve">/gal as of 7/1/21, Sales and Use Tax Equivalent rate (SUTE) component </t>
    </r>
    <r>
      <rPr>
        <sz val="9"/>
        <color rgb="FF00B0F0"/>
        <rFont val="Calibri"/>
        <family val="2"/>
        <scheme val="minor"/>
      </rPr>
      <t>$0.0900</t>
    </r>
    <r>
      <rPr>
        <sz val="9"/>
        <rFont val="Calibri"/>
        <family val="2"/>
        <scheme val="minor"/>
      </rPr>
      <t>/gal as of 7/1/21 Oil transfer Fee: $0.08 per barrel ($0.0019/gal) of oil transferred into the State.</t>
    </r>
  </si>
  <si>
    <r>
      <t>Underground Storage Tank Petroleum Product Cleanup Fund Delivery fee: $277.69 per 10k load ($0.027769/gal).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</si>
  <si>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July 2021 Prepaid Sales Tax rates on fuels: gasoline </t>
    </r>
    <r>
      <rPr>
        <sz val="9"/>
        <color rgb="FF00B0F0"/>
        <rFont val="Calibri"/>
        <family val="2"/>
        <scheme val="minor"/>
      </rPr>
      <t>$0.15/gal</t>
    </r>
    <r>
      <rPr>
        <sz val="9"/>
        <rFont val="Calibri"/>
        <family val="2"/>
        <scheme val="minor"/>
      </rPr>
      <t xml:space="preserve">; diesel fuel </t>
    </r>
    <r>
      <rPr>
        <sz val="9"/>
        <color rgb="FF00B0F0"/>
        <rFont val="Calibri"/>
        <family val="2"/>
        <scheme val="minor"/>
      </rPr>
      <t>$0.162</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</si>
  <si>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r>
      <t>Petroleum Tank Release Cleanup Fee (</t>
    </r>
    <r>
      <rPr>
        <sz val="9"/>
        <color rgb="FF00B0F0"/>
        <rFont val="Calibri"/>
        <family val="2"/>
        <scheme val="minor"/>
      </rPr>
      <t>not in effect</t>
    </r>
    <r>
      <rPr>
        <sz val="9"/>
        <rFont val="Calibri"/>
        <family val="2"/>
        <scheme val="minor"/>
      </rPr>
      <t>): $20 per 1,000 gallons ($0.02/gal). Inspection fee: $1 for every 1,000 gallons received ($0.001/gal).</t>
    </r>
  </si>
  <si>
    <t>Petroleum Products Gross Receipts Tax - requires quarterly adjustment. As of 1/1/21: $.402/gal for gasoline, $0.442/gal for diesel fuel.  Spill Compensation and Control Act: $0.023  per barrel ($0.0005/gal) on all petroleum products.</t>
  </si>
  <si>
    <t>Petroleum Business Tax (13-A) - requires annual adjustment (gasoline $0.166/gal, diesel $0.1485/gal).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$0.160/gal, $0.160/gal, $0.150/gal for Regions 1, 2, 3, respectively.   Oil Spill Prevention, Control, and Compensation License fee: $0.0925/bbl plus a surcharge of $0.0425/bbl, all petroleum products ($0.003274/gal).</t>
  </si>
  <si>
    <r>
      <t xml:space="preserve">Petroleum Distributor fee: $0.01/gal. Motor Fuel Transportation Infrastructure Assessment (MFTIA) fee: gasoline </t>
    </r>
    <r>
      <rPr>
        <sz val="9"/>
        <color rgb="FF00B0F0"/>
        <rFont val="Calibri"/>
        <family val="2"/>
        <scheme val="minor"/>
      </rPr>
      <t>$0.0478/ga</t>
    </r>
    <r>
      <rPr>
        <sz val="9"/>
        <rFont val="Calibri"/>
        <family val="2"/>
        <scheme val="minor"/>
      </rPr>
      <t>l; diesel $0.03/gal. Motor Fuel Tax Assessment (MFTA) applies to gasoline only: $0.134/gal.</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</si>
  <si>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rgb="FF00B0F0"/>
        <rFont val="Calibri"/>
        <family val="2"/>
        <scheme val="minor"/>
      </rPr>
      <t>July 1, 2021</t>
    </r>
    <r>
      <rPr>
        <sz val="9"/>
        <color theme="1"/>
        <rFont val="Calibri"/>
        <family val="2"/>
        <scheme val="minor"/>
      </rPr>
      <t xml:space="preserve">. Sources: State and Territorial statutes and government agencies. </t>
    </r>
  </si>
  <si>
    <r>
      <t>Notes: Entries in</t>
    </r>
    <r>
      <rPr>
        <sz val="9"/>
        <color rgb="FF00B0F0"/>
        <rFont val="Calibri"/>
        <family val="2"/>
        <scheme val="minor"/>
      </rPr>
      <t xml:space="preserve"> blue</t>
    </r>
    <r>
      <rPr>
        <sz val="9"/>
        <color theme="4"/>
        <rFont val="Calibri"/>
        <family val="2"/>
        <scheme val="minor"/>
      </rPr>
      <t xml:space="preserve"> </t>
    </r>
    <r>
      <rPr>
        <sz val="9"/>
        <color theme="1"/>
        <rFont val="Calibri"/>
        <family val="2"/>
        <scheme val="minor"/>
      </rPr>
      <t>indicate a change from the last edition of this table.</t>
    </r>
  </si>
  <si>
    <t xml:space="preserve">Inspection Fee (applies to all gasoline): $0.02/gal. The Inspection Fee only applies to diesel fuel that is not subject to excise.  Storage Tank Trust Fund Charge: $0.012/gal.  Wholesale Oil License fee: $0.0075/gal on diesel fuel only.  Local option taxes permitted.   </t>
  </si>
  <si>
    <r>
      <rPr>
        <sz val="9"/>
        <rFont val="Calibri"/>
        <family val="2"/>
        <scheme val="minor"/>
      </rPr>
      <t xml:space="preserve">2.25% state sales tax on gasoline, 13.00% state sales tax on diesel (prepaid rates for these sales taxes: gasoline $0.055/gal; diesel $0.27/gal).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</si>
  <si>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Surcharge: </t>
    </r>
    <r>
      <rPr>
        <sz val="9"/>
        <color rgb="FF00B0F0"/>
        <rFont val="Calibri"/>
        <family val="2"/>
        <scheme val="minor"/>
      </rPr>
      <t>$0.103</t>
    </r>
    <r>
      <rPr>
        <sz val="9"/>
        <rFont val="Calibri"/>
        <family val="2"/>
        <scheme val="minor"/>
      </rPr>
      <t>/gal as of 10/1/21.</t>
    </r>
  </si>
  <si>
    <r>
      <t xml:space="preserve">"Part B", mandatory prepaid sales tax, aka "Tax Prepayment by Motor Fuel Retailers" (sales tax is 6.25%): </t>
    </r>
    <r>
      <rPr>
        <sz val="9"/>
        <color rgb="FF00B0F0"/>
        <rFont val="Calibri"/>
        <family val="2"/>
        <scheme val="minor"/>
      </rPr>
      <t>$0.18</t>
    </r>
    <r>
      <rPr>
        <sz val="9"/>
        <rFont val="Calibri"/>
        <family val="2"/>
        <scheme val="minor"/>
      </rPr>
      <t xml:space="preserve">/gal for gasoline, gasohol, and diesel. For biodiesel (1 to 10% blends), the prepaid rate is $0.18/gal.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</si>
  <si>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$0.173</t>
    </r>
    <r>
      <rPr>
        <sz val="9"/>
        <rFont val="Calibri"/>
        <family val="2"/>
        <scheme val="minor"/>
      </rPr>
      <t xml:space="preserve">/gal as of 1/1/22.  A 7% sales tax on diesel fuel no longer applies. Oil Inspection fee: $0.01/gal.  </t>
    </r>
  </si>
  <si>
    <r>
      <t xml:space="preserve">Underground Storage Tank Petroleum Product Cleanup Fund Delivery fee: </t>
    </r>
    <r>
      <rPr>
        <sz val="9"/>
        <color rgb="FF00B0F0"/>
        <rFont val="Calibri"/>
        <family val="2"/>
        <scheme val="minor"/>
      </rPr>
      <t xml:space="preserve">$286.01 </t>
    </r>
    <r>
      <rPr>
        <sz val="9"/>
        <rFont val="Calibri"/>
        <family val="2"/>
        <scheme val="minor"/>
      </rPr>
      <t>per 10k load (</t>
    </r>
    <r>
      <rPr>
        <sz val="9"/>
        <color rgb="FF00B0F0"/>
        <rFont val="Calibri"/>
        <family val="2"/>
        <scheme val="minor"/>
      </rPr>
      <t>$0.028601</t>
    </r>
    <r>
      <rPr>
        <sz val="9"/>
        <rFont val="Calibri"/>
        <family val="2"/>
        <scheme val="minor"/>
      </rPr>
      <t>/gal).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</si>
  <si>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2022 Prepaid Sales Tax rates on fuels: gasoline </t>
    </r>
    <r>
      <rPr>
        <sz val="9"/>
        <color rgb="FF00B0F0"/>
        <rFont val="Calibri"/>
        <family val="2"/>
        <scheme val="minor"/>
      </rPr>
      <t>$0.175</t>
    </r>
    <r>
      <rPr>
        <sz val="9"/>
        <rFont val="Calibri"/>
        <family val="2"/>
        <scheme val="minor"/>
      </rPr>
      <t xml:space="preserve">/gal; diesel fuel </t>
    </r>
    <r>
      <rPr>
        <sz val="9"/>
        <color rgb="FF00B0F0"/>
        <rFont val="Calibri"/>
        <family val="2"/>
        <scheme val="minor"/>
      </rPr>
      <t>$0.185</t>
    </r>
    <r>
      <rPr>
        <sz val="9"/>
        <rFont val="Calibri"/>
        <family val="2"/>
        <scheme val="minor"/>
      </rPr>
      <t xml:space="preserve">/gal.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</si>
  <si>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r>
      <t>Petroleum Tank Release Cleanup Fee (</t>
    </r>
    <r>
      <rPr>
        <sz val="9"/>
        <color rgb="FF00B0F0"/>
        <rFont val="Calibri"/>
        <family val="2"/>
        <scheme val="minor"/>
      </rPr>
      <t>in effect February - May 2022</t>
    </r>
    <r>
      <rPr>
        <sz val="9"/>
        <rFont val="Calibri"/>
        <family val="2"/>
        <scheme val="minor"/>
      </rPr>
      <t>): $20 per 1,000 gallons ($0.02/gal). Inspection fee: $1 for every 1,000 gallons received ($0.001/gal).</t>
    </r>
  </si>
  <si>
    <r>
      <t xml:space="preserve">Petroleum Products Gross Receipts Tax - requires quarterly adjustment. As of 1/1/22: </t>
    </r>
    <r>
      <rPr>
        <sz val="9"/>
        <color rgb="FF00B0F0"/>
        <rFont val="Calibri"/>
        <family val="2"/>
        <scheme val="minor"/>
      </rPr>
      <t>$0.319</t>
    </r>
    <r>
      <rPr>
        <sz val="9"/>
        <rFont val="Calibri"/>
        <family val="2"/>
        <scheme val="minor"/>
      </rPr>
      <t xml:space="preserve">/gal for gasoline, </t>
    </r>
    <r>
      <rPr>
        <sz val="9"/>
        <color rgb="FF00B0F0"/>
        <rFont val="Calibri"/>
        <family val="2"/>
        <scheme val="minor"/>
      </rPr>
      <t>$0.359</t>
    </r>
    <r>
      <rPr>
        <sz val="9"/>
        <rFont val="Calibri"/>
        <family val="2"/>
        <scheme val="minor"/>
      </rPr>
      <t>/gal for diesel fuel.  Spill Compensation and Control Act: $0.023  per barrel ($0.0005/gal) on all petroleum products.</t>
    </r>
  </si>
  <si>
    <r>
      <t xml:space="preserve">Petroleum Distributor fee: $0.01/gal. Motor Fuel Transportation Infrastructure Assessment (MFTIA) fee: gasoline </t>
    </r>
    <r>
      <rPr>
        <sz val="9"/>
        <color rgb="FF00B0F0"/>
        <rFont val="Calibri"/>
        <family val="2"/>
        <scheme val="minor"/>
      </rPr>
      <t>$0.0564</t>
    </r>
    <r>
      <rPr>
        <sz val="9"/>
        <rFont val="Calibri"/>
        <family val="2"/>
        <scheme val="minor"/>
      </rPr>
      <t>/gal; diesel $0.03/gal. Motor Fuel Tax Assessment (MFTA) applies to gasoline only: $0.134/gal.</t>
    </r>
  </si>
  <si>
    <t xml:space="preserve">Storage tank fee = $0.002/gal. The Motor Vehicle Fuels Sales Tax (MVFST) (aka, Wholesale Sales Tax (WH)) rates: gasoline $0.077, diesel $0.078 </t>
  </si>
  <si>
    <r>
      <t xml:space="preserve">Oil Spill Administration Tax: $0.04 per barrel ($0.0009523/gal). Oil Spill Response tax: $0.01/bbl ($0.000238/gal). Hazardous Substance tax on petroleum products that can be measured on per-barrel basis: </t>
    </r>
    <r>
      <rPr>
        <sz val="9"/>
        <color rgb="FF00B0F0"/>
        <rFont val="Calibri"/>
        <family val="2"/>
        <scheme val="minor"/>
      </rPr>
      <t>$1.14</t>
    </r>
    <r>
      <rPr>
        <sz val="9"/>
        <rFont val="Calibri"/>
        <family val="2"/>
        <scheme val="minor"/>
      </rPr>
      <t>/bbl (</t>
    </r>
    <r>
      <rPr>
        <sz val="9"/>
        <color rgb="FF00B0F0"/>
        <rFont val="Calibri"/>
        <family val="2"/>
        <scheme val="minor"/>
      </rPr>
      <t>$0.027</t>
    </r>
    <r>
      <rPr>
        <sz val="9"/>
        <rFont val="Calibri"/>
        <family val="2"/>
        <scheme val="minor"/>
      </rPr>
      <t xml:space="preserve">/gal).  "Border Zone Area Motor Fuel Tax" $0.01/gal in counties bordering Canada. Petroleum Products Tax (PPT) reinstated as of 1/1/20: rate is based on </t>
    </r>
    <r>
      <rPr>
        <sz val="9"/>
        <color rgb="FF00B0F0"/>
        <rFont val="Calibri"/>
        <family val="2"/>
        <scheme val="minor"/>
      </rPr>
      <t xml:space="preserve">the wholesale value of the petroleum product multiplied by .0015.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</si>
  <si>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 </t>
    </r>
    <r>
      <rPr>
        <sz val="9"/>
        <color rgb="FF00B0F0"/>
        <rFont val="Calibri"/>
        <family val="2"/>
        <scheme val="minor"/>
      </rPr>
      <t>January 1, 2022</t>
    </r>
    <r>
      <rPr>
        <sz val="9"/>
        <color theme="1"/>
        <rFont val="Calibri"/>
        <family val="2"/>
        <scheme val="minor"/>
      </rPr>
      <t xml:space="preserve">. Sources: State and Territorial statutes and government agencies. </t>
    </r>
  </si>
  <si>
    <r>
      <t xml:space="preserve">Petroleum Products Gross Earnings tax (PPGET): 8.1% on first sale of gasoline in the state. The varible rate portion for diesel fuel: $0.111/gal as of 7/1/21 (calculated as 8.1% of the average wholesale price for a 12-month period ending by June 15 each year). PPGET does not apply to products to be used as heating fuels or bunker fuels. </t>
    </r>
    <r>
      <rPr>
        <sz val="9"/>
        <color rgb="FF00B0F0"/>
        <rFont val="Calibri"/>
        <family val="2"/>
        <scheme val="minor"/>
      </rPr>
      <t>The State tax on gasoline (only) was suspended from 4/1/2022 to 6/30/2022</t>
    </r>
    <r>
      <rPr>
        <sz val="9"/>
        <rFont val="Calibri"/>
        <family val="2"/>
        <scheme val="minor"/>
      </rPr>
      <t xml:space="preserve">. </t>
    </r>
  </si>
  <si>
    <t>Updated January 2022 (revised August 2022)</t>
  </si>
  <si>
    <r>
      <t xml:space="preserve">Georgia Underground Storage Tank (GUST) fee on petro products: $0.0075/gal.  The average retail price used for the Prepaid Local Tax (TSPLOST) changed as of 1/1/16; for more information, see https://dor.georgia.gov/motor-fuel-rates. </t>
    </r>
    <r>
      <rPr>
        <sz val="9"/>
        <color rgb="FF00B0F0"/>
        <rFont val="Calibri"/>
        <family val="2"/>
        <scheme val="minor"/>
      </rPr>
      <t xml:space="preserve"> Suspension of state motor fuel excise tax on all taxable fuels, effective 3/1/2022.</t>
    </r>
    <r>
      <rPr>
        <sz val="9"/>
        <rFont val="Calibri"/>
        <family val="2"/>
        <scheme val="minor"/>
      </rPr>
      <t xml:space="preserve"> </t>
    </r>
  </si>
  <si>
    <r>
      <t xml:space="preserve">CPI component $0.036/gal as of 7/1/21, Sales and Use Tax Equivalent rate (SUTE) component $0.0900/gal as of 7/1/21 Oil transfer Fee: $0.08 per barrel ($0.0019/gal) of oil transferred into the State. </t>
    </r>
    <r>
      <rPr>
        <sz val="9"/>
        <color rgb="FF00B0F0"/>
        <rFont val="Calibri"/>
        <family val="2"/>
        <scheme val="minor"/>
      </rPr>
      <t>The tax on motor fuels was suspended for 30 days, from March 18, 2022 to April 16, 2022.</t>
    </r>
  </si>
  <si>
    <r>
      <t xml:space="preserve">Petroleum Business Tax (13-A) - requires annual adjustment (January 1, 2022: gasoline </t>
    </r>
    <r>
      <rPr>
        <sz val="9"/>
        <color rgb="FF00B0F0"/>
        <rFont val="Calibri"/>
        <family val="2"/>
        <scheme val="minor"/>
      </rPr>
      <t>$0.173</t>
    </r>
    <r>
      <rPr>
        <sz val="9"/>
        <rFont val="Calibri"/>
        <family val="2"/>
        <scheme val="minor"/>
      </rPr>
      <t xml:space="preserve">/gal, diesel </t>
    </r>
    <r>
      <rPr>
        <sz val="9"/>
        <color rgb="FF00B0F0"/>
        <rFont val="Calibri"/>
        <family val="2"/>
        <scheme val="minor"/>
      </rPr>
      <t>$0.1555</t>
    </r>
    <r>
      <rPr>
        <sz val="9"/>
        <rFont val="Calibri"/>
        <family val="2"/>
        <scheme val="minor"/>
      </rPr>
      <t xml:space="preserve">/gal).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t>
    </r>
    <r>
      <rPr>
        <sz val="9"/>
        <color rgb="FF00B0F0"/>
        <rFont val="Calibri"/>
        <family val="2"/>
        <scheme val="minor"/>
      </rPr>
      <t>$0.180</t>
    </r>
    <r>
      <rPr>
        <sz val="9"/>
        <rFont val="Calibri"/>
        <family val="2"/>
        <scheme val="minor"/>
      </rPr>
      <t xml:space="preserve">/gal, </t>
    </r>
    <r>
      <rPr>
        <sz val="9"/>
        <color rgb="FF00B0F0"/>
        <rFont val="Calibri"/>
        <family val="2"/>
        <scheme val="minor"/>
      </rPr>
      <t>$0.180</t>
    </r>
    <r>
      <rPr>
        <sz val="9"/>
        <rFont val="Calibri"/>
        <family val="2"/>
        <scheme val="minor"/>
      </rPr>
      <t xml:space="preserve">/gal, </t>
    </r>
    <r>
      <rPr>
        <sz val="9"/>
        <color rgb="FF00B0F0"/>
        <rFont val="Calibri"/>
        <family val="2"/>
        <scheme val="minor"/>
      </rPr>
      <t>$0.170</t>
    </r>
    <r>
      <rPr>
        <sz val="9"/>
        <rFont val="Calibri"/>
        <family val="2"/>
        <scheme val="minor"/>
      </rPr>
      <t xml:space="preserve">/gal for Regions 1, 2, 3, respectively.   Oil Spill Prevention, Control, and Compensation License fee: $0.0925/bbl plus a surcharge of $0.0425/bbl, all petroleum products ($0.003274/gal). </t>
    </r>
    <r>
      <rPr>
        <sz val="9"/>
        <color rgb="FF00B0F0"/>
        <rFont val="Calibri"/>
        <family val="2"/>
        <scheme val="minor"/>
      </rPr>
      <t>Several state taxes applied to motor fuel/gasoline and on-highway diesel fuel are suspended, effective 6/1/2022 through 12/31/2022: $0.08/gal state excise tax (Article 12-A), the prepaid sales tax, and state sales and use taxes, and the additional $0.0075 state sales and use tax imposed in the Metropolitan Commuter Transportation District (MCTD)</t>
    </r>
    <r>
      <rPr>
        <sz val="9"/>
        <rFont val="Calibri"/>
        <family val="2"/>
        <scheme val="minor"/>
      </rPr>
      <t>.</t>
    </r>
  </si>
  <si>
    <r>
      <t xml:space="preserve">Not subject to federal excise. Automotive Surcharge (gasoline): $0.04/gal. </t>
    </r>
    <r>
      <rPr>
        <sz val="9"/>
        <color rgb="FF00B0F0"/>
        <rFont val="Calibri"/>
        <family val="2"/>
        <scheme val="minor"/>
      </rPr>
      <t xml:space="preserve"> Mass Transit Automotive Surcharge (diesel): $0.04/gal. Excise taxes, Automotive surcharge, and Mass Transit Automotive Surcharge on liquid fuel suspended for 180 days, effective 6/21/2022</t>
    </r>
    <r>
      <rPr>
        <sz val="9"/>
        <rFont val="Calibri"/>
        <family val="2"/>
        <scheme val="minor"/>
      </rPr>
      <t>.</t>
    </r>
  </si>
  <si>
    <r>
      <t xml:space="preserve">Finished gasoline is subject to an additional $15.50/bbl ($0.369/gal) in taxes. Diesel fuel is also subject to an additional $9.25/bbl ($0.220/gal) in taxes.  See 13 L.P.R.A. § 31626, 13 L.P.R.A. § 31627, and 13 L.P.R.A. § 31627a. Not subject to federal excise. </t>
    </r>
    <r>
      <rPr>
        <sz val="9"/>
        <color rgb="FF00B0F0"/>
        <rFont val="Calibri"/>
        <family val="2"/>
        <scheme val="minor"/>
      </rPr>
      <t>Gasoline and diesel fuel excise taxes suspended for 45 days, effective 6/14/2022</t>
    </r>
    <r>
      <rPr>
        <sz val="9"/>
        <rFont val="Calibri"/>
        <family val="2"/>
        <scheme val="minor"/>
      </rPr>
      <t>.</t>
    </r>
  </si>
  <si>
    <r>
      <rPr>
        <sz val="9"/>
        <rFont val="Calibri"/>
        <family val="2"/>
        <scheme val="minor"/>
      </rPr>
      <t xml:space="preserve">2.25% state sales tax on gasoline, 13.00% state sales tax on diesel (prepaid rates for these sales taxes: gasoline </t>
    </r>
    <r>
      <rPr>
        <sz val="9"/>
        <color rgb="FF00B0F0"/>
        <rFont val="Calibri"/>
        <family val="2"/>
        <scheme val="minor"/>
      </rPr>
      <t>$0.09/gal</t>
    </r>
    <r>
      <rPr>
        <sz val="9"/>
        <rFont val="Calibri"/>
        <family val="2"/>
        <scheme val="minor"/>
      </rPr>
      <t xml:space="preserve">; diesel </t>
    </r>
    <r>
      <rPr>
        <sz val="9"/>
        <color rgb="FF00B0F0"/>
        <rFont val="Calibri"/>
        <family val="2"/>
        <scheme val="minor"/>
      </rPr>
      <t>$0.47/gal</t>
    </r>
    <r>
      <rPr>
        <sz val="9"/>
        <rFont val="Calibri"/>
        <family val="2"/>
        <scheme val="minor"/>
      </rPr>
      <t xml:space="preserve">).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</si>
  <si>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t xml:space="preserve">Environmental Response Surcharge (ERS Fee): $100 per tanker load (8000 gallons) or </t>
    </r>
    <r>
      <rPr>
        <sz val="9"/>
        <color rgb="FF00B0F0"/>
        <rFont val="Calibri"/>
        <family val="2"/>
        <scheme val="minor"/>
      </rPr>
      <t>$0.0125/gal</t>
    </r>
    <r>
      <rPr>
        <sz val="9"/>
        <rFont val="Calibri"/>
        <family val="2"/>
        <scheme val="minor"/>
      </rPr>
      <t xml:space="preserve"> on all motor fuels.</t>
    </r>
    <r>
      <rPr>
        <sz val="9"/>
        <color theme="8"/>
        <rFont val="Calibri"/>
        <family val="2"/>
        <scheme val="minor"/>
      </rPr>
      <t xml:space="preserve"> </t>
    </r>
    <r>
      <rPr>
        <sz val="9"/>
        <color rgb="FF00B0F0"/>
        <rFont val="Calibri"/>
        <family val="2"/>
        <scheme val="minor"/>
      </rPr>
      <t>Bridge and Tunnel Impact fee, effective 7/1/22-3/31/23: $0.02/gal on diesel fuel only</t>
    </r>
    <r>
      <rPr>
        <sz val="9"/>
        <rFont val="Calibri"/>
        <family val="2"/>
        <scheme val="minor"/>
      </rPr>
      <t>.</t>
    </r>
  </si>
  <si>
    <t>Surcharge: $0.103/gal as of 10/1/21.</t>
  </si>
  <si>
    <r>
      <t xml:space="preserve">The listed gasoline rate does not include additional local option taxes above the statewide minimum of $0.06/gal.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r>
    <r>
      <rPr>
        <sz val="9"/>
        <color theme="8"/>
        <rFont val="Calibri"/>
        <family val="2"/>
        <scheme val="minor"/>
      </rPr>
      <t xml:space="preserve"> </t>
    </r>
    <r>
      <rPr>
        <sz val="9"/>
        <color rgb="FF00B0F0"/>
        <rFont val="Calibri"/>
        <family val="2"/>
        <scheme val="minor"/>
      </rPr>
      <t xml:space="preserve">The Florida Motor Fuel Tax Relief Act of 2022, </t>
    </r>
    <r>
      <rPr>
        <b/>
        <sz val="9"/>
        <color rgb="FF00B0F0"/>
        <rFont val="Calibri"/>
        <family val="2"/>
        <scheme val="minor"/>
      </rPr>
      <t>effective 10/1/2022 to 10/31/2022</t>
    </r>
    <r>
      <rPr>
        <sz val="9"/>
        <color rgb="FF00B0F0"/>
        <rFont val="Calibri"/>
        <family val="2"/>
        <scheme val="minor"/>
      </rPr>
      <t>, reduces or suspends several components of the total tax on gasoline (does not apply to diesel fuel).</t>
    </r>
  </si>
  <si>
    <r>
      <t xml:space="preserve">"Part B", mandatory prepaid sales tax, aka "Tax Prepayment by Motor Fuel Retailers" (sales tax is 6.25%): </t>
    </r>
    <r>
      <rPr>
        <sz val="9"/>
        <color rgb="FF00B0F0"/>
        <rFont val="Calibri"/>
        <family val="2"/>
        <scheme val="minor"/>
      </rPr>
      <t>$0.23/ga</t>
    </r>
    <r>
      <rPr>
        <sz val="9"/>
        <color theme="8"/>
        <rFont val="Calibri"/>
        <family val="2"/>
        <scheme val="minor"/>
      </rPr>
      <t>l</t>
    </r>
    <r>
      <rPr>
        <sz val="9"/>
        <rFont val="Calibri"/>
        <family val="2"/>
        <scheme val="minor"/>
      </rPr>
      <t xml:space="preserve"> for gasoline, gasohol, and diesel. For biodiesel (1 to 10% blends), the prepaid rate is </t>
    </r>
    <r>
      <rPr>
        <sz val="9"/>
        <color rgb="FF00B0F0"/>
        <rFont val="Calibri"/>
        <family val="2"/>
        <scheme val="minor"/>
      </rPr>
      <t>$0.23/gal</t>
    </r>
    <r>
      <rPr>
        <sz val="9"/>
        <rFont val="Calibri"/>
        <family val="2"/>
        <scheme val="minor"/>
      </rPr>
      <t xml:space="preserve">.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</si>
  <si>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$0.291/gal,</t>
    </r>
    <r>
      <rPr>
        <sz val="9"/>
        <rFont val="Calibri"/>
        <family val="2"/>
        <scheme val="minor"/>
      </rPr>
      <t xml:space="preserve"> as of 7/1/22.  A 7% sales tax on diesel fuel no longer applies. Oil Inspection fee: $0.01/gal.  </t>
    </r>
  </si>
  <si>
    <r>
      <t xml:space="preserve">CPI component </t>
    </r>
    <r>
      <rPr>
        <sz val="9"/>
        <color rgb="FF00B0F0"/>
        <rFont val="Calibri"/>
        <family val="2"/>
        <scheme val="minor"/>
      </rPr>
      <t>$0.054/gal</t>
    </r>
    <r>
      <rPr>
        <sz val="9"/>
        <rFont val="Calibri"/>
        <family val="2"/>
        <scheme val="minor"/>
      </rPr>
      <t xml:space="preserve"> as of 7/1/22, Sales and Use Tax Equivalent rate (SUTE) component </t>
    </r>
    <r>
      <rPr>
        <sz val="9"/>
        <color rgb="FF00B0F0"/>
        <rFont val="Calibri"/>
        <family val="2"/>
        <scheme val="minor"/>
      </rPr>
      <t>$0.138/gal</t>
    </r>
    <r>
      <rPr>
        <sz val="9"/>
        <rFont val="Calibri"/>
        <family val="2"/>
        <scheme val="minor"/>
      </rPr>
      <t xml:space="preserve"> as of 7/1/22. Oil transfer Fee: $0.08 per barrel ($0.0019/gal) of oil transferred into the State. </t>
    </r>
    <r>
      <rPr>
        <b/>
        <sz val="9"/>
        <color rgb="FF00B0F0"/>
        <rFont val="Calibri"/>
        <family val="2"/>
        <scheme val="minor"/>
      </rPr>
      <t>The tax on motor fuels was suspended for 30 days, from March 18, 2022 to April 16, 2022</t>
    </r>
    <r>
      <rPr>
        <sz val="9"/>
        <rFont val="Calibri"/>
        <family val="2"/>
        <scheme val="minor"/>
      </rPr>
      <t>.</t>
    </r>
  </si>
  <si>
    <r>
      <t>Underground Storage Tank Petroleum Product Cleanup Fund Delivery fee: $286.01 per 10k load ($0.028601/gal).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</si>
  <si>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July 2022 Prepaid Sales Tax rates on fuels: gasoline </t>
    </r>
    <r>
      <rPr>
        <sz val="9"/>
        <color rgb="FF00B0F0"/>
        <rFont val="Calibri"/>
        <family val="2"/>
        <scheme val="minor"/>
      </rPr>
      <t>$0.235/gal</t>
    </r>
    <r>
      <rPr>
        <sz val="9"/>
        <rFont val="Calibri"/>
        <family val="2"/>
        <scheme val="minor"/>
      </rPr>
      <t xml:space="preserve">; diesel fuel </t>
    </r>
    <r>
      <rPr>
        <sz val="9"/>
        <color rgb="FF00B0F0"/>
        <rFont val="Calibri"/>
        <family val="2"/>
        <scheme val="minor"/>
      </rPr>
      <t>$0.280/gal</t>
    </r>
    <r>
      <rPr>
        <sz val="9"/>
        <rFont val="Calibri"/>
        <family val="2"/>
        <scheme val="minor"/>
      </rPr>
      <t xml:space="preserve">.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</si>
  <si>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t>Petroleum Tank Release Cleanup Fee (in effect February - May 2022): $20 per 1,000 gallons ($0.02/gal). Inspection fee: $1 for every 1,000 gallons received ($0.001/gal).</t>
  </si>
  <si>
    <t>Petroleum Products Gross Receipts Tax - requires quarterly adjustment. As of 1/1/22: $0.319/gal for gasoline, $0.359/gal for diesel fuel.  Spill Compensation and Control Act: $0.023  per barrel ($0.0005/gal) on all petroleum products.</t>
  </si>
  <si>
    <r>
      <t xml:space="preserve">A variable rate is calculated annually and replaced the OCS and Liquid Fuels Tax (see PA Bulletin for updated rate info).  Underground Storage Tank (UST) Fund fee </t>
    </r>
    <r>
      <rPr>
        <sz val="9"/>
        <color rgb="FF00B0F0"/>
        <rFont val="Calibri"/>
        <family val="2"/>
        <scheme val="minor"/>
      </rPr>
      <t>(applies only to gasoline and diesel fuel into tanks at farms</t>
    </r>
    <r>
      <rPr>
        <sz val="9"/>
        <rFont val="Calibri"/>
        <family val="2"/>
        <scheme val="minor"/>
      </rPr>
      <t xml:space="preserve">: $0.011/gal. Most </t>
    </r>
    <r>
      <rPr>
        <sz val="9"/>
        <color rgb="FF00B0F0"/>
        <rFont val="Calibri"/>
        <family val="2"/>
        <scheme val="minor"/>
      </rPr>
      <t xml:space="preserve">diesel fuel subject to the tank </t>
    </r>
    <r>
      <rPr>
        <b/>
        <sz val="9"/>
        <color rgb="FF00B0F0"/>
        <rFont val="Calibri"/>
        <family val="2"/>
        <scheme val="minor"/>
      </rPr>
      <t>Capacity fee</t>
    </r>
    <r>
      <rPr>
        <sz val="9"/>
        <color rgb="FF00B0F0"/>
        <rFont val="Calibri"/>
        <family val="2"/>
        <scheme val="minor"/>
      </rPr>
      <t>: $0.0825/gal of UST capacity</t>
    </r>
    <r>
      <rPr>
        <b/>
        <sz val="9"/>
        <color rgb="FF00B0F0"/>
        <rFont val="Calibri"/>
        <family val="2"/>
        <scheme val="minor"/>
      </rPr>
      <t xml:space="preserve">, </t>
    </r>
    <r>
      <rPr>
        <sz val="9"/>
        <color rgb="FF00B0F0"/>
        <rFont val="Calibri"/>
        <family val="2"/>
        <scheme val="minor"/>
      </rPr>
      <t>paid annually</t>
    </r>
    <r>
      <rPr>
        <sz val="9"/>
        <rFont val="Calibri"/>
        <family val="2"/>
        <scheme val="minor"/>
      </rPr>
      <t>. See PA Insurance Dept, Bureau of Special Funds, USTIF for UST fees.</t>
    </r>
  </si>
  <si>
    <r>
      <t>Petroleum Distributor fee: $0.01/gal. Motor Fuel Transportation Infrastructure Assessment (MFTIA) fee: gasoline</t>
    </r>
    <r>
      <rPr>
        <sz val="9"/>
        <color theme="8"/>
        <rFont val="Calibri"/>
        <family val="2"/>
        <scheme val="minor"/>
      </rPr>
      <t xml:space="preserve"> </t>
    </r>
    <r>
      <rPr>
        <sz val="9"/>
        <color rgb="FF00B0F0"/>
        <rFont val="Calibri"/>
        <family val="2"/>
        <scheme val="minor"/>
      </rPr>
      <t>$0.0795/gal</t>
    </r>
    <r>
      <rPr>
        <sz val="9"/>
        <rFont val="Calibri"/>
        <family val="2"/>
        <scheme val="minor"/>
      </rPr>
      <t xml:space="preserve">; diesel $0.03/gal. Motor Fuel Tax Assessment (MFTA) applies to gasoline only: </t>
    </r>
    <r>
      <rPr>
        <sz val="9"/>
        <color rgb="FF00B0F0"/>
        <rFont val="Calibri"/>
        <family val="2"/>
        <scheme val="minor"/>
      </rPr>
      <t>$0.1591/gal</t>
    </r>
    <r>
      <rPr>
        <sz val="9"/>
        <rFont val="Calibri"/>
        <family val="2"/>
        <scheme val="minor"/>
      </rPr>
      <t>.</t>
    </r>
  </si>
  <si>
    <r>
      <t xml:space="preserve">Storage tank fee: </t>
    </r>
    <r>
      <rPr>
        <sz val="9"/>
        <color rgb="FF00B0F0"/>
        <rFont val="Calibri"/>
        <family val="2"/>
        <scheme val="minor"/>
      </rPr>
      <t>$0.006/gal</t>
    </r>
    <r>
      <rPr>
        <sz val="9"/>
        <color theme="8"/>
        <rFont val="Calibri"/>
        <family val="2"/>
        <scheme val="minor"/>
      </rPr>
      <t>.</t>
    </r>
    <r>
      <rPr>
        <sz val="9"/>
        <rFont val="Calibri"/>
        <family val="2"/>
        <scheme val="minor"/>
      </rPr>
      <t xml:space="preserve"> The Motor Vehicle Fuels Sales Tax (MVFST) (aka, Wholesale Sales Tax (WH)) rates: gasoline</t>
    </r>
    <r>
      <rPr>
        <sz val="9"/>
        <color theme="8"/>
        <rFont val="Calibri"/>
        <family val="2"/>
        <scheme val="minor"/>
      </rPr>
      <t xml:space="preserve"> </t>
    </r>
    <r>
      <rPr>
        <sz val="9"/>
        <color rgb="FF00B0F0"/>
        <rFont val="Calibri"/>
        <family val="2"/>
        <scheme val="minor"/>
      </rPr>
      <t>$0.082/gal</t>
    </r>
    <r>
      <rPr>
        <sz val="9"/>
        <rFont val="Calibri"/>
        <family val="2"/>
        <scheme val="minor"/>
      </rPr>
      <t xml:space="preserve">, diesel </t>
    </r>
    <r>
      <rPr>
        <sz val="9"/>
        <color rgb="FF00B0F0"/>
        <rFont val="Calibri"/>
        <family val="2"/>
        <scheme val="minor"/>
      </rPr>
      <t>$0.083/gal</t>
    </r>
    <r>
      <rPr>
        <sz val="9"/>
        <color theme="8"/>
        <rFont val="Calibri"/>
        <family val="2"/>
        <scheme val="minor"/>
      </rPr>
      <t>.</t>
    </r>
    <r>
      <rPr>
        <sz val="9"/>
        <rFont val="Calibri"/>
        <family val="2"/>
        <scheme val="minor"/>
      </rPr>
      <t xml:space="preserve"> </t>
    </r>
  </si>
  <si>
    <r>
      <t xml:space="preserve">Oil Spill Administration Tax: $0.04 per barrel ($0.0009523/gal). Oil Spill Response tax: $0.01/bbl ($0.000238/gal). Hazardous Substance tax on petroleum products that can be measured on per-barrel basis: </t>
    </r>
    <r>
      <rPr>
        <sz val="9"/>
        <color rgb="FF00B0F0"/>
        <rFont val="Calibri"/>
        <family val="2"/>
        <scheme val="minor"/>
      </rPr>
      <t>$1.20/bbl ($0.0286/gal)</t>
    </r>
    <r>
      <rPr>
        <sz val="9"/>
        <rFont val="Calibri"/>
        <family val="2"/>
        <scheme val="minor"/>
      </rPr>
      <t xml:space="preserve">.  "Border Zone Area Motor Fuel Tax" $0.01/gal in counties bordering Canada. Petroleum Products Tax (PPT) reinstated as of 1/1/20: rate is based on the wholesale value of the petroleum product multiplied by .0015. </t>
    </r>
  </si>
  <si>
    <r>
      <t xml:space="preserve">Not subject to federal excise. Automotive Surcharge (gasoline): $0.04/gal.  Mass Transit Automotive Surcharge (diesel): $0.04/gal. </t>
    </r>
    <r>
      <rPr>
        <sz val="9"/>
        <color rgb="FF00B0F0"/>
        <rFont val="Calibri"/>
        <family val="2"/>
        <scheme val="minor"/>
      </rPr>
      <t>Excise taxes, Automotive surcharge, and Mass Transit Automotive Surcharge on liquid fuel suspended for 180 days, effective 6/21/2022</t>
    </r>
    <r>
      <rPr>
        <sz val="9"/>
        <rFont val="Calibri"/>
        <family val="2"/>
        <scheme val="minor"/>
      </rPr>
      <t>.</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</si>
  <si>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t>
    </r>
    <r>
      <rPr>
        <sz val="9"/>
        <color theme="8"/>
        <rFont val="Calibri"/>
        <family val="2"/>
        <scheme val="minor"/>
      </rPr>
      <t xml:space="preserve"> </t>
    </r>
    <r>
      <rPr>
        <sz val="9"/>
        <color rgb="FF00B0F0"/>
        <rFont val="Calibri"/>
        <family val="2"/>
        <scheme val="minor"/>
      </rPr>
      <t>July 1, 2022</t>
    </r>
    <r>
      <rPr>
        <sz val="9"/>
        <color theme="1"/>
        <rFont val="Calibri"/>
        <family val="2"/>
        <scheme val="minor"/>
      </rPr>
      <t xml:space="preserve">. Sources: State and Territorial statutes and government agencies. </t>
    </r>
  </si>
  <si>
    <t xml:space="preserve">Updated February 2023 </t>
  </si>
  <si>
    <r>
      <rPr>
        <sz val="9"/>
        <rFont val="Calibri"/>
        <family val="2"/>
        <scheme val="minor"/>
      </rPr>
      <t xml:space="preserve">2.25% state sales tax on gasoline, </t>
    </r>
    <r>
      <rPr>
        <sz val="9"/>
        <color rgb="FF00B0F0"/>
        <rFont val="Calibri"/>
        <family val="2"/>
        <scheme val="minor"/>
      </rPr>
      <t>9.0625% state sales tax on diesel</t>
    </r>
    <r>
      <rPr>
        <sz val="9"/>
        <rFont val="Calibri"/>
        <family val="2"/>
        <scheme val="minor"/>
      </rPr>
      <t xml:space="preserve"> (prepaid rates for these sales taxes: gasoline $0.09/gal;</t>
    </r>
    <r>
      <rPr>
        <sz val="9"/>
        <color rgb="FF00B0F0"/>
        <rFont val="Calibri"/>
        <family val="2"/>
        <scheme val="minor"/>
      </rPr>
      <t xml:space="preserve"> diesel $0.33/gal</t>
    </r>
    <r>
      <rPr>
        <sz val="9"/>
        <rFont val="Calibri"/>
        <family val="2"/>
        <scheme val="minor"/>
      </rPr>
      <t xml:space="preserve">).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Fee (all products): $0.065 per barrel ($0.00155/gal).</t>
    </r>
  </si>
  <si>
    <r>
      <rPr>
        <sz val="9"/>
        <color rgb="FF00B0F0"/>
        <rFont val="Calibri"/>
        <family val="2"/>
        <scheme val="minor"/>
      </rPr>
      <t>Perfluoroalkyl and polyfluoroalkyl substances (PFAS) Fee (applies to all fuels sold in CO): $0.003125/gal</t>
    </r>
    <r>
      <rPr>
        <sz val="9"/>
        <rFont val="Calibri"/>
        <family val="2"/>
        <scheme val="minor"/>
      </rPr>
      <t xml:space="preserve">. Environmental Response Surcharge (ERS): </t>
    </r>
    <r>
      <rPr>
        <sz val="9"/>
        <color rgb="FF00B0F0"/>
        <rFont val="Calibri"/>
        <family val="2"/>
        <scheme val="minor"/>
      </rPr>
      <t xml:space="preserve">$75 </t>
    </r>
    <r>
      <rPr>
        <sz val="9"/>
        <rFont val="Calibri"/>
        <family val="2"/>
        <scheme val="minor"/>
      </rPr>
      <t xml:space="preserve">per tanker load (8000 gallons) or </t>
    </r>
    <r>
      <rPr>
        <sz val="9"/>
        <color rgb="FF00B0F0"/>
        <rFont val="Calibri"/>
        <family val="2"/>
        <scheme val="minor"/>
      </rPr>
      <t xml:space="preserve">$0.009375/gal </t>
    </r>
    <r>
      <rPr>
        <sz val="9"/>
        <rFont val="Calibri"/>
        <family val="2"/>
        <scheme val="minor"/>
      </rPr>
      <t xml:space="preserve">on all motor fuels. Bridge and Tunnel Impact (BTI) Fee, effective 7/1/22-3/31/23: $0.02/gal on diesel fuel only. </t>
    </r>
    <r>
      <rPr>
        <sz val="9"/>
        <color rgb="FF00B0F0"/>
        <rFont val="Calibri"/>
        <family val="2"/>
        <scheme val="minor"/>
      </rPr>
      <t>Road Usage Fee (RUF) will apply to gasoline and diesel fuel beginning on April 1, 2023: $0.02/gal.</t>
    </r>
  </si>
  <si>
    <r>
      <t xml:space="preserve">Motor Vehicle Fuel Tax Surcharge/Local Transportation Surcharge: </t>
    </r>
    <r>
      <rPr>
        <sz val="9"/>
        <color rgb="FF00B0F0"/>
        <rFont val="Calibri"/>
        <family val="2"/>
        <scheme val="minor"/>
      </rPr>
      <t>$0.107/gal</t>
    </r>
    <r>
      <rPr>
        <sz val="9"/>
        <rFont val="Calibri"/>
        <family val="2"/>
        <scheme val="minor"/>
      </rPr>
      <t xml:space="preserve"> as of 10/1/22.</t>
    </r>
  </si>
  <si>
    <r>
      <t xml:space="preserve">The listed gasoline rate does not include additional local option taxes above the statewide minimum of $0.06/gal.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The Florida Motor Fuel Tax Relief Act of 2022, </t>
    </r>
    <r>
      <rPr>
        <b/>
        <sz val="9"/>
        <rFont val="Calibri"/>
        <family val="2"/>
        <scheme val="minor"/>
      </rPr>
      <t>effective 10/1/2022 to 10/31/2022</t>
    </r>
    <r>
      <rPr>
        <sz val="9"/>
        <rFont val="Calibri"/>
        <family val="2"/>
        <scheme val="minor"/>
      </rPr>
      <t>, reduces or suspends several components of the total tax on gasoline (does not apply to diesel fuel).</t>
    </r>
  </si>
  <si>
    <r>
      <t xml:space="preserve">"Part B", mandatory prepaid sales tax, aka "Tax Prepayment by Motor Fuel Retailers" (sales tax is 6.25%): </t>
    </r>
    <r>
      <rPr>
        <sz val="9"/>
        <color rgb="FF00B0F0"/>
        <rFont val="Calibri"/>
        <family val="2"/>
        <scheme val="minor"/>
      </rPr>
      <t xml:space="preserve">$0.24/gal </t>
    </r>
    <r>
      <rPr>
        <sz val="9"/>
        <rFont val="Calibri"/>
        <family val="2"/>
        <scheme val="minor"/>
      </rPr>
      <t xml:space="preserve">for gasoline, gasohol, and diesel. For biodiesel (1 to 10% blends), the prepaid rate is </t>
    </r>
    <r>
      <rPr>
        <sz val="9"/>
        <color rgb="FF00B0F0"/>
        <rFont val="Calibri"/>
        <family val="2"/>
        <scheme val="minor"/>
      </rPr>
      <t>$0.24/gal</t>
    </r>
    <r>
      <rPr>
        <sz val="9"/>
        <rFont val="Calibri"/>
        <family val="2"/>
        <scheme val="minor"/>
      </rPr>
      <t xml:space="preserve">.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</si>
  <si>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$0.199/gal</t>
    </r>
    <r>
      <rPr>
        <sz val="9"/>
        <rFont val="Calibri"/>
        <family val="2"/>
        <scheme val="minor"/>
      </rPr>
      <t xml:space="preserve">, as of 1/1/23.  A 7% sales tax on diesel fuel no longer applies. Oil Inspection fee: $0.01/gal.  </t>
    </r>
  </si>
  <si>
    <t>Petroleum Storage Tank Environmental Assurance Fee: $0.014/gal.  Rates are calculated quarterly on the average wholesale price of fuel.  Beginning July 1, 2016, rates were calculated and adjusted on an annual basis.</t>
  </si>
  <si>
    <r>
      <t xml:space="preserve">CPI component $0.054/gal as of 7/1/22, Sales and Use Tax Equivalent rate (SUTE) component $0.138/gal as of 7/1/22. Oil transfer Fee: $0.08 per barrel ($0.0019/gal) of oil transferred into the State. </t>
    </r>
    <r>
      <rPr>
        <b/>
        <sz val="9"/>
        <rFont val="Calibri"/>
        <family val="2"/>
        <scheme val="minor"/>
      </rPr>
      <t>The tax on motor fuels was suspended for 30 days, from March 18, 2022 to April 16, 2022</t>
    </r>
    <r>
      <rPr>
        <sz val="9"/>
        <rFont val="Calibri"/>
        <family val="2"/>
        <scheme val="minor"/>
      </rPr>
      <t>.</t>
    </r>
  </si>
  <si>
    <r>
      <t xml:space="preserve">Underground Storage Tank Petroleum Product Cleanup Fund Delivery fee: </t>
    </r>
    <r>
      <rPr>
        <sz val="9"/>
        <color rgb="FF00B0F0"/>
        <rFont val="Calibri"/>
        <family val="2"/>
        <scheme val="minor"/>
      </rPr>
      <t xml:space="preserve">$307.99 </t>
    </r>
    <r>
      <rPr>
        <sz val="9"/>
        <rFont val="Calibri"/>
        <family val="2"/>
        <scheme val="minor"/>
      </rPr>
      <t>per 10k load (</t>
    </r>
    <r>
      <rPr>
        <sz val="9"/>
        <color rgb="FF00B0F0"/>
        <rFont val="Calibri"/>
        <family val="2"/>
        <scheme val="minor"/>
      </rPr>
      <t>$0.030799/gal</t>
    </r>
    <r>
      <rPr>
        <sz val="9"/>
        <rFont val="Calibri"/>
        <family val="2"/>
        <scheme val="minor"/>
      </rPr>
      <t>).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</si>
  <si>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2023 Prepaid Sales Tax rates on fuels: gasoline </t>
    </r>
    <r>
      <rPr>
        <sz val="9"/>
        <color rgb="FF00B0F0"/>
        <rFont val="Calibri"/>
        <family val="2"/>
        <scheme val="minor"/>
      </rPr>
      <t>$0.206/gal</t>
    </r>
    <r>
      <rPr>
        <sz val="9"/>
        <rFont val="Calibri"/>
        <family val="2"/>
        <scheme val="minor"/>
      </rPr>
      <t xml:space="preserve">; diesel fuel </t>
    </r>
    <r>
      <rPr>
        <sz val="9"/>
        <color rgb="FF00B0F0"/>
        <rFont val="Calibri"/>
        <family val="2"/>
        <scheme val="minor"/>
      </rPr>
      <t>$0.293/gal</t>
    </r>
    <r>
      <rPr>
        <sz val="9"/>
        <rFont val="Calibri"/>
        <family val="2"/>
        <scheme val="minor"/>
      </rPr>
      <t xml:space="preserve">. </t>
    </r>
    <r>
      <rPr>
        <b/>
        <u/>
        <sz val="9"/>
        <rFont val="Calibri"/>
        <family val="2"/>
        <scheme val="minor"/>
      </rPr>
      <t>NOTE</t>
    </r>
    <r>
      <rPr>
        <sz val="9"/>
        <rFont val="Calibri"/>
        <family val="2"/>
        <scheme val="minor"/>
      </rPr>
      <t xml:space="preserve">: The prepaid sales tax rates are calculated each month, see Revenue Administrative Bulletins (RABs) for current rates. Environmental protection regulatory fee: $0.01/gal all products. </t>
    </r>
  </si>
  <si>
    <r>
      <t>Petroleum Tank Release Cleanup Fee (</t>
    </r>
    <r>
      <rPr>
        <sz val="9"/>
        <color rgb="FF00B0F0"/>
        <rFont val="Calibri"/>
        <family val="2"/>
        <scheme val="minor"/>
      </rPr>
      <t>will return to active status April - July 2023</t>
    </r>
    <r>
      <rPr>
        <sz val="9"/>
        <rFont val="Calibri"/>
        <family val="2"/>
        <scheme val="minor"/>
      </rPr>
      <t>): $20 per 1,000 gallons ($0.02/gal). Inspection fee: $1 for every 1,000 gallons received ($0.001/gal).</t>
    </r>
  </si>
  <si>
    <r>
      <t xml:space="preserve">Petroleum Inspection fee: $0.035 per 50 gallons ($0.0007/gal); Transport Load Fee </t>
    </r>
    <r>
      <rPr>
        <sz val="9"/>
        <color rgb="FF00B0F0"/>
        <rFont val="Calibri"/>
        <family val="2"/>
        <scheme val="minor"/>
      </rPr>
      <t xml:space="preserve">$32.00 </t>
    </r>
    <r>
      <rPr>
        <sz val="9"/>
        <rFont val="Calibri"/>
        <family val="2"/>
        <scheme val="minor"/>
      </rPr>
      <t>per 8,000 gallons (</t>
    </r>
    <r>
      <rPr>
        <sz val="9"/>
        <color rgb="FF00B0F0"/>
        <rFont val="Calibri"/>
        <family val="2"/>
        <scheme val="minor"/>
      </rPr>
      <t>$0.004/gal</t>
    </r>
    <r>
      <rPr>
        <sz val="9"/>
        <rFont val="Calibri"/>
        <family val="2"/>
        <scheme val="minor"/>
      </rPr>
      <t>).</t>
    </r>
  </si>
  <si>
    <r>
      <t xml:space="preserve">Petroleum Products Gross Receipts Tax - requires quarterly adjustment. As of 1/1/23: </t>
    </r>
    <r>
      <rPr>
        <sz val="9"/>
        <color rgb="FF00B0F0"/>
        <rFont val="Calibri"/>
        <family val="2"/>
        <scheme val="minor"/>
      </rPr>
      <t xml:space="preserve">$0.309/gal </t>
    </r>
    <r>
      <rPr>
        <sz val="9"/>
        <rFont val="Calibri"/>
        <family val="2"/>
        <scheme val="minor"/>
      </rPr>
      <t xml:space="preserve">for gasoline, </t>
    </r>
    <r>
      <rPr>
        <sz val="9"/>
        <color rgb="FF00B0F0"/>
        <rFont val="Calibri"/>
        <family val="2"/>
        <scheme val="minor"/>
      </rPr>
      <t>$0.349/gal</t>
    </r>
    <r>
      <rPr>
        <sz val="9"/>
        <rFont val="Calibri"/>
        <family val="2"/>
        <scheme val="minor"/>
      </rPr>
      <t xml:space="preserve"> for diesel fuel.  Spill Compensation and Control Act: $0.023  per barrel ($0.0005/gal) on all petroleum products.</t>
    </r>
  </si>
  <si>
    <r>
      <t xml:space="preserve">Petroleum Business Tax (13-A) - requires annual adjustment (January 1, 2022: gasoline </t>
    </r>
    <r>
      <rPr>
        <sz val="9"/>
        <color rgb="FF00B0F0"/>
        <rFont val="Calibri"/>
        <family val="2"/>
        <scheme val="minor"/>
      </rPr>
      <t>$0.181/gal</t>
    </r>
    <r>
      <rPr>
        <sz val="9"/>
        <rFont val="Calibri"/>
        <family val="2"/>
        <scheme val="minor"/>
      </rPr>
      <t xml:space="preserve">, diesel </t>
    </r>
    <r>
      <rPr>
        <sz val="9"/>
        <color rgb="FF00B0F0"/>
        <rFont val="Calibri"/>
        <family val="2"/>
        <scheme val="minor"/>
      </rPr>
      <t>$0.1635/gal</t>
    </r>
    <r>
      <rPr>
        <sz val="9"/>
        <rFont val="Calibri"/>
        <family val="2"/>
        <scheme val="minor"/>
      </rPr>
      <t>).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$0.180/gal, $0.180/gal, $0.170/gal for Regions 1, 2, 3, respectively.   Oil Spill Prevention, Control, and Compensation License fee: $0.0925/bbl plus a surcharge of $0.0425/bbl, all petroleum products ($0.003274/gal). Several state taxes applied to motor fuel/gasoline and on-highway diesel fuel were suspended,</t>
    </r>
    <r>
      <rPr>
        <b/>
        <sz val="9"/>
        <rFont val="Calibri"/>
        <family val="2"/>
        <scheme val="minor"/>
      </rPr>
      <t xml:space="preserve"> from 6/1/2022 through 12/31/2022</t>
    </r>
    <r>
      <rPr>
        <sz val="9"/>
        <rFont val="Calibri"/>
        <family val="2"/>
        <scheme val="minor"/>
      </rPr>
      <t>: $0.08/gal state excise tax (Article 12-A), the prepaid sales tax, and state sales and use taxes, and the additional $0.0075 state sales and use tax imposed in the Metropolitan Commuter Transportation District (MCTD).</t>
    </r>
  </si>
  <si>
    <r>
      <t xml:space="preserve">A variable rate is calculated annually and replaced the OCS and Liquid Fuels Tax (see PA Bulletin for updated rate info).  Underground Storage Tank (UST) Fund fee (applies only to gasoline and diesel fuel into tanks at farms: $0.011/gal. Most diesel fuel subject to the tank </t>
    </r>
    <r>
      <rPr>
        <b/>
        <sz val="9"/>
        <rFont val="Calibri"/>
        <family val="2"/>
        <scheme val="minor"/>
      </rPr>
      <t>Capacity fee</t>
    </r>
    <r>
      <rPr>
        <sz val="9"/>
        <rFont val="Calibri"/>
        <family val="2"/>
        <scheme val="minor"/>
      </rPr>
      <t>: $0.0825/gal of UST capacity</t>
    </r>
    <r>
      <rPr>
        <b/>
        <sz val="9"/>
        <rFont val="Calibri"/>
        <family val="2"/>
        <scheme val="minor"/>
      </rPr>
      <t xml:space="preserve">, </t>
    </r>
    <r>
      <rPr>
        <sz val="9"/>
        <rFont val="Calibri"/>
        <family val="2"/>
        <scheme val="minor"/>
      </rPr>
      <t>paid annually. See PA Insurance Dept, Bureau of Special Funds, USTIF for UST fees.</t>
    </r>
  </si>
  <si>
    <t>Environmental Protection Regulatory fee (EPRF): $0.01/gal. Uniform Oil Response and Prevention (UORF) fee: $0.05 cents per barrel ($0.0012/gal).</t>
  </si>
  <si>
    <r>
      <t xml:space="preserve">Petroleum Distributor fee: $0.01/gal. Motor Fuel Transportation Infrastructure Assessment (MFTIA) fee: gasoline </t>
    </r>
    <r>
      <rPr>
        <sz val="9"/>
        <color rgb="FF00B0F0"/>
        <rFont val="Calibri"/>
        <family val="2"/>
        <scheme val="minor"/>
      </rPr>
      <t>$0.0650/gal (1/1/2023-3/31/2023)</t>
    </r>
    <r>
      <rPr>
        <sz val="9"/>
        <rFont val="Calibri"/>
        <family val="2"/>
        <scheme val="minor"/>
      </rPr>
      <t xml:space="preserve">; diesel $0.03/gal. Motor Fuel Tax Assessment (MFTA) applies to gasoline only (1/1/2023-3/31/2023): </t>
    </r>
    <r>
      <rPr>
        <sz val="9"/>
        <color rgb="FF00B0F0"/>
        <rFont val="Calibri"/>
        <family val="2"/>
        <scheme val="minor"/>
      </rPr>
      <t>$0.1340/gal</t>
    </r>
    <r>
      <rPr>
        <sz val="9"/>
        <rFont val="Calibri"/>
        <family val="2"/>
        <scheme val="minor"/>
      </rPr>
      <t>.</t>
    </r>
  </si>
  <si>
    <t xml:space="preserve">Storage tank fee: $0.006/gal. The Motor Vehicle Fuels Sales Tax (MVFST) (aka, Wholesale Sales Tax (WH)) rates: gasoline $0.082/gal, diesel $0.083/gal. </t>
  </si>
  <si>
    <t xml:space="preserve">Oil Spill Administration Tax: $0.04 per barrel ($0.0009523/gal). Oil Spill Response tax: $0.01/bbl ($0.000238/gal). Hazardous Substance tax on petroleum products that can be measured on per-barrel basis: $1.20/bbl ($0.0286/gal).  "Border Zone Area Motor Fuel Tax" $0.01/gal in counties bordering Canada. Petroleum Products Tax (PPT) reinstated as of 1/1/20: rate is based on the wholesale value of the petroleum product multiplied by .0015. </t>
  </si>
  <si>
    <r>
      <t>Excise tax $0.205/gal, Consumers Sales and Service Tax:</t>
    </r>
    <r>
      <rPr>
        <sz val="9"/>
        <color rgb="FF00B0F0"/>
        <rFont val="Calibri"/>
        <family val="2"/>
        <scheme val="minor"/>
      </rPr>
      <t xml:space="preserve"> $0.167/gal</t>
    </r>
    <r>
      <rPr>
        <sz val="9"/>
        <rFont val="Calibri"/>
        <family val="2"/>
        <scheme val="minor"/>
      </rPr>
      <t xml:space="preserve">. </t>
    </r>
  </si>
  <si>
    <t>Not subject to federal excise. Automotive Surcharge (gasoline): $0.04/gal.  Mass Transit Automotive Surcharge (diesel): $0.04/gal. Excise taxes, Automotive surcharge, and Mass Transit Automotive Surcharge on liquid fuel suspended for 180 days, effective 6/21/2022.</t>
  </si>
  <si>
    <t>Finished gasoline is subject to an additional $15.50/bbl ($0.369/gal) in taxes. Diesel fuel is also subject to an additional $9.25/bbl ($0.220/gal) in taxes.  See 13 L.P.R.A. § 31626, 13 L.P.R.A. § 31627, and 13 L.P.R.A. § 31627a. Not subject to federal excise. Gasoline and diesel fuel excise taxes suspended for 45 days, effective 6/14/2022.</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</si>
  <si>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t>
    </r>
    <r>
      <rPr>
        <sz val="9"/>
        <color theme="8"/>
        <rFont val="Calibri"/>
        <family val="2"/>
        <scheme val="minor"/>
      </rPr>
      <t xml:space="preserve"> </t>
    </r>
    <r>
      <rPr>
        <sz val="9"/>
        <color rgb="FF00B0F0"/>
        <rFont val="Calibri"/>
        <family val="2"/>
        <scheme val="minor"/>
      </rPr>
      <t>January 1, 2023</t>
    </r>
    <r>
      <rPr>
        <sz val="9"/>
        <color theme="1"/>
        <rFont val="Calibri"/>
        <family val="2"/>
        <scheme val="minor"/>
      </rPr>
      <t xml:space="preserve">. Sources: State and Territorial statutes and government agencies. </t>
    </r>
  </si>
  <si>
    <r>
      <t xml:space="preserve">Georgia Underground Storage Tank (GUST) fee on petro products: $0.0075/gal.  The average retail price used for the Prepaid Local Tax (TSPLOST) changed as of 1/1/16; for more information, see https://dor.georgia.gov/motor-fuel-rates. </t>
    </r>
    <r>
      <rPr>
        <b/>
        <sz val="9"/>
        <rFont val="Calibri"/>
        <family val="2"/>
        <scheme val="minor"/>
      </rPr>
      <t xml:space="preserve">Suspension of state motor fuel excise tax on all taxable fuels, </t>
    </r>
    <r>
      <rPr>
        <b/>
        <sz val="9"/>
        <color rgb="FF00B0F0"/>
        <rFont val="Calibri"/>
        <family val="2"/>
        <scheme val="minor"/>
      </rPr>
      <t>effective 3/1/2022 through 1/10/2023. The statutorily-set rate for 2023 is used in this table.</t>
    </r>
    <r>
      <rPr>
        <b/>
        <sz val="9"/>
        <rFont val="Calibri"/>
        <family val="2"/>
        <scheme val="minor"/>
      </rPr>
      <t xml:space="preserve"> </t>
    </r>
    <r>
      <rPr>
        <sz val="9"/>
        <rFont val="Calibri"/>
        <family val="2"/>
        <scheme val="minor"/>
      </rPr>
      <t>The suspension does not apply to local sales or use taxes.</t>
    </r>
  </si>
  <si>
    <r>
      <t>Petroleum Products Gross Earnings tax (PPGET): 8.1% on first sale of gasoline in the state. The varible rate portion for diesel fuel: $0.139/gal as of 7/1/22 (calculated as 8.1% of the average wholesale price for a 12-month period ending by June 15 each year). PPGET does not apply to products to be used as heating fuels or bunker fuels.</t>
    </r>
    <r>
      <rPr>
        <b/>
        <sz val="9"/>
        <rFont val="Calibri"/>
        <family val="2"/>
        <scheme val="minor"/>
      </rPr>
      <t xml:space="preserve"> </t>
    </r>
    <r>
      <rPr>
        <b/>
        <sz val="9"/>
        <color rgb="FF00B0F0"/>
        <rFont val="Calibri"/>
        <family val="2"/>
        <scheme val="minor"/>
      </rPr>
      <t>The State tax on gasoline (only) was suspended from 4/1/2022 to 12/31/2022. It will be incrementally reinstated ($0.05 each month) until fully restored on 5/1/2023</t>
    </r>
    <r>
      <rPr>
        <sz val="9"/>
        <color rgb="FF00B0F0"/>
        <rFont val="Calibri"/>
        <family val="2"/>
        <scheme val="minor"/>
      </rPr>
      <t>. The rate in effect as of January 1, 2023 is used in this table.</t>
    </r>
  </si>
  <si>
    <r>
      <t xml:space="preserve">Petroleum Products Gross Earnings tax (PPGET): 8.1% on first sale of gasoline in the state. The varible rate portion for diesel fuel: </t>
    </r>
    <r>
      <rPr>
        <sz val="9"/>
        <color rgb="FF00B0F0"/>
        <rFont val="Calibri"/>
        <family val="2"/>
        <scheme val="minor"/>
      </rPr>
      <t>$0.139/gal</t>
    </r>
    <r>
      <rPr>
        <sz val="9"/>
        <rFont val="Calibri"/>
        <family val="2"/>
        <scheme val="minor"/>
      </rPr>
      <t xml:space="preserve"> as of 7/1/22 (calculated as 8.1% of the average wholesale price for a 12-month period ending by June 15 each year). PPGET does not apply to products to be used as heating fuels or bunker fuels.</t>
    </r>
    <r>
      <rPr>
        <b/>
        <sz val="9"/>
        <rFont val="Calibri"/>
        <family val="2"/>
        <scheme val="minor"/>
      </rPr>
      <t xml:space="preserve"> </t>
    </r>
    <r>
      <rPr>
        <b/>
        <sz val="9"/>
        <color rgb="FF00B0F0"/>
        <rFont val="Calibri"/>
        <family val="2"/>
        <scheme val="minor"/>
      </rPr>
      <t xml:space="preserve">The State tax on gasoline (only) was suspended from 4/1/2022 to </t>
    </r>
    <r>
      <rPr>
        <b/>
        <strike/>
        <sz val="9"/>
        <color rgb="FF00B0F0"/>
        <rFont val="Calibri"/>
        <family val="2"/>
        <scheme val="minor"/>
      </rPr>
      <t>6/30/2022</t>
    </r>
    <r>
      <rPr>
        <b/>
        <sz val="9"/>
        <color rgb="FF00B0F0"/>
        <rFont val="Calibri"/>
        <family val="2"/>
        <scheme val="minor"/>
      </rPr>
      <t xml:space="preserve"> </t>
    </r>
    <r>
      <rPr>
        <b/>
        <sz val="9"/>
        <color rgb="FFFF0000"/>
        <rFont val="Calibri"/>
        <family val="2"/>
        <scheme val="minor"/>
      </rPr>
      <t>12/31/2022</t>
    </r>
    <r>
      <rPr>
        <sz val="9"/>
        <rFont val="Calibri"/>
        <family val="2"/>
        <scheme val="minor"/>
      </rPr>
      <t>.</t>
    </r>
  </si>
  <si>
    <r>
      <t xml:space="preserve">Georgia Underground Storage Tank (GUST) fee on petro products: $0.0075/gal.  The average retail price used for the Prepaid Local Tax (TSPLOST) changed as of 1/1/16; for more information, see https://dor.georgia.gov/motor-fuel-rates. </t>
    </r>
    <r>
      <rPr>
        <b/>
        <sz val="9"/>
        <color rgb="FF00B0F0"/>
        <rFont val="Calibri"/>
        <family val="2"/>
        <scheme val="minor"/>
      </rPr>
      <t xml:space="preserve">Suspension of state motor fuel excise tax on all taxable fuels, effective 3/1/2022 and currently extended through </t>
    </r>
    <r>
      <rPr>
        <b/>
        <strike/>
        <sz val="9"/>
        <color rgb="FF00B0F0"/>
        <rFont val="Calibri"/>
        <family val="2"/>
        <scheme val="minor"/>
      </rPr>
      <t>8/13/2022</t>
    </r>
    <r>
      <rPr>
        <b/>
        <sz val="9"/>
        <color rgb="FF00B0F0"/>
        <rFont val="Calibri"/>
        <family val="2"/>
        <scheme val="minor"/>
      </rPr>
      <t xml:space="preserve"> </t>
    </r>
    <r>
      <rPr>
        <b/>
        <sz val="9"/>
        <color rgb="FFFF0000"/>
        <rFont val="Calibri"/>
        <family val="2"/>
        <scheme val="minor"/>
      </rPr>
      <t>1/10/2023</t>
    </r>
    <r>
      <rPr>
        <b/>
        <sz val="9"/>
        <color rgb="FF00B0F0"/>
        <rFont val="Calibri"/>
        <family val="2"/>
        <scheme val="minor"/>
      </rPr>
      <t xml:space="preserve">. </t>
    </r>
    <r>
      <rPr>
        <sz val="9"/>
        <color rgb="FF00B0F0"/>
        <rFont val="Calibri"/>
        <family val="2"/>
        <scheme val="minor"/>
      </rPr>
      <t>The suspension does not apply to local  sales or use taxes.</t>
    </r>
  </si>
  <si>
    <r>
      <t>Updated August 2022 (</t>
    </r>
    <r>
      <rPr>
        <sz val="9"/>
        <color rgb="FFFF0000"/>
        <rFont val="Calibri"/>
        <family val="2"/>
        <scheme val="minor"/>
      </rPr>
      <t>revised February 2023</t>
    </r>
    <r>
      <rPr>
        <sz val="9"/>
        <color rgb="FF00B0F0"/>
        <rFont val="Calibri"/>
        <family val="2"/>
        <scheme val="minor"/>
      </rPr>
      <t>)</t>
    </r>
  </si>
  <si>
    <r>
      <t xml:space="preserve">Petroleum Business Tax (13-A) - requires annual adjustment (January 1, 2022: gasoline $0.173/gal, diesel $0.1555/gal).  Petroleum Testing Fee (gasoline): $0.0005/gal. </t>
    </r>
    <r>
      <rPr>
        <strike/>
        <sz val="9"/>
        <color theme="8"/>
        <rFont val="Calibri"/>
        <family val="2"/>
        <scheme val="minor"/>
      </rPr>
      <t xml:space="preserve"> </t>
    </r>
    <r>
      <rPr>
        <strike/>
        <sz val="9"/>
        <color rgb="FF00B0F0"/>
        <rFont val="Calibri"/>
        <family val="2"/>
        <scheme val="minor"/>
      </rPr>
      <t>Additional sales taxes apply: State Sales Tax: $0.08/gal ($0.0875/gal in the Metropolitan Commuter Transportation District (MCTD))</t>
    </r>
    <r>
      <rPr>
        <sz val="9"/>
        <color rgb="FF00B0F0"/>
        <rFont val="Calibri"/>
        <family val="2"/>
        <scheme val="minor"/>
      </rPr>
      <t xml:space="preserve">; </t>
    </r>
    <r>
      <rPr>
        <sz val="9"/>
        <rFont val="Calibri"/>
        <family val="2"/>
        <scheme val="minor"/>
      </rPr>
      <t xml:space="preserve">local sales taxes also apply (some counties levy this in a cents-per-gallon manner.) </t>
    </r>
    <r>
      <rPr>
        <sz val="9"/>
        <color rgb="FF00B0F0"/>
        <rFont val="Calibri"/>
        <family val="2"/>
        <scheme val="minor"/>
      </rPr>
      <t xml:space="preserve"> </t>
    </r>
    <r>
      <rPr>
        <strike/>
        <sz val="9"/>
        <color rgb="FF00B0F0"/>
        <rFont val="Calibri"/>
        <family val="2"/>
        <scheme val="minor"/>
      </rPr>
      <t>Prepaid Sales Tax rates (see Publication 790, "Chart for Prepayment of Sales Tax on Motor Fuels'): $0.180/gal, $0.180/gal, $0.170/gal for Regions 1, 2, 3, respectively.</t>
    </r>
    <r>
      <rPr>
        <sz val="9"/>
        <color rgb="FF00B0F0"/>
        <rFont val="Calibri"/>
        <family val="2"/>
        <scheme val="minor"/>
      </rPr>
      <t xml:space="preserve">   </t>
    </r>
    <r>
      <rPr>
        <sz val="9"/>
        <rFont val="Calibri"/>
        <family val="2"/>
        <scheme val="minor"/>
      </rPr>
      <t xml:space="preserve">Oil Spill Prevention, Control, and Compensation License fee: $0.0925/bbl plus a surcharge of $0.0425/bbl, all petroleum products ($0.003274/gal). </t>
    </r>
    <r>
      <rPr>
        <sz val="9"/>
        <color rgb="FF00B0F0"/>
        <rFont val="Calibri"/>
        <family val="2"/>
        <scheme val="minor"/>
      </rPr>
      <t>Several state taxes applied to motor fuel/gasoline and on-highway diesel fuel are suspended,</t>
    </r>
    <r>
      <rPr>
        <b/>
        <sz val="9"/>
        <color rgb="FF00B0F0"/>
        <rFont val="Calibri"/>
        <family val="2"/>
        <scheme val="minor"/>
      </rPr>
      <t xml:space="preserve"> effective 6/1/2022 through 12/31/2022</t>
    </r>
    <r>
      <rPr>
        <sz val="9"/>
        <color rgb="FF00B0F0"/>
        <rFont val="Calibri"/>
        <family val="2"/>
        <scheme val="minor"/>
      </rPr>
      <t>: $0.08/gal state excise tax (Article 12-A), the prepaid sales tax, and state sales and use taxes, and the additional $0.0075 state sales and use tax imposed in the Metropolitan Commuter Transportation District (MCTD)</t>
    </r>
    <r>
      <rPr>
        <sz val="9"/>
        <rFont val="Calibri"/>
        <family val="2"/>
        <scheme val="minor"/>
      </rPr>
      <t>.</t>
    </r>
  </si>
  <si>
    <r>
      <rPr>
        <sz val="9"/>
        <rFont val="Calibri"/>
        <family val="2"/>
        <scheme val="minor"/>
      </rPr>
      <t xml:space="preserve">2.25% state sales tax on gasoline, 9.0625% state sales tax on diesel (prepaid rates for these sales taxes: gasoline </t>
    </r>
    <r>
      <rPr>
        <sz val="9"/>
        <color rgb="FF00B0F0"/>
        <rFont val="Calibri"/>
        <family val="2"/>
        <scheme val="minor"/>
      </rPr>
      <t>$0.08</t>
    </r>
    <r>
      <rPr>
        <sz val="9"/>
        <rFont val="Calibri"/>
        <family val="2"/>
        <scheme val="minor"/>
      </rPr>
      <t xml:space="preserve">/gal; diesel </t>
    </r>
    <r>
      <rPr>
        <sz val="9"/>
        <color rgb="FF00B0F0"/>
        <rFont val="Calibri"/>
        <family val="2"/>
        <scheme val="minor"/>
      </rPr>
      <t>$0.345</t>
    </r>
    <r>
      <rPr>
        <sz val="9"/>
        <rFont val="Calibri"/>
        <family val="2"/>
        <scheme val="minor"/>
      </rPr>
      <t xml:space="preserve">/gal).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(OPSA) Fee (all products): </t>
    </r>
    <r>
      <rPr>
        <sz val="9"/>
        <color rgb="FF00B0F0"/>
        <rFont val="Calibri"/>
        <family val="2"/>
        <scheme val="minor"/>
      </rPr>
      <t>$0.091</t>
    </r>
    <r>
      <rPr>
        <sz val="9"/>
        <rFont val="Calibri"/>
        <family val="2"/>
        <scheme val="minor"/>
      </rPr>
      <t xml:space="preserve"> per barrel (</t>
    </r>
    <r>
      <rPr>
        <sz val="9"/>
        <color rgb="FF00B0F0"/>
        <rFont val="Calibri"/>
        <family val="2"/>
        <scheme val="minor"/>
      </rPr>
      <t>$0.0022</t>
    </r>
    <r>
      <rPr>
        <sz val="9"/>
        <rFont val="Calibri"/>
        <family val="2"/>
        <scheme val="minor"/>
      </rPr>
      <t>/gal).</t>
    </r>
  </si>
  <si>
    <r>
      <t xml:space="preserve">Perfluoroalkyl and polyfluoroalkyl substances (PFAS) Fee: $0.003125/gal (gasoline and diesel fuel). Bridge and Tunnel Impact (BTI) Fee: </t>
    </r>
    <r>
      <rPr>
        <sz val="9"/>
        <color rgb="FF00B0F0"/>
        <rFont val="Calibri"/>
        <family val="2"/>
        <scheme val="minor"/>
      </rPr>
      <t>$0.03</t>
    </r>
    <r>
      <rPr>
        <sz val="9"/>
        <rFont val="Calibri"/>
        <family val="2"/>
        <scheme val="minor"/>
      </rPr>
      <t xml:space="preserve">/gal (diesel fuel only). Road Usage (RUF) Fee: </t>
    </r>
    <r>
      <rPr>
        <sz val="9"/>
        <color rgb="FF00B0F0"/>
        <rFont val="Calibri"/>
        <family val="2"/>
        <scheme val="minor"/>
      </rPr>
      <t>$0.03</t>
    </r>
    <r>
      <rPr>
        <sz val="9"/>
        <rFont val="Calibri"/>
        <family val="2"/>
        <scheme val="minor"/>
      </rPr>
      <t xml:space="preserve">/gal (gasoline and diesel fuel). Environmental Response Surcharge (ERS): </t>
    </r>
    <r>
      <rPr>
        <sz val="9"/>
        <color rgb="FF00B0F0"/>
        <rFont val="Calibri"/>
        <family val="2"/>
        <scheme val="minor"/>
      </rPr>
      <t>$50</t>
    </r>
    <r>
      <rPr>
        <sz val="9"/>
        <rFont val="Calibri"/>
        <family val="2"/>
        <scheme val="minor"/>
      </rPr>
      <t xml:space="preserve"> per tanker load (8000 gallons) or </t>
    </r>
    <r>
      <rPr>
        <sz val="9"/>
        <color rgb="FF00B0F0"/>
        <rFont val="Calibri"/>
        <family val="2"/>
        <scheme val="minor"/>
      </rPr>
      <t>$0.00625</t>
    </r>
    <r>
      <rPr>
        <sz val="9"/>
        <rFont val="Calibri"/>
        <family val="2"/>
        <scheme val="minor"/>
      </rPr>
      <t xml:space="preserve">/gal (gasoline and diesel fuel). </t>
    </r>
  </si>
  <si>
    <r>
      <t xml:space="preserve">Petroleum Products Gross Earnings tax (PPGET): 8.1% on first sale of gasoline in the state. The varible rate portion for diesel fuel: </t>
    </r>
    <r>
      <rPr>
        <sz val="9"/>
        <color rgb="FF00B0F0"/>
        <rFont val="Calibri"/>
        <family val="2"/>
        <scheme val="minor"/>
      </rPr>
      <t>$0.202</t>
    </r>
    <r>
      <rPr>
        <sz val="9"/>
        <rFont val="Calibri"/>
        <family val="2"/>
        <scheme val="minor"/>
      </rPr>
      <t>/gal as of 7/1/23 (calculated as 8.1% of the average wholesale price for a 12-month period ending by June 15 each year). PPGET does not apply to products to be used as heating fuels or bunker fuels.</t>
    </r>
    <r>
      <rPr>
        <b/>
        <sz val="9"/>
        <rFont val="Calibri"/>
        <family val="2"/>
        <scheme val="minor"/>
      </rPr>
      <t xml:space="preserve"> </t>
    </r>
    <r>
      <rPr>
        <sz val="9"/>
        <rFont val="Calibri"/>
        <family val="2"/>
        <scheme val="minor"/>
      </rPr>
      <t xml:space="preserve">The State tax on gasoline (only) was suspended from 4/1/2022 to 12/31/2022. It was incrementally reinstated in 2023 ($0.05 each month) until fully restored on 5/1/2023. </t>
    </r>
  </si>
  <si>
    <t>Motor Vehicle Fuel Tax Surcharge/Local Transportation Surcharge: $0.107/gal as of 10/1/22.</t>
  </si>
  <si>
    <t>The listed gasoline rate does not include additional local option taxes above the statewide minimum of $0.06/gal.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The Florida Motor Fuel Tax Relief Act of 2022, effective 10/1/2022 to 10/31/2022, reduces or suspends several components of the total tax on gasoline (does not apply to diesel fuel).</t>
  </si>
  <si>
    <t>Georgia Underground Storage Tank (GUST) fee on petro products: $0.0075/gal.  The average retail price used for the Prepaid Local Tax (TSPLOST) changed as of 1/1/16; for more information, see https://dor.georgia.gov/motor-fuel-rates. Suspension of state motor fuel excise tax on all taxable fuels, effective 3/1/2022 through 1/10/2023. The suspension does not apply to local sales or use taxes.</t>
  </si>
  <si>
    <r>
      <t xml:space="preserve">"Part B", mandatory prepaid sales tax, aka "Tax Prepayment by Motor Fuel Retailers" (sales tax is 6.25%): $0.20/gal for gasoline, gasohol, and diesel. For biodiesel (1 to 10% blends), the prepaid rate is </t>
    </r>
    <r>
      <rPr>
        <sz val="9"/>
        <color rgb="FF00B0F0"/>
        <rFont val="Calibri"/>
        <family val="2"/>
        <scheme val="minor"/>
      </rPr>
      <t>$0.20</t>
    </r>
    <r>
      <rPr>
        <sz val="9"/>
        <rFont val="Calibri"/>
        <family val="2"/>
        <scheme val="minor"/>
      </rPr>
      <t xml:space="preserve">/gal.  Underground Storage Tank tax: $0.003/gal; Environmental Impact Fee: $0.008/gal.  </t>
    </r>
  </si>
  <si>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$0.205</t>
    </r>
    <r>
      <rPr>
        <sz val="9"/>
        <rFont val="Calibri"/>
        <family val="2"/>
        <scheme val="minor"/>
      </rPr>
      <t xml:space="preserve">/gal, as of 7/1/23.  A 7% sales tax on diesel fuel no longer applies. Oil Inspection fee: $0.01/gal.  </t>
    </r>
  </si>
  <si>
    <t>Petroleum Storage Tank Environmental Assurance Fee: $0.014/gal.  Rates are calculated quarterly on the average wholesale price of fuel.  Beginning July 1, 2016, rates calculated and adjusted on an annual basis.</t>
  </si>
  <si>
    <r>
      <t xml:space="preserve">CPI component </t>
    </r>
    <r>
      <rPr>
        <sz val="9"/>
        <color rgb="FF00B0F0"/>
        <rFont val="Calibri"/>
        <family val="2"/>
        <scheme val="minor"/>
      </rPr>
      <t>$0.075</t>
    </r>
    <r>
      <rPr>
        <sz val="9"/>
        <rFont val="Calibri"/>
        <family val="2"/>
        <scheme val="minor"/>
      </rPr>
      <t xml:space="preserve">/gal as of 7/1/23, Sales and Use Tax Equivalent rate (SUTE) component </t>
    </r>
    <r>
      <rPr>
        <sz val="9"/>
        <color rgb="FF00B0F0"/>
        <rFont val="Calibri"/>
        <family val="2"/>
        <scheme val="minor"/>
      </rPr>
      <t>$0.16</t>
    </r>
    <r>
      <rPr>
        <sz val="9"/>
        <rFont val="Calibri"/>
        <family val="2"/>
        <scheme val="minor"/>
      </rPr>
      <t>/gal as of 7/1/23. Oil transfer Fee: $0.08 per barrel ($0.0019/gal) of oil transferred into the State. The tax on motor fuels was suspended for 30 days, from March 18, 2022 to April 16, 2022.</t>
    </r>
  </si>
  <si>
    <r>
      <t>Underground Storage Tank Petroleum Product Cleanup Fund Delivery fee: $307.99 per 10k load ($0.030799/gal).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</si>
  <si>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July 2023 Prepaid Sales Tax rates on fuels: gasoline </t>
    </r>
    <r>
      <rPr>
        <sz val="9"/>
        <color rgb="FF00B0F0"/>
        <rFont val="Calibri"/>
        <family val="2"/>
        <scheme val="minor"/>
      </rPr>
      <t>$0.181</t>
    </r>
    <r>
      <rPr>
        <sz val="9"/>
        <rFont val="Calibri"/>
        <family val="2"/>
        <scheme val="minor"/>
      </rPr>
      <t xml:space="preserve">/gal; diesel fuel </t>
    </r>
    <r>
      <rPr>
        <sz val="9"/>
        <color rgb="FF00B0F0"/>
        <rFont val="Calibri"/>
        <family val="2"/>
        <scheme val="minor"/>
      </rPr>
      <t>$0.213</t>
    </r>
    <r>
      <rPr>
        <sz val="9"/>
        <rFont val="Calibri"/>
        <family val="2"/>
        <scheme val="minor"/>
      </rPr>
      <t xml:space="preserve">/gal. </t>
    </r>
    <r>
      <rPr>
        <b/>
        <sz val="9"/>
        <rFont val="Calibri"/>
        <family val="2"/>
        <scheme val="minor"/>
      </rPr>
      <t>The prepaid sales tax rates are calculated each month</t>
    </r>
    <r>
      <rPr>
        <sz val="9"/>
        <rFont val="Calibri"/>
        <family val="2"/>
        <scheme val="minor"/>
      </rPr>
      <t xml:space="preserve">, see Revenue Administrative Bulletins (RABs) for current rates. Environmental protection regulatory fee: $0.01/gal all products. </t>
    </r>
  </si>
  <si>
    <r>
      <t>Petroleum Tank Release Cleanup Fee (in effect April - July 2023): $20 per 1,000 gallons (</t>
    </r>
    <r>
      <rPr>
        <sz val="9"/>
        <color rgb="FF00B0F0"/>
        <rFont val="Calibri"/>
        <family val="2"/>
        <scheme val="minor"/>
      </rPr>
      <t>$0.02</t>
    </r>
    <r>
      <rPr>
        <sz val="9"/>
        <rFont val="Calibri"/>
        <family val="2"/>
        <scheme val="minor"/>
      </rPr>
      <t>/gal). Inspection fee: $1 for every 1,000 gallons received ($0.001/gal).</t>
    </r>
  </si>
  <si>
    <t>Petroleum Inspection fee: $0.035 per 50 gallons ($0.0007/gal); Transport Load Fee $32.00 per 8,000 gallons ($0.004/gal).</t>
  </si>
  <si>
    <t>Petroleum Products Gross Receipts Tax - requires quarterly adjustment. As of 1/1/23: $0.309/gal for gasoline, $0.349/gal for diesel fuel.  Spill Compensation and Control Act: $0.023  per barrel ($0.0005/gal) on all petroleum products.</t>
  </si>
  <si>
    <r>
      <t>Petroleum Business Tax (13-A) - requires annual adjustment (January 1, 2022: gasoline $0.181/gal, diesel $0.1635/gal).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$0.180/gal, $0.180/gal, $0.170/gal for Regions 1, 2, 3, respectively.   Oil Spill Prevention, Control, and Compensation License fee: $0.0925/bbl plus a surcharge of $0.0425/bbl, all petroleum products ($0.003274/gal). Several state taxes applied to motor fuel/gasoline and on-highway diesel fuel were suspended,</t>
    </r>
    <r>
      <rPr>
        <b/>
        <sz val="9"/>
        <rFont val="Calibri"/>
        <family val="2"/>
        <scheme val="minor"/>
      </rPr>
      <t xml:space="preserve"> </t>
    </r>
    <r>
      <rPr>
        <sz val="9"/>
        <rFont val="Calibri"/>
        <family val="2"/>
        <scheme val="minor"/>
      </rPr>
      <t>from 6/1/2022 through 12/31/2022: $0.08/gal state excise tax (Article 12-A), the prepaid sales tax, and state sales and use taxes, and the additional $0.0075 state sales and use tax imposed in the Metropolitan Commuter Transportation District (MCTD).</t>
    </r>
  </si>
  <si>
    <r>
      <t>A variable rate is calculated annually and replaced the OCS and Liquid Fuels Tax (see PA Bulletin for updated rate info).  Underground Storage Tank (UST) Fund fee (applies only to gasoline and diesel fuel into tanks at farms: $0.011/gal. Most diesel fuel subject to the tank Capacity fee: $0.0825/gal of UST capacity</t>
    </r>
    <r>
      <rPr>
        <b/>
        <sz val="9"/>
        <rFont val="Calibri"/>
        <family val="2"/>
        <scheme val="minor"/>
      </rPr>
      <t xml:space="preserve">, </t>
    </r>
    <r>
      <rPr>
        <sz val="9"/>
        <rFont val="Calibri"/>
        <family val="2"/>
        <scheme val="minor"/>
      </rPr>
      <t>paid annually. See PA Insurance Dept, Bureau of Special Funds, USTIF for UST fees.</t>
    </r>
  </si>
  <si>
    <r>
      <t xml:space="preserve">Petroleum Distributor fee: $0.01/gal. Motor Fuel Transportation Infrastructure Assessment (MFTIA) fee: gasoline </t>
    </r>
    <r>
      <rPr>
        <sz val="9"/>
        <color rgb="FF00B0F0"/>
        <rFont val="Calibri"/>
        <family val="2"/>
        <scheme val="minor"/>
      </rPr>
      <t>$0.0602</t>
    </r>
    <r>
      <rPr>
        <sz val="9"/>
        <rFont val="Calibri"/>
        <family val="2"/>
        <scheme val="minor"/>
      </rPr>
      <t>/gal (7/1/2023-9/3/2023); diesel $0.03/gal. Motor Fuel Tax Assessment (MFTA) applies to gasoline only (1/1/2023-3/31/2023): $0.1340/gal.</t>
    </r>
  </si>
  <si>
    <r>
      <t xml:space="preserve">Storage tank fee: $0.006/gal. The Motor Vehicle Fuels Sales Tax (MVFST) (aka, Wholesale Sales Tax (WH)) rates: gasoline </t>
    </r>
    <r>
      <rPr>
        <sz val="9"/>
        <color rgb="FF00B0F0"/>
        <rFont val="Calibri"/>
        <family val="2"/>
        <scheme val="minor"/>
      </rPr>
      <t>$0.087</t>
    </r>
    <r>
      <rPr>
        <sz val="9"/>
        <rFont val="Calibri"/>
        <family val="2"/>
        <scheme val="minor"/>
      </rPr>
      <t xml:space="preserve">/gal, diesel </t>
    </r>
    <r>
      <rPr>
        <sz val="9"/>
        <color rgb="FF00B0F0"/>
        <rFont val="Calibri"/>
        <family val="2"/>
        <scheme val="minor"/>
      </rPr>
      <t>$0.088</t>
    </r>
    <r>
      <rPr>
        <sz val="9"/>
        <rFont val="Calibri"/>
        <family val="2"/>
        <scheme val="minor"/>
      </rPr>
      <t xml:space="preserve">/gal. </t>
    </r>
  </si>
  <si>
    <r>
      <t>Oil Spill Administration Tax: $0.04 per barrel ($0.0009523/gal). Oil Spill Response tax: $0.01/bbl ($0.000238/gal). Hazardous Substance tax on petroleum products that can be measured on per-barrel basis:</t>
    </r>
    <r>
      <rPr>
        <sz val="9"/>
        <color rgb="FF00B0F0"/>
        <rFont val="Calibri"/>
        <family val="2"/>
        <scheme val="minor"/>
      </rPr>
      <t xml:space="preserve"> $1.40</t>
    </r>
    <r>
      <rPr>
        <sz val="9"/>
        <rFont val="Calibri"/>
        <family val="2"/>
        <scheme val="minor"/>
      </rPr>
      <t>/bbl (</t>
    </r>
    <r>
      <rPr>
        <sz val="9"/>
        <color rgb="FF00B0F0"/>
        <rFont val="Calibri"/>
        <family val="2"/>
        <scheme val="minor"/>
      </rPr>
      <t>$0.033</t>
    </r>
    <r>
      <rPr>
        <sz val="9"/>
        <rFont val="Calibri"/>
        <family val="2"/>
        <scheme val="minor"/>
      </rPr>
      <t xml:space="preserve">/gal).  "Border Zone Area Motor Fuel Tax" $0.01/gal in counties bordering Canada. Petroleum Products Tax (PPT) reinstated as of 1/1/20: rate is based on the wholesale value of the petroleum product multiplied by .0015. </t>
    </r>
  </si>
  <si>
    <t xml:space="preserve">Excise tax $0.205/gal, Consumers Sales and Service Tax: $0.167/gal. </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</si>
  <si>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t>
    </r>
    <r>
      <rPr>
        <sz val="9"/>
        <color theme="8"/>
        <rFont val="Calibri"/>
        <family val="2"/>
        <scheme val="minor"/>
      </rPr>
      <t xml:space="preserve"> </t>
    </r>
    <r>
      <rPr>
        <sz val="9"/>
        <color rgb="FF00B0F0"/>
        <rFont val="Calibri"/>
        <family val="2"/>
        <scheme val="minor"/>
      </rPr>
      <t>July 1, 2023</t>
    </r>
    <r>
      <rPr>
        <sz val="9"/>
        <color theme="1"/>
        <rFont val="Calibri"/>
        <family val="2"/>
        <scheme val="minor"/>
      </rPr>
      <t xml:space="preserve">. Sources: State and Territorial statutes and government agencies. </t>
    </r>
  </si>
  <si>
    <t xml:space="preserve">Updated July 2023 </t>
  </si>
  <si>
    <t xml:space="preserve">Updated January 2024 </t>
  </si>
  <si>
    <r>
      <rPr>
        <sz val="9"/>
        <rFont val="Calibri"/>
        <family val="2"/>
        <scheme val="minor"/>
      </rPr>
      <t>2.25% state sales tax on gasoline, 9.0625% state sales tax on diesel (prepaid rates for these sales taxes: gasoline $0.08/gal; diesel</t>
    </r>
    <r>
      <rPr>
        <sz val="9"/>
        <color rgb="FF00B0F0"/>
        <rFont val="Calibri"/>
        <family val="2"/>
        <scheme val="minor"/>
      </rPr>
      <t xml:space="preserve"> $0.50</t>
    </r>
    <r>
      <rPr>
        <sz val="9"/>
        <rFont val="Calibri"/>
        <family val="2"/>
        <scheme val="minor"/>
      </rPr>
      <t xml:space="preserve">/gal). </t>
    </r>
    <r>
      <rPr>
        <b/>
        <sz val="9"/>
        <rFont val="Calibri"/>
        <family val="2"/>
        <scheme val="minor"/>
      </rPr>
      <t>Additional District sales taxes may apply.</t>
    </r>
    <r>
      <rPr>
        <sz val="9"/>
        <rFont val="Calibri"/>
        <family val="2"/>
        <scheme val="minor"/>
      </rPr>
      <t xml:space="preserve"> State Underground Storage Tank fee (all products): $0.02/gal. Oil Spill Prevention and Administration (OPSA) Fee (all products): $0.091 per barrel ($0.0022/gal).</t>
    </r>
  </si>
  <si>
    <r>
      <t xml:space="preserve">Perfluoroalkyl and polyfluoroalkyl substances (PFAS) Fee: $0.003125/gal (gasoline and diesel fuel). Bridge and Tunnel Impact (BTI) Fee: $0.03/gal (diesel fuel only). Road Usage (RUF) Fee: $0.03/gal (gasoline and diesel fuel). Environmental Response Surcharge (ERS): </t>
    </r>
    <r>
      <rPr>
        <sz val="9"/>
        <color rgb="FF00B0F0"/>
        <rFont val="Calibri"/>
        <family val="2"/>
        <scheme val="minor"/>
      </rPr>
      <t>$50</t>
    </r>
    <r>
      <rPr>
        <sz val="9"/>
        <rFont val="Calibri"/>
        <family val="2"/>
        <scheme val="minor"/>
      </rPr>
      <t xml:space="preserve"> per tanker load (8000 gallons) or </t>
    </r>
    <r>
      <rPr>
        <sz val="9"/>
        <color rgb="FF00B0F0"/>
        <rFont val="Calibri"/>
        <family val="2"/>
        <scheme val="minor"/>
      </rPr>
      <t>$0.00625</t>
    </r>
    <r>
      <rPr>
        <sz val="9"/>
        <rFont val="Calibri"/>
        <family val="2"/>
        <scheme val="minor"/>
      </rPr>
      <t xml:space="preserve">/gal (gasoline and diesel fuel). </t>
    </r>
    <r>
      <rPr>
        <sz val="9"/>
        <color rgb="FF00B0F0"/>
        <rFont val="Calibri"/>
        <family val="2"/>
        <scheme val="minor"/>
      </rPr>
      <t>Fuel Impact Reduction Fee (FIRF), applies to gasoline &amp; diesel fuels: $0.006125/gal.</t>
    </r>
  </si>
  <si>
    <r>
      <t>Petroleum Products Gross Earnings tax (PPGET): 8.1% on first sale of gasoline in the state. The varible rate portion for diesel fuel: $0.202/gal as of 7/1/23 (calculated as 8.1% of the average wholesale price for a 12-month period ending by June 15 each year). PPGET does not apply to products to be used as heating fuels or bunker fuels.</t>
    </r>
    <r>
      <rPr>
        <b/>
        <sz val="9"/>
        <rFont val="Calibri"/>
        <family val="2"/>
        <scheme val="minor"/>
      </rPr>
      <t xml:space="preserve"> </t>
    </r>
  </si>
  <si>
    <r>
      <t xml:space="preserve">Motor Vehicle Fuel Tax Surcharge/Local Transportation Surcharge: </t>
    </r>
    <r>
      <rPr>
        <sz val="9"/>
        <color rgb="FF00B0F0"/>
        <rFont val="Calibri"/>
        <family val="2"/>
        <scheme val="minor"/>
      </rPr>
      <t>$0.114</t>
    </r>
    <r>
      <rPr>
        <sz val="9"/>
        <rFont val="Calibri"/>
        <family val="2"/>
        <scheme val="minor"/>
      </rPr>
      <t>/gal as of 10/1/23.</t>
    </r>
  </si>
  <si>
    <t xml:space="preserve">The listed gasoline rate does not include additional local option taxes above the statewide minimum of $0.06/gal.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</si>
  <si>
    <t xml:space="preserve">Georgia Underground Storage Tank (GUST) fee on petro products: $0.0075/gal.  The average retail price used for the Prepaid Local Tax (TSPLOST) changed as of 1/1/16; for more information, see https://dor.georgia.gov/motor-fuel-rates. </t>
  </si>
  <si>
    <t xml:space="preserve">"Part B", mandatory prepaid sales tax, aka "Tax Prepayment by Motor Fuel Retailers" (sales tax is 6.25%): $0.20/gal for gasoline, gasohol, and diesel. For biodiesel (1 to 10% blends), the prepaid rate is $0.20/gal.  Underground Storage Tank tax: $0.003/gal; Environmental Impact Fee: $0.008/gal.  </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</si>
  <si>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scheme val="minor"/>
      </rPr>
      <t>The Gasoline Use Tax is calculated on a monthly basis</t>
    </r>
    <r>
      <rPr>
        <sz val="9"/>
        <rFont val="Calibri"/>
        <family val="2"/>
        <scheme val="minor"/>
      </rPr>
      <t xml:space="preserve"> (see Departmental Notices for new rates). The rate is </t>
    </r>
    <r>
      <rPr>
        <sz val="9"/>
        <color rgb="FF00B0F0"/>
        <rFont val="Calibri"/>
        <family val="2"/>
        <scheme val="minor"/>
      </rPr>
      <t>$0.167</t>
    </r>
    <r>
      <rPr>
        <sz val="9"/>
        <rFont val="Calibri"/>
        <family val="2"/>
        <scheme val="minor"/>
      </rPr>
      <t xml:space="preserve">/gal, as of 1/1/24.  A 7% sales tax on diesel fuel no longer applies. Oil Inspection fee: $0.01/gal.  </t>
    </r>
  </si>
  <si>
    <t>Environmental Protection Charge (EPC): Repealed as of 12/31/16 ($0.01/gal on petroleum products). Ethanol Blended Gasoline E-15 or Higher is a new fuel group effective 7/1/20.</t>
  </si>
  <si>
    <t xml:space="preserve">CPI component $0.075/gal as of 7/1/23, Sales and Use Tax Equivalent rate (SUTE) component $0.16/gal as of 7/1/23. Oil transfer Fee: $0.08 per barrel ($0.0019/gal) of oil transferred into the State. </t>
  </si>
  <si>
    <r>
      <t xml:space="preserve">Underground Storage Tank Petroleum Product Cleanup Fund Delivery fee: </t>
    </r>
    <r>
      <rPr>
        <sz val="9"/>
        <color rgb="FF00B0F0"/>
        <rFont val="Calibri"/>
        <family val="2"/>
        <scheme val="minor"/>
      </rPr>
      <t>$324.72</t>
    </r>
    <r>
      <rPr>
        <sz val="9"/>
        <rFont val="Calibri"/>
        <family val="2"/>
        <scheme val="minor"/>
      </rPr>
      <t xml:space="preserve"> per 10k load (</t>
    </r>
    <r>
      <rPr>
        <sz val="9"/>
        <color rgb="FF00B0F0"/>
        <rFont val="Calibri"/>
        <family val="2"/>
        <scheme val="minor"/>
      </rPr>
      <t>$0.032472</t>
    </r>
    <r>
      <rPr>
        <sz val="9"/>
        <rFont val="Calibri"/>
        <family val="2"/>
        <scheme val="minor"/>
      </rPr>
      <t>/gal). Underground Storage Tank fee: $250 per year, per tank. Uniform Oil Response +</t>
    </r>
    <r>
      <rPr>
        <b/>
        <sz val="9"/>
        <rFont val="Calibri"/>
        <family val="2"/>
        <scheme val="minor"/>
      </rPr>
      <t xml:space="preserve"> </t>
    </r>
    <r>
      <rPr>
        <sz val="9"/>
        <rFont val="Calibri"/>
        <family val="2"/>
        <scheme val="minor"/>
      </rPr>
      <t>Prevention fee: $0.05/barrel ($0.0012/gal), all products.</t>
    </r>
  </si>
  <si>
    <r>
      <t xml:space="preserve">The January 2024 Prepaid Sales Tax rates on fuels: gasoline </t>
    </r>
    <r>
      <rPr>
        <sz val="9"/>
        <color rgb="FF00B0F0"/>
        <rFont val="Calibri"/>
        <family val="2"/>
        <scheme val="minor"/>
      </rPr>
      <t>$0.170</t>
    </r>
    <r>
      <rPr>
        <sz val="9"/>
        <rFont val="Calibri"/>
        <family val="2"/>
        <scheme val="minor"/>
      </rPr>
      <t xml:space="preserve">/gal; diesel fuel </t>
    </r>
    <r>
      <rPr>
        <sz val="9"/>
        <color rgb="FF00B0F0"/>
        <rFont val="Calibri"/>
        <family val="2"/>
        <scheme val="minor"/>
      </rPr>
      <t>$0.225</t>
    </r>
    <r>
      <rPr>
        <sz val="9"/>
        <rFont val="Calibri"/>
        <family val="2"/>
        <scheme val="minor"/>
      </rPr>
      <t xml:space="preserve">/gal. </t>
    </r>
    <r>
      <rPr>
        <b/>
        <sz val="9"/>
        <rFont val="Calibri"/>
        <family val="2"/>
        <scheme val="minor"/>
      </rPr>
      <t>The prepaid sales tax rates are calculated each month</t>
    </r>
    <r>
      <rPr>
        <sz val="9"/>
        <rFont val="Calibri"/>
        <family val="2"/>
        <scheme val="minor"/>
      </rPr>
      <t xml:space="preserve">, see Revenue Administrative Bulletins (RABs) for current rates. Environmental protection regulatory fee: $0.01/gal all products. </t>
    </r>
  </si>
  <si>
    <r>
      <t xml:space="preserve">Petroleum Products Gross Receipts Tax - requires quarterly adjustment. As of 1/1/24: </t>
    </r>
    <r>
      <rPr>
        <sz val="9"/>
        <color rgb="FF00B0F0"/>
        <rFont val="Calibri"/>
        <family val="2"/>
        <scheme val="minor"/>
      </rPr>
      <t>$0.318</t>
    </r>
    <r>
      <rPr>
        <sz val="9"/>
        <rFont val="Calibri"/>
        <family val="2"/>
        <scheme val="minor"/>
      </rPr>
      <t xml:space="preserve">/gal for gasoline, </t>
    </r>
    <r>
      <rPr>
        <sz val="9"/>
        <color rgb="FF00B0F0"/>
        <rFont val="Calibri"/>
        <family val="2"/>
        <scheme val="minor"/>
      </rPr>
      <t>$0.358</t>
    </r>
    <r>
      <rPr>
        <sz val="9"/>
        <rFont val="Calibri"/>
        <family val="2"/>
        <scheme val="minor"/>
      </rPr>
      <t>/gal for diesel fuel.  Spill Compensation and Control Act: $0.023 per barrel ($0.0005/gal) on all petroleum products.</t>
    </r>
  </si>
  <si>
    <r>
      <t>Petroleum Business Tax (13-A) - requires annual adjustment (January 1, 2024: gasoline</t>
    </r>
    <r>
      <rPr>
        <sz val="9"/>
        <color rgb="FF00B0F0"/>
        <rFont val="Calibri"/>
        <family val="2"/>
        <scheme val="minor"/>
      </rPr>
      <t xml:space="preserve"> $0.173</t>
    </r>
    <r>
      <rPr>
        <sz val="9"/>
        <rFont val="Calibri"/>
        <family val="2"/>
        <scheme val="minor"/>
      </rPr>
      <t xml:space="preserve">/gal, diesel </t>
    </r>
    <r>
      <rPr>
        <sz val="9"/>
        <color rgb="FF00B0F0"/>
        <rFont val="Calibri"/>
        <family val="2"/>
        <scheme val="minor"/>
      </rPr>
      <t>$0.1555</t>
    </r>
    <r>
      <rPr>
        <sz val="9"/>
        <rFont val="Calibri"/>
        <family val="2"/>
        <scheme val="minor"/>
      </rPr>
      <t xml:space="preserve">/gal).  Petroleum Testing Fee (gasoline): $0.0005/gal.  Additional sales taxes apply: State Sales Tax: $0.08/gal ($0.0875/gal in the Metropolitan Commuter Transportation District (MCTD)); local sales taxes also apply (some counties levy this in a cents-per-gallon manner.)  Prepaid Sales Tax rates (see Publication 790, "Chart for Prepayment of Sales Tax on Motor Fuels'): $0.180/gal, $0.180/gal, $0.170/gal for Regions 1, 2, 3, respectively.   Oil Spill Prevention, Control, and Compensation License fee: $0.0925/bbl plus a surcharge of $0.0425/bbl, all petroleum products ($0.003274/gal). </t>
    </r>
  </si>
  <si>
    <r>
      <t xml:space="preserve">Petroleum Distributor fee: $0.01/gal. Motor Fuel Transportation Infrastructure Assessment (MFTIA) fee: gasoline </t>
    </r>
    <r>
      <rPr>
        <sz val="9"/>
        <color rgb="FF00B0F0"/>
        <rFont val="Calibri"/>
        <family val="2"/>
        <scheme val="minor"/>
      </rPr>
      <t>$0.0611</t>
    </r>
    <r>
      <rPr>
        <sz val="9"/>
        <rFont val="Calibri"/>
        <family val="2"/>
        <scheme val="minor"/>
      </rPr>
      <t>/gal; diesel $0.03/gal. Motor Fuel Tax Assessment (MFTA) applies to gasoline only: $0.1340/gal.</t>
    </r>
  </si>
  <si>
    <t xml:space="preserve">Storage tank fee: $0.006/gal. The Motor Vehicle Fuels Sales Tax (MVFST) (aka, Wholesale Sales Tax (WH)) rates: gasoline $0.087/gal, diesel $0.088/gal. </t>
  </si>
  <si>
    <t xml:space="preserve">Oil Spill Administration Tax: $0.04 per barrel ($0.0009523/gal). Oil Spill Response tax: $0.01/bbl ($0.000238/gal). Hazardous Substance tax on petroleum products that can be measured on per-barrel basis: $1.40/bbl ($0.033/gal).  "Border Zone Area Motor Fuel Tax" $0.01/gal in counties bordering Canada. Petroleum Products Tax (PPT) reinstated as of 1/1/20: rate is based on the wholesale value of the petroleum product multiplied by .0015. </t>
  </si>
  <si>
    <r>
      <t xml:space="preserve">Excise tax $0.205/gal, Consumers Sales and Service Tax: </t>
    </r>
    <r>
      <rPr>
        <sz val="9"/>
        <color rgb="FF00B0F0"/>
        <rFont val="Calibri"/>
        <family val="2"/>
        <scheme val="minor"/>
      </rPr>
      <t>$0.1520</t>
    </r>
    <r>
      <rPr>
        <sz val="9"/>
        <rFont val="Calibri"/>
        <family val="2"/>
        <scheme val="minor"/>
      </rPr>
      <t xml:space="preserve">/gal. </t>
    </r>
  </si>
  <si>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theme="1"/>
        <rFont val="Calibri"/>
        <family val="2"/>
        <scheme val="minor"/>
      </rPr>
      <t>The information included in this document is for general informational purposes only and should not be construed as legal, tax, or other advice. Contact the appropriate state agencies for official information or guidance about motor fuel taxes and fees.</t>
    </r>
    <r>
      <rPr>
        <sz val="9"/>
        <color theme="1"/>
        <rFont val="Calibri"/>
        <family val="2"/>
        <scheme val="minor"/>
      </rPr>
      <t xml:space="preserve"> State rates in effect as of</t>
    </r>
    <r>
      <rPr>
        <sz val="9"/>
        <color theme="8"/>
        <rFont val="Calibri"/>
        <family val="2"/>
        <scheme val="minor"/>
      </rPr>
      <t xml:space="preserve"> </t>
    </r>
    <r>
      <rPr>
        <sz val="9"/>
        <color rgb="FF00B0F0"/>
        <rFont val="Calibri"/>
        <family val="2"/>
        <scheme val="minor"/>
      </rPr>
      <t>January 1, 2024</t>
    </r>
    <r>
      <rPr>
        <sz val="9"/>
        <color theme="1"/>
        <rFont val="Calibri"/>
        <family val="2"/>
        <scheme val="minor"/>
      </rPr>
      <t xml:space="preserve">. Sources: State and Territorial statutes and government agencies.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</si>
</sst>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
    <numFmt numFmtId="165" formatCode="&quot;$&quot;#,##0.00"/>
    <numFmt numFmtId="166" formatCode="0.####"/>
    <numFmt numFmtId="167" formatCode="0.000"/>
    <numFmt numFmtId="168" formatCode="0.0000"/>
    <numFmt numFmtId="169" formatCode="0.0"/>
    <numFmt numFmtId="170" formatCode="\(0.####\)"/>
    <numFmt numFmtId="171" formatCode="0.#######"/>
  </numFmts>
  <fonts count="32" x14ac:knownFonts="1">
    <font>
      <sz val="11"/>
      <color theme="1"/>
      <name val="Calibri"/>
      <family val="2"/>
      <scheme val="minor"/>
    </font>
    <font>
      <sz val="10"/>
      <name val="Arial"/>
      <family val="2"/>
    </font>
    <font>
      <u/>
      <sz val="10"/>
      <color indexed="12"/>
      <name val="Arial"/>
      <family val="2"/>
    </font>
    <font>
      <sz val="9"/>
      <color theme="1"/>
      <name val="Calibri"/>
      <family val="2"/>
      <scheme val="minor"/>
    </font>
    <font>
      <u/>
      <sz val="11"/>
      <color theme="6"/>
      <name val="Calibri"/>
      <family val="2"/>
    </font>
    <font>
      <b/>
      <sz val="9"/>
      <color theme="1"/>
      <name val="Calibri"/>
      <family val="2"/>
      <scheme val="minor"/>
    </font>
    <font>
      <b/>
      <sz val="11"/>
      <color theme="3"/>
      <name val="Calibri"/>
      <family val="2"/>
      <scheme val="minor"/>
    </font>
    <font>
      <u/>
      <sz val="10"/>
      <color theme="4"/>
      <name val="Calibri"/>
      <family val="2"/>
      <scheme val="minor"/>
    </font>
    <font>
      <u/>
      <sz val="10"/>
      <color theme="10"/>
      <name val="Arial"/>
      <family val="2"/>
    </font>
    <font>
      <b/>
      <sz val="12"/>
      <color theme="4"/>
      <name val="Calibri"/>
      <family val="2"/>
      <scheme val="minor"/>
    </font>
    <font>
      <sz val="9"/>
      <name val="Calibri"/>
      <family val="2"/>
      <scheme val="minor"/>
    </font>
    <font>
      <b/>
      <sz val="9"/>
      <name val="Calibri"/>
      <family val="2"/>
      <scheme val="minor"/>
    </font>
    <font>
      <b/>
      <u/>
      <sz val="9"/>
      <name val="Calibri"/>
      <family val="2"/>
      <scheme val="minor"/>
    </font>
    <font>
      <u/>
      <sz val="9"/>
      <color theme="4"/>
      <name val="Calibri"/>
      <family val="2"/>
      <scheme val="minor"/>
    </font>
    <font>
      <sz val="10"/>
      <color theme="1"/>
      <name val="Calibri"/>
      <family val="2"/>
      <scheme val="minor"/>
    </font>
    <font>
      <sz val="9"/>
      <color theme="4"/>
      <name val="Calibri"/>
      <family val="2"/>
      <scheme val="minor"/>
    </font>
    <font>
      <b/>
      <sz val="10"/>
      <color theme="1"/>
      <name val="Calibri"/>
      <family val="2"/>
      <scheme val="minor"/>
    </font>
    <font>
      <sz val="11"/>
      <name val="Calibri"/>
      <family val="2"/>
      <scheme val="minor"/>
    </font>
    <font>
      <sz val="9"/>
      <color rgb="FF00B0F0"/>
      <name val="Calibri"/>
      <family val="2"/>
      <scheme val="minor"/>
    </font>
    <font>
      <sz val="9"/>
      <name val="Calibri"/>
      <family val="2"/>
    </font>
    <font>
      <b/>
      <sz val="9"/>
      <name val="Calibri"/>
      <family val="2"/>
    </font>
    <font>
      <b/>
      <u/>
      <sz val="9"/>
      <name val="Calibri"/>
      <family val="2"/>
    </font>
    <font>
      <sz val="9"/>
      <color theme="8"/>
      <name val="Calibri"/>
      <family val="2"/>
      <scheme val="minor"/>
    </font>
    <font>
      <u/>
      <sz val="9"/>
      <color rgb="FF00B0F0"/>
      <name val="Calibri"/>
      <family val="2"/>
      <scheme val="minor"/>
    </font>
    <font>
      <b/>
      <sz val="12"/>
      <color rgb="FF00B0F0"/>
      <name val="Calibri"/>
      <family val="2"/>
      <scheme val="minor"/>
    </font>
    <font>
      <b/>
      <sz val="9"/>
      <color rgb="FF00B0F0"/>
      <name val="Calibri"/>
      <family val="2"/>
      <scheme val="minor"/>
    </font>
    <font>
      <strike/>
      <sz val="9"/>
      <color theme="8"/>
      <name val="Calibri"/>
      <family val="2"/>
      <scheme val="minor"/>
    </font>
    <font>
      <strike/>
      <sz val="9"/>
      <color rgb="FF00B0F0"/>
      <name val="Calibri"/>
      <family val="2"/>
      <scheme val="minor"/>
    </font>
    <font>
      <b/>
      <strike/>
      <sz val="9"/>
      <color rgb="FF00B0F0"/>
      <name val="Calibri"/>
      <family val="2"/>
      <scheme val="minor"/>
    </font>
    <font>
      <b/>
      <sz val="9"/>
      <color rgb="FFFF0000"/>
      <name val="Calibri"/>
      <family val="2"/>
      <scheme val="minor"/>
    </font>
    <font>
      <sz val="9"/>
      <color rgb="FFFF0000"/>
      <name val="Calibri"/>
      <family val="2"/>
      <scheme val="minor"/>
    </font>
    <font>
      <b/>
      <sz val="11"/>
      <name val="Calibri"/>
      <family val="2"/>
      <scheme val="minor"/>
    </font>
  </fonts>
  <fills count="2">
    <fill>
      <patternFill patternType="none"/>
    </fill>
    <fill>
      <patternFill patternType="gray125"/>
    </fill>
  </fills>
  <borders count="17">
    <border>
      <left/>
      <right/>
      <top/>
      <bottom/>
      <diagonal/>
    </border>
    <border>
      <left/>
      <right/>
      <top/>
      <bottom style="dashed">
        <color theme="0" tint="-0.24994659260841701"/>
      </bottom>
      <diagonal/>
    </border>
    <border>
      <left/>
      <right/>
      <top style="medium">
        <color theme="4"/>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bottom style="medium">
        <color theme="4" tint="0.3999755851924192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right/>
      <top style="thin">
        <color theme="0" tint="-0.249977111117893"/>
      </top>
      <bottom style="thick">
        <color theme="4"/>
      </bottom>
      <diagonal/>
    </border>
    <border>
      <left/>
      <right/>
      <top style="dashed">
        <color theme="0" tint="-0.24994659260841701"/>
      </top>
      <bottom style="thin">
        <color theme="4"/>
      </bottom>
      <diagonal/>
    </border>
    <border>
      <left/>
      <right/>
      <top/>
      <bottom style="thick">
        <color rgb="FF00B0F0"/>
      </bottom>
      <diagonal/>
    </border>
    <border>
      <left/>
      <right/>
      <top style="thin">
        <color theme="0" tint="-0.249977111117893"/>
      </top>
      <bottom style="thick">
        <color rgb="FF00B0F0"/>
      </bottom>
      <diagonal/>
    </border>
    <border>
      <left/>
      <right/>
      <top/>
      <bottom style="thin">
        <color theme="0" tint="-0.24994659260841701"/>
      </bottom>
      <diagonal/>
    </border>
    <border>
      <left/>
      <right/>
      <top style="thick">
        <color rgb="FF00B0F0"/>
      </top>
      <bottom style="thin">
        <color theme="0" tint="-0.249977111117893"/>
      </bottom>
      <diagonal/>
    </border>
    <border>
      <left/>
      <right/>
      <top style="thick">
        <color rgb="FF00B0F0"/>
      </top>
      <bottom style="thin">
        <color theme="0" tint="-0.24994659260841701"/>
      </bottom>
      <diagonal/>
    </border>
    <border>
      <left/>
      <right/>
      <top style="medium">
        <color rgb="FF00B0F0"/>
      </top>
      <bottom/>
      <diagonal/>
    </border>
  </borders>
  <cellStyleXfs count="17">
    <xf numFmtId="0" fontId="0" fillId="0" borderId="0"/>
    <xf numFmtId="0" fontId="3" fillId="0" borderId="1" applyNumberFormat="0" applyFont="0" applyProtection="0">
      <alignment wrapText="1"/>
    </xf>
    <xf numFmtId="0" fontId="4" fillId="0" borderId="0" applyNumberFormat="0" applyFill="0" applyBorder="0" applyAlignment="0" applyProtection="0">
      <alignment vertical="top"/>
      <protection locked="0"/>
    </xf>
    <xf numFmtId="0" fontId="3" fillId="0" borderId="0" applyNumberFormat="0" applyFill="0" applyBorder="0" applyAlignment="0" applyProtection="0"/>
    <xf numFmtId="0" fontId="3" fillId="0" borderId="0" applyNumberFormat="0" applyProtection="0">
      <alignment vertical="top" wrapText="1"/>
    </xf>
    <xf numFmtId="0" fontId="3" fillId="0" borderId="2" applyNumberFormat="0" applyProtection="0">
      <alignment vertical="top" wrapText="1"/>
    </xf>
    <xf numFmtId="0" fontId="5" fillId="0" borderId="3" applyNumberFormat="0" applyProtection="0">
      <alignment wrapText="1"/>
    </xf>
    <xf numFmtId="0" fontId="5" fillId="0" borderId="4" applyNumberFormat="0" applyProtection="0">
      <alignment horizontal="left" wrapText="1"/>
    </xf>
    <xf numFmtId="0" fontId="6" fillId="0" borderId="5" applyNumberFormat="0" applyFill="0" applyAlignment="0" applyProtection="0"/>
    <xf numFmtId="0" fontId="7"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 fillId="0" borderId="0"/>
    <xf numFmtId="0" fontId="5" fillId="0" borderId="6" applyNumberFormat="0" applyProtection="0">
      <alignment wrapText="1"/>
    </xf>
    <xf numFmtId="0" fontId="3" fillId="0" borderId="7" applyNumberFormat="0" applyFont="0" applyFill="0" applyProtection="0">
      <alignment wrapText="1"/>
    </xf>
    <xf numFmtId="0" fontId="5" fillId="0" borderId="8" applyNumberFormat="0" applyFill="0" applyProtection="0">
      <alignment wrapText="1"/>
    </xf>
    <xf numFmtId="0" fontId="9" fillId="0" borderId="0" applyNumberFormat="0" applyProtection="0">
      <alignment horizontal="left"/>
    </xf>
  </cellStyleXfs>
  <cellXfs count="102">
    <xf numFmtId="0" fontId="0" fillId="0" borderId="0" xfId="0"/>
    <xf numFmtId="2" fontId="5" fillId="0" borderId="3" xfId="6" applyNumberFormat="1" applyAlignment="1">
      <alignment horizontal="right" wrapText="1"/>
    </xf>
    <xf numFmtId="0" fontId="5" fillId="0" borderId="3" xfId="6" applyAlignment="1">
      <alignment horizontal="right" wrapText="1"/>
    </xf>
    <xf numFmtId="0" fontId="5" fillId="0" borderId="8" xfId="15">
      <alignment wrapText="1"/>
    </xf>
    <xf numFmtId="2" fontId="0" fillId="0" borderId="0" xfId="0" applyNumberFormat="1"/>
    <xf numFmtId="0" fontId="5" fillId="0" borderId="3" xfId="6">
      <alignment wrapText="1"/>
    </xf>
    <xf numFmtId="0" fontId="3" fillId="0" borderId="0" xfId="0" applyFont="1"/>
    <xf numFmtId="164" fontId="6" fillId="0" borderId="0" xfId="8" applyNumberFormat="1" applyBorder="1" applyAlignment="1">
      <alignment horizontal="center" vertical="center"/>
    </xf>
    <xf numFmtId="0" fontId="1" fillId="0" borderId="0" xfId="12"/>
    <xf numFmtId="165" fontId="5" fillId="0" borderId="8" xfId="15" applyNumberFormat="1">
      <alignment wrapText="1"/>
    </xf>
    <xf numFmtId="2" fontId="5" fillId="0" borderId="3" xfId="6" applyNumberFormat="1">
      <alignment wrapText="1"/>
    </xf>
    <xf numFmtId="0" fontId="5" fillId="0" borderId="6" xfId="13">
      <alignment wrapText="1"/>
    </xf>
    <xf numFmtId="0" fontId="0" fillId="0" borderId="0" xfId="0" applyAlignment="1">
      <alignment vertical="center" wrapText="1"/>
    </xf>
    <xf numFmtId="0" fontId="3" fillId="0" borderId="3" xfId="6" applyFont="1">
      <alignment wrapText="1"/>
    </xf>
    <xf numFmtId="0" fontId="10" fillId="0" borderId="1" xfId="1" applyFont="1">
      <alignment wrapText="1"/>
    </xf>
    <xf numFmtId="0" fontId="11" fillId="0" borderId="1" xfId="1" applyFont="1" applyAlignment="1">
      <alignment vertical="top" wrapText="1"/>
    </xf>
    <xf numFmtId="0" fontId="3" fillId="0" borderId="3" xfId="6" applyFont="1" applyAlignment="1">
      <alignment horizontal="left"/>
    </xf>
    <xf numFmtId="0" fontId="13" fillId="0" borderId="0" xfId="9" applyFont="1" applyAlignment="1" applyProtection="1">
      <alignment horizontal="left"/>
    </xf>
    <xf numFmtId="0" fontId="14" fillId="0" borderId="0" xfId="0" applyFont="1"/>
    <xf numFmtId="0" fontId="9" fillId="0" borderId="0" xfId="16">
      <alignment horizontal="left"/>
    </xf>
    <xf numFmtId="0" fontId="10" fillId="0" borderId="1" xfId="1" applyFont="1" applyAlignment="1">
      <alignment horizontal="left" wrapText="1"/>
    </xf>
    <xf numFmtId="166" fontId="5" fillId="0" borderId="8" xfId="15" applyNumberFormat="1">
      <alignment wrapText="1"/>
    </xf>
    <xf numFmtId="0" fontId="15" fillId="0" borderId="1" xfId="1" applyFont="1">
      <alignment wrapText="1"/>
    </xf>
    <xf numFmtId="166" fontId="15" fillId="0" borderId="1" xfId="1" applyNumberFormat="1" applyFont="1">
      <alignment wrapText="1"/>
    </xf>
    <xf numFmtId="164" fontId="11" fillId="0" borderId="8" xfId="15" applyNumberFormat="1" applyFont="1">
      <alignment wrapText="1"/>
    </xf>
    <xf numFmtId="0" fontId="15" fillId="0" borderId="0" xfId="0" applyFont="1" applyAlignment="1">
      <alignment vertical="top"/>
    </xf>
    <xf numFmtId="166" fontId="10" fillId="0" borderId="1" xfId="1" applyNumberFormat="1" applyFont="1">
      <alignment wrapText="1"/>
    </xf>
    <xf numFmtId="0" fontId="10" fillId="0" borderId="10" xfId="6" applyFont="1" applyBorder="1">
      <alignment wrapText="1"/>
    </xf>
    <xf numFmtId="166" fontId="10" fillId="0" borderId="10" xfId="6" applyNumberFormat="1" applyFont="1" applyBorder="1">
      <alignment wrapText="1"/>
    </xf>
    <xf numFmtId="0" fontId="17" fillId="0" borderId="0" xfId="0" applyFont="1"/>
    <xf numFmtId="0" fontId="3" fillId="0" borderId="0" xfId="4">
      <alignment vertical="top" wrapText="1"/>
    </xf>
    <xf numFmtId="0" fontId="3" fillId="0" borderId="2" xfId="5">
      <alignment vertical="top" wrapText="1"/>
    </xf>
    <xf numFmtId="164" fontId="5" fillId="0" borderId="8" xfId="15" applyNumberFormat="1">
      <alignment wrapText="1"/>
    </xf>
    <xf numFmtId="166" fontId="3" fillId="0" borderId="1" xfId="1" applyNumberFormat="1" applyFont="1">
      <alignment wrapText="1"/>
    </xf>
    <xf numFmtId="166" fontId="18" fillId="0" borderId="1" xfId="1" applyNumberFormat="1" applyFont="1">
      <alignment wrapText="1"/>
    </xf>
    <xf numFmtId="0" fontId="18" fillId="0" borderId="1" xfId="1" applyFont="1">
      <alignment wrapText="1"/>
    </xf>
    <xf numFmtId="166" fontId="3" fillId="0" borderId="10" xfId="6" applyNumberFormat="1" applyFont="1" applyBorder="1">
      <alignment wrapText="1"/>
    </xf>
    <xf numFmtId="0" fontId="3" fillId="0" borderId="1" xfId="1">
      <alignment wrapText="1"/>
    </xf>
    <xf numFmtId="166" fontId="3" fillId="0" borderId="1" xfId="1" applyNumberFormat="1">
      <alignment wrapText="1"/>
    </xf>
    <xf numFmtId="0" fontId="3" fillId="0" borderId="1" xfId="1" applyFont="1">
      <alignment wrapText="1"/>
    </xf>
    <xf numFmtId="0" fontId="3" fillId="0" borderId="10" xfId="6" applyFont="1" applyBorder="1">
      <alignment wrapText="1"/>
    </xf>
    <xf numFmtId="0" fontId="3" fillId="0" borderId="0" xfId="0" applyFont="1" applyAlignment="1">
      <alignment vertical="top"/>
    </xf>
    <xf numFmtId="2" fontId="3" fillId="0" borderId="1" xfId="1" applyNumberFormat="1" applyFont="1">
      <alignment wrapText="1"/>
    </xf>
    <xf numFmtId="167" fontId="3" fillId="0" borderId="1" xfId="1" applyNumberFormat="1" applyFont="1">
      <alignment wrapText="1"/>
    </xf>
    <xf numFmtId="168" fontId="3" fillId="0" borderId="1" xfId="1" applyNumberFormat="1" applyFont="1">
      <alignment wrapText="1"/>
    </xf>
    <xf numFmtId="169" fontId="3" fillId="0" borderId="1" xfId="1" applyNumberFormat="1" applyFont="1">
      <alignment wrapText="1"/>
    </xf>
    <xf numFmtId="2" fontId="3" fillId="0" borderId="10" xfId="6" applyNumberFormat="1" applyFont="1" applyBorder="1">
      <alignment wrapText="1"/>
    </xf>
    <xf numFmtId="167" fontId="3" fillId="0" borderId="10" xfId="6" applyNumberFormat="1" applyFont="1" applyBorder="1">
      <alignment wrapText="1"/>
    </xf>
    <xf numFmtId="2" fontId="3" fillId="0" borderId="1" xfId="1" applyNumberFormat="1">
      <alignment wrapText="1"/>
    </xf>
    <xf numFmtId="167" fontId="3" fillId="0" borderId="1" xfId="1" applyNumberFormat="1">
      <alignment wrapText="1"/>
    </xf>
    <xf numFmtId="168" fontId="3" fillId="0" borderId="1" xfId="1" applyNumberFormat="1">
      <alignment wrapText="1"/>
    </xf>
    <xf numFmtId="0" fontId="15" fillId="0" borderId="0" xfId="0" applyFont="1" applyAlignment="1">
      <alignment vertical="top" wrapText="1"/>
    </xf>
    <xf numFmtId="0" fontId="23" fillId="0" borderId="0" xfId="9" applyFont="1" applyAlignment="1" applyProtection="1">
      <alignment horizontal="left"/>
    </xf>
    <xf numFmtId="0" fontId="11" fillId="0" borderId="6" xfId="13" applyFont="1">
      <alignment wrapText="1"/>
    </xf>
    <xf numFmtId="0" fontId="11" fillId="0" borderId="8" xfId="15" applyFont="1">
      <alignment wrapText="1"/>
    </xf>
    <xf numFmtId="166" fontId="11" fillId="0" borderId="8" xfId="15" applyNumberFormat="1" applyFont="1">
      <alignment wrapText="1"/>
    </xf>
    <xf numFmtId="0" fontId="24" fillId="0" borderId="0" xfId="16" applyFont="1">
      <alignment horizontal="left"/>
    </xf>
    <xf numFmtId="0" fontId="18" fillId="0" borderId="0" xfId="0" applyFont="1" applyAlignment="1">
      <alignment vertical="top" wrapText="1"/>
    </xf>
    <xf numFmtId="170" fontId="18" fillId="0" borderId="1" xfId="1" applyNumberFormat="1" applyFont="1">
      <alignment wrapText="1"/>
    </xf>
    <xf numFmtId="164" fontId="29" fillId="0" borderId="8" xfId="15" applyNumberFormat="1" applyFont="1">
      <alignment wrapText="1"/>
    </xf>
    <xf numFmtId="0" fontId="30" fillId="0" borderId="1" xfId="1" applyFont="1">
      <alignment wrapText="1"/>
    </xf>
    <xf numFmtId="0" fontId="11" fillId="0" borderId="11" xfId="6" applyFont="1" applyBorder="1">
      <alignment wrapText="1"/>
    </xf>
    <xf numFmtId="2" fontId="5" fillId="0" borderId="11" xfId="6" applyNumberFormat="1" applyBorder="1" applyAlignment="1">
      <alignment horizontal="right" wrapText="1"/>
    </xf>
    <xf numFmtId="2" fontId="5" fillId="0" borderId="11" xfId="6" applyNumberFormat="1" applyBorder="1">
      <alignment wrapText="1"/>
    </xf>
    <xf numFmtId="0" fontId="5" fillId="0" borderId="11" xfId="6" applyBorder="1">
      <alignment wrapText="1"/>
    </xf>
    <xf numFmtId="0" fontId="3" fillId="0" borderId="11" xfId="6" applyFont="1" applyBorder="1">
      <alignment wrapText="1"/>
    </xf>
    <xf numFmtId="0" fontId="11" fillId="0" borderId="13" xfId="15" applyFont="1" applyBorder="1">
      <alignment wrapText="1"/>
    </xf>
    <xf numFmtId="164" fontId="11" fillId="0" borderId="13" xfId="15" applyNumberFormat="1" applyFont="1" applyBorder="1">
      <alignment wrapText="1"/>
    </xf>
    <xf numFmtId="165" fontId="11" fillId="0" borderId="13" xfId="15" applyNumberFormat="1" applyFont="1" applyBorder="1">
      <alignment wrapText="1"/>
    </xf>
    <xf numFmtId="164" fontId="31" fillId="0" borderId="0" xfId="8" applyNumberFormat="1" applyFont="1" applyBorder="1" applyAlignment="1">
      <alignment horizontal="center" vertical="center"/>
    </xf>
    <xf numFmtId="0" fontId="10" fillId="0" borderId="0" xfId="0" applyFont="1"/>
    <xf numFmtId="0" fontId="17" fillId="0" borderId="0" xfId="0" applyFont="1" applyAlignment="1">
      <alignment vertical="center" wrapText="1"/>
    </xf>
    <xf numFmtId="0" fontId="11" fillId="0" borderId="0" xfId="6" applyFont="1" applyBorder="1">
      <alignment wrapText="1"/>
    </xf>
    <xf numFmtId="2" fontId="11" fillId="0" borderId="0" xfId="6" applyNumberFormat="1" applyFont="1" applyBorder="1" applyAlignment="1">
      <alignment horizontal="right" wrapText="1"/>
    </xf>
    <xf numFmtId="0" fontId="11" fillId="0" borderId="0" xfId="6" applyFont="1" applyBorder="1" applyAlignment="1">
      <alignment horizontal="right" wrapText="1"/>
    </xf>
    <xf numFmtId="0" fontId="10" fillId="0" borderId="0" xfId="6" applyFont="1" applyBorder="1" applyAlignment="1">
      <alignment horizontal="left"/>
    </xf>
    <xf numFmtId="0" fontId="11" fillId="0" borderId="14" xfId="13" applyFont="1" applyBorder="1">
      <alignment wrapText="1"/>
    </xf>
    <xf numFmtId="164" fontId="11" fillId="0" borderId="15" xfId="15" applyNumberFormat="1" applyFont="1" applyBorder="1">
      <alignment wrapText="1"/>
    </xf>
    <xf numFmtId="0" fontId="11" fillId="0" borderId="15" xfId="15" applyFont="1" applyBorder="1">
      <alignment wrapText="1"/>
    </xf>
    <xf numFmtId="166" fontId="11" fillId="0" borderId="15" xfId="15" applyNumberFormat="1" applyFont="1" applyBorder="1">
      <alignment wrapText="1"/>
    </xf>
    <xf numFmtId="0" fontId="11" fillId="0" borderId="1" xfId="1" applyFont="1">
      <alignment wrapText="1"/>
    </xf>
    <xf numFmtId="0" fontId="10" fillId="0" borderId="0" xfId="1" applyFont="1" applyBorder="1">
      <alignment wrapText="1"/>
    </xf>
    <xf numFmtId="166" fontId="10" fillId="0" borderId="0" xfId="1" applyNumberFormat="1" applyFont="1" applyBorder="1">
      <alignment wrapText="1"/>
    </xf>
    <xf numFmtId="0" fontId="3" fillId="0" borderId="16" xfId="5" applyBorder="1">
      <alignment vertical="top" wrapText="1"/>
    </xf>
    <xf numFmtId="0" fontId="3" fillId="0" borderId="16" xfId="5" applyBorder="1" applyAlignment="1">
      <alignment wrapText="1"/>
    </xf>
    <xf numFmtId="0" fontId="10" fillId="0" borderId="3" xfId="6" applyFont="1">
      <alignment wrapText="1"/>
    </xf>
    <xf numFmtId="0" fontId="10" fillId="0" borderId="3" xfId="6" applyFont="1" applyAlignment="1">
      <alignment horizontal="left"/>
    </xf>
    <xf numFmtId="171" fontId="18" fillId="0" borderId="1" xfId="1" applyNumberFormat="1" applyFont="1">
      <alignment wrapText="1"/>
    </xf>
    <xf numFmtId="0" fontId="10" fillId="0" borderId="2" xfId="5" applyFont="1">
      <alignment vertical="top" wrapText="1"/>
    </xf>
    <xf numFmtId="0" fontId="3" fillId="0" borderId="0" xfId="4">
      <alignment vertical="top" wrapText="1"/>
    </xf>
    <xf numFmtId="2" fontId="5" fillId="0" borderId="6" xfId="13" applyNumberFormat="1">
      <alignment wrapText="1"/>
    </xf>
    <xf numFmtId="0" fontId="0" fillId="0" borderId="6" xfId="0" applyBorder="1" applyAlignment="1">
      <alignment wrapText="1"/>
    </xf>
    <xf numFmtId="0" fontId="3" fillId="0" borderId="2" xfId="5">
      <alignment vertical="top" wrapText="1"/>
    </xf>
    <xf numFmtId="2" fontId="5" fillId="0" borderId="9" xfId="6" applyNumberFormat="1" applyBorder="1" applyAlignment="1">
      <alignment horizontal="right" wrapText="1"/>
    </xf>
    <xf numFmtId="0" fontId="5" fillId="0" borderId="9" xfId="6" applyBorder="1" applyAlignment="1">
      <alignment horizontal="right" wrapText="1"/>
    </xf>
    <xf numFmtId="164" fontId="5" fillId="0" borderId="8" xfId="15" applyNumberFormat="1">
      <alignment wrapText="1"/>
    </xf>
    <xf numFmtId="2" fontId="5" fillId="0" borderId="12" xfId="6" applyNumberFormat="1" applyBorder="1" applyAlignment="1">
      <alignment horizontal="right" wrapText="1"/>
    </xf>
    <xf numFmtId="0" fontId="5" fillId="0" borderId="12" xfId="6" applyBorder="1" applyAlignment="1">
      <alignment horizontal="right" wrapText="1"/>
    </xf>
    <xf numFmtId="164" fontId="11" fillId="0" borderId="13" xfId="15" applyNumberFormat="1" applyFont="1" applyBorder="1">
      <alignment wrapText="1"/>
    </xf>
    <xf numFmtId="2" fontId="11" fillId="0" borderId="6" xfId="13" applyNumberFormat="1" applyFont="1">
      <alignment wrapText="1"/>
    </xf>
    <xf numFmtId="0" fontId="17" fillId="0" borderId="6" xfId="0" applyFont="1" applyBorder="1" applyAlignment="1">
      <alignment wrapText="1"/>
    </xf>
    <xf numFmtId="0" fontId="3" fillId="0" borderId="16" xfId="5" applyBorder="1">
      <alignment vertical="top" wrapText="1"/>
    </xf>
  </cellXfs>
  <cellStyles count="17">
    <cellStyle name="Body: normal cell" xfId="1" xr:uid="{00000000-0005-0000-0000-000000000000}"/>
    <cellStyle name="Followed Hyperlink" xfId="2" builtinId="9" customBuiltin="1"/>
    <cellStyle name="Font: Calibri, 9pt regular" xfId="3" xr:uid="{00000000-0005-0000-0000-000002000000}"/>
    <cellStyle name="Footnotes: all except top row" xfId="4" xr:uid="{00000000-0005-0000-0000-000003000000}"/>
    <cellStyle name="Footnotes: top row" xfId="5" xr:uid="{00000000-0005-0000-0000-000004000000}"/>
    <cellStyle name="Header: bottom row" xfId="6" xr:uid="{00000000-0005-0000-0000-000005000000}"/>
    <cellStyle name="Header: top rows" xfId="7" xr:uid="{00000000-0005-0000-0000-000006000000}"/>
    <cellStyle name="Heading 3" xfId="8" builtinId="18"/>
    <cellStyle name="Hyperlink" xfId="9" builtinId="8" customBuiltin="1"/>
    <cellStyle name="Hyperlink 2" xfId="10" xr:uid="{00000000-0005-0000-0000-000009000000}"/>
    <cellStyle name="Hyperlink 3" xfId="11" xr:uid="{00000000-0005-0000-0000-00000A000000}"/>
    <cellStyle name="Normal" xfId="0" builtinId="0"/>
    <cellStyle name="Normal 3" xfId="12" xr:uid="{00000000-0005-0000-0000-00000C000000}"/>
    <cellStyle name="Parent row" xfId="13" xr:uid="{00000000-0005-0000-0000-00000D000000}"/>
    <cellStyle name="Section Break" xfId="14" xr:uid="{00000000-0005-0000-0000-00000E000000}"/>
    <cellStyle name="Section Break: parent row" xfId="15" xr:uid="{00000000-0005-0000-0000-00000F000000}"/>
    <cellStyle name="Table title" xfId="16" xr:uid="{00000000-0005-0000-0000-000010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4219575</xdr:colOff>
      <xdr:row>0</xdr:row>
      <xdr:rowOff>47625</xdr:rowOff>
    </xdr:from>
    <xdr:to>
      <xdr:col>11</xdr:col>
      <xdr:colOff>4662459</xdr:colOff>
      <xdr:row>1</xdr:row>
      <xdr:rowOff>231152</xdr:rowOff>
    </xdr:to>
    <xdr:pic>
      <xdr:nvPicPr>
        <xdr:cNvPr id="2" name="Picture 1">
          <a:extLst>
            <a:ext uri="{FF2B5EF4-FFF2-40B4-BE49-F238E27FC236}">
              <a16:creationId xmlns:a16="http://schemas.microsoft.com/office/drawing/2014/main" id="{C7ADB2DF-2DE4-43F0-A0FF-4602EA896B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96625" y="47625"/>
          <a:ext cx="442884" cy="383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5048250</xdr:colOff>
      <xdr:row>0</xdr:row>
      <xdr:rowOff>66675</xdr:rowOff>
    </xdr:from>
    <xdr:to>
      <xdr:col>11</xdr:col>
      <xdr:colOff>5438775</xdr:colOff>
      <xdr:row>1</xdr:row>
      <xdr:rowOff>161925</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96725" y="66675"/>
          <a:ext cx="390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maureen.klein@eia.gov"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maureen.klein@eia.gov"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maureen.klein@eia.gov"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maureen.klein@eia.gov"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maureen.klein@eia.gov"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maureen.klein@eia.gov"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maureen.klein@eia.gov"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7.bin"/><Relationship Id="rId1" Type="http://schemas.openxmlformats.org/officeDocument/2006/relationships/hyperlink" Target="mailto:maureen.klein@eia.go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maureen.klein@eia.gov"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maureen.klein@eia.go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ureen.klein@eia.go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maureen.klein@eia.gov"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maureen.klein@eia.gov"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maureen.klein@eia.gov"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maureen.klein@ei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maureen.klein@eia.gov"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maureen.klein@eia.gov"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maureen.klein@ei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7619-AFC9-4C99-94D6-F11DE2371F9B}">
  <dimension ref="A1:L71"/>
  <sheetViews>
    <sheetView showGridLines="0" zoomScaleNormal="100" workbookViewId="0">
      <pane xSplit="1" ySplit="7" topLeftCell="B8" activePane="bottomRight" state="frozen"/>
      <selection pane="topRight" activeCell="B1" sqref="B1"/>
      <selection pane="bottomLeft" activeCell="A8" sqref="A8"/>
      <selection pane="bottomRight" activeCell="N2" sqref="N2"/>
    </sheetView>
  </sheetViews>
  <sheetFormatPr baseColWidth="10" defaultColWidth="8.832031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8.6640625" style="4"/>
    <col min="10" max="10" width="8.6640625" style="4" customWidth="1"/>
    <col min="11" max="11" width="2.83203125" style="4" customWidth="1"/>
    <col min="12" max="12" width="70.5" style="29" customWidth="1"/>
  </cols>
  <sheetData>
    <row r="1" spans="1:12" ht="16" x14ac:dyDescent="0.2">
      <c r="A1" s="56" t="s">
        <v>80</v>
      </c>
    </row>
    <row r="2" spans="1:12" ht="31.5" customHeight="1" x14ac:dyDescent="0.2">
      <c r="A2" s="57" t="s">
        <v>463</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85"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86" t="s">
        <v>76</v>
      </c>
    </row>
    <row r="8" spans="1:12" ht="16" thickTop="1" x14ac:dyDescent="0.2">
      <c r="A8" s="53" t="s">
        <v>34</v>
      </c>
      <c r="B8" s="24">
        <f>AVERAGE(B9:B59)</f>
        <v>0.27176470588235291</v>
      </c>
      <c r="C8" s="24">
        <f>AVERAGE(C9:C59)</f>
        <v>5.9650419999999982E-2</v>
      </c>
      <c r="D8" s="24">
        <f>AVERAGE(D9:D59)</f>
        <v>0.32439742941176464</v>
      </c>
      <c r="E8" s="24">
        <f>AVERAGE(E9:E59)</f>
        <v>0.50839742941176469</v>
      </c>
      <c r="F8" s="54"/>
      <c r="G8" s="24">
        <f>AVERAGE(G9:G59)</f>
        <v>0.28764705882352937</v>
      </c>
      <c r="H8" s="24">
        <f>AVERAGE(H9:H59)</f>
        <v>6.770769555555553E-2</v>
      </c>
      <c r="I8" s="24">
        <f>AVERAGE(I9:I59)</f>
        <v>0.34738914313725477</v>
      </c>
      <c r="J8" s="55">
        <f>AVERAGE(J9:J59)</f>
        <v>0.59138914313725488</v>
      </c>
      <c r="K8" s="24"/>
      <c r="L8" s="53"/>
    </row>
    <row r="9" spans="1:12" ht="40" x14ac:dyDescent="0.2">
      <c r="A9" s="35" t="s">
        <v>33</v>
      </c>
      <c r="B9" s="34">
        <v>0.28999999999999998</v>
      </c>
      <c r="C9" s="26">
        <v>1.2E-2</v>
      </c>
      <c r="D9" s="26">
        <f t="shared" ref="D9:D40" si="0">$B9+$C9</f>
        <v>0.30199999999999999</v>
      </c>
      <c r="E9" s="26">
        <f t="shared" ref="E9:E59" si="1">$D9+$E$4</f>
        <v>0.48599999999999999</v>
      </c>
      <c r="F9" s="26"/>
      <c r="G9" s="34">
        <v>0.3</v>
      </c>
      <c r="H9" s="26">
        <f>0.0075+0.012</f>
        <v>1.95E-2</v>
      </c>
      <c r="I9" s="26">
        <f t="shared" ref="I9:I40" si="2">$G9+$H9</f>
        <v>0.31950000000000001</v>
      </c>
      <c r="J9" s="26">
        <f t="shared" ref="J9:J59" si="3">$I9+$J$4</f>
        <v>0.5635</v>
      </c>
      <c r="K9" s="26"/>
      <c r="L9" s="14" t="s">
        <v>373</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35" t="s">
        <v>86</v>
      </c>
      <c r="B12" s="34">
        <v>0.247</v>
      </c>
      <c r="C12" s="26">
        <f>0.003</f>
        <v>3.0000000000000001E-3</v>
      </c>
      <c r="D12" s="26">
        <f t="shared" si="0"/>
        <v>0.25</v>
      </c>
      <c r="E12" s="26">
        <f t="shared" si="1"/>
        <v>0.434</v>
      </c>
      <c r="F12" s="26"/>
      <c r="G12" s="34">
        <v>0.28499999999999998</v>
      </c>
      <c r="H12" s="26">
        <f>0.003</f>
        <v>3.0000000000000001E-3</v>
      </c>
      <c r="I12" s="26">
        <f t="shared" si="2"/>
        <v>0.28799999999999998</v>
      </c>
      <c r="J12" s="26">
        <f t="shared" si="3"/>
        <v>0.53200000000000003</v>
      </c>
      <c r="K12" s="26"/>
      <c r="L12" s="14" t="s">
        <v>55</v>
      </c>
    </row>
    <row r="13" spans="1:12" ht="53" x14ac:dyDescent="0.2">
      <c r="A13" s="35" t="s">
        <v>117</v>
      </c>
      <c r="B13" s="26">
        <v>0.57899999999999996</v>
      </c>
      <c r="C13" s="26">
        <f>0.08+0.02+0.002</f>
        <v>0.10200000000000001</v>
      </c>
      <c r="D13" s="26">
        <f t="shared" si="0"/>
        <v>0.68099999999999994</v>
      </c>
      <c r="E13" s="26">
        <f t="shared" si="1"/>
        <v>0.86499999999999999</v>
      </c>
      <c r="F13" s="26"/>
      <c r="G13" s="26">
        <v>0.441</v>
      </c>
      <c r="H13" s="87">
        <f>0.5+0.02+0.0022</f>
        <v>0.5222</v>
      </c>
      <c r="I13" s="26">
        <f t="shared" si="2"/>
        <v>0.96320000000000006</v>
      </c>
      <c r="J13" s="26">
        <f t="shared" si="3"/>
        <v>1.2072000000000001</v>
      </c>
      <c r="K13" s="26"/>
      <c r="L13" s="80" t="s">
        <v>464</v>
      </c>
    </row>
    <row r="14" spans="1:12" ht="53" x14ac:dyDescent="0.2">
      <c r="A14" s="35" t="s">
        <v>1</v>
      </c>
      <c r="B14" s="26">
        <v>0.22</v>
      </c>
      <c r="C14" s="34">
        <f>0.03+0.03+0.00625+0.006125</f>
        <v>7.2375000000000009E-2</v>
      </c>
      <c r="D14" s="26">
        <f t="shared" si="0"/>
        <v>0.292375</v>
      </c>
      <c r="E14" s="26">
        <f t="shared" si="1"/>
        <v>0.47637499999999999</v>
      </c>
      <c r="F14" s="26"/>
      <c r="G14" s="26">
        <v>0.20499999999999999</v>
      </c>
      <c r="H14" s="34">
        <f>0.03+0.03+0.00625+0.003125+0.006125</f>
        <v>7.5500000000000012E-2</v>
      </c>
      <c r="I14" s="26">
        <f t="shared" si="2"/>
        <v>0.28049999999999997</v>
      </c>
      <c r="J14" s="26">
        <f t="shared" si="3"/>
        <v>0.52449999999999997</v>
      </c>
      <c r="K14" s="26"/>
      <c r="L14" s="14" t="s">
        <v>465</v>
      </c>
    </row>
    <row r="15" spans="1:12" ht="53" x14ac:dyDescent="0.2">
      <c r="A15" s="14" t="s">
        <v>91</v>
      </c>
      <c r="B15" s="26">
        <v>0.25</v>
      </c>
      <c r="C15" s="26"/>
      <c r="D15" s="26">
        <f t="shared" si="0"/>
        <v>0.25</v>
      </c>
      <c r="E15" s="26">
        <f t="shared" si="1"/>
        <v>0.434</v>
      </c>
      <c r="F15" s="26"/>
      <c r="G15" s="26">
        <v>0.28999999999999998</v>
      </c>
      <c r="H15" s="26">
        <v>0.20200000000000001</v>
      </c>
      <c r="I15" s="26">
        <f t="shared" si="2"/>
        <v>0.49199999999999999</v>
      </c>
      <c r="J15" s="26">
        <f t="shared" si="3"/>
        <v>0.73599999999999999</v>
      </c>
      <c r="K15" s="26"/>
      <c r="L15" s="14" t="s">
        <v>466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35" t="s">
        <v>2</v>
      </c>
      <c r="B17" s="26">
        <v>0.23499999999999999</v>
      </c>
      <c r="C17" s="34">
        <v>0.114</v>
      </c>
      <c r="D17" s="26">
        <f t="shared" si="0"/>
        <v>0.34899999999999998</v>
      </c>
      <c r="E17" s="26">
        <f t="shared" si="1"/>
        <v>0.53299999999999992</v>
      </c>
      <c r="F17" s="26"/>
      <c r="G17" s="26">
        <v>0.23499999999999999</v>
      </c>
      <c r="H17" s="34">
        <v>0.114</v>
      </c>
      <c r="I17" s="26">
        <f t="shared" si="2"/>
        <v>0.34899999999999998</v>
      </c>
      <c r="J17" s="26">
        <f t="shared" si="3"/>
        <v>0.59299999999999997</v>
      </c>
      <c r="K17" s="26"/>
      <c r="L17" s="14" t="s">
        <v>467</v>
      </c>
    </row>
    <row r="18" spans="1:12" ht="66" x14ac:dyDescent="0.2">
      <c r="A18" s="35" t="s">
        <v>87</v>
      </c>
      <c r="B18" s="26">
        <v>0.04</v>
      </c>
      <c r="C18" s="34">
        <f>0.17+0.00125+0.06+0.094+0.00048+0.00119+0.01904</f>
        <v>0.34596000000000005</v>
      </c>
      <c r="D18" s="26">
        <f t="shared" si="0"/>
        <v>0.38596000000000003</v>
      </c>
      <c r="E18" s="26">
        <f t="shared" si="1"/>
        <v>0.56996000000000002</v>
      </c>
      <c r="F18" s="26"/>
      <c r="G18" s="26">
        <v>0.04</v>
      </c>
      <c r="H18" s="34">
        <f>0.17+0.01+0.06+0.094+0.00048+0.00119+0.01904</f>
        <v>0.35471000000000003</v>
      </c>
      <c r="I18" s="26">
        <f t="shared" si="2"/>
        <v>0.39471000000000001</v>
      </c>
      <c r="J18" s="26">
        <f t="shared" si="3"/>
        <v>0.63871</v>
      </c>
      <c r="K18" s="26"/>
      <c r="L18" s="14" t="s">
        <v>468</v>
      </c>
    </row>
    <row r="19" spans="1:12" ht="40" x14ac:dyDescent="0.2">
      <c r="A19" s="35" t="s">
        <v>88</v>
      </c>
      <c r="B19" s="34">
        <v>0.32300000000000001</v>
      </c>
      <c r="C19" s="26">
        <f>0.0075</f>
        <v>7.4999999999999997E-3</v>
      </c>
      <c r="D19" s="26">
        <f t="shared" si="0"/>
        <v>0.33050000000000002</v>
      </c>
      <c r="E19" s="26">
        <f t="shared" si="1"/>
        <v>0.51449999999999996</v>
      </c>
      <c r="F19" s="26"/>
      <c r="G19" s="34">
        <v>0.36199999999999999</v>
      </c>
      <c r="H19" s="26">
        <f>0.0075</f>
        <v>7.4999999999999997E-3</v>
      </c>
      <c r="I19" s="26">
        <f t="shared" si="2"/>
        <v>0.3695</v>
      </c>
      <c r="J19" s="26">
        <f t="shared" si="3"/>
        <v>0.61350000000000005</v>
      </c>
      <c r="K19" s="26"/>
      <c r="L19" s="14" t="s">
        <v>469</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361</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26">
        <v>0.45400000000000001</v>
      </c>
      <c r="C22" s="34">
        <f>0.2+0.003+0.008</f>
        <v>0.21100000000000002</v>
      </c>
      <c r="D22" s="26">
        <f t="shared" si="0"/>
        <v>0.66500000000000004</v>
      </c>
      <c r="E22" s="26">
        <f t="shared" si="1"/>
        <v>0.84899999999999998</v>
      </c>
      <c r="F22" s="26"/>
      <c r="G22" s="26">
        <v>0.52900000000000003</v>
      </c>
      <c r="H22" s="34">
        <f>0.2+0.003+0.008</f>
        <v>0.21100000000000002</v>
      </c>
      <c r="I22" s="26">
        <f t="shared" si="2"/>
        <v>0.74</v>
      </c>
      <c r="J22" s="26">
        <f t="shared" si="3"/>
        <v>0.98399999999999999</v>
      </c>
      <c r="K22" s="26"/>
      <c r="L22" s="14" t="s">
        <v>470</v>
      </c>
    </row>
    <row r="23" spans="1:12" ht="66" x14ac:dyDescent="0.2">
      <c r="A23" s="35" t="s">
        <v>93</v>
      </c>
      <c r="B23" s="26">
        <v>0.34</v>
      </c>
      <c r="C23" s="34">
        <f>0.167+0.01</f>
        <v>0.17700000000000002</v>
      </c>
      <c r="D23" s="26">
        <f t="shared" si="0"/>
        <v>0.51700000000000002</v>
      </c>
      <c r="E23" s="26">
        <f t="shared" si="1"/>
        <v>0.70100000000000007</v>
      </c>
      <c r="F23" s="26"/>
      <c r="G23" s="26">
        <v>0.56999999999999995</v>
      </c>
      <c r="H23" s="26">
        <f>0.01</f>
        <v>0.01</v>
      </c>
      <c r="I23" s="26">
        <f t="shared" si="2"/>
        <v>0.57999999999999996</v>
      </c>
      <c r="J23" s="26">
        <f t="shared" si="3"/>
        <v>0.82399999999999995</v>
      </c>
      <c r="K23" s="26"/>
      <c r="L23" s="14" t="s">
        <v>471</v>
      </c>
    </row>
    <row r="24" spans="1:12" ht="27"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472</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27" x14ac:dyDescent="0.2">
      <c r="A26" s="14" t="s">
        <v>6</v>
      </c>
      <c r="B26" s="26">
        <v>0.28699999999999998</v>
      </c>
      <c r="C26" s="26">
        <f>0.014</f>
        <v>1.4E-2</v>
      </c>
      <c r="D26" s="26">
        <f t="shared" si="0"/>
        <v>0.30099999999999999</v>
      </c>
      <c r="E26" s="26">
        <f t="shared" si="1"/>
        <v>0.48499999999999999</v>
      </c>
      <c r="F26" s="26"/>
      <c r="G26" s="26">
        <v>0.25700000000000001</v>
      </c>
      <c r="H26" s="26">
        <f>0.014</f>
        <v>1.4E-2</v>
      </c>
      <c r="I26" s="26">
        <f t="shared" si="2"/>
        <v>0.27100000000000002</v>
      </c>
      <c r="J26" s="26">
        <f t="shared" si="3"/>
        <v>0.51500000000000001</v>
      </c>
      <c r="K26" s="26"/>
      <c r="L26" s="20" t="s">
        <v>448</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14" t="s">
        <v>9</v>
      </c>
      <c r="B29" s="26">
        <v>0.31</v>
      </c>
      <c r="C29" s="26">
        <f>0.16+0.0019</f>
        <v>0.16190000000000002</v>
      </c>
      <c r="D29" s="26">
        <f t="shared" si="0"/>
        <v>0.47189999999999999</v>
      </c>
      <c r="E29" s="26">
        <f t="shared" si="1"/>
        <v>0.65589999999999993</v>
      </c>
      <c r="F29" s="26"/>
      <c r="G29" s="26">
        <f>0.2425+0.075</f>
        <v>0.3175</v>
      </c>
      <c r="H29" s="26">
        <f>0.16+0.0019</f>
        <v>0.16190000000000002</v>
      </c>
      <c r="I29" s="26">
        <f t="shared" si="2"/>
        <v>0.47940000000000005</v>
      </c>
      <c r="J29" s="26">
        <f t="shared" si="3"/>
        <v>0.72340000000000004</v>
      </c>
      <c r="K29" s="26"/>
      <c r="L29" s="14" t="s">
        <v>473</v>
      </c>
    </row>
    <row r="30" spans="1:12" ht="40" x14ac:dyDescent="0.2">
      <c r="A30" s="35" t="s">
        <v>36</v>
      </c>
      <c r="B30" s="26">
        <v>0.24</v>
      </c>
      <c r="C30" s="34">
        <f>0.032472+0.0012</f>
        <v>3.3672000000000001E-2</v>
      </c>
      <c r="D30" s="26">
        <f t="shared" si="0"/>
        <v>0.27367199999999997</v>
      </c>
      <c r="E30" s="26">
        <f t="shared" si="1"/>
        <v>0.45767199999999997</v>
      </c>
      <c r="F30" s="26"/>
      <c r="G30" s="26">
        <v>0.24</v>
      </c>
      <c r="H30" s="34">
        <f>0.032472+0.0012</f>
        <v>3.3672000000000001E-2</v>
      </c>
      <c r="I30" s="26">
        <f t="shared" si="2"/>
        <v>0.27367199999999997</v>
      </c>
      <c r="J30" s="26">
        <f t="shared" si="3"/>
        <v>0.51767200000000002</v>
      </c>
      <c r="K30" s="26"/>
      <c r="L30" s="14" t="s">
        <v>474</v>
      </c>
    </row>
    <row r="31" spans="1:12" ht="40" x14ac:dyDescent="0.2">
      <c r="A31" s="35" t="s">
        <v>95</v>
      </c>
      <c r="B31" s="34">
        <v>0.3</v>
      </c>
      <c r="C31" s="34">
        <f>0.17+0.01</f>
        <v>0.18000000000000002</v>
      </c>
      <c r="D31" s="26">
        <f t="shared" si="0"/>
        <v>0.48</v>
      </c>
      <c r="E31" s="26">
        <f t="shared" si="1"/>
        <v>0.66399999999999992</v>
      </c>
      <c r="F31" s="26"/>
      <c r="G31" s="34">
        <v>0.3</v>
      </c>
      <c r="H31" s="34">
        <f>0.225+0.01</f>
        <v>0.23500000000000001</v>
      </c>
      <c r="I31" s="26">
        <f t="shared" si="2"/>
        <v>0.53500000000000003</v>
      </c>
      <c r="J31" s="26">
        <f t="shared" si="3"/>
        <v>0.77900000000000003</v>
      </c>
      <c r="K31" s="26"/>
      <c r="L31" s="14" t="s">
        <v>475</v>
      </c>
    </row>
    <row r="32" spans="1:12" ht="27" x14ac:dyDescent="0.2">
      <c r="A32" s="35"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215</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0.245</v>
      </c>
      <c r="C34" s="26">
        <f>0.0007+0.004</f>
        <v>4.7000000000000002E-3</v>
      </c>
      <c r="D34" s="26">
        <f t="shared" si="0"/>
        <v>0.24970000000000001</v>
      </c>
      <c r="E34" s="26">
        <f t="shared" si="1"/>
        <v>0.43369999999999997</v>
      </c>
      <c r="F34" s="26"/>
      <c r="G34" s="26">
        <v>0.245</v>
      </c>
      <c r="H34" s="26">
        <f>0.0007+0.004</f>
        <v>4.7000000000000002E-3</v>
      </c>
      <c r="I34" s="26">
        <f t="shared" si="2"/>
        <v>0.24970000000000001</v>
      </c>
      <c r="J34" s="26">
        <f t="shared" si="3"/>
        <v>0.49370000000000003</v>
      </c>
      <c r="K34" s="26"/>
      <c r="L34" s="14" t="s">
        <v>453</v>
      </c>
    </row>
    <row r="35" spans="1:12" ht="27" x14ac:dyDescent="0.2">
      <c r="A35" s="14" t="s">
        <v>29</v>
      </c>
      <c r="B35" s="26">
        <v>0.33</v>
      </c>
      <c r="C35" s="26">
        <f>0.0075</f>
        <v>7.4999999999999997E-3</v>
      </c>
      <c r="D35" s="26">
        <f t="shared" si="0"/>
        <v>0.33750000000000002</v>
      </c>
      <c r="E35" s="26">
        <f t="shared" si="1"/>
        <v>0.52150000000000007</v>
      </c>
      <c r="F35" s="26"/>
      <c r="G35" s="26">
        <v>0.29749999999999999</v>
      </c>
      <c r="H35" s="26">
        <f>0.0075</f>
        <v>7.4999999999999997E-3</v>
      </c>
      <c r="I35" s="26">
        <f t="shared" si="2"/>
        <v>0.30499999999999999</v>
      </c>
      <c r="J35" s="26">
        <f t="shared" si="3"/>
        <v>0.54900000000000004</v>
      </c>
      <c r="K35" s="26"/>
      <c r="L35" s="14" t="s">
        <v>61</v>
      </c>
    </row>
    <row r="36" spans="1:12" ht="27" x14ac:dyDescent="0.2">
      <c r="A36" s="35" t="s">
        <v>15</v>
      </c>
      <c r="B36" s="34">
        <v>0.29099999999999998</v>
      </c>
      <c r="C36" s="26">
        <f>0.009</f>
        <v>8.9999999999999993E-3</v>
      </c>
      <c r="D36" s="26">
        <f t="shared" si="0"/>
        <v>0.3</v>
      </c>
      <c r="E36" s="26">
        <f t="shared" si="1"/>
        <v>0.48399999999999999</v>
      </c>
      <c r="F36" s="26"/>
      <c r="G36" s="34">
        <v>0.29099999999999998</v>
      </c>
      <c r="H36" s="26">
        <f>0.003</f>
        <v>3.0000000000000001E-3</v>
      </c>
      <c r="I36" s="26">
        <f t="shared" si="2"/>
        <v>0.29399999999999998</v>
      </c>
      <c r="J36" s="26">
        <f t="shared" si="3"/>
        <v>0.53800000000000003</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35" t="s">
        <v>96</v>
      </c>
      <c r="B39" s="26">
        <v>0.105</v>
      </c>
      <c r="C39" s="34">
        <f>0.318+0.0005</f>
        <v>0.31850000000000001</v>
      </c>
      <c r="D39" s="26">
        <f t="shared" si="0"/>
        <v>0.42349999999999999</v>
      </c>
      <c r="E39" s="26">
        <f t="shared" si="1"/>
        <v>0.60749999999999993</v>
      </c>
      <c r="F39" s="26"/>
      <c r="G39" s="26">
        <v>0.13500000000000001</v>
      </c>
      <c r="H39" s="34">
        <f>0.358+0.0005</f>
        <v>0.35849999999999999</v>
      </c>
      <c r="I39" s="26">
        <f t="shared" si="2"/>
        <v>0.49349999999999999</v>
      </c>
      <c r="J39" s="26">
        <f t="shared" si="3"/>
        <v>0.73750000000000004</v>
      </c>
      <c r="K39" s="26"/>
      <c r="L39" s="14" t="s">
        <v>476</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35" t="s">
        <v>97</v>
      </c>
      <c r="B41" s="26">
        <v>0.08</v>
      </c>
      <c r="C41" s="34">
        <f>0.173+0.0005+0.003274</f>
        <v>0.17677399999999999</v>
      </c>
      <c r="D41" s="26">
        <f>$B41+$C41</f>
        <v>0.256774</v>
      </c>
      <c r="E41" s="26">
        <f t="shared" si="1"/>
        <v>0.440774</v>
      </c>
      <c r="F41" s="26"/>
      <c r="G41" s="26">
        <v>0.08</v>
      </c>
      <c r="H41" s="34">
        <f>0.1555+0.003274</f>
        <v>0.158774</v>
      </c>
      <c r="I41" s="26">
        <f>$G41+$H41</f>
        <v>0.23877399999999999</v>
      </c>
      <c r="J41" s="26">
        <f t="shared" si="3"/>
        <v>0.48277400000000004</v>
      </c>
      <c r="K41" s="26"/>
      <c r="L41" s="14" t="s">
        <v>477</v>
      </c>
    </row>
    <row r="42" spans="1:12" x14ac:dyDescent="0.2">
      <c r="A42" s="35" t="s">
        <v>17</v>
      </c>
      <c r="B42" s="34">
        <v>0.40400000000000003</v>
      </c>
      <c r="C42" s="26">
        <f>0.0025</f>
        <v>2.5000000000000001E-3</v>
      </c>
      <c r="D42" s="26">
        <f t="shared" ref="D42:D64" si="4">$B42+$C42</f>
        <v>0.40650000000000003</v>
      </c>
      <c r="E42" s="26">
        <f t="shared" si="1"/>
        <v>0.59050000000000002</v>
      </c>
      <c r="F42" s="26"/>
      <c r="G42" s="34">
        <v>0.40400000000000003</v>
      </c>
      <c r="H42" s="26">
        <f>0.0025</f>
        <v>2.5000000000000001E-3</v>
      </c>
      <c r="I42" s="26">
        <f t="shared" ref="I42:I64" si="5">$G42+$H42</f>
        <v>0.40650000000000003</v>
      </c>
      <c r="J42" s="26">
        <f t="shared" si="3"/>
        <v>0.65050000000000008</v>
      </c>
      <c r="K42" s="26"/>
      <c r="L42" s="14" t="s">
        <v>82</v>
      </c>
    </row>
    <row r="43" spans="1:12" x14ac:dyDescent="0.2">
      <c r="A43" s="14" t="s">
        <v>11</v>
      </c>
      <c r="B43" s="26">
        <v>0.23</v>
      </c>
      <c r="C43" s="26">
        <f>0.00025</f>
        <v>2.5000000000000001E-4</v>
      </c>
      <c r="D43" s="26">
        <f t="shared" si="4"/>
        <v>0.23025000000000001</v>
      </c>
      <c r="E43" s="26">
        <f t="shared" si="1"/>
        <v>0.41425000000000001</v>
      </c>
      <c r="F43" s="26"/>
      <c r="G43" s="26">
        <v>0.23</v>
      </c>
      <c r="H43" s="26">
        <f>0.00025</f>
        <v>2.5000000000000001E-4</v>
      </c>
      <c r="I43" s="26">
        <f t="shared" si="5"/>
        <v>0.23025000000000001</v>
      </c>
      <c r="J43" s="26">
        <f t="shared" si="3"/>
        <v>0.47425000000000006</v>
      </c>
      <c r="K43" s="26"/>
      <c r="L43" s="14" t="s">
        <v>64</v>
      </c>
    </row>
    <row r="44" spans="1:12" ht="27" x14ac:dyDescent="0.2">
      <c r="A44" s="14" t="s">
        <v>23</v>
      </c>
      <c r="B44" s="26">
        <v>0.38500000000000001</v>
      </c>
      <c r="C44" s="26"/>
      <c r="D44" s="26">
        <f t="shared" si="4"/>
        <v>0.38500000000000001</v>
      </c>
      <c r="E44" s="26">
        <f t="shared" si="1"/>
        <v>0.56899999999999995</v>
      </c>
      <c r="F44" s="26"/>
      <c r="G44" s="26">
        <v>0.47</v>
      </c>
      <c r="H44" s="26"/>
      <c r="I44" s="26">
        <f t="shared" si="5"/>
        <v>0.47</v>
      </c>
      <c r="J44" s="26">
        <f t="shared" si="3"/>
        <v>0.71399999999999997</v>
      </c>
      <c r="K44" s="26"/>
      <c r="L44" s="14" t="s">
        <v>348</v>
      </c>
    </row>
    <row r="45" spans="1:12" ht="27" x14ac:dyDescent="0.2">
      <c r="A45" s="14" t="s">
        <v>18</v>
      </c>
      <c r="B45" s="26">
        <v>0.19</v>
      </c>
      <c r="C45" s="26">
        <f>0.01</f>
        <v>0.01</v>
      </c>
      <c r="D45" s="26">
        <f t="shared" si="4"/>
        <v>0.2</v>
      </c>
      <c r="E45" s="26">
        <f t="shared" si="1"/>
        <v>0.38400000000000001</v>
      </c>
      <c r="F45" s="26"/>
      <c r="G45" s="26">
        <v>0.19</v>
      </c>
      <c r="H45" s="26">
        <f>0.01</f>
        <v>0.01</v>
      </c>
      <c r="I45" s="26">
        <f t="shared" si="5"/>
        <v>0.2</v>
      </c>
      <c r="J45" s="26">
        <f t="shared" si="3"/>
        <v>0.44400000000000006</v>
      </c>
      <c r="K45" s="26"/>
      <c r="L45" s="14" t="s">
        <v>65</v>
      </c>
    </row>
    <row r="46" spans="1:12" ht="27" x14ac:dyDescent="0.2">
      <c r="A46" s="35" t="s">
        <v>31</v>
      </c>
      <c r="B46" s="34">
        <v>0.4</v>
      </c>
      <c r="C46" s="26"/>
      <c r="D46" s="26">
        <f t="shared" si="4"/>
        <v>0.4</v>
      </c>
      <c r="E46" s="26">
        <f t="shared" si="1"/>
        <v>0.58400000000000007</v>
      </c>
      <c r="F46" s="26"/>
      <c r="G46" s="34">
        <v>0.4</v>
      </c>
      <c r="H46" s="26"/>
      <c r="I46" s="26">
        <f t="shared" si="5"/>
        <v>0.4</v>
      </c>
      <c r="J46" s="26">
        <f t="shared" si="3"/>
        <v>0.64400000000000002</v>
      </c>
      <c r="K46" s="26"/>
      <c r="L46" s="14" t="s">
        <v>344</v>
      </c>
    </row>
    <row r="47" spans="1:12" ht="53" x14ac:dyDescent="0.2">
      <c r="A47" s="35" t="s">
        <v>12</v>
      </c>
      <c r="B47" s="34">
        <v>0.57599999999999996</v>
      </c>
      <c r="C47" s="26">
        <f>0.011</f>
        <v>1.0999999999999999E-2</v>
      </c>
      <c r="D47" s="26">
        <f t="shared" si="4"/>
        <v>0.58699999999999997</v>
      </c>
      <c r="E47" s="26">
        <f t="shared" si="1"/>
        <v>0.77099999999999991</v>
      </c>
      <c r="F47" s="26"/>
      <c r="G47" s="34">
        <v>0.74099999999999999</v>
      </c>
      <c r="H47" s="26"/>
      <c r="I47" s="26">
        <f t="shared" si="5"/>
        <v>0.74099999999999999</v>
      </c>
      <c r="J47" s="26">
        <f t="shared" si="3"/>
        <v>0.98499999999999999</v>
      </c>
      <c r="K47" s="26"/>
      <c r="L47" s="14" t="s">
        <v>456</v>
      </c>
    </row>
    <row r="48" spans="1:12" ht="26.25" customHeight="1" x14ac:dyDescent="0.2">
      <c r="A48" s="14" t="s">
        <v>14</v>
      </c>
      <c r="B48" s="26">
        <v>0.37</v>
      </c>
      <c r="C48" s="26">
        <f>0.01+0.0012</f>
        <v>1.12E-2</v>
      </c>
      <c r="D48" s="26">
        <f t="shared" si="4"/>
        <v>0.38119999999999998</v>
      </c>
      <c r="E48" s="26">
        <f t="shared" si="1"/>
        <v>0.56519999999999992</v>
      </c>
      <c r="F48" s="26"/>
      <c r="G48" s="26">
        <v>0.37</v>
      </c>
      <c r="H48" s="26">
        <f>0.01+0.0012</f>
        <v>1.12E-2</v>
      </c>
      <c r="I48" s="26">
        <f t="shared" si="5"/>
        <v>0.38119999999999998</v>
      </c>
      <c r="J48" s="26">
        <f t="shared" si="3"/>
        <v>0.62519999999999998</v>
      </c>
      <c r="K48" s="26"/>
      <c r="L48" s="14" t="s">
        <v>426</v>
      </c>
    </row>
    <row r="49" spans="1:12" s="29" customFormat="1" x14ac:dyDescent="0.2">
      <c r="A49" s="14" t="s">
        <v>119</v>
      </c>
      <c r="B49" s="26">
        <v>0.28000000000000003</v>
      </c>
      <c r="C49" s="26">
        <f>0.0025+0.005</f>
        <v>7.4999999999999997E-3</v>
      </c>
      <c r="D49" s="26">
        <f t="shared" si="4"/>
        <v>0.28750000000000003</v>
      </c>
      <c r="E49" s="26">
        <f t="shared" si="1"/>
        <v>0.47150000000000003</v>
      </c>
      <c r="F49" s="26"/>
      <c r="G49" s="26">
        <v>0.28000000000000003</v>
      </c>
      <c r="H49" s="26">
        <f>0.0025+0.005</f>
        <v>7.4999999999999997E-3</v>
      </c>
      <c r="I49" s="26">
        <f t="shared" si="5"/>
        <v>0.28750000000000003</v>
      </c>
      <c r="J49" s="26">
        <f t="shared" si="3"/>
        <v>0.53150000000000008</v>
      </c>
      <c r="K49" s="26"/>
      <c r="L49" s="14" t="s">
        <v>67</v>
      </c>
    </row>
    <row r="50" spans="1:12" x14ac:dyDescent="0.2">
      <c r="A50" s="14" t="s">
        <v>13</v>
      </c>
      <c r="B50" s="26">
        <v>0.28000000000000003</v>
      </c>
      <c r="C50" s="26">
        <f>0.02</f>
        <v>0.02</v>
      </c>
      <c r="D50" s="26">
        <f t="shared" si="4"/>
        <v>0.30000000000000004</v>
      </c>
      <c r="E50" s="26">
        <f t="shared" si="1"/>
        <v>0.48400000000000004</v>
      </c>
      <c r="F50" s="26"/>
      <c r="G50" s="26">
        <v>0.28000000000000003</v>
      </c>
      <c r="H50" s="26">
        <f>0.02</f>
        <v>0.02</v>
      </c>
      <c r="I50" s="26">
        <f t="shared" si="5"/>
        <v>0.30000000000000004</v>
      </c>
      <c r="J50" s="26">
        <f t="shared" si="3"/>
        <v>0.54400000000000004</v>
      </c>
      <c r="K50" s="26"/>
      <c r="L50" s="14" t="s">
        <v>68</v>
      </c>
    </row>
    <row r="51" spans="1:12" x14ac:dyDescent="0.2">
      <c r="A51" s="14" t="s">
        <v>19</v>
      </c>
      <c r="B51" s="26">
        <v>0.26</v>
      </c>
      <c r="C51" s="26">
        <f>0.01+0.004</f>
        <v>1.4E-2</v>
      </c>
      <c r="D51" s="26">
        <f t="shared" si="4"/>
        <v>0.27400000000000002</v>
      </c>
      <c r="E51" s="26">
        <f t="shared" si="1"/>
        <v>0.45800000000000002</v>
      </c>
      <c r="F51" s="26"/>
      <c r="G51" s="26">
        <v>0.27</v>
      </c>
      <c r="H51" s="26">
        <f>0.01+0.004</f>
        <v>1.4E-2</v>
      </c>
      <c r="I51" s="26">
        <f t="shared" si="5"/>
        <v>0.28400000000000003</v>
      </c>
      <c r="J51" s="26">
        <f t="shared" si="3"/>
        <v>0.52800000000000002</v>
      </c>
      <c r="K51" s="26"/>
      <c r="L51" s="14" t="s">
        <v>69</v>
      </c>
    </row>
    <row r="52" spans="1:12" x14ac:dyDescent="0.2">
      <c r="A52" s="14" t="s">
        <v>24</v>
      </c>
      <c r="B52" s="26">
        <v>0.2</v>
      </c>
      <c r="C52" s="26"/>
      <c r="D52" s="26">
        <f t="shared" si="4"/>
        <v>0.2</v>
      </c>
      <c r="E52" s="26">
        <f t="shared" si="1"/>
        <v>0.38400000000000001</v>
      </c>
      <c r="F52" s="26"/>
      <c r="G52" s="26">
        <v>0.2</v>
      </c>
      <c r="H52" s="26"/>
      <c r="I52" s="26">
        <f t="shared" si="5"/>
        <v>0.2</v>
      </c>
      <c r="J52" s="26">
        <f t="shared" si="3"/>
        <v>0.44400000000000006</v>
      </c>
      <c r="K52" s="26"/>
      <c r="L52" s="14" t="s">
        <v>70</v>
      </c>
    </row>
    <row r="53" spans="1:12" x14ac:dyDescent="0.2">
      <c r="A53" s="35" t="s">
        <v>25</v>
      </c>
      <c r="B53" s="34">
        <v>0.36499999999999999</v>
      </c>
      <c r="C53" s="26">
        <f>0.0065</f>
        <v>6.4999999999999997E-3</v>
      </c>
      <c r="D53" s="26">
        <f t="shared" si="4"/>
        <v>0.3715</v>
      </c>
      <c r="E53" s="26">
        <f t="shared" si="1"/>
        <v>0.55549999999999999</v>
      </c>
      <c r="F53" s="26"/>
      <c r="G53" s="34">
        <v>0.36499999999999999</v>
      </c>
      <c r="H53" s="26">
        <f>0.0065</f>
        <v>6.4999999999999997E-3</v>
      </c>
      <c r="I53" s="26">
        <f t="shared" si="5"/>
        <v>0.3715</v>
      </c>
      <c r="J53" s="26">
        <f t="shared" si="3"/>
        <v>0.61550000000000005</v>
      </c>
      <c r="K53" s="26"/>
      <c r="L53" s="14" t="s">
        <v>71</v>
      </c>
    </row>
    <row r="54" spans="1:12" ht="40" x14ac:dyDescent="0.2">
      <c r="A54" s="35" t="s">
        <v>75</v>
      </c>
      <c r="B54" s="26">
        <v>0.121</v>
      </c>
      <c r="C54" s="34">
        <f>0.0611+0.134+0.01</f>
        <v>0.2051</v>
      </c>
      <c r="D54" s="26">
        <f t="shared" si="4"/>
        <v>0.3261</v>
      </c>
      <c r="E54" s="26">
        <f t="shared" si="1"/>
        <v>0.5101</v>
      </c>
      <c r="F54" s="26"/>
      <c r="G54" s="26">
        <v>0.28000000000000003</v>
      </c>
      <c r="H54" s="26">
        <f>0.01+0.03</f>
        <v>0.04</v>
      </c>
      <c r="I54" s="26">
        <f t="shared" si="5"/>
        <v>0.32</v>
      </c>
      <c r="J54" s="26">
        <f t="shared" si="3"/>
        <v>0.56400000000000006</v>
      </c>
      <c r="K54" s="26"/>
      <c r="L54" s="14" t="s">
        <v>478</v>
      </c>
    </row>
    <row r="55" spans="1:12" ht="27" x14ac:dyDescent="0.2">
      <c r="A55" s="14" t="s">
        <v>98</v>
      </c>
      <c r="B55" s="26">
        <v>0.29799999999999999</v>
      </c>
      <c r="C55" s="26">
        <f>0.087+0.006</f>
        <v>9.2999999999999999E-2</v>
      </c>
      <c r="D55" s="26">
        <f t="shared" si="4"/>
        <v>0.39100000000000001</v>
      </c>
      <c r="E55" s="26">
        <f t="shared" si="1"/>
        <v>0.57499999999999996</v>
      </c>
      <c r="F55" s="26"/>
      <c r="G55" s="26">
        <v>0.308</v>
      </c>
      <c r="H55" s="26">
        <f>0.088+0.006</f>
        <v>9.4E-2</v>
      </c>
      <c r="I55" s="26">
        <f t="shared" si="5"/>
        <v>0.40200000000000002</v>
      </c>
      <c r="J55" s="26">
        <f t="shared" si="3"/>
        <v>0.64600000000000002</v>
      </c>
      <c r="K55" s="26"/>
      <c r="L55" s="14" t="s">
        <v>479</v>
      </c>
    </row>
    <row r="56" spans="1:12" ht="66" x14ac:dyDescent="0.2">
      <c r="A56" s="14" t="s">
        <v>32</v>
      </c>
      <c r="B56" s="26">
        <v>0.49399999999999999</v>
      </c>
      <c r="C56" s="26">
        <f>0.0009523+0.000238+0.033</f>
        <v>3.41903E-2</v>
      </c>
      <c r="D56" s="26">
        <f t="shared" si="4"/>
        <v>0.5281903</v>
      </c>
      <c r="E56" s="26">
        <f t="shared" si="1"/>
        <v>0.71219030000000005</v>
      </c>
      <c r="F56" s="26"/>
      <c r="G56" s="26">
        <v>0.49399999999999999</v>
      </c>
      <c r="H56" s="26">
        <f>0.000238+0.0009523+0.033</f>
        <v>3.41903E-2</v>
      </c>
      <c r="I56" s="26">
        <f t="shared" si="5"/>
        <v>0.5281903</v>
      </c>
      <c r="J56" s="26">
        <f t="shared" si="3"/>
        <v>0.7721903</v>
      </c>
      <c r="K56" s="26"/>
      <c r="L56" s="14" t="s">
        <v>480</v>
      </c>
    </row>
    <row r="57" spans="1:12" x14ac:dyDescent="0.2">
      <c r="A57" s="35" t="s">
        <v>26</v>
      </c>
      <c r="B57" s="26">
        <v>0.20499999999999999</v>
      </c>
      <c r="C57" s="34">
        <v>0.152</v>
      </c>
      <c r="D57" s="26">
        <f t="shared" si="4"/>
        <v>0.35699999999999998</v>
      </c>
      <c r="E57" s="26">
        <f t="shared" si="1"/>
        <v>0.54099999999999993</v>
      </c>
      <c r="F57" s="26"/>
      <c r="G57" s="26">
        <v>0.20499999999999999</v>
      </c>
      <c r="H57" s="34">
        <v>0.152</v>
      </c>
      <c r="I57" s="26">
        <f t="shared" si="5"/>
        <v>0.35699999999999998</v>
      </c>
      <c r="J57" s="26">
        <f t="shared" si="3"/>
        <v>0.60099999999999998</v>
      </c>
      <c r="K57" s="26"/>
      <c r="L57" s="14" t="s">
        <v>481</v>
      </c>
    </row>
    <row r="58" spans="1:12" x14ac:dyDescent="0.2">
      <c r="A58" s="14" t="s">
        <v>20</v>
      </c>
      <c r="B58" s="26">
        <v>0.309</v>
      </c>
      <c r="C58" s="26">
        <f>0.02</f>
        <v>0.02</v>
      </c>
      <c r="D58" s="26">
        <f t="shared" si="4"/>
        <v>0.32900000000000001</v>
      </c>
      <c r="E58" s="26">
        <f t="shared" si="1"/>
        <v>0.51300000000000001</v>
      </c>
      <c r="F58" s="26"/>
      <c r="G58" s="26">
        <v>0.309</v>
      </c>
      <c r="H58" s="26">
        <f>0.02</f>
        <v>0.02</v>
      </c>
      <c r="I58" s="26">
        <f t="shared" si="5"/>
        <v>0.32900000000000001</v>
      </c>
      <c r="J58" s="26">
        <f t="shared" si="3"/>
        <v>0.57300000000000006</v>
      </c>
      <c r="K58" s="26"/>
      <c r="L58" s="14" t="s">
        <v>72</v>
      </c>
    </row>
    <row r="59" spans="1:12" x14ac:dyDescent="0.2">
      <c r="A59" s="27" t="s">
        <v>21</v>
      </c>
      <c r="B59" s="28">
        <v>0.23</v>
      </c>
      <c r="C59" s="28">
        <f>0.01</f>
        <v>0.01</v>
      </c>
      <c r="D59" s="28">
        <f t="shared" si="4"/>
        <v>0.24000000000000002</v>
      </c>
      <c r="E59" s="28">
        <f t="shared" si="1"/>
        <v>0.42400000000000004</v>
      </c>
      <c r="F59" s="28"/>
      <c r="G59" s="28">
        <v>0.23</v>
      </c>
      <c r="H59" s="28">
        <f>0.01</f>
        <v>0.01</v>
      </c>
      <c r="I59" s="28">
        <f t="shared" si="5"/>
        <v>0.24000000000000002</v>
      </c>
      <c r="J59" s="28">
        <f t="shared" si="3"/>
        <v>0.48400000000000004</v>
      </c>
      <c r="K59" s="28"/>
      <c r="L59" s="27" t="s">
        <v>73</v>
      </c>
    </row>
    <row r="60" spans="1:12" x14ac:dyDescent="0.2">
      <c r="A60" s="14" t="s">
        <v>49</v>
      </c>
      <c r="B60" s="26">
        <v>0.35</v>
      </c>
      <c r="C60" s="26"/>
      <c r="D60" s="26">
        <f t="shared" si="4"/>
        <v>0.35</v>
      </c>
      <c r="E60" s="26"/>
      <c r="F60" s="26"/>
      <c r="G60" s="26">
        <v>0.315</v>
      </c>
      <c r="H60" s="26">
        <f>0.035</f>
        <v>3.5000000000000003E-2</v>
      </c>
      <c r="I60" s="26">
        <f t="shared" si="5"/>
        <v>0.35</v>
      </c>
      <c r="J60" s="26"/>
      <c r="K60" s="26"/>
      <c r="L60" s="14" t="s">
        <v>85</v>
      </c>
    </row>
    <row r="61" spans="1:12" ht="40" x14ac:dyDescent="0.2">
      <c r="A61" s="14" t="s">
        <v>50</v>
      </c>
      <c r="B61" s="26">
        <v>0.15</v>
      </c>
      <c r="C61" s="26">
        <f>0.04</f>
        <v>0.04</v>
      </c>
      <c r="D61" s="26">
        <f t="shared" si="4"/>
        <v>0.19</v>
      </c>
      <c r="E61" s="26"/>
      <c r="F61" s="26"/>
      <c r="G61" s="26">
        <v>0.14000000000000001</v>
      </c>
      <c r="H61" s="26">
        <f>0.04</f>
        <v>0.04</v>
      </c>
      <c r="I61" s="26">
        <f t="shared" si="5"/>
        <v>0.18000000000000002</v>
      </c>
      <c r="J61" s="26"/>
      <c r="K61" s="26"/>
      <c r="L61" s="14" t="s">
        <v>431</v>
      </c>
    </row>
    <row r="62" spans="1:12" ht="15" customHeight="1" x14ac:dyDescent="0.2">
      <c r="A62" s="14" t="s">
        <v>51</v>
      </c>
      <c r="B62" s="26">
        <v>0.15</v>
      </c>
      <c r="C62" s="26"/>
      <c r="D62" s="26">
        <f t="shared" si="4"/>
        <v>0.15</v>
      </c>
      <c r="E62" s="26"/>
      <c r="F62" s="26"/>
      <c r="G62" s="26">
        <v>0.15</v>
      </c>
      <c r="H62" s="26"/>
      <c r="I62" s="26">
        <f t="shared" si="5"/>
        <v>0.15</v>
      </c>
      <c r="J62" s="26"/>
      <c r="K62" s="26"/>
      <c r="L62" s="14" t="s">
        <v>85</v>
      </c>
    </row>
    <row r="63" spans="1:12" ht="53" x14ac:dyDescent="0.2">
      <c r="A63" s="14" t="s">
        <v>52</v>
      </c>
      <c r="B63" s="26">
        <v>0.16</v>
      </c>
      <c r="C63" s="26">
        <v>0.36899999999999999</v>
      </c>
      <c r="D63" s="26">
        <f t="shared" si="4"/>
        <v>0.52900000000000003</v>
      </c>
      <c r="E63" s="26"/>
      <c r="F63" s="26"/>
      <c r="G63" s="26">
        <v>0.04</v>
      </c>
      <c r="H63" s="26">
        <v>0.22</v>
      </c>
      <c r="I63" s="26">
        <f t="shared" si="5"/>
        <v>0.26</v>
      </c>
      <c r="J63" s="26"/>
      <c r="K63" s="26"/>
      <c r="L63" s="14" t="s">
        <v>432</v>
      </c>
    </row>
    <row r="64" spans="1:12" ht="16" thickBot="1" x14ac:dyDescent="0.25">
      <c r="A64" s="14" t="s">
        <v>81</v>
      </c>
      <c r="B64" s="26">
        <v>0.14000000000000001</v>
      </c>
      <c r="C64" s="26"/>
      <c r="D64" s="26">
        <f t="shared" si="4"/>
        <v>0.14000000000000001</v>
      </c>
      <c r="E64" s="26"/>
      <c r="F64" s="26"/>
      <c r="G64" s="26">
        <v>0.14000000000000001</v>
      </c>
      <c r="H64" s="26"/>
      <c r="I64" s="26">
        <f t="shared" si="5"/>
        <v>0.14000000000000001</v>
      </c>
      <c r="J64" s="26"/>
      <c r="K64" s="26"/>
      <c r="L64" s="81" t="s">
        <v>85</v>
      </c>
    </row>
    <row r="65" spans="1:12" ht="63" customHeight="1" x14ac:dyDescent="0.2">
      <c r="A65" s="92" t="s">
        <v>482</v>
      </c>
      <c r="B65" s="92"/>
      <c r="C65" s="92"/>
      <c r="D65" s="92"/>
      <c r="E65" s="92"/>
      <c r="F65" s="92"/>
      <c r="G65" s="92"/>
      <c r="H65" s="92"/>
      <c r="I65" s="92"/>
      <c r="J65" s="92"/>
      <c r="K65" s="31"/>
      <c r="L65" s="88"/>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372</v>
      </c>
    </row>
    <row r="71" spans="1:12" x14ac:dyDescent="0.2">
      <c r="A71" s="18"/>
      <c r="B71"/>
      <c r="C71"/>
      <c r="D71"/>
      <c r="F71" s="52"/>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pageMargins left="0.17" right="0.17" top="0.4" bottom="0.38" header="0.3" footer="0.3"/>
  <pageSetup paperSize="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279</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0.25209803921568635</v>
      </c>
      <c r="C8" s="24">
        <f>AVERAGE(C9:C59)</f>
        <v>5.1548565909090897E-2</v>
      </c>
      <c r="D8" s="32">
        <f>AVERAGE(D9:D59)</f>
        <v>0.29657131176470586</v>
      </c>
      <c r="E8" s="32">
        <f>AVERAGE(E9:E59)</f>
        <v>0.48057131176470597</v>
      </c>
      <c r="F8" s="3"/>
      <c r="G8" s="32">
        <f>AVERAGE(G9:G59)</f>
        <v>0.2676470588235294</v>
      </c>
      <c r="H8" s="32">
        <f>AVERAGE(H9:H59)</f>
        <v>5.4120206666666643E-2</v>
      </c>
      <c r="I8" s="32">
        <f>AVERAGE(I9:I59)</f>
        <v>0.31540018235294121</v>
      </c>
      <c r="J8" s="21">
        <f>AVERAGE(J9:J59)</f>
        <v>0.55940018235294109</v>
      </c>
      <c r="K8" s="32"/>
      <c r="L8" s="11"/>
    </row>
    <row r="9" spans="1:12" ht="40" x14ac:dyDescent="0.2">
      <c r="A9" s="14" t="s">
        <v>33</v>
      </c>
      <c r="B9" s="26">
        <v>0.18</v>
      </c>
      <c r="C9" s="26">
        <v>0.01</v>
      </c>
      <c r="D9" s="26">
        <f>$B9+$C9</f>
        <v>0.19</v>
      </c>
      <c r="E9" s="26">
        <f>$D9+$E$4</f>
        <v>0.374</v>
      </c>
      <c r="F9" s="26"/>
      <c r="G9" s="26">
        <v>0.19</v>
      </c>
      <c r="H9" s="26">
        <f>0.0075+0.01</f>
        <v>1.7500000000000002E-2</v>
      </c>
      <c r="I9" s="26">
        <f>$G9+$H9</f>
        <v>0.20750000000000002</v>
      </c>
      <c r="J9" s="26">
        <f>$I9+$J$4</f>
        <v>0.45150000000000001</v>
      </c>
      <c r="K9" s="26"/>
      <c r="L9" s="14" t="s">
        <v>114</v>
      </c>
    </row>
    <row r="10" spans="1:12" x14ac:dyDescent="0.2">
      <c r="A10" s="14" t="s">
        <v>111</v>
      </c>
      <c r="B10" s="26">
        <v>0.08</v>
      </c>
      <c r="C10" s="26">
        <f>0.0095</f>
        <v>9.4999999999999998E-3</v>
      </c>
      <c r="D10" s="26">
        <f t="shared" ref="D10:D64" si="0">$B10+$C10</f>
        <v>8.9499999999999996E-2</v>
      </c>
      <c r="E10" s="26">
        <f t="shared" ref="E10:E59" si="1">$D10+$E$4</f>
        <v>0.27349999999999997</v>
      </c>
      <c r="F10" s="26"/>
      <c r="G10" s="26">
        <v>0.08</v>
      </c>
      <c r="H10" s="26">
        <f>0.0095</f>
        <v>9.4999999999999998E-3</v>
      </c>
      <c r="I10" s="26">
        <f t="shared" ref="I10:I64" si="2">$G10+$H10</f>
        <v>8.9499999999999996E-2</v>
      </c>
      <c r="J10" s="26">
        <f t="shared" ref="J10:J59" si="3">$I10+$J$4</f>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0.215</v>
      </c>
      <c r="C12" s="26">
        <f>0.003</f>
        <v>3.0000000000000001E-3</v>
      </c>
      <c r="D12" s="26">
        <f t="shared" si="0"/>
        <v>0.218</v>
      </c>
      <c r="E12" s="26">
        <f t="shared" si="1"/>
        <v>0.40200000000000002</v>
      </c>
      <c r="F12" s="26"/>
      <c r="G12" s="26">
        <v>0.22500000000000001</v>
      </c>
      <c r="H12" s="26">
        <f>0.003</f>
        <v>3.0000000000000001E-3</v>
      </c>
      <c r="I12" s="26">
        <f t="shared" si="2"/>
        <v>0.22800000000000001</v>
      </c>
      <c r="J12" s="26">
        <f t="shared" si="3"/>
        <v>0.47200000000000003</v>
      </c>
      <c r="K12" s="26"/>
      <c r="L12" s="14" t="s">
        <v>55</v>
      </c>
    </row>
    <row r="13" spans="1:12" ht="52" x14ac:dyDescent="0.2">
      <c r="A13" s="22" t="s">
        <v>117</v>
      </c>
      <c r="B13" s="23">
        <v>0.47299999999999998</v>
      </c>
      <c r="C13" s="26">
        <f>0.06+0.02+0.00155</f>
        <v>8.1549999999999997E-2</v>
      </c>
      <c r="D13" s="26">
        <f t="shared" si="0"/>
        <v>0.55454999999999999</v>
      </c>
      <c r="E13" s="26">
        <f t="shared" si="1"/>
        <v>0.73855000000000004</v>
      </c>
      <c r="F13" s="26"/>
      <c r="G13" s="26">
        <v>0.36</v>
      </c>
      <c r="H13" s="23">
        <f>0.32+0.02+0.00155</f>
        <v>0.34155000000000002</v>
      </c>
      <c r="I13" s="26">
        <f t="shared" si="2"/>
        <v>0.70155000000000001</v>
      </c>
      <c r="J13" s="26">
        <f t="shared" si="3"/>
        <v>0.94555</v>
      </c>
      <c r="K13" s="26"/>
      <c r="L13" s="15" t="s">
        <v>280</v>
      </c>
    </row>
    <row r="14" spans="1:12" ht="27" x14ac:dyDescent="0.2">
      <c r="A14" s="14" t="s">
        <v>1</v>
      </c>
      <c r="B14" s="26">
        <v>0.22</v>
      </c>
      <c r="C14" s="26">
        <f>0.009375</f>
        <v>9.3749999999999997E-3</v>
      </c>
      <c r="D14" s="26">
        <f t="shared" si="0"/>
        <v>0.229375</v>
      </c>
      <c r="E14" s="26">
        <f t="shared" si="1"/>
        <v>0.41337499999999999</v>
      </c>
      <c r="F14" s="26"/>
      <c r="G14" s="26">
        <v>0.20499999999999999</v>
      </c>
      <c r="H14" s="26">
        <v>9.3749999999999997E-3</v>
      </c>
      <c r="I14" s="26">
        <f t="shared" si="2"/>
        <v>0.21437499999999998</v>
      </c>
      <c r="J14" s="26">
        <f t="shared" si="3"/>
        <v>0.45837499999999998</v>
      </c>
      <c r="K14" s="26"/>
      <c r="L14" s="14" t="s">
        <v>133</v>
      </c>
    </row>
    <row r="15" spans="1:12" ht="24.75" customHeight="1" x14ac:dyDescent="0.2">
      <c r="A15" s="22" t="s">
        <v>91</v>
      </c>
      <c r="B15" s="26">
        <v>0.25</v>
      </c>
      <c r="C15" s="26"/>
      <c r="D15" s="26">
        <f t="shared" si="0"/>
        <v>0.25</v>
      </c>
      <c r="E15" s="26">
        <f t="shared" si="1"/>
        <v>0.434</v>
      </c>
      <c r="F15" s="26"/>
      <c r="G15" s="26">
        <v>0.28999999999999998</v>
      </c>
      <c r="H15" s="23">
        <v>0.17499999999999999</v>
      </c>
      <c r="I15" s="26">
        <f t="shared" si="2"/>
        <v>0.46499999999999997</v>
      </c>
      <c r="J15" s="26">
        <f t="shared" si="3"/>
        <v>0.70899999999999996</v>
      </c>
      <c r="K15" s="26"/>
      <c r="L15" s="14" t="s">
        <v>56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26"/>
      <c r="L17" s="14"/>
    </row>
    <row r="18" spans="1:12" ht="66" x14ac:dyDescent="0.2">
      <c r="A18" s="14" t="s">
        <v>87</v>
      </c>
      <c r="B18" s="26">
        <v>0.04</v>
      </c>
      <c r="C18" s="26">
        <f>0.141+0.00125+0.06+0.078+0.00048+0.00119+0.01904</f>
        <v>0.30096000000000001</v>
      </c>
      <c r="D18" s="26">
        <f t="shared" si="0"/>
        <v>0.34095999999999999</v>
      </c>
      <c r="E18" s="26">
        <f t="shared" si="1"/>
        <v>0.52495999999999998</v>
      </c>
      <c r="F18" s="26"/>
      <c r="G18" s="26">
        <v>0.04</v>
      </c>
      <c r="H18" s="26">
        <f>0.141+0.01+0.06+0.078+0.00048+0.00119+0.01904</f>
        <v>0.30970999999999999</v>
      </c>
      <c r="I18" s="26">
        <f t="shared" si="2"/>
        <v>0.34970999999999997</v>
      </c>
      <c r="J18" s="26">
        <f t="shared" si="3"/>
        <v>0.59370999999999996</v>
      </c>
      <c r="K18" s="26"/>
      <c r="L18" s="14" t="s">
        <v>108</v>
      </c>
    </row>
    <row r="19" spans="1:12" ht="40" x14ac:dyDescent="0.2">
      <c r="A19" s="14" t="s">
        <v>88</v>
      </c>
      <c r="B19" s="26">
        <v>0.27500000000000002</v>
      </c>
      <c r="C19" s="26">
        <f>0.005</f>
        <v>5.0000000000000001E-3</v>
      </c>
      <c r="D19" s="26">
        <f t="shared" si="0"/>
        <v>0.28000000000000003</v>
      </c>
      <c r="E19" s="26">
        <f t="shared" si="1"/>
        <v>0.46400000000000002</v>
      </c>
      <c r="F19" s="26"/>
      <c r="G19" s="26">
        <v>0.308</v>
      </c>
      <c r="H19" s="26">
        <f>0.005</f>
        <v>5.0000000000000001E-3</v>
      </c>
      <c r="I19" s="26">
        <f t="shared" si="2"/>
        <v>0.313</v>
      </c>
      <c r="J19" s="26">
        <f t="shared" si="3"/>
        <v>0.55700000000000005</v>
      </c>
      <c r="K19" s="26"/>
      <c r="L19" s="14" t="s">
        <v>112</v>
      </c>
    </row>
    <row r="20" spans="1:12" ht="27" x14ac:dyDescent="0.2">
      <c r="A20" s="22"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281</v>
      </c>
    </row>
    <row r="21" spans="1:12" x14ac:dyDescent="0.2">
      <c r="A21" s="14" t="s">
        <v>3</v>
      </c>
      <c r="B21" s="26">
        <v>0.32</v>
      </c>
      <c r="C21" s="26">
        <f>0.01</f>
        <v>0.01</v>
      </c>
      <c r="D21" s="26">
        <f>$B21+$C21</f>
        <v>0.33</v>
      </c>
      <c r="E21" s="26">
        <f t="shared" si="1"/>
        <v>0.51400000000000001</v>
      </c>
      <c r="F21" s="26"/>
      <c r="G21" s="26">
        <v>0.32</v>
      </c>
      <c r="H21" s="26">
        <f>0.01</f>
        <v>0.01</v>
      </c>
      <c r="I21" s="26">
        <f t="shared" si="2"/>
        <v>0.33</v>
      </c>
      <c r="J21" s="26">
        <f t="shared" si="3"/>
        <v>0.57400000000000007</v>
      </c>
      <c r="K21" s="26"/>
      <c r="L21" s="14" t="s">
        <v>58</v>
      </c>
    </row>
    <row r="22" spans="1:12" ht="40" x14ac:dyDescent="0.2">
      <c r="A22" s="22" t="s">
        <v>92</v>
      </c>
      <c r="B22" s="23">
        <v>0.38</v>
      </c>
      <c r="C22" s="23">
        <f>0.15+0.003+0.008</f>
        <v>0.161</v>
      </c>
      <c r="D22" s="26">
        <f t="shared" si="0"/>
        <v>0.54100000000000004</v>
      </c>
      <c r="E22" s="26">
        <f t="shared" si="1"/>
        <v>0.72500000000000009</v>
      </c>
      <c r="F22" s="26"/>
      <c r="G22" s="23">
        <v>0.45500000000000002</v>
      </c>
      <c r="H22" s="23">
        <f>0.15+0.003+0.008</f>
        <v>0.161</v>
      </c>
      <c r="I22" s="26">
        <f t="shared" si="2"/>
        <v>0.61599999999999999</v>
      </c>
      <c r="J22" s="26">
        <f t="shared" si="3"/>
        <v>0.86</v>
      </c>
      <c r="K22" s="26"/>
      <c r="L22" s="14" t="s">
        <v>282</v>
      </c>
    </row>
    <row r="23" spans="1:12" ht="72.75" customHeight="1" x14ac:dyDescent="0.2">
      <c r="A23" s="22" t="s">
        <v>93</v>
      </c>
      <c r="B23" s="23">
        <v>0.3</v>
      </c>
      <c r="C23" s="23">
        <f>0.156+0.01</f>
        <v>0.16600000000000001</v>
      </c>
      <c r="D23" s="26">
        <f t="shared" si="0"/>
        <v>0.46599999999999997</v>
      </c>
      <c r="E23" s="26">
        <f t="shared" si="1"/>
        <v>0.64999999999999991</v>
      </c>
      <c r="F23" s="26"/>
      <c r="G23" s="23">
        <v>0.49</v>
      </c>
      <c r="H23" s="26">
        <f>0.01</f>
        <v>0.01</v>
      </c>
      <c r="I23" s="26">
        <f t="shared" si="2"/>
        <v>0.5</v>
      </c>
      <c r="J23" s="26">
        <f t="shared" si="3"/>
        <v>0.74399999999999999</v>
      </c>
      <c r="K23" s="26"/>
      <c r="L23" s="14" t="s">
        <v>283</v>
      </c>
    </row>
    <row r="24" spans="1:12" ht="27" x14ac:dyDescent="0.2">
      <c r="A24" s="22" t="s">
        <v>94</v>
      </c>
      <c r="B24" s="23">
        <v>0.30499999999999999</v>
      </c>
      <c r="C24" s="26"/>
      <c r="D24" s="26">
        <f t="shared" si="0"/>
        <v>0.30499999999999999</v>
      </c>
      <c r="E24" s="26">
        <f t="shared" si="1"/>
        <v>0.48899999999999999</v>
      </c>
      <c r="F24" s="26"/>
      <c r="G24" s="26">
        <v>0.32500000000000001</v>
      </c>
      <c r="H24" s="26"/>
      <c r="I24" s="26">
        <f t="shared" si="2"/>
        <v>0.32500000000000001</v>
      </c>
      <c r="J24" s="26">
        <f t="shared" si="3"/>
        <v>0.56900000000000006</v>
      </c>
      <c r="K24" s="26"/>
      <c r="L24" s="14" t="s">
        <v>107</v>
      </c>
    </row>
    <row r="25" spans="1:12" ht="27" x14ac:dyDescent="0.2">
      <c r="A25" s="22" t="s">
        <v>5</v>
      </c>
      <c r="B25" s="26">
        <v>0.24</v>
      </c>
      <c r="C25" s="23">
        <f>0.0003</f>
        <v>2.9999999999999997E-4</v>
      </c>
      <c r="D25" s="26">
        <f t="shared" si="0"/>
        <v>0.24029999999999999</v>
      </c>
      <c r="E25" s="26">
        <f t="shared" si="1"/>
        <v>0.42430000000000001</v>
      </c>
      <c r="F25" s="26"/>
      <c r="G25" s="26">
        <v>0.26</v>
      </c>
      <c r="H25" s="23">
        <f>0.0003</f>
        <v>2.9999999999999997E-4</v>
      </c>
      <c r="I25" s="26">
        <f t="shared" si="2"/>
        <v>0.26030000000000003</v>
      </c>
      <c r="J25" s="26">
        <f t="shared" si="3"/>
        <v>0.50430000000000008</v>
      </c>
      <c r="K25" s="26"/>
      <c r="L25" s="14" t="s">
        <v>284</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22" t="s">
        <v>9</v>
      </c>
      <c r="B29" s="23">
        <f>0.235+0.027</f>
        <v>0.26200000000000001</v>
      </c>
      <c r="C29" s="23">
        <f>0.105+0.0019</f>
        <v>0.1069</v>
      </c>
      <c r="D29" s="26">
        <f t="shared" si="0"/>
        <v>0.36890000000000001</v>
      </c>
      <c r="E29" s="26">
        <f t="shared" si="1"/>
        <v>0.55289999999999995</v>
      </c>
      <c r="F29" s="26"/>
      <c r="G29" s="23">
        <f>0.2425+0.027</f>
        <v>0.26950000000000002</v>
      </c>
      <c r="H29" s="23">
        <f>0.105+0.0019</f>
        <v>0.1069</v>
      </c>
      <c r="I29" s="26">
        <f t="shared" si="2"/>
        <v>0.37640000000000001</v>
      </c>
      <c r="J29" s="26">
        <f t="shared" si="3"/>
        <v>0.62040000000000006</v>
      </c>
      <c r="K29" s="26"/>
      <c r="L29" s="14" t="s">
        <v>285</v>
      </c>
    </row>
    <row r="30" spans="1:12" ht="40" x14ac:dyDescent="0.2">
      <c r="A30" s="14" t="s">
        <v>36</v>
      </c>
      <c r="B30" s="26">
        <v>0.24</v>
      </c>
      <c r="C30" s="26">
        <f>0.02686+0.0012</f>
        <v>2.8059999999999998E-2</v>
      </c>
      <c r="D30" s="26">
        <f t="shared" si="0"/>
        <v>0.26805999999999996</v>
      </c>
      <c r="E30" s="26">
        <f t="shared" si="1"/>
        <v>0.45205999999999996</v>
      </c>
      <c r="F30" s="26"/>
      <c r="G30" s="26">
        <v>0.24</v>
      </c>
      <c r="H30" s="26">
        <f>0.02686+0.0012</f>
        <v>2.8059999999999998E-2</v>
      </c>
      <c r="I30" s="26">
        <f t="shared" si="2"/>
        <v>0.26805999999999996</v>
      </c>
      <c r="J30" s="26">
        <f t="shared" si="3"/>
        <v>0.51205999999999996</v>
      </c>
      <c r="K30" s="26"/>
      <c r="L30" s="14" t="s">
        <v>134</v>
      </c>
    </row>
    <row r="31" spans="1:12" ht="40" x14ac:dyDescent="0.2">
      <c r="A31" s="22" t="s">
        <v>95</v>
      </c>
      <c r="B31" s="26">
        <v>0.26300000000000001</v>
      </c>
      <c r="C31" s="23">
        <f>0.148+0.01</f>
        <v>0.158</v>
      </c>
      <c r="D31" s="26">
        <f t="shared" si="0"/>
        <v>0.42100000000000004</v>
      </c>
      <c r="E31" s="26">
        <f t="shared" si="1"/>
        <v>0.60499999999999998</v>
      </c>
      <c r="F31" s="26"/>
      <c r="G31" s="26">
        <v>0.26300000000000001</v>
      </c>
      <c r="H31" s="23">
        <f>0.16+0.01</f>
        <v>0.17</v>
      </c>
      <c r="I31" s="26">
        <f t="shared" si="2"/>
        <v>0.43300000000000005</v>
      </c>
      <c r="J31" s="26">
        <f t="shared" si="3"/>
        <v>0.67700000000000005</v>
      </c>
      <c r="K31" s="26"/>
      <c r="L31" s="14" t="s">
        <v>286</v>
      </c>
    </row>
    <row r="32" spans="1:12" ht="27" x14ac:dyDescent="0.2">
      <c r="A32" s="22" t="s">
        <v>10</v>
      </c>
      <c r="B32" s="26">
        <v>0.28499999999999998</v>
      </c>
      <c r="C32" s="23">
        <f>0.02+0.001</f>
        <v>2.1000000000000001E-2</v>
      </c>
      <c r="D32" s="26">
        <f t="shared" si="0"/>
        <v>0.30599999999999999</v>
      </c>
      <c r="E32" s="26">
        <f t="shared" si="1"/>
        <v>0.49</v>
      </c>
      <c r="F32" s="26"/>
      <c r="G32" s="26">
        <v>0.28499999999999998</v>
      </c>
      <c r="H32" s="23">
        <f>0.02+0.001</f>
        <v>2.1000000000000001E-2</v>
      </c>
      <c r="I32" s="26">
        <f t="shared" si="2"/>
        <v>0.30599999999999999</v>
      </c>
      <c r="J32" s="26">
        <f t="shared" si="3"/>
        <v>0.55000000000000004</v>
      </c>
      <c r="K32" s="26"/>
      <c r="L32" s="14" t="s">
        <v>287</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0.17</v>
      </c>
      <c r="C34" s="26">
        <v>4.1999999999999997E-3</v>
      </c>
      <c r="D34" s="26">
        <f t="shared" si="0"/>
        <v>0.17420000000000002</v>
      </c>
      <c r="E34" s="26">
        <f t="shared" si="1"/>
        <v>0.35820000000000002</v>
      </c>
      <c r="F34" s="26"/>
      <c r="G34" s="26">
        <v>0.17</v>
      </c>
      <c r="H34" s="26">
        <f>0.0007+0.0035</f>
        <v>4.1999999999999997E-3</v>
      </c>
      <c r="I34" s="26">
        <f t="shared" si="2"/>
        <v>0.17420000000000002</v>
      </c>
      <c r="J34" s="26">
        <f t="shared" si="3"/>
        <v>0.41820000000000002</v>
      </c>
      <c r="K34" s="26"/>
      <c r="L34" s="14" t="s">
        <v>135</v>
      </c>
    </row>
    <row r="35" spans="1:12" ht="27" x14ac:dyDescent="0.2">
      <c r="A35" s="22" t="s">
        <v>29</v>
      </c>
      <c r="B35" s="23">
        <v>0.32</v>
      </c>
      <c r="C35" s="26">
        <f>0.0075</f>
        <v>7.4999999999999997E-3</v>
      </c>
      <c r="D35" s="26">
        <f t="shared" si="0"/>
        <v>0.32750000000000001</v>
      </c>
      <c r="E35" s="26">
        <f t="shared" si="1"/>
        <v>0.51150000000000007</v>
      </c>
      <c r="F35" s="26"/>
      <c r="G35" s="23">
        <v>0.29449999999999998</v>
      </c>
      <c r="H35" s="26">
        <f>0.0075</f>
        <v>7.4999999999999997E-3</v>
      </c>
      <c r="I35" s="26">
        <f t="shared" si="2"/>
        <v>0.30199999999999999</v>
      </c>
      <c r="J35" s="26">
        <f t="shared" si="3"/>
        <v>0.54600000000000004</v>
      </c>
      <c r="K35" s="26"/>
      <c r="L35" s="14" t="s">
        <v>61</v>
      </c>
    </row>
    <row r="36" spans="1:12" ht="27" x14ac:dyDescent="0.2">
      <c r="A36" s="22" t="s">
        <v>15</v>
      </c>
      <c r="B36" s="23">
        <v>0.29699999999999999</v>
      </c>
      <c r="C36" s="26">
        <f>0.009</f>
        <v>8.9999999999999993E-3</v>
      </c>
      <c r="D36" s="26">
        <f t="shared" si="0"/>
        <v>0.30599999999999999</v>
      </c>
      <c r="E36" s="26">
        <f t="shared" si="1"/>
        <v>0.49</v>
      </c>
      <c r="F36" s="26"/>
      <c r="G36" s="23">
        <v>0.29699999999999999</v>
      </c>
      <c r="H36" s="26">
        <f>0.003</f>
        <v>3.0000000000000001E-3</v>
      </c>
      <c r="I36" s="26">
        <f t="shared" si="2"/>
        <v>0.3</v>
      </c>
      <c r="J36" s="26">
        <f t="shared" si="3"/>
        <v>0.54400000000000004</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100</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0.309+0.0005</f>
        <v>0.3095</v>
      </c>
      <c r="D39" s="26">
        <f t="shared" si="0"/>
        <v>0.41449999999999998</v>
      </c>
      <c r="E39" s="26">
        <f t="shared" si="1"/>
        <v>0.59850000000000003</v>
      </c>
      <c r="F39" s="26"/>
      <c r="G39" s="26">
        <v>0.13500000000000001</v>
      </c>
      <c r="H39" s="26">
        <f>0.35+0.0005</f>
        <v>0.35049999999999998</v>
      </c>
      <c r="I39" s="26">
        <f t="shared" si="2"/>
        <v>0.48549999999999999</v>
      </c>
      <c r="J39" s="26">
        <f t="shared" si="3"/>
        <v>0.72950000000000004</v>
      </c>
      <c r="K39" s="26"/>
      <c r="L39" s="14" t="s">
        <v>136</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14" t="s">
        <v>97</v>
      </c>
      <c r="B41" s="26">
        <v>0.08</v>
      </c>
      <c r="C41" s="26">
        <f>0.177+0.0005+0.08+0.003274</f>
        <v>0.26077400000000001</v>
      </c>
      <c r="D41" s="26">
        <f t="shared" si="0"/>
        <v>0.34077400000000002</v>
      </c>
      <c r="E41" s="26">
        <f t="shared" si="1"/>
        <v>0.52477400000000007</v>
      </c>
      <c r="F41" s="26"/>
      <c r="G41" s="26">
        <v>0.08</v>
      </c>
      <c r="H41" s="26">
        <f>0.1595+0.08+0.003274</f>
        <v>0.24277399999999999</v>
      </c>
      <c r="I41" s="26">
        <f t="shared" si="2"/>
        <v>0.32277400000000001</v>
      </c>
      <c r="J41" s="26">
        <f t="shared" si="3"/>
        <v>0.566774</v>
      </c>
      <c r="K41" s="26"/>
      <c r="L41" s="14" t="s">
        <v>137</v>
      </c>
    </row>
    <row r="42" spans="1:12" x14ac:dyDescent="0.2">
      <c r="A42" s="14" t="s">
        <v>17</v>
      </c>
      <c r="B42" s="26">
        <v>0.36199999999999999</v>
      </c>
      <c r="C42" s="26">
        <f>0.0025</f>
        <v>2.5000000000000001E-3</v>
      </c>
      <c r="D42" s="26">
        <f t="shared" si="0"/>
        <v>0.36449999999999999</v>
      </c>
      <c r="E42" s="26">
        <f t="shared" si="1"/>
        <v>0.54849999999999999</v>
      </c>
      <c r="F42" s="26"/>
      <c r="G42" s="26">
        <v>0.36199999999999999</v>
      </c>
      <c r="H42" s="26">
        <f>0.0025</f>
        <v>2.5000000000000001E-3</v>
      </c>
      <c r="I42" s="26">
        <f t="shared" si="2"/>
        <v>0.36449999999999999</v>
      </c>
      <c r="J42" s="26">
        <f t="shared" si="3"/>
        <v>0.60850000000000004</v>
      </c>
      <c r="K42" s="26"/>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26"/>
      <c r="L43" s="14" t="s">
        <v>64</v>
      </c>
    </row>
    <row r="44" spans="1:12" x14ac:dyDescent="0.2">
      <c r="A44" s="22" t="s">
        <v>23</v>
      </c>
      <c r="B44" s="23">
        <v>0.38500000000000001</v>
      </c>
      <c r="C44" s="26"/>
      <c r="D44" s="26">
        <f t="shared" si="0"/>
        <v>0.38500000000000001</v>
      </c>
      <c r="E44" s="26">
        <f t="shared" si="1"/>
        <v>0.56899999999999995</v>
      </c>
      <c r="F44" s="26"/>
      <c r="G44" s="23">
        <v>0.47</v>
      </c>
      <c r="H44" s="26"/>
      <c r="I44" s="26">
        <f t="shared" si="2"/>
        <v>0.47</v>
      </c>
      <c r="J44" s="26">
        <f t="shared" si="3"/>
        <v>0.71399999999999997</v>
      </c>
      <c r="K44" s="26"/>
      <c r="L44" s="14"/>
    </row>
    <row r="45" spans="1:12" ht="27" x14ac:dyDescent="0.2">
      <c r="A45" s="14" t="s">
        <v>18</v>
      </c>
      <c r="B45" s="26">
        <v>0.19</v>
      </c>
      <c r="C45" s="26">
        <f>0.01</f>
        <v>0.01</v>
      </c>
      <c r="D45" s="26">
        <f t="shared" si="0"/>
        <v>0.2</v>
      </c>
      <c r="E45" s="26">
        <f t="shared" si="1"/>
        <v>0.38400000000000001</v>
      </c>
      <c r="F45" s="26"/>
      <c r="G45" s="26">
        <v>0.19</v>
      </c>
      <c r="H45" s="26">
        <f>0.01</f>
        <v>0.01</v>
      </c>
      <c r="I45" s="26">
        <f t="shared" si="2"/>
        <v>0.2</v>
      </c>
      <c r="J45" s="26">
        <f t="shared" si="3"/>
        <v>0.44400000000000006</v>
      </c>
      <c r="K45" s="26"/>
      <c r="L45" s="14" t="s">
        <v>65</v>
      </c>
    </row>
    <row r="46" spans="1:12" ht="27" x14ac:dyDescent="0.2">
      <c r="A46" s="14" t="s">
        <v>31</v>
      </c>
      <c r="B46" s="26">
        <v>0.34</v>
      </c>
      <c r="C46" s="26"/>
      <c r="D46" s="26">
        <f t="shared" si="0"/>
        <v>0.34</v>
      </c>
      <c r="E46" s="26">
        <f t="shared" si="1"/>
        <v>0.52400000000000002</v>
      </c>
      <c r="F46" s="26"/>
      <c r="G46" s="26">
        <v>0.34</v>
      </c>
      <c r="H46" s="26"/>
      <c r="I46" s="26">
        <f t="shared" si="2"/>
        <v>0.34</v>
      </c>
      <c r="J46" s="26">
        <f t="shared" si="3"/>
        <v>0.58400000000000007</v>
      </c>
      <c r="K46" s="26"/>
      <c r="L46" s="14" t="s">
        <v>66</v>
      </c>
    </row>
    <row r="47" spans="1:12" ht="37.5" customHeight="1" x14ac:dyDescent="0.2">
      <c r="A47" s="14" t="s">
        <v>12</v>
      </c>
      <c r="B47" s="26">
        <v>0.57599999999999996</v>
      </c>
      <c r="C47" s="26">
        <f>0.011</f>
        <v>1.0999999999999999E-2</v>
      </c>
      <c r="D47" s="26">
        <f t="shared" si="0"/>
        <v>0.58699999999999997</v>
      </c>
      <c r="E47" s="26">
        <f t="shared" si="1"/>
        <v>0.77099999999999991</v>
      </c>
      <c r="F47" s="26"/>
      <c r="G47" s="26">
        <v>0.74099999999999999</v>
      </c>
      <c r="H47" s="26">
        <f>0.011</f>
        <v>1.0999999999999999E-2</v>
      </c>
      <c r="I47" s="26">
        <f t="shared" si="2"/>
        <v>0.752</v>
      </c>
      <c r="J47" s="26">
        <f t="shared" si="3"/>
        <v>0.996</v>
      </c>
      <c r="K47" s="26"/>
      <c r="L47" s="14" t="s">
        <v>103</v>
      </c>
    </row>
    <row r="48" spans="1:12" ht="26.25" customHeight="1" x14ac:dyDescent="0.2">
      <c r="A48" s="22" t="s">
        <v>14</v>
      </c>
      <c r="B48" s="23">
        <v>0.34</v>
      </c>
      <c r="C48" s="26">
        <f>0.01+0.0012</f>
        <v>1.12E-2</v>
      </c>
      <c r="D48" s="26">
        <f t="shared" si="0"/>
        <v>0.35120000000000001</v>
      </c>
      <c r="E48" s="26">
        <f t="shared" si="1"/>
        <v>0.53520000000000001</v>
      </c>
      <c r="F48" s="26"/>
      <c r="G48" s="23">
        <v>0.34</v>
      </c>
      <c r="H48" s="26">
        <f>0.01+0.0012</f>
        <v>1.12E-2</v>
      </c>
      <c r="I48" s="26">
        <f t="shared" si="2"/>
        <v>0.35120000000000001</v>
      </c>
      <c r="J48" s="26">
        <f t="shared" si="3"/>
        <v>0.59520000000000006</v>
      </c>
      <c r="K48" s="26"/>
      <c r="L48" s="14" t="s">
        <v>83</v>
      </c>
    </row>
    <row r="49" spans="1:12" s="29" customFormat="1" x14ac:dyDescent="0.2">
      <c r="A49" s="22" t="s">
        <v>119</v>
      </c>
      <c r="B49" s="23">
        <v>0.22</v>
      </c>
      <c r="C49" s="26">
        <f>0.0025+0.005</f>
        <v>7.4999999999999997E-3</v>
      </c>
      <c r="D49" s="26">
        <f t="shared" si="0"/>
        <v>0.22750000000000001</v>
      </c>
      <c r="E49" s="26">
        <f t="shared" si="1"/>
        <v>0.41149999999999998</v>
      </c>
      <c r="F49" s="26"/>
      <c r="G49" s="23">
        <v>0.22</v>
      </c>
      <c r="H49" s="26">
        <f>0.0025+0.005</f>
        <v>7.4999999999999997E-3</v>
      </c>
      <c r="I49" s="26">
        <f t="shared" si="2"/>
        <v>0.22750000000000001</v>
      </c>
      <c r="J49" s="26">
        <f t="shared" si="3"/>
        <v>0.47150000000000003</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26"/>
      <c r="L50" s="14" t="s">
        <v>68</v>
      </c>
    </row>
    <row r="51" spans="1:12" x14ac:dyDescent="0.2">
      <c r="A51" s="22" t="s">
        <v>19</v>
      </c>
      <c r="B51" s="23">
        <v>0.26</v>
      </c>
      <c r="C51" s="26">
        <f>0.01+0.004</f>
        <v>1.4E-2</v>
      </c>
      <c r="D51" s="26">
        <f t="shared" si="0"/>
        <v>0.27400000000000002</v>
      </c>
      <c r="E51" s="26">
        <f t="shared" si="1"/>
        <v>0.45800000000000002</v>
      </c>
      <c r="F51" s="26"/>
      <c r="G51" s="23">
        <v>0.27</v>
      </c>
      <c r="H51" s="26">
        <f>0.01+0.004</f>
        <v>1.4E-2</v>
      </c>
      <c r="I51" s="26">
        <f t="shared" si="2"/>
        <v>0.28400000000000003</v>
      </c>
      <c r="J51" s="26">
        <f t="shared" si="3"/>
        <v>0.52800000000000002</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26"/>
      <c r="L52" s="14" t="s">
        <v>70</v>
      </c>
    </row>
    <row r="53" spans="1:12" x14ac:dyDescent="0.2">
      <c r="A53" s="14" t="s">
        <v>25</v>
      </c>
      <c r="B53" s="26">
        <v>0.3</v>
      </c>
      <c r="C53" s="26">
        <f>0.0065</f>
        <v>6.4999999999999997E-3</v>
      </c>
      <c r="D53" s="26">
        <f t="shared" si="0"/>
        <v>0.30649999999999999</v>
      </c>
      <c r="E53" s="26">
        <f t="shared" si="1"/>
        <v>0.49049999999999999</v>
      </c>
      <c r="F53" s="26"/>
      <c r="G53" s="26">
        <v>0.3</v>
      </c>
      <c r="H53" s="26">
        <f>0.0065</f>
        <v>6.4999999999999997E-3</v>
      </c>
      <c r="I53" s="26">
        <f t="shared" si="2"/>
        <v>0.30649999999999999</v>
      </c>
      <c r="J53" s="26">
        <f t="shared" si="3"/>
        <v>0.55049999999999999</v>
      </c>
      <c r="K53" s="26"/>
      <c r="L53" s="14" t="s">
        <v>71</v>
      </c>
    </row>
    <row r="54" spans="1:12" ht="40" x14ac:dyDescent="0.2">
      <c r="A54" s="22" t="s">
        <v>75</v>
      </c>
      <c r="B54" s="26">
        <v>0.121</v>
      </c>
      <c r="C54" s="23">
        <f>0.0451+0.134+0.01</f>
        <v>0.18910000000000002</v>
      </c>
      <c r="D54" s="26">
        <f t="shared" si="0"/>
        <v>0.31010000000000004</v>
      </c>
      <c r="E54" s="26">
        <f t="shared" si="1"/>
        <v>0.49410000000000004</v>
      </c>
      <c r="F54" s="26"/>
      <c r="G54" s="26">
        <v>0.28000000000000003</v>
      </c>
      <c r="H54" s="26">
        <f>0.01+0.03</f>
        <v>0.04</v>
      </c>
      <c r="I54" s="26">
        <f t="shared" si="2"/>
        <v>0.32</v>
      </c>
      <c r="J54" s="26">
        <f t="shared" si="3"/>
        <v>0.56400000000000006</v>
      </c>
      <c r="K54" s="26"/>
      <c r="L54" s="14" t="s">
        <v>288</v>
      </c>
    </row>
    <row r="55" spans="1:12" ht="27" x14ac:dyDescent="0.2">
      <c r="A55" s="14" t="s">
        <v>98</v>
      </c>
      <c r="B55" s="26">
        <v>0.16200000000000001</v>
      </c>
      <c r="C55" s="26">
        <f>0.006</f>
        <v>6.0000000000000001E-3</v>
      </c>
      <c r="D55" s="26">
        <f t="shared" si="0"/>
        <v>0.16800000000000001</v>
      </c>
      <c r="E55" s="26">
        <f t="shared" si="1"/>
        <v>0.35199999999999998</v>
      </c>
      <c r="F55" s="26"/>
      <c r="G55" s="26">
        <v>0.20199999999999999</v>
      </c>
      <c r="H55" s="26">
        <f>0.006</f>
        <v>6.0000000000000001E-3</v>
      </c>
      <c r="I55" s="26">
        <f t="shared" si="2"/>
        <v>0.20799999999999999</v>
      </c>
      <c r="J55" s="26">
        <f t="shared" si="3"/>
        <v>0.45200000000000001</v>
      </c>
      <c r="K55" s="26"/>
      <c r="L55" s="14" t="s">
        <v>84</v>
      </c>
    </row>
    <row r="56" spans="1:12" ht="40" x14ac:dyDescent="0.2">
      <c r="A56" s="22" t="s">
        <v>32</v>
      </c>
      <c r="B56" s="26">
        <v>0.49399999999999999</v>
      </c>
      <c r="C56" s="23">
        <f>0.0009523+0.000238+0.02593</f>
        <v>2.71203E-2</v>
      </c>
      <c r="D56" s="26">
        <f t="shared" si="0"/>
        <v>0.52112029999999998</v>
      </c>
      <c r="E56" s="26">
        <f t="shared" si="1"/>
        <v>0.70512029999999992</v>
      </c>
      <c r="F56" s="26"/>
      <c r="G56" s="26">
        <v>0.49399999999999999</v>
      </c>
      <c r="H56" s="23">
        <f>0.0009523+0.000238+0.02595</f>
        <v>2.7140299999999999E-2</v>
      </c>
      <c r="I56" s="26">
        <f t="shared" si="2"/>
        <v>0.5211403</v>
      </c>
      <c r="J56" s="26">
        <f t="shared" si="3"/>
        <v>0.7651403</v>
      </c>
      <c r="K56" s="26"/>
      <c r="L56" s="14" t="s">
        <v>289</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26"/>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26"/>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28"/>
      <c r="L59" s="27" t="s">
        <v>73</v>
      </c>
    </row>
    <row r="60" spans="1:12" x14ac:dyDescent="0.2">
      <c r="A60" s="14" t="s">
        <v>49</v>
      </c>
      <c r="B60" s="26">
        <v>0.35</v>
      </c>
      <c r="C60" s="26"/>
      <c r="D60" s="26">
        <f t="shared" si="0"/>
        <v>0.35</v>
      </c>
      <c r="E60" s="26"/>
      <c r="F60" s="26"/>
      <c r="G60" s="26">
        <v>0.315</v>
      </c>
      <c r="H60" s="26">
        <f>0.035</f>
        <v>3.5000000000000003E-2</v>
      </c>
      <c r="I60" s="26">
        <f t="shared" si="2"/>
        <v>0.35</v>
      </c>
      <c r="J60" s="26"/>
      <c r="K60" s="26"/>
      <c r="L60" s="14" t="s">
        <v>85</v>
      </c>
    </row>
    <row r="61" spans="1:12" ht="27" x14ac:dyDescent="0.2">
      <c r="A61" s="14" t="s">
        <v>50</v>
      </c>
      <c r="B61" s="26">
        <v>0.15</v>
      </c>
      <c r="C61" s="26">
        <f>0.04</f>
        <v>0.04</v>
      </c>
      <c r="D61" s="26">
        <f t="shared" si="0"/>
        <v>0.19</v>
      </c>
      <c r="E61" s="26"/>
      <c r="F61" s="26"/>
      <c r="G61" s="26">
        <v>0.14000000000000001</v>
      </c>
      <c r="H61" s="26">
        <f>0.04</f>
        <v>0.04</v>
      </c>
      <c r="I61" s="26">
        <f t="shared" si="2"/>
        <v>0.18000000000000002</v>
      </c>
      <c r="J61" s="26"/>
      <c r="K61" s="26"/>
      <c r="L61" s="14" t="s">
        <v>74</v>
      </c>
    </row>
    <row r="62" spans="1:12" ht="15" customHeight="1" x14ac:dyDescent="0.2">
      <c r="A62" s="14" t="s">
        <v>51</v>
      </c>
      <c r="B62" s="26">
        <v>0.15</v>
      </c>
      <c r="C62" s="26"/>
      <c r="D62" s="26">
        <f t="shared" si="0"/>
        <v>0.15</v>
      </c>
      <c r="E62" s="26"/>
      <c r="F62" s="26"/>
      <c r="G62" s="26">
        <v>0.15</v>
      </c>
      <c r="H62" s="26"/>
      <c r="I62" s="26">
        <f t="shared" si="2"/>
        <v>0.15</v>
      </c>
      <c r="J62" s="26"/>
      <c r="K62" s="26"/>
      <c r="L62" s="14" t="s">
        <v>85</v>
      </c>
    </row>
    <row r="63" spans="1:12" ht="40" x14ac:dyDescent="0.2">
      <c r="A63" s="14" t="s">
        <v>52</v>
      </c>
      <c r="B63" s="26">
        <v>0.16</v>
      </c>
      <c r="C63" s="26">
        <v>0.36899999999999999</v>
      </c>
      <c r="D63" s="26">
        <f t="shared" si="0"/>
        <v>0.52900000000000003</v>
      </c>
      <c r="E63" s="26"/>
      <c r="F63" s="26"/>
      <c r="G63" s="26">
        <v>0.08</v>
      </c>
      <c r="H63" s="26">
        <v>0.22</v>
      </c>
      <c r="I63" s="26">
        <f t="shared" si="2"/>
        <v>0.3</v>
      </c>
      <c r="J63" s="26"/>
      <c r="K63" s="26"/>
      <c r="L63" s="14" t="s">
        <v>290</v>
      </c>
    </row>
    <row r="64" spans="1:12" ht="16" thickBot="1" x14ac:dyDescent="0.25">
      <c r="A64" s="14" t="s">
        <v>81</v>
      </c>
      <c r="B64" s="26">
        <v>0.14000000000000001</v>
      </c>
      <c r="C64" s="26"/>
      <c r="D64" s="26">
        <f t="shared" si="0"/>
        <v>0.14000000000000001</v>
      </c>
      <c r="E64" s="26"/>
      <c r="F64" s="26"/>
      <c r="G64" s="26">
        <v>0.14000000000000001</v>
      </c>
      <c r="H64" s="26"/>
      <c r="I64" s="26">
        <f t="shared" si="2"/>
        <v>0.14000000000000001</v>
      </c>
      <c r="J64" s="26"/>
      <c r="K64" s="26"/>
      <c r="L64" s="14" t="s">
        <v>85</v>
      </c>
    </row>
    <row r="65" spans="1:12" ht="67.5" customHeight="1" x14ac:dyDescent="0.2">
      <c r="A65" s="92" t="s">
        <v>291</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700-000000000000}"/>
  </hyperlinks>
  <pageMargins left="0.17" right="0.17" top="0.4" bottom="0.38" header="0.3" footer="0.3"/>
  <pageSetup paperSize="5"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115</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0.24403921568627454</v>
      </c>
      <c r="C8" s="24">
        <f>AVERAGE(C9:C59)</f>
        <v>4.9568338636363632E-2</v>
      </c>
      <c r="D8" s="32">
        <f>AVERAGE(D9:D59)</f>
        <v>0.28680405686274502</v>
      </c>
      <c r="E8" s="32">
        <f>AVERAGE(E9:E59)</f>
        <v>0.47080405686274529</v>
      </c>
      <c r="F8" s="3"/>
      <c r="G8" s="32">
        <f>AVERAGE(G9:G59)</f>
        <v>0.25766666666666665</v>
      </c>
      <c r="H8" s="32">
        <f>AVERAGE(H9:H59)</f>
        <v>5.2854651111111095E-2</v>
      </c>
      <c r="I8" s="32">
        <f>AVERAGE(I9:I59)</f>
        <v>0.30430312352941175</v>
      </c>
      <c r="J8" s="21">
        <f>AVERAGE(J9:J59)</f>
        <v>0.54830312352941191</v>
      </c>
      <c r="K8" s="32"/>
      <c r="L8" s="11"/>
    </row>
    <row r="9" spans="1:12" ht="40" x14ac:dyDescent="0.2">
      <c r="A9" s="14" t="s">
        <v>33</v>
      </c>
      <c r="B9" s="26">
        <v>0.18</v>
      </c>
      <c r="C9" s="26">
        <v>0.01</v>
      </c>
      <c r="D9" s="26">
        <f t="shared" ref="D9:D40" si="0">$B9+$C9</f>
        <v>0.19</v>
      </c>
      <c r="E9" s="26">
        <f t="shared" ref="E9:E40" si="1">$D9+$E$4</f>
        <v>0.374</v>
      </c>
      <c r="F9" s="26"/>
      <c r="G9" s="26">
        <v>0.19</v>
      </c>
      <c r="H9" s="26">
        <f>0.0075+0.01</f>
        <v>1.7500000000000002E-2</v>
      </c>
      <c r="I9" s="26">
        <f t="shared" ref="I9:I40" si="2">$G9+$H9</f>
        <v>0.20750000000000002</v>
      </c>
      <c r="J9" s="26">
        <f t="shared" ref="J9:J40" si="3">$I9+$J$4</f>
        <v>0.45150000000000001</v>
      </c>
      <c r="K9" s="26"/>
      <c r="L9" s="14" t="s">
        <v>114</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0.215</v>
      </c>
      <c r="C12" s="26">
        <f>0.003</f>
        <v>3.0000000000000001E-3</v>
      </c>
      <c r="D12" s="26">
        <f t="shared" si="0"/>
        <v>0.218</v>
      </c>
      <c r="E12" s="26">
        <f t="shared" si="1"/>
        <v>0.40200000000000002</v>
      </c>
      <c r="F12" s="26"/>
      <c r="G12" s="26">
        <v>0.22500000000000001</v>
      </c>
      <c r="H12" s="26">
        <f>0.003</f>
        <v>3.0000000000000001E-3</v>
      </c>
      <c r="I12" s="26">
        <f t="shared" si="2"/>
        <v>0.22800000000000001</v>
      </c>
      <c r="J12" s="26">
        <f t="shared" si="3"/>
        <v>0.47200000000000003</v>
      </c>
      <c r="K12" s="26"/>
      <c r="L12" s="14" t="s">
        <v>55</v>
      </c>
    </row>
    <row r="13" spans="1:12" ht="52" x14ac:dyDescent="0.2">
      <c r="A13" s="14" t="s">
        <v>117</v>
      </c>
      <c r="B13" s="26">
        <v>0.41699999999999998</v>
      </c>
      <c r="C13" s="26">
        <f>0.06+0.02+0.00155</f>
        <v>8.1549999999999997E-2</v>
      </c>
      <c r="D13" s="26">
        <f t="shared" si="0"/>
        <v>0.49854999999999999</v>
      </c>
      <c r="E13" s="26">
        <f t="shared" si="1"/>
        <v>0.68254999999999999</v>
      </c>
      <c r="F13" s="26"/>
      <c r="G13" s="26">
        <v>0.36</v>
      </c>
      <c r="H13" s="26">
        <f>0.31+0.02+0.00155</f>
        <v>0.33155000000000001</v>
      </c>
      <c r="I13" s="26">
        <f t="shared" si="2"/>
        <v>0.69155</v>
      </c>
      <c r="J13" s="26">
        <f t="shared" si="3"/>
        <v>0.93554999999999999</v>
      </c>
      <c r="K13" s="26"/>
      <c r="L13" s="15" t="s">
        <v>120</v>
      </c>
    </row>
    <row r="14" spans="1:12" ht="27" x14ac:dyDescent="0.2">
      <c r="A14" s="22" t="s">
        <v>1</v>
      </c>
      <c r="B14" s="26">
        <v>0.22</v>
      </c>
      <c r="C14" s="23">
        <f>0.009375</f>
        <v>9.3749999999999997E-3</v>
      </c>
      <c r="D14" s="26">
        <f t="shared" si="0"/>
        <v>0.229375</v>
      </c>
      <c r="E14" s="26">
        <f t="shared" si="1"/>
        <v>0.41337499999999999</v>
      </c>
      <c r="F14" s="26"/>
      <c r="G14" s="26">
        <v>0.20499999999999999</v>
      </c>
      <c r="H14" s="23">
        <v>9.3749999999999997E-3</v>
      </c>
      <c r="I14" s="26">
        <f t="shared" si="2"/>
        <v>0.21437499999999998</v>
      </c>
      <c r="J14" s="26">
        <f t="shared" si="3"/>
        <v>0.45837499999999998</v>
      </c>
      <c r="K14" s="26"/>
      <c r="L14" s="14" t="s">
        <v>121</v>
      </c>
    </row>
    <row r="15" spans="1:12" ht="24.75" customHeight="1" x14ac:dyDescent="0.2">
      <c r="A15" s="22" t="s">
        <v>91</v>
      </c>
      <c r="B15" s="26">
        <v>0.25</v>
      </c>
      <c r="C15" s="26"/>
      <c r="D15" s="26">
        <f t="shared" si="0"/>
        <v>0.25</v>
      </c>
      <c r="E15" s="26">
        <f t="shared" si="1"/>
        <v>0.434</v>
      </c>
      <c r="F15" s="26"/>
      <c r="G15" s="23">
        <v>0.28999999999999998</v>
      </c>
      <c r="H15" s="23">
        <v>0.14899999999999999</v>
      </c>
      <c r="I15" s="26">
        <f t="shared" si="2"/>
        <v>0.43899999999999995</v>
      </c>
      <c r="J15" s="26">
        <f t="shared" si="3"/>
        <v>0.68299999999999994</v>
      </c>
      <c r="K15" s="26"/>
      <c r="L15" s="14" t="s">
        <v>56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26"/>
      <c r="L17" s="14"/>
    </row>
    <row r="18" spans="1:12" ht="66" x14ac:dyDescent="0.2">
      <c r="A18" s="22" t="s">
        <v>87</v>
      </c>
      <c r="B18" s="26">
        <v>0.04</v>
      </c>
      <c r="C18" s="23">
        <f>0.141+0.00125+0.06+0.078+0.00048+0.00119+0.01904</f>
        <v>0.30096000000000001</v>
      </c>
      <c r="D18" s="26">
        <f t="shared" si="0"/>
        <v>0.34095999999999999</v>
      </c>
      <c r="E18" s="26">
        <f t="shared" si="1"/>
        <v>0.52495999999999998</v>
      </c>
      <c r="F18" s="26"/>
      <c r="G18" s="26">
        <v>0.04</v>
      </c>
      <c r="H18" s="23">
        <f>0.141+0.01+0.06+0.078+0.00048+0.00119+0.01904</f>
        <v>0.30970999999999999</v>
      </c>
      <c r="I18" s="26">
        <f t="shared" si="2"/>
        <v>0.34970999999999997</v>
      </c>
      <c r="J18" s="26">
        <f t="shared" si="3"/>
        <v>0.59370999999999996</v>
      </c>
      <c r="K18" s="26"/>
      <c r="L18" s="14" t="s">
        <v>108</v>
      </c>
    </row>
    <row r="19" spans="1:12" ht="40" x14ac:dyDescent="0.2">
      <c r="A19" s="22" t="s">
        <v>88</v>
      </c>
      <c r="B19" s="23">
        <v>0.27500000000000002</v>
      </c>
      <c r="C19" s="26">
        <f>0.005</f>
        <v>5.0000000000000001E-3</v>
      </c>
      <c r="D19" s="26">
        <f t="shared" si="0"/>
        <v>0.28000000000000003</v>
      </c>
      <c r="E19" s="26">
        <f t="shared" si="1"/>
        <v>0.46400000000000002</v>
      </c>
      <c r="F19" s="26"/>
      <c r="G19" s="23">
        <v>0.308</v>
      </c>
      <c r="H19" s="26">
        <f>0.005</f>
        <v>5.0000000000000001E-3</v>
      </c>
      <c r="I19" s="26">
        <f t="shared" si="2"/>
        <v>0.313</v>
      </c>
      <c r="J19" s="26">
        <f t="shared" si="3"/>
        <v>0.55700000000000005</v>
      </c>
      <c r="K19" s="26"/>
      <c r="L19" s="14" t="s">
        <v>112</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122</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22" t="s">
        <v>92</v>
      </c>
      <c r="B22" s="26">
        <v>0.19</v>
      </c>
      <c r="C22" s="23">
        <f>0.16+0.003+0.008</f>
        <v>0.17100000000000001</v>
      </c>
      <c r="D22" s="26">
        <f t="shared" si="0"/>
        <v>0.36099999999999999</v>
      </c>
      <c r="E22" s="26">
        <f t="shared" si="1"/>
        <v>0.54499999999999993</v>
      </c>
      <c r="F22" s="26"/>
      <c r="G22" s="26">
        <v>0.215</v>
      </c>
      <c r="H22" s="23">
        <f>0.16+0.003+0.008</f>
        <v>0.17100000000000001</v>
      </c>
      <c r="I22" s="26">
        <f t="shared" si="2"/>
        <v>0.38600000000000001</v>
      </c>
      <c r="J22" s="26">
        <f t="shared" si="3"/>
        <v>0.63</v>
      </c>
      <c r="K22" s="26"/>
      <c r="L22" s="14" t="s">
        <v>124</v>
      </c>
    </row>
    <row r="23" spans="1:12" ht="72.75" customHeight="1" x14ac:dyDescent="0.2">
      <c r="A23" s="22" t="s">
        <v>93</v>
      </c>
      <c r="B23" s="26">
        <v>0.28999999999999998</v>
      </c>
      <c r="C23" s="23">
        <f>0.12+0.01</f>
        <v>0.13</v>
      </c>
      <c r="D23" s="26">
        <f t="shared" si="0"/>
        <v>0.42</v>
      </c>
      <c r="E23" s="26">
        <f t="shared" si="1"/>
        <v>0.60399999999999998</v>
      </c>
      <c r="F23" s="26"/>
      <c r="G23" s="26">
        <v>0.48</v>
      </c>
      <c r="H23" s="26">
        <f>0.01</f>
        <v>0.01</v>
      </c>
      <c r="I23" s="26">
        <f t="shared" si="2"/>
        <v>0.49</v>
      </c>
      <c r="J23" s="26">
        <f t="shared" si="3"/>
        <v>0.73399999999999999</v>
      </c>
      <c r="K23" s="26"/>
      <c r="L23" s="14" t="s">
        <v>125</v>
      </c>
    </row>
    <row r="24" spans="1:12" ht="27" x14ac:dyDescent="0.2">
      <c r="A24" s="14" t="s">
        <v>94</v>
      </c>
      <c r="B24" s="26">
        <v>0.307</v>
      </c>
      <c r="C24" s="26"/>
      <c r="D24" s="26">
        <f t="shared" si="0"/>
        <v>0.307</v>
      </c>
      <c r="E24" s="26">
        <f t="shared" si="1"/>
        <v>0.49099999999999999</v>
      </c>
      <c r="F24" s="26"/>
      <c r="G24" s="26">
        <v>0.32500000000000001</v>
      </c>
      <c r="H24" s="26"/>
      <c r="I24" s="26">
        <f t="shared" si="2"/>
        <v>0.32500000000000001</v>
      </c>
      <c r="J24" s="26">
        <f t="shared" si="3"/>
        <v>0.56900000000000006</v>
      </c>
      <c r="K24" s="26"/>
      <c r="L24" s="14" t="s">
        <v>107</v>
      </c>
    </row>
    <row r="25" spans="1:12" ht="27" x14ac:dyDescent="0.2">
      <c r="A25" s="14" t="s">
        <v>5</v>
      </c>
      <c r="B25" s="26">
        <v>0.24</v>
      </c>
      <c r="C25" s="26">
        <f>0.01+0.0003</f>
        <v>1.03E-2</v>
      </c>
      <c r="D25" s="26">
        <f t="shared" si="0"/>
        <v>0.25029999999999997</v>
      </c>
      <c r="E25" s="26">
        <f t="shared" si="1"/>
        <v>0.43429999999999996</v>
      </c>
      <c r="F25" s="26"/>
      <c r="G25" s="26">
        <v>0.26</v>
      </c>
      <c r="H25" s="26">
        <f>0.01+0.0003</f>
        <v>1.03E-2</v>
      </c>
      <c r="I25" s="26">
        <f t="shared" si="2"/>
        <v>0.27029999999999998</v>
      </c>
      <c r="J25" s="26">
        <f t="shared" si="3"/>
        <v>0.51429999999999998</v>
      </c>
      <c r="K25" s="26"/>
      <c r="L25" s="14" t="s">
        <v>109</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14" t="s">
        <v>9</v>
      </c>
      <c r="B29" s="26">
        <v>0.25600000000000001</v>
      </c>
      <c r="C29" s="26">
        <f>0.097+0.0019</f>
        <v>9.8900000000000002E-2</v>
      </c>
      <c r="D29" s="26">
        <f t="shared" si="0"/>
        <v>0.35489999999999999</v>
      </c>
      <c r="E29" s="26">
        <f t="shared" si="1"/>
        <v>0.53889999999999993</v>
      </c>
      <c r="F29" s="26"/>
      <c r="G29" s="26">
        <v>0.26350000000000001</v>
      </c>
      <c r="H29" s="26">
        <f>0.097+0.0019</f>
        <v>9.8900000000000002E-2</v>
      </c>
      <c r="I29" s="26">
        <f t="shared" si="2"/>
        <v>0.3624</v>
      </c>
      <c r="J29" s="26">
        <f t="shared" si="3"/>
        <v>0.60640000000000005</v>
      </c>
      <c r="K29" s="26"/>
      <c r="L29" s="14" t="s">
        <v>123</v>
      </c>
    </row>
    <row r="30" spans="1:12" ht="40" x14ac:dyDescent="0.2">
      <c r="A30" s="22" t="s">
        <v>36</v>
      </c>
      <c r="B30" s="26">
        <v>0.24</v>
      </c>
      <c r="C30" s="23">
        <f>0.02686+0.0012</f>
        <v>2.8059999999999998E-2</v>
      </c>
      <c r="D30" s="26">
        <f t="shared" si="0"/>
        <v>0.26805999999999996</v>
      </c>
      <c r="E30" s="26">
        <f t="shared" si="1"/>
        <v>0.45205999999999996</v>
      </c>
      <c r="F30" s="26"/>
      <c r="G30" s="26">
        <v>0.24</v>
      </c>
      <c r="H30" s="23">
        <f>0.02686+0.0012</f>
        <v>2.8059999999999998E-2</v>
      </c>
      <c r="I30" s="26">
        <f t="shared" si="2"/>
        <v>0.26805999999999996</v>
      </c>
      <c r="J30" s="26">
        <f t="shared" si="3"/>
        <v>0.51205999999999996</v>
      </c>
      <c r="K30" s="26"/>
      <c r="L30" s="14" t="s">
        <v>126</v>
      </c>
    </row>
    <row r="31" spans="1:12" ht="40" x14ac:dyDescent="0.2">
      <c r="A31" s="22" t="s">
        <v>95</v>
      </c>
      <c r="B31" s="26">
        <v>0.26300000000000001</v>
      </c>
      <c r="C31" s="23">
        <f>0.129+0.01</f>
        <v>0.13900000000000001</v>
      </c>
      <c r="D31" s="26">
        <f t="shared" si="0"/>
        <v>0.40200000000000002</v>
      </c>
      <c r="E31" s="26">
        <f t="shared" si="1"/>
        <v>0.58600000000000008</v>
      </c>
      <c r="F31" s="26"/>
      <c r="G31" s="26">
        <v>0.26300000000000001</v>
      </c>
      <c r="H31" s="23">
        <f>0.173+0.01</f>
        <v>0.183</v>
      </c>
      <c r="I31" s="26">
        <f t="shared" si="2"/>
        <v>0.44600000000000001</v>
      </c>
      <c r="J31" s="26">
        <f t="shared" si="3"/>
        <v>0.69000000000000006</v>
      </c>
      <c r="K31" s="26"/>
      <c r="L31" s="14" t="s">
        <v>127</v>
      </c>
    </row>
    <row r="32" spans="1:12" ht="27" x14ac:dyDescent="0.2">
      <c r="A32" s="14"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113</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22" t="s">
        <v>28</v>
      </c>
      <c r="B34" s="26">
        <v>0.17</v>
      </c>
      <c r="C34" s="23">
        <v>4.1999999999999997E-3</v>
      </c>
      <c r="D34" s="26">
        <f t="shared" si="0"/>
        <v>0.17420000000000002</v>
      </c>
      <c r="E34" s="26">
        <f t="shared" si="1"/>
        <v>0.35820000000000002</v>
      </c>
      <c r="F34" s="26"/>
      <c r="G34" s="26">
        <v>0.17</v>
      </c>
      <c r="H34" s="23">
        <f>0.0007+0.0035</f>
        <v>4.1999999999999997E-3</v>
      </c>
      <c r="I34" s="26">
        <f t="shared" si="2"/>
        <v>0.17420000000000002</v>
      </c>
      <c r="J34" s="26">
        <f t="shared" si="3"/>
        <v>0.41820000000000002</v>
      </c>
      <c r="K34" s="26"/>
      <c r="L34" s="14" t="s">
        <v>131</v>
      </c>
    </row>
    <row r="35" spans="1:12" ht="27" x14ac:dyDescent="0.2">
      <c r="A35" s="14" t="s">
        <v>29</v>
      </c>
      <c r="B35" s="26">
        <v>0.315</v>
      </c>
      <c r="C35" s="26">
        <f>0.0075</f>
        <v>7.4999999999999997E-3</v>
      </c>
      <c r="D35" s="26">
        <f t="shared" si="0"/>
        <v>0.32250000000000001</v>
      </c>
      <c r="E35" s="26">
        <f t="shared" si="1"/>
        <v>0.50649999999999995</v>
      </c>
      <c r="F35" s="26"/>
      <c r="G35" s="26">
        <v>0.29249999999999998</v>
      </c>
      <c r="H35" s="26">
        <f>0.0075</f>
        <v>7.4999999999999997E-3</v>
      </c>
      <c r="I35" s="26">
        <f t="shared" si="2"/>
        <v>0.3</v>
      </c>
      <c r="J35" s="26">
        <f t="shared" si="3"/>
        <v>0.54400000000000004</v>
      </c>
      <c r="K35" s="26"/>
      <c r="L35" s="14" t="s">
        <v>61</v>
      </c>
    </row>
    <row r="36" spans="1:12" ht="27" x14ac:dyDescent="0.2">
      <c r="A36" s="22" t="s">
        <v>15</v>
      </c>
      <c r="B36" s="23">
        <v>0.29599999999999999</v>
      </c>
      <c r="C36" s="26">
        <f>0.009</f>
        <v>8.9999999999999993E-3</v>
      </c>
      <c r="D36" s="26">
        <f t="shared" si="0"/>
        <v>0.30499999999999999</v>
      </c>
      <c r="E36" s="26">
        <f t="shared" si="1"/>
        <v>0.48899999999999999</v>
      </c>
      <c r="F36" s="26"/>
      <c r="G36" s="23">
        <v>0.29599999999999999</v>
      </c>
      <c r="H36" s="26">
        <f>0.003</f>
        <v>3.0000000000000001E-3</v>
      </c>
      <c r="I36" s="26">
        <f t="shared" si="2"/>
        <v>0.29899999999999999</v>
      </c>
      <c r="J36" s="26">
        <f t="shared" si="3"/>
        <v>0.54300000000000004</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100</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22" t="s">
        <v>96</v>
      </c>
      <c r="B39" s="26">
        <v>0.105</v>
      </c>
      <c r="C39" s="23">
        <f>0.309+0.0005</f>
        <v>0.3095</v>
      </c>
      <c r="D39" s="26">
        <f t="shared" si="0"/>
        <v>0.41449999999999998</v>
      </c>
      <c r="E39" s="26">
        <f t="shared" si="1"/>
        <v>0.59850000000000003</v>
      </c>
      <c r="F39" s="26"/>
      <c r="G39" s="26">
        <v>0.13500000000000001</v>
      </c>
      <c r="H39" s="23">
        <f>0.35+0.0005</f>
        <v>0.35049999999999998</v>
      </c>
      <c r="I39" s="26">
        <f t="shared" si="2"/>
        <v>0.48549999999999999</v>
      </c>
      <c r="J39" s="26">
        <f t="shared" si="3"/>
        <v>0.72950000000000004</v>
      </c>
      <c r="K39" s="26"/>
      <c r="L39" s="14" t="s">
        <v>128</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22" t="s">
        <v>97</v>
      </c>
      <c r="B41" s="26">
        <v>0.08</v>
      </c>
      <c r="C41" s="23">
        <f>0.177+0.0005+0.08+0.003274</f>
        <v>0.26077400000000001</v>
      </c>
      <c r="D41" s="26">
        <f t="shared" ref="D41:D64" si="4">$B41+$C41</f>
        <v>0.34077400000000002</v>
      </c>
      <c r="E41" s="26">
        <f t="shared" ref="E41:E59" si="5">$D41+$E$4</f>
        <v>0.52477400000000007</v>
      </c>
      <c r="F41" s="26"/>
      <c r="G41" s="26">
        <v>0.08</v>
      </c>
      <c r="H41" s="23">
        <f>0.1595+0.08+0.003274</f>
        <v>0.24277399999999999</v>
      </c>
      <c r="I41" s="26">
        <f t="shared" ref="I41:I64" si="6">$G41+$H41</f>
        <v>0.32277400000000001</v>
      </c>
      <c r="J41" s="26">
        <f t="shared" ref="J41:J59" si="7">$I41+$J$4</f>
        <v>0.566774</v>
      </c>
      <c r="K41" s="26"/>
      <c r="L41" s="14" t="s">
        <v>129</v>
      </c>
    </row>
    <row r="42" spans="1:12" x14ac:dyDescent="0.2">
      <c r="A42" s="22" t="s">
        <v>17</v>
      </c>
      <c r="B42" s="23">
        <v>0.36199999999999999</v>
      </c>
      <c r="C42" s="26">
        <f>0.0025</f>
        <v>2.5000000000000001E-3</v>
      </c>
      <c r="D42" s="26">
        <f t="shared" si="4"/>
        <v>0.36449999999999999</v>
      </c>
      <c r="E42" s="26">
        <f t="shared" si="5"/>
        <v>0.54849999999999999</v>
      </c>
      <c r="F42" s="26"/>
      <c r="G42" s="23">
        <v>0.36199999999999999</v>
      </c>
      <c r="H42" s="26">
        <f>0.0025</f>
        <v>2.5000000000000001E-3</v>
      </c>
      <c r="I42" s="26">
        <f t="shared" si="6"/>
        <v>0.36449999999999999</v>
      </c>
      <c r="J42" s="26">
        <f t="shared" si="7"/>
        <v>0.60850000000000004</v>
      </c>
      <c r="K42" s="26"/>
      <c r="L42" s="14" t="s">
        <v>82</v>
      </c>
    </row>
    <row r="43" spans="1:12" x14ac:dyDescent="0.2">
      <c r="A43" s="14" t="s">
        <v>11</v>
      </c>
      <c r="B43" s="26">
        <v>0.23</v>
      </c>
      <c r="C43" s="26">
        <f>0.00025</f>
        <v>2.5000000000000001E-4</v>
      </c>
      <c r="D43" s="26">
        <f t="shared" si="4"/>
        <v>0.23025000000000001</v>
      </c>
      <c r="E43" s="26">
        <f t="shared" si="5"/>
        <v>0.41425000000000001</v>
      </c>
      <c r="F43" s="26"/>
      <c r="G43" s="26">
        <v>0.23</v>
      </c>
      <c r="H43" s="26">
        <f>0.00025</f>
        <v>2.5000000000000001E-4</v>
      </c>
      <c r="I43" s="26">
        <f t="shared" si="6"/>
        <v>0.23025000000000001</v>
      </c>
      <c r="J43" s="26">
        <f t="shared" si="7"/>
        <v>0.47425000000000006</v>
      </c>
      <c r="K43" s="26"/>
      <c r="L43" s="14" t="s">
        <v>64</v>
      </c>
    </row>
    <row r="44" spans="1:12" x14ac:dyDescent="0.2">
      <c r="A44" s="14" t="s">
        <v>23</v>
      </c>
      <c r="B44" s="26">
        <v>0.28000000000000003</v>
      </c>
      <c r="C44" s="26"/>
      <c r="D44" s="26">
        <f t="shared" si="4"/>
        <v>0.28000000000000003</v>
      </c>
      <c r="E44" s="26">
        <f t="shared" si="5"/>
        <v>0.46400000000000002</v>
      </c>
      <c r="F44" s="26"/>
      <c r="G44" s="26">
        <v>0.28000000000000003</v>
      </c>
      <c r="H44" s="26"/>
      <c r="I44" s="26">
        <f t="shared" si="6"/>
        <v>0.28000000000000003</v>
      </c>
      <c r="J44" s="26">
        <f t="shared" si="7"/>
        <v>0.52400000000000002</v>
      </c>
      <c r="K44" s="26"/>
      <c r="L44" s="14"/>
    </row>
    <row r="45" spans="1:12" ht="27" x14ac:dyDescent="0.2">
      <c r="A45" s="14" t="s">
        <v>18</v>
      </c>
      <c r="B45" s="26">
        <v>0.19</v>
      </c>
      <c r="C45" s="26">
        <f>0.01</f>
        <v>0.01</v>
      </c>
      <c r="D45" s="26">
        <f t="shared" si="4"/>
        <v>0.2</v>
      </c>
      <c r="E45" s="26">
        <f t="shared" si="5"/>
        <v>0.38400000000000001</v>
      </c>
      <c r="F45" s="26"/>
      <c r="G45" s="26">
        <v>0.19</v>
      </c>
      <c r="H45" s="26">
        <f>0.01</f>
        <v>0.01</v>
      </c>
      <c r="I45" s="26">
        <f t="shared" si="6"/>
        <v>0.2</v>
      </c>
      <c r="J45" s="26">
        <f t="shared" si="7"/>
        <v>0.44400000000000006</v>
      </c>
      <c r="K45" s="26"/>
      <c r="L45" s="14" t="s">
        <v>65</v>
      </c>
    </row>
    <row r="46" spans="1:12" ht="27" x14ac:dyDescent="0.2">
      <c r="A46" s="14" t="s">
        <v>31</v>
      </c>
      <c r="B46" s="26">
        <v>0.34</v>
      </c>
      <c r="C46" s="26"/>
      <c r="D46" s="26">
        <f t="shared" si="4"/>
        <v>0.34</v>
      </c>
      <c r="E46" s="26">
        <f t="shared" si="5"/>
        <v>0.52400000000000002</v>
      </c>
      <c r="F46" s="26"/>
      <c r="G46" s="26">
        <v>0.34</v>
      </c>
      <c r="H46" s="26"/>
      <c r="I46" s="26">
        <f t="shared" si="6"/>
        <v>0.34</v>
      </c>
      <c r="J46" s="26">
        <f t="shared" si="7"/>
        <v>0.58400000000000007</v>
      </c>
      <c r="K46" s="26"/>
      <c r="L46" s="14" t="s">
        <v>66</v>
      </c>
    </row>
    <row r="47" spans="1:12" ht="37.5" customHeight="1" x14ac:dyDescent="0.2">
      <c r="A47" s="14" t="s">
        <v>12</v>
      </c>
      <c r="B47" s="26">
        <v>0.57599999999999996</v>
      </c>
      <c r="C47" s="26">
        <f>0.011</f>
        <v>1.0999999999999999E-2</v>
      </c>
      <c r="D47" s="26">
        <f t="shared" si="4"/>
        <v>0.58699999999999997</v>
      </c>
      <c r="E47" s="26">
        <f t="shared" si="5"/>
        <v>0.77099999999999991</v>
      </c>
      <c r="F47" s="26"/>
      <c r="G47" s="26">
        <v>0.74099999999999999</v>
      </c>
      <c r="H47" s="26">
        <f>0.011</f>
        <v>1.0999999999999999E-2</v>
      </c>
      <c r="I47" s="26">
        <f t="shared" si="6"/>
        <v>0.752</v>
      </c>
      <c r="J47" s="26">
        <f t="shared" si="7"/>
        <v>0.996</v>
      </c>
      <c r="K47" s="26"/>
      <c r="L47" s="14" t="s">
        <v>103</v>
      </c>
    </row>
    <row r="48" spans="1:12" ht="26.25" customHeight="1" x14ac:dyDescent="0.2">
      <c r="A48" s="14" t="s">
        <v>14</v>
      </c>
      <c r="B48" s="26">
        <v>0.33</v>
      </c>
      <c r="C48" s="26">
        <f>0.01+0.0012</f>
        <v>1.12E-2</v>
      </c>
      <c r="D48" s="26">
        <f t="shared" si="4"/>
        <v>0.3412</v>
      </c>
      <c r="E48" s="26">
        <f t="shared" si="5"/>
        <v>0.5252</v>
      </c>
      <c r="F48" s="26"/>
      <c r="G48" s="26">
        <v>0.33</v>
      </c>
      <c r="H48" s="26">
        <f>0.01+0.0012</f>
        <v>1.12E-2</v>
      </c>
      <c r="I48" s="26">
        <f t="shared" si="6"/>
        <v>0.3412</v>
      </c>
      <c r="J48" s="26">
        <f t="shared" si="7"/>
        <v>0.58520000000000005</v>
      </c>
      <c r="K48" s="26"/>
      <c r="L48" s="14" t="s">
        <v>83</v>
      </c>
    </row>
    <row r="49" spans="1:12" s="29" customFormat="1" x14ac:dyDescent="0.2">
      <c r="A49" s="14" t="s">
        <v>119</v>
      </c>
      <c r="B49" s="26">
        <v>0.2</v>
      </c>
      <c r="C49" s="26">
        <f>0.0025+0.005</f>
        <v>7.4999999999999997E-3</v>
      </c>
      <c r="D49" s="26">
        <f t="shared" si="4"/>
        <v>0.20750000000000002</v>
      </c>
      <c r="E49" s="26">
        <f t="shared" si="5"/>
        <v>0.39150000000000001</v>
      </c>
      <c r="F49" s="26"/>
      <c r="G49" s="26">
        <v>0.2</v>
      </c>
      <c r="H49" s="26">
        <f>0.0025+0.005</f>
        <v>7.4999999999999997E-3</v>
      </c>
      <c r="I49" s="26">
        <f t="shared" si="6"/>
        <v>0.20750000000000002</v>
      </c>
      <c r="J49" s="26">
        <f t="shared" si="7"/>
        <v>0.45150000000000001</v>
      </c>
      <c r="K49" s="26"/>
      <c r="L49" s="14" t="s">
        <v>67</v>
      </c>
    </row>
    <row r="50" spans="1:12" x14ac:dyDescent="0.2">
      <c r="A50" s="14" t="s">
        <v>13</v>
      </c>
      <c r="B50" s="26">
        <v>0.28000000000000003</v>
      </c>
      <c r="C50" s="26">
        <f>0.02</f>
        <v>0.02</v>
      </c>
      <c r="D50" s="26">
        <f t="shared" si="4"/>
        <v>0.30000000000000004</v>
      </c>
      <c r="E50" s="26">
        <f t="shared" si="5"/>
        <v>0.48400000000000004</v>
      </c>
      <c r="F50" s="26"/>
      <c r="G50" s="26">
        <v>0.28000000000000003</v>
      </c>
      <c r="H50" s="26">
        <f>0.02</f>
        <v>0.02</v>
      </c>
      <c r="I50" s="26">
        <f t="shared" si="6"/>
        <v>0.30000000000000004</v>
      </c>
      <c r="J50" s="26">
        <f t="shared" si="7"/>
        <v>0.54400000000000004</v>
      </c>
      <c r="K50" s="26"/>
      <c r="L50" s="14" t="s">
        <v>68</v>
      </c>
    </row>
    <row r="51" spans="1:12" x14ac:dyDescent="0.2">
      <c r="A51" s="14" t="s">
        <v>19</v>
      </c>
      <c r="B51" s="26">
        <v>0.25</v>
      </c>
      <c r="C51" s="26">
        <f>0.01+0.004</f>
        <v>1.4E-2</v>
      </c>
      <c r="D51" s="26">
        <f t="shared" si="4"/>
        <v>0.26400000000000001</v>
      </c>
      <c r="E51" s="26">
        <f t="shared" si="5"/>
        <v>0.44800000000000001</v>
      </c>
      <c r="F51" s="26"/>
      <c r="G51" s="26">
        <v>0.24</v>
      </c>
      <c r="H51" s="26">
        <f>0.01+0.004</f>
        <v>1.4E-2</v>
      </c>
      <c r="I51" s="26">
        <f t="shared" si="6"/>
        <v>0.254</v>
      </c>
      <c r="J51" s="26">
        <f t="shared" si="7"/>
        <v>0.498</v>
      </c>
      <c r="K51" s="26"/>
      <c r="L51" s="14" t="s">
        <v>69</v>
      </c>
    </row>
    <row r="52" spans="1:12" x14ac:dyDescent="0.2">
      <c r="A52" s="14" t="s">
        <v>24</v>
      </c>
      <c r="B52" s="26">
        <v>0.2</v>
      </c>
      <c r="C52" s="26"/>
      <c r="D52" s="26">
        <f t="shared" si="4"/>
        <v>0.2</v>
      </c>
      <c r="E52" s="26">
        <f t="shared" si="5"/>
        <v>0.38400000000000001</v>
      </c>
      <c r="F52" s="26"/>
      <c r="G52" s="26">
        <v>0.2</v>
      </c>
      <c r="H52" s="26"/>
      <c r="I52" s="26">
        <f t="shared" si="6"/>
        <v>0.2</v>
      </c>
      <c r="J52" s="26">
        <f t="shared" si="7"/>
        <v>0.44400000000000006</v>
      </c>
      <c r="K52" s="26"/>
      <c r="L52" s="14" t="s">
        <v>70</v>
      </c>
    </row>
    <row r="53" spans="1:12" x14ac:dyDescent="0.2">
      <c r="A53" s="22" t="s">
        <v>25</v>
      </c>
      <c r="B53" s="23">
        <v>0.3</v>
      </c>
      <c r="C53" s="26">
        <f>0.0065</f>
        <v>6.4999999999999997E-3</v>
      </c>
      <c r="D53" s="26">
        <f t="shared" si="4"/>
        <v>0.30649999999999999</v>
      </c>
      <c r="E53" s="26">
        <f t="shared" si="5"/>
        <v>0.49049999999999999</v>
      </c>
      <c r="F53" s="26"/>
      <c r="G53" s="23">
        <v>0.3</v>
      </c>
      <c r="H53" s="26">
        <f>0.0065</f>
        <v>6.4999999999999997E-3</v>
      </c>
      <c r="I53" s="26">
        <f t="shared" si="6"/>
        <v>0.30649999999999999</v>
      </c>
      <c r="J53" s="26">
        <f t="shared" si="7"/>
        <v>0.55049999999999999</v>
      </c>
      <c r="K53" s="26"/>
      <c r="L53" s="14" t="s">
        <v>71</v>
      </c>
    </row>
    <row r="54" spans="1:12" ht="40" x14ac:dyDescent="0.2">
      <c r="A54" s="22" t="s">
        <v>75</v>
      </c>
      <c r="B54" s="26">
        <v>0.121</v>
      </c>
      <c r="C54" s="23">
        <f>0.0469+0.134+0.01</f>
        <v>0.19090000000000001</v>
      </c>
      <c r="D54" s="26">
        <f t="shared" si="4"/>
        <v>0.31190000000000001</v>
      </c>
      <c r="E54" s="26">
        <f t="shared" si="5"/>
        <v>0.49590000000000001</v>
      </c>
      <c r="F54" s="26"/>
      <c r="G54" s="26">
        <v>0.28000000000000003</v>
      </c>
      <c r="H54" s="26">
        <f>0.01+0.03</f>
        <v>0.04</v>
      </c>
      <c r="I54" s="26">
        <f t="shared" si="6"/>
        <v>0.32</v>
      </c>
      <c r="J54" s="26">
        <f t="shared" si="7"/>
        <v>0.56400000000000006</v>
      </c>
      <c r="K54" s="26"/>
      <c r="L54" s="14" t="s">
        <v>130</v>
      </c>
    </row>
    <row r="55" spans="1:12" ht="27" x14ac:dyDescent="0.2">
      <c r="A55" s="14" t="s">
        <v>98</v>
      </c>
      <c r="B55" s="26">
        <v>0.16200000000000001</v>
      </c>
      <c r="C55" s="26">
        <f>0.006</f>
        <v>6.0000000000000001E-3</v>
      </c>
      <c r="D55" s="26">
        <f t="shared" si="4"/>
        <v>0.16800000000000001</v>
      </c>
      <c r="E55" s="26">
        <f t="shared" si="5"/>
        <v>0.35199999999999998</v>
      </c>
      <c r="F55" s="26"/>
      <c r="G55" s="26">
        <v>0.20199999999999999</v>
      </c>
      <c r="H55" s="26">
        <f>0.006</f>
        <v>6.0000000000000001E-3</v>
      </c>
      <c r="I55" s="26">
        <f t="shared" si="6"/>
        <v>0.20799999999999999</v>
      </c>
      <c r="J55" s="26">
        <f t="shared" si="7"/>
        <v>0.45200000000000001</v>
      </c>
      <c r="K55" s="26"/>
      <c r="L55" s="14" t="s">
        <v>84</v>
      </c>
    </row>
    <row r="56" spans="1:12" ht="40" x14ac:dyDescent="0.2">
      <c r="A56" s="14" t="s">
        <v>32</v>
      </c>
      <c r="B56" s="26">
        <v>0.49399999999999999</v>
      </c>
      <c r="C56" s="26">
        <f>0.0009523+0.000238</f>
        <v>1.1903E-3</v>
      </c>
      <c r="D56" s="26">
        <f t="shared" si="4"/>
        <v>0.49519029999999997</v>
      </c>
      <c r="E56" s="26">
        <f t="shared" si="5"/>
        <v>0.67919029999999991</v>
      </c>
      <c r="F56" s="26"/>
      <c r="G56" s="26">
        <v>0.49399999999999999</v>
      </c>
      <c r="H56" s="26">
        <f>0.0009523+0.000238</f>
        <v>1.1903E-3</v>
      </c>
      <c r="I56" s="26">
        <f t="shared" si="6"/>
        <v>0.49519029999999997</v>
      </c>
      <c r="J56" s="26">
        <f t="shared" si="7"/>
        <v>0.73919029999999997</v>
      </c>
      <c r="K56" s="26"/>
      <c r="L56" s="14" t="s">
        <v>101</v>
      </c>
    </row>
    <row r="57" spans="1:12" x14ac:dyDescent="0.2">
      <c r="A57" s="14" t="s">
        <v>26</v>
      </c>
      <c r="B57" s="26">
        <v>0.20499999999999999</v>
      </c>
      <c r="C57" s="26">
        <v>0.152</v>
      </c>
      <c r="D57" s="26">
        <f t="shared" si="4"/>
        <v>0.35699999999999998</v>
      </c>
      <c r="E57" s="26">
        <f t="shared" si="5"/>
        <v>0.54099999999999993</v>
      </c>
      <c r="F57" s="26"/>
      <c r="G57" s="26">
        <v>0.20499999999999999</v>
      </c>
      <c r="H57" s="26">
        <v>0.152</v>
      </c>
      <c r="I57" s="26">
        <f t="shared" si="6"/>
        <v>0.35699999999999998</v>
      </c>
      <c r="J57" s="26">
        <f t="shared" si="7"/>
        <v>0.60099999999999998</v>
      </c>
      <c r="K57" s="26"/>
      <c r="L57" s="14" t="s">
        <v>110</v>
      </c>
    </row>
    <row r="58" spans="1:12" x14ac:dyDescent="0.2">
      <c r="A58" s="14" t="s">
        <v>20</v>
      </c>
      <c r="B58" s="26">
        <v>0.309</v>
      </c>
      <c r="C58" s="26">
        <f>0.02</f>
        <v>0.02</v>
      </c>
      <c r="D58" s="26">
        <f t="shared" si="4"/>
        <v>0.32900000000000001</v>
      </c>
      <c r="E58" s="26">
        <f t="shared" si="5"/>
        <v>0.51300000000000001</v>
      </c>
      <c r="F58" s="26"/>
      <c r="G58" s="26">
        <v>0.309</v>
      </c>
      <c r="H58" s="26">
        <f>0.02</f>
        <v>0.02</v>
      </c>
      <c r="I58" s="26">
        <f t="shared" si="6"/>
        <v>0.32900000000000001</v>
      </c>
      <c r="J58" s="26">
        <f t="shared" si="7"/>
        <v>0.57300000000000006</v>
      </c>
      <c r="K58" s="26"/>
      <c r="L58" s="14" t="s">
        <v>72</v>
      </c>
    </row>
    <row r="59" spans="1:12" x14ac:dyDescent="0.2">
      <c r="A59" s="27" t="s">
        <v>21</v>
      </c>
      <c r="B59" s="28">
        <v>0.23</v>
      </c>
      <c r="C59" s="28">
        <f>0.01</f>
        <v>0.01</v>
      </c>
      <c r="D59" s="28">
        <f t="shared" si="4"/>
        <v>0.24000000000000002</v>
      </c>
      <c r="E59" s="28">
        <f t="shared" si="5"/>
        <v>0.42400000000000004</v>
      </c>
      <c r="F59" s="28"/>
      <c r="G59" s="28">
        <v>0.23</v>
      </c>
      <c r="H59" s="28">
        <f>0.01</f>
        <v>0.01</v>
      </c>
      <c r="I59" s="28">
        <f t="shared" si="6"/>
        <v>0.24000000000000002</v>
      </c>
      <c r="J59" s="28">
        <f t="shared" si="7"/>
        <v>0.48400000000000004</v>
      </c>
      <c r="K59" s="28"/>
      <c r="L59" s="27" t="s">
        <v>73</v>
      </c>
    </row>
    <row r="60" spans="1:12" x14ac:dyDescent="0.2">
      <c r="A60" s="14" t="s">
        <v>49</v>
      </c>
      <c r="B60" s="26">
        <v>0.35</v>
      </c>
      <c r="C60" s="26"/>
      <c r="D60" s="26">
        <f t="shared" si="4"/>
        <v>0.35</v>
      </c>
      <c r="E60" s="26"/>
      <c r="F60" s="26"/>
      <c r="G60" s="26">
        <v>0.315</v>
      </c>
      <c r="H60" s="26">
        <f>0.035</f>
        <v>3.5000000000000003E-2</v>
      </c>
      <c r="I60" s="26">
        <f t="shared" si="6"/>
        <v>0.35</v>
      </c>
      <c r="J60" s="26"/>
      <c r="K60" s="26"/>
      <c r="L60" s="14" t="s">
        <v>85</v>
      </c>
    </row>
    <row r="61" spans="1:12" ht="27" x14ac:dyDescent="0.2">
      <c r="A61" s="14" t="s">
        <v>50</v>
      </c>
      <c r="B61" s="26">
        <v>0.15</v>
      </c>
      <c r="C61" s="26">
        <f>0.04</f>
        <v>0.04</v>
      </c>
      <c r="D61" s="26">
        <f t="shared" si="4"/>
        <v>0.19</v>
      </c>
      <c r="E61" s="26"/>
      <c r="F61" s="26"/>
      <c r="G61" s="26">
        <v>0.14000000000000001</v>
      </c>
      <c r="H61" s="26">
        <f>0.04</f>
        <v>0.04</v>
      </c>
      <c r="I61" s="26">
        <f t="shared" si="6"/>
        <v>0.18000000000000002</v>
      </c>
      <c r="J61" s="26"/>
      <c r="K61" s="26"/>
      <c r="L61" s="14" t="s">
        <v>74</v>
      </c>
    </row>
    <row r="62" spans="1:12" ht="15" customHeight="1" x14ac:dyDescent="0.2">
      <c r="A62" s="14" t="s">
        <v>51</v>
      </c>
      <c r="B62" s="26">
        <v>0.15</v>
      </c>
      <c r="C62" s="26"/>
      <c r="D62" s="26">
        <f t="shared" si="4"/>
        <v>0.15</v>
      </c>
      <c r="E62" s="26"/>
      <c r="F62" s="26"/>
      <c r="G62" s="26">
        <v>0.15</v>
      </c>
      <c r="H62" s="26"/>
      <c r="I62" s="26">
        <f t="shared" si="6"/>
        <v>0.15</v>
      </c>
      <c r="J62" s="26"/>
      <c r="K62" s="26"/>
      <c r="L62" s="14" t="s">
        <v>85</v>
      </c>
    </row>
    <row r="63" spans="1:12" ht="40" x14ac:dyDescent="0.2">
      <c r="A63" s="14" t="s">
        <v>52</v>
      </c>
      <c r="B63" s="26">
        <v>0.16</v>
      </c>
      <c r="C63" s="23">
        <v>0.36899999999999999</v>
      </c>
      <c r="D63" s="26">
        <f t="shared" si="4"/>
        <v>0.52900000000000003</v>
      </c>
      <c r="E63" s="26"/>
      <c r="F63" s="26"/>
      <c r="G63" s="26">
        <v>0.08</v>
      </c>
      <c r="H63" s="23">
        <v>0.22</v>
      </c>
      <c r="I63" s="26">
        <f t="shared" si="6"/>
        <v>0.3</v>
      </c>
      <c r="J63" s="26"/>
      <c r="K63" s="26"/>
      <c r="L63" s="14" t="s">
        <v>132</v>
      </c>
    </row>
    <row r="64" spans="1:12" ht="16" thickBot="1" x14ac:dyDescent="0.25">
      <c r="A64" s="14" t="s">
        <v>81</v>
      </c>
      <c r="B64" s="26">
        <v>0.14000000000000001</v>
      </c>
      <c r="C64" s="26"/>
      <c r="D64" s="26">
        <f t="shared" si="4"/>
        <v>0.14000000000000001</v>
      </c>
      <c r="E64" s="26"/>
      <c r="F64" s="26"/>
      <c r="G64" s="26">
        <v>0.14000000000000001</v>
      </c>
      <c r="H64" s="26"/>
      <c r="I64" s="26">
        <f t="shared" si="6"/>
        <v>0.14000000000000001</v>
      </c>
      <c r="J64" s="26"/>
      <c r="K64" s="26"/>
      <c r="L64" s="14" t="s">
        <v>85</v>
      </c>
    </row>
    <row r="65" spans="1:12" ht="67.5" customHeight="1" x14ac:dyDescent="0.2">
      <c r="A65" s="92" t="s">
        <v>116</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F71" r:id="rId1" display="mailto:maureen.klein@eia.gov" xr:uid="{00000000-0004-0000-0800-000000000000}"/>
  </hyperlinks>
  <pageMargins left="0.17" right="0.17" top="0.4" bottom="0.38" header="0.3" footer="0.3"/>
  <pageSetup paperSize="5"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1"/>
  <sheetViews>
    <sheetView showGridLines="0" zoomScaleNormal="100" workbookViewId="0">
      <pane ySplit="8" topLeftCell="A9" activePane="bottomLeft" state="frozen"/>
      <selection pane="bottomLeft" activeCell="P19" sqref="P19"/>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138</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0.24325490196078434</v>
      </c>
      <c r="C8" s="24">
        <f>AVERAGE(C9:C59)</f>
        <v>4.9722679545454548E-2</v>
      </c>
      <c r="D8" s="32">
        <f>AVERAGE(D9:D59)</f>
        <v>0.28615289999999999</v>
      </c>
      <c r="E8" s="32">
        <f>AVERAGE(E9:E59)</f>
        <v>0.47015290000000021</v>
      </c>
      <c r="F8" s="3"/>
      <c r="G8" s="32">
        <f>AVERAGE(G9:G59)</f>
        <v>0.25978431372549016</v>
      </c>
      <c r="H8" s="32">
        <f>AVERAGE(H9:H59)</f>
        <v>4.9067052272727278E-2</v>
      </c>
      <c r="I8" s="32">
        <f>AVERAGE(I9:I59)</f>
        <v>0.30211667254901964</v>
      </c>
      <c r="J8" s="21">
        <f>AVERAGE(J9:J59)</f>
        <v>0.54611667254901974</v>
      </c>
      <c r="K8" s="32"/>
      <c r="L8" s="11"/>
    </row>
    <row r="9" spans="1:12" ht="40" x14ac:dyDescent="0.2">
      <c r="A9" s="14" t="s">
        <v>33</v>
      </c>
      <c r="B9" s="26">
        <v>0.18</v>
      </c>
      <c r="C9" s="26">
        <v>0.01</v>
      </c>
      <c r="D9" s="26">
        <f>$B9+$C9</f>
        <v>0.19</v>
      </c>
      <c r="E9" s="26">
        <f>$D9+$E$4</f>
        <v>0.374</v>
      </c>
      <c r="F9" s="26"/>
      <c r="G9" s="26">
        <v>0.19</v>
      </c>
      <c r="H9" s="26">
        <f>0.0075+0.01</f>
        <v>1.7500000000000002E-2</v>
      </c>
      <c r="I9" s="26">
        <f>$G9+$H9</f>
        <v>0.20750000000000002</v>
      </c>
      <c r="J9" s="26">
        <f>$I9+$J$4</f>
        <v>0.45150000000000001</v>
      </c>
      <c r="K9" s="26"/>
      <c r="L9" s="14" t="s">
        <v>114</v>
      </c>
    </row>
    <row r="10" spans="1:12" x14ac:dyDescent="0.2">
      <c r="A10" s="14" t="s">
        <v>111</v>
      </c>
      <c r="B10" s="26">
        <v>0.08</v>
      </c>
      <c r="C10" s="26">
        <f>0.0095</f>
        <v>9.4999999999999998E-3</v>
      </c>
      <c r="D10" s="26">
        <f t="shared" ref="D10:D64" si="0">$B10+$C10</f>
        <v>8.9499999999999996E-2</v>
      </c>
      <c r="E10" s="26">
        <f t="shared" ref="E10:E59" si="1">$D10+$E$4</f>
        <v>0.27349999999999997</v>
      </c>
      <c r="F10" s="26"/>
      <c r="G10" s="26">
        <v>0.08</v>
      </c>
      <c r="H10" s="26">
        <f>0.0095</f>
        <v>9.4999999999999998E-3</v>
      </c>
      <c r="I10" s="26">
        <f t="shared" ref="I10:I64" si="2">$G10+$H10</f>
        <v>8.9499999999999996E-2</v>
      </c>
      <c r="J10" s="26">
        <f t="shared" ref="J10:J59" si="3">$I10+$J$4</f>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0.215</v>
      </c>
      <c r="C12" s="26">
        <f>0.003</f>
        <v>3.0000000000000001E-3</v>
      </c>
      <c r="D12" s="26">
        <f t="shared" si="0"/>
        <v>0.218</v>
      </c>
      <c r="E12" s="26">
        <f t="shared" si="1"/>
        <v>0.40200000000000002</v>
      </c>
      <c r="F12" s="26"/>
      <c r="G12" s="26">
        <v>0.22500000000000001</v>
      </c>
      <c r="H12" s="26">
        <f>0.003</f>
        <v>3.0000000000000001E-3</v>
      </c>
      <c r="I12" s="26">
        <f t="shared" si="2"/>
        <v>0.22800000000000001</v>
      </c>
      <c r="J12" s="26">
        <f t="shared" si="3"/>
        <v>0.47200000000000003</v>
      </c>
      <c r="K12" s="26"/>
      <c r="L12" s="14" t="s">
        <v>55</v>
      </c>
    </row>
    <row r="13" spans="1:12" ht="52" x14ac:dyDescent="0.2">
      <c r="A13" s="22" t="s">
        <v>139</v>
      </c>
      <c r="B13" s="26">
        <v>0.41699999999999998</v>
      </c>
      <c r="C13" s="23">
        <f>0.06+0.02+0.00155</f>
        <v>8.1549999999999997E-2</v>
      </c>
      <c r="D13" s="26">
        <f t="shared" si="0"/>
        <v>0.49854999999999999</v>
      </c>
      <c r="E13" s="26">
        <f t="shared" si="1"/>
        <v>0.68254999999999999</v>
      </c>
      <c r="F13" s="26"/>
      <c r="G13" s="26">
        <v>0.36</v>
      </c>
      <c r="H13" s="23">
        <f>0.31+0.02+0.00155</f>
        <v>0.33155000000000001</v>
      </c>
      <c r="I13" s="26">
        <f t="shared" si="2"/>
        <v>0.69155</v>
      </c>
      <c r="J13" s="26">
        <f t="shared" si="3"/>
        <v>0.93554999999999999</v>
      </c>
      <c r="K13" s="26"/>
      <c r="L13" s="15" t="s">
        <v>140</v>
      </c>
    </row>
    <row r="14" spans="1:12" ht="27" x14ac:dyDescent="0.2">
      <c r="A14" s="14" t="s">
        <v>1</v>
      </c>
      <c r="B14" s="26">
        <v>0.22</v>
      </c>
      <c r="C14" s="26">
        <f>0.0125</f>
        <v>1.2500000000000001E-2</v>
      </c>
      <c r="D14" s="26">
        <f t="shared" si="0"/>
        <v>0.23250000000000001</v>
      </c>
      <c r="E14" s="26">
        <f t="shared" si="1"/>
        <v>0.41649999999999998</v>
      </c>
      <c r="F14" s="26"/>
      <c r="G14" s="26">
        <v>0.20499999999999999</v>
      </c>
      <c r="H14" s="26">
        <f>0.0125</f>
        <v>1.2500000000000001E-2</v>
      </c>
      <c r="I14" s="26">
        <f t="shared" si="2"/>
        <v>0.2175</v>
      </c>
      <c r="J14" s="26">
        <f t="shared" si="3"/>
        <v>0.46150000000000002</v>
      </c>
      <c r="K14" s="26"/>
      <c r="L14" s="14" t="s">
        <v>141</v>
      </c>
    </row>
    <row r="15" spans="1:12" ht="24.75" customHeight="1" x14ac:dyDescent="0.2">
      <c r="A15" s="22" t="s">
        <v>91</v>
      </c>
      <c r="B15" s="26">
        <v>0.25</v>
      </c>
      <c r="C15" s="26"/>
      <c r="D15" s="26">
        <f t="shared" si="0"/>
        <v>0.25</v>
      </c>
      <c r="E15" s="26">
        <f t="shared" si="1"/>
        <v>0.434</v>
      </c>
      <c r="F15" s="26"/>
      <c r="G15" s="23">
        <v>0.439</v>
      </c>
      <c r="H15" s="26"/>
      <c r="I15" s="26">
        <f t="shared" si="2"/>
        <v>0.439</v>
      </c>
      <c r="J15" s="26">
        <f t="shared" si="3"/>
        <v>0.68300000000000005</v>
      </c>
      <c r="K15" s="26"/>
      <c r="L15" s="14" t="s">
        <v>56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26"/>
      <c r="L17" s="14"/>
    </row>
    <row r="18" spans="1:12" ht="66" x14ac:dyDescent="0.2">
      <c r="A18" s="14" t="s">
        <v>87</v>
      </c>
      <c r="B18" s="26">
        <v>0.04</v>
      </c>
      <c r="C18" s="26">
        <f>0.137+0.00125+0.06+0.076+0.00048+0.00119+0.01904</f>
        <v>0.29496</v>
      </c>
      <c r="D18" s="26">
        <f t="shared" si="0"/>
        <v>0.33495999999999998</v>
      </c>
      <c r="E18" s="26">
        <f t="shared" si="1"/>
        <v>0.51895999999999998</v>
      </c>
      <c r="F18" s="26"/>
      <c r="G18" s="26">
        <v>0.04</v>
      </c>
      <c r="H18" s="26">
        <f>0.137+0.01+0.06+0.076+0.00048+0.00119+0.01904</f>
        <v>0.30371000000000004</v>
      </c>
      <c r="I18" s="26">
        <f t="shared" si="2"/>
        <v>0.34371000000000002</v>
      </c>
      <c r="J18" s="26">
        <f t="shared" si="3"/>
        <v>0.58771000000000007</v>
      </c>
      <c r="K18" s="26"/>
      <c r="L18" s="14" t="s">
        <v>108</v>
      </c>
    </row>
    <row r="19" spans="1:12" ht="40" x14ac:dyDescent="0.2">
      <c r="A19" s="14" t="s">
        <v>88</v>
      </c>
      <c r="B19" s="26">
        <v>0.26800000000000002</v>
      </c>
      <c r="C19" s="26">
        <f>0.005</f>
        <v>5.0000000000000001E-3</v>
      </c>
      <c r="D19" s="26">
        <f t="shared" si="0"/>
        <v>0.27300000000000002</v>
      </c>
      <c r="E19" s="26">
        <f t="shared" si="1"/>
        <v>0.45700000000000002</v>
      </c>
      <c r="F19" s="26"/>
      <c r="G19" s="26">
        <v>0.3</v>
      </c>
      <c r="H19" s="26">
        <f>0.005</f>
        <v>5.0000000000000001E-3</v>
      </c>
      <c r="I19" s="26">
        <f t="shared" si="2"/>
        <v>0.30499999999999999</v>
      </c>
      <c r="J19" s="26">
        <f t="shared" si="3"/>
        <v>0.54900000000000004</v>
      </c>
      <c r="K19" s="26"/>
      <c r="L19" s="14" t="s">
        <v>112</v>
      </c>
    </row>
    <row r="20" spans="1:12" ht="27" x14ac:dyDescent="0.2">
      <c r="A20" s="22" t="s">
        <v>142</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143</v>
      </c>
    </row>
    <row r="21" spans="1:12" x14ac:dyDescent="0.2">
      <c r="A21" s="14" t="s">
        <v>3</v>
      </c>
      <c r="B21" s="26">
        <v>0.32</v>
      </c>
      <c r="C21" s="26">
        <f>0.01</f>
        <v>0.01</v>
      </c>
      <c r="D21" s="26">
        <f>$B21+$C21</f>
        <v>0.33</v>
      </c>
      <c r="E21" s="26">
        <f t="shared" si="1"/>
        <v>0.51400000000000001</v>
      </c>
      <c r="F21" s="26"/>
      <c r="G21" s="26">
        <v>0.32</v>
      </c>
      <c r="H21" s="26">
        <f>0.01</f>
        <v>0.01</v>
      </c>
      <c r="I21" s="26">
        <f t="shared" si="2"/>
        <v>0.33</v>
      </c>
      <c r="J21" s="26">
        <f t="shared" si="3"/>
        <v>0.57400000000000007</v>
      </c>
      <c r="K21" s="26"/>
      <c r="L21" s="14" t="s">
        <v>58</v>
      </c>
    </row>
    <row r="22" spans="1:12" ht="40" x14ac:dyDescent="0.2">
      <c r="A22" s="22" t="s">
        <v>92</v>
      </c>
      <c r="B22" s="26">
        <v>0.19</v>
      </c>
      <c r="C22" s="23">
        <f>0.15+0.003+0.008</f>
        <v>0.161</v>
      </c>
      <c r="D22" s="26">
        <f t="shared" si="0"/>
        <v>0.35099999999999998</v>
      </c>
      <c r="E22" s="26">
        <f t="shared" si="1"/>
        <v>0.53499999999999992</v>
      </c>
      <c r="F22" s="26"/>
      <c r="G22" s="26">
        <v>0.215</v>
      </c>
      <c r="H22" s="23">
        <f>0.15+0.003+0.008</f>
        <v>0.161</v>
      </c>
      <c r="I22" s="26">
        <f t="shared" si="2"/>
        <v>0.376</v>
      </c>
      <c r="J22" s="26">
        <f t="shared" si="3"/>
        <v>0.62</v>
      </c>
      <c r="K22" s="26"/>
      <c r="L22" s="14" t="s">
        <v>144</v>
      </c>
    </row>
    <row r="23" spans="1:12" ht="72.75" customHeight="1" x14ac:dyDescent="0.2">
      <c r="A23" s="22" t="s">
        <v>93</v>
      </c>
      <c r="B23" s="23">
        <v>0.28999999999999998</v>
      </c>
      <c r="C23" s="23">
        <f>0.167+0.01</f>
        <v>0.17700000000000002</v>
      </c>
      <c r="D23" s="26">
        <f t="shared" si="0"/>
        <v>0.46699999999999997</v>
      </c>
      <c r="E23" s="26">
        <f t="shared" si="1"/>
        <v>0.65100000000000002</v>
      </c>
      <c r="F23" s="26"/>
      <c r="G23" s="23">
        <v>0.48</v>
      </c>
      <c r="H23" s="26">
        <f>0.01</f>
        <v>0.01</v>
      </c>
      <c r="I23" s="26">
        <f t="shared" si="2"/>
        <v>0.49</v>
      </c>
      <c r="J23" s="26">
        <f t="shared" si="3"/>
        <v>0.73399999999999999</v>
      </c>
      <c r="K23" s="26"/>
      <c r="L23" s="14" t="s">
        <v>145</v>
      </c>
    </row>
    <row r="24" spans="1:12" ht="27" x14ac:dyDescent="0.2">
      <c r="A24" s="22" t="s">
        <v>94</v>
      </c>
      <c r="B24" s="23">
        <v>0.307</v>
      </c>
      <c r="C24" s="26"/>
      <c r="D24" s="26">
        <f t="shared" si="0"/>
        <v>0.307</v>
      </c>
      <c r="E24" s="26">
        <f t="shared" si="1"/>
        <v>0.49099999999999999</v>
      </c>
      <c r="F24" s="26"/>
      <c r="G24" s="26">
        <v>0.32500000000000001</v>
      </c>
      <c r="H24" s="26"/>
      <c r="I24" s="26">
        <f t="shared" si="2"/>
        <v>0.32500000000000001</v>
      </c>
      <c r="J24" s="26">
        <f t="shared" si="3"/>
        <v>0.56900000000000006</v>
      </c>
      <c r="K24" s="26"/>
      <c r="L24" s="14" t="s">
        <v>107</v>
      </c>
    </row>
    <row r="25" spans="1:12" ht="27" x14ac:dyDescent="0.2">
      <c r="A25" s="14" t="s">
        <v>5</v>
      </c>
      <c r="B25" s="26">
        <v>0.24</v>
      </c>
      <c r="C25" s="26">
        <f>0.01+0.0003</f>
        <v>1.03E-2</v>
      </c>
      <c r="D25" s="26">
        <f t="shared" si="0"/>
        <v>0.25029999999999997</v>
      </c>
      <c r="E25" s="26">
        <f t="shared" si="1"/>
        <v>0.43429999999999996</v>
      </c>
      <c r="F25" s="26"/>
      <c r="G25" s="26">
        <v>0.26</v>
      </c>
      <c r="H25" s="26">
        <f>0.01+0.0003</f>
        <v>1.03E-2</v>
      </c>
      <c r="I25" s="26">
        <f t="shared" si="2"/>
        <v>0.27029999999999998</v>
      </c>
      <c r="J25" s="26">
        <f t="shared" si="3"/>
        <v>0.51429999999999998</v>
      </c>
      <c r="K25" s="26"/>
      <c r="L25" s="14" t="s">
        <v>109</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22" t="s">
        <v>9</v>
      </c>
      <c r="B29" s="23">
        <v>0.25600000000000001</v>
      </c>
      <c r="C29" s="23">
        <f>0.097+0.0019</f>
        <v>9.8900000000000002E-2</v>
      </c>
      <c r="D29" s="26">
        <f t="shared" si="0"/>
        <v>0.35489999999999999</v>
      </c>
      <c r="E29" s="26">
        <f t="shared" si="1"/>
        <v>0.53889999999999993</v>
      </c>
      <c r="F29" s="26"/>
      <c r="G29" s="23">
        <v>0.26350000000000001</v>
      </c>
      <c r="H29" s="23">
        <f>0.097+0.0019</f>
        <v>9.8900000000000002E-2</v>
      </c>
      <c r="I29" s="26">
        <f t="shared" si="2"/>
        <v>0.3624</v>
      </c>
      <c r="J29" s="26">
        <f t="shared" si="3"/>
        <v>0.60640000000000005</v>
      </c>
      <c r="K29" s="26"/>
      <c r="L29" s="14" t="s">
        <v>146</v>
      </c>
    </row>
    <row r="30" spans="1:12" ht="40" x14ac:dyDescent="0.2">
      <c r="A30" s="14" t="s">
        <v>36</v>
      </c>
      <c r="B30" s="26">
        <v>0.24</v>
      </c>
      <c r="C30" s="26">
        <f>0.026226+0.0012</f>
        <v>2.7425999999999999E-2</v>
      </c>
      <c r="D30" s="26">
        <f t="shared" si="0"/>
        <v>0.267426</v>
      </c>
      <c r="E30" s="26">
        <f t="shared" si="1"/>
        <v>0.45142599999999999</v>
      </c>
      <c r="F30" s="26"/>
      <c r="G30" s="26">
        <v>0.24</v>
      </c>
      <c r="H30" s="26">
        <f>0.026226+0.0012</f>
        <v>2.7425999999999999E-2</v>
      </c>
      <c r="I30" s="26">
        <f t="shared" si="2"/>
        <v>0.267426</v>
      </c>
      <c r="J30" s="26">
        <f t="shared" si="3"/>
        <v>0.51142600000000005</v>
      </c>
      <c r="K30" s="26"/>
      <c r="L30" s="14" t="s">
        <v>147</v>
      </c>
    </row>
    <row r="31" spans="1:12" ht="40" x14ac:dyDescent="0.2">
      <c r="A31" s="22" t="s">
        <v>95</v>
      </c>
      <c r="B31" s="26">
        <v>0.26300000000000001</v>
      </c>
      <c r="C31" s="23">
        <f>0.154+0.01</f>
        <v>0.16400000000000001</v>
      </c>
      <c r="D31" s="26">
        <f t="shared" si="0"/>
        <v>0.42700000000000005</v>
      </c>
      <c r="E31" s="26">
        <f t="shared" si="1"/>
        <v>0.61099999999999999</v>
      </c>
      <c r="F31" s="26"/>
      <c r="G31" s="26">
        <v>0.26300000000000001</v>
      </c>
      <c r="H31" s="23">
        <f>0.168+0.01</f>
        <v>0.17800000000000002</v>
      </c>
      <c r="I31" s="26">
        <f t="shared" si="2"/>
        <v>0.44100000000000006</v>
      </c>
      <c r="J31" s="26">
        <f t="shared" si="3"/>
        <v>0.68500000000000005</v>
      </c>
      <c r="K31" s="26"/>
      <c r="L31" s="14" t="s">
        <v>148</v>
      </c>
    </row>
    <row r="32" spans="1:12" ht="27" x14ac:dyDescent="0.2">
      <c r="A32" s="14"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113</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0.17</v>
      </c>
      <c r="C34" s="26">
        <f>0.0007+0.0025</f>
        <v>3.2000000000000002E-3</v>
      </c>
      <c r="D34" s="26">
        <f t="shared" si="0"/>
        <v>0.17320000000000002</v>
      </c>
      <c r="E34" s="26">
        <f t="shared" si="1"/>
        <v>0.35720000000000002</v>
      </c>
      <c r="F34" s="26"/>
      <c r="G34" s="26">
        <v>0.17</v>
      </c>
      <c r="H34" s="26">
        <f>0.0007+0.0025</f>
        <v>3.2000000000000002E-3</v>
      </c>
      <c r="I34" s="26">
        <f t="shared" si="2"/>
        <v>0.17320000000000002</v>
      </c>
      <c r="J34" s="26">
        <f t="shared" si="3"/>
        <v>0.41720000000000002</v>
      </c>
      <c r="K34" s="26"/>
      <c r="L34" s="14" t="s">
        <v>149</v>
      </c>
    </row>
    <row r="35" spans="1:12" ht="27" x14ac:dyDescent="0.2">
      <c r="A35" s="14" t="s">
        <v>29</v>
      </c>
      <c r="B35" s="26">
        <v>0.315</v>
      </c>
      <c r="C35" s="26">
        <f>0.0075</f>
        <v>7.4999999999999997E-3</v>
      </c>
      <c r="D35" s="26">
        <f t="shared" si="0"/>
        <v>0.32250000000000001</v>
      </c>
      <c r="E35" s="26">
        <f t="shared" si="1"/>
        <v>0.50649999999999995</v>
      </c>
      <c r="F35" s="26"/>
      <c r="G35" s="26">
        <v>0.29249999999999998</v>
      </c>
      <c r="H35" s="26">
        <f>0.0075</f>
        <v>7.4999999999999997E-3</v>
      </c>
      <c r="I35" s="26">
        <f t="shared" si="2"/>
        <v>0.3</v>
      </c>
      <c r="J35" s="26">
        <f t="shared" si="3"/>
        <v>0.54400000000000004</v>
      </c>
      <c r="K35" s="26"/>
      <c r="L35" s="14" t="s">
        <v>61</v>
      </c>
    </row>
    <row r="36" spans="1:12" ht="27" x14ac:dyDescent="0.2">
      <c r="A36" s="22" t="s">
        <v>15</v>
      </c>
      <c r="B36" s="23">
        <v>0.28000000000000003</v>
      </c>
      <c r="C36" s="26">
        <f>0.009</f>
        <v>8.9999999999999993E-3</v>
      </c>
      <c r="D36" s="26">
        <f t="shared" si="0"/>
        <v>0.28900000000000003</v>
      </c>
      <c r="E36" s="26">
        <f t="shared" si="1"/>
        <v>0.47300000000000003</v>
      </c>
      <c r="F36" s="26"/>
      <c r="G36" s="23">
        <v>0.28000000000000003</v>
      </c>
      <c r="H36" s="26">
        <f>0.003</f>
        <v>3.0000000000000001E-3</v>
      </c>
      <c r="I36" s="26">
        <f t="shared" si="2"/>
        <v>0.28300000000000003</v>
      </c>
      <c r="J36" s="26">
        <f t="shared" si="3"/>
        <v>0.52700000000000002</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100</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0.266+0.0005</f>
        <v>0.26650000000000001</v>
      </c>
      <c r="D39" s="26">
        <f t="shared" si="0"/>
        <v>0.3715</v>
      </c>
      <c r="E39" s="26">
        <f t="shared" si="1"/>
        <v>0.55549999999999999</v>
      </c>
      <c r="F39" s="26"/>
      <c r="G39" s="26">
        <v>0.13500000000000001</v>
      </c>
      <c r="H39" s="26">
        <f>0.307+0.0005</f>
        <v>0.3075</v>
      </c>
      <c r="I39" s="26">
        <f t="shared" si="2"/>
        <v>0.4425</v>
      </c>
      <c r="J39" s="26">
        <f t="shared" si="3"/>
        <v>0.6865</v>
      </c>
      <c r="K39" s="26"/>
      <c r="L39" s="14" t="s">
        <v>150</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14" t="s">
        <v>97</v>
      </c>
      <c r="B41" s="26">
        <v>0.08</v>
      </c>
      <c r="C41" s="26">
        <f>0.169+0.0005+0.08+0.003274</f>
        <v>0.252774</v>
      </c>
      <c r="D41" s="26">
        <f t="shared" si="0"/>
        <v>0.33277400000000001</v>
      </c>
      <c r="E41" s="26">
        <f t="shared" si="1"/>
        <v>0.51677400000000007</v>
      </c>
      <c r="F41" s="26"/>
      <c r="G41" s="26">
        <v>0.08</v>
      </c>
      <c r="H41" s="26">
        <f>0.1515+0.08+0.003274</f>
        <v>0.23477399999999998</v>
      </c>
      <c r="I41" s="26">
        <f t="shared" si="2"/>
        <v>0.314774</v>
      </c>
      <c r="J41" s="26">
        <f t="shared" si="3"/>
        <v>0.55877399999999999</v>
      </c>
      <c r="K41" s="26"/>
      <c r="L41" s="14" t="s">
        <v>151</v>
      </c>
    </row>
    <row r="42" spans="1:12" x14ac:dyDescent="0.2">
      <c r="A42" s="14" t="s">
        <v>17</v>
      </c>
      <c r="B42" s="26">
        <v>0.35099999999999998</v>
      </c>
      <c r="C42" s="26">
        <f>0.0025</f>
        <v>2.5000000000000001E-3</v>
      </c>
      <c r="D42" s="26">
        <f t="shared" si="0"/>
        <v>0.35349999999999998</v>
      </c>
      <c r="E42" s="26">
        <f t="shared" si="1"/>
        <v>0.53749999999999998</v>
      </c>
      <c r="F42" s="26"/>
      <c r="G42" s="26">
        <v>0.35099999999999998</v>
      </c>
      <c r="H42" s="26">
        <f>0.0025</f>
        <v>2.5000000000000001E-3</v>
      </c>
      <c r="I42" s="26">
        <f t="shared" si="2"/>
        <v>0.35349999999999998</v>
      </c>
      <c r="J42" s="26">
        <f t="shared" si="3"/>
        <v>0.59750000000000003</v>
      </c>
      <c r="K42" s="26"/>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26"/>
      <c r="L43" s="14" t="s">
        <v>64</v>
      </c>
    </row>
    <row r="44" spans="1:12" x14ac:dyDescent="0.2">
      <c r="A44" s="14" t="s">
        <v>23</v>
      </c>
      <c r="B44" s="26">
        <v>0.28000000000000003</v>
      </c>
      <c r="C44" s="26"/>
      <c r="D44" s="26">
        <f t="shared" si="0"/>
        <v>0.28000000000000003</v>
      </c>
      <c r="E44" s="26">
        <f t="shared" si="1"/>
        <v>0.46400000000000002</v>
      </c>
      <c r="F44" s="26"/>
      <c r="G44" s="26">
        <v>0.28000000000000003</v>
      </c>
      <c r="H44" s="26"/>
      <c r="I44" s="26">
        <f t="shared" si="2"/>
        <v>0.28000000000000003</v>
      </c>
      <c r="J44" s="26">
        <f t="shared" si="3"/>
        <v>0.52400000000000002</v>
      </c>
      <c r="K44" s="26"/>
      <c r="L44" s="14"/>
    </row>
    <row r="45" spans="1:12" ht="27" x14ac:dyDescent="0.2">
      <c r="A45" s="22" t="s">
        <v>18</v>
      </c>
      <c r="B45" s="23">
        <v>0.19</v>
      </c>
      <c r="C45" s="26">
        <f>0.01</f>
        <v>0.01</v>
      </c>
      <c r="D45" s="26">
        <f t="shared" si="0"/>
        <v>0.2</v>
      </c>
      <c r="E45" s="26">
        <f t="shared" si="1"/>
        <v>0.38400000000000001</v>
      </c>
      <c r="F45" s="26"/>
      <c r="G45" s="23">
        <v>0.19</v>
      </c>
      <c r="H45" s="26">
        <f>0.01</f>
        <v>0.01</v>
      </c>
      <c r="I45" s="26">
        <f t="shared" si="2"/>
        <v>0.2</v>
      </c>
      <c r="J45" s="26">
        <f t="shared" si="3"/>
        <v>0.44400000000000006</v>
      </c>
      <c r="K45" s="26"/>
      <c r="L45" s="14" t="s">
        <v>65</v>
      </c>
    </row>
    <row r="46" spans="1:12" ht="27" x14ac:dyDescent="0.2">
      <c r="A46" s="14" t="s">
        <v>31</v>
      </c>
      <c r="B46" s="26">
        <v>0.34</v>
      </c>
      <c r="C46" s="26"/>
      <c r="D46" s="26">
        <f t="shared" si="0"/>
        <v>0.34</v>
      </c>
      <c r="E46" s="26">
        <f t="shared" si="1"/>
        <v>0.52400000000000002</v>
      </c>
      <c r="F46" s="26"/>
      <c r="G46" s="26">
        <v>0.34</v>
      </c>
      <c r="H46" s="26"/>
      <c r="I46" s="26">
        <f t="shared" si="2"/>
        <v>0.34</v>
      </c>
      <c r="J46" s="26">
        <f t="shared" si="3"/>
        <v>0.58400000000000007</v>
      </c>
      <c r="K46" s="26"/>
      <c r="L46" s="14" t="s">
        <v>66</v>
      </c>
    </row>
    <row r="47" spans="1:12" ht="37.5" customHeight="1" x14ac:dyDescent="0.2">
      <c r="A47" s="14" t="s">
        <v>12</v>
      </c>
      <c r="B47" s="26">
        <v>0.57599999999999996</v>
      </c>
      <c r="C47" s="26">
        <f>0.011</f>
        <v>1.0999999999999999E-2</v>
      </c>
      <c r="D47" s="26">
        <f t="shared" si="0"/>
        <v>0.58699999999999997</v>
      </c>
      <c r="E47" s="26">
        <f t="shared" si="1"/>
        <v>0.77099999999999991</v>
      </c>
      <c r="F47" s="26"/>
      <c r="G47" s="26">
        <v>0.74099999999999999</v>
      </c>
      <c r="H47" s="26">
        <f>0.011</f>
        <v>1.0999999999999999E-2</v>
      </c>
      <c r="I47" s="26">
        <f t="shared" si="2"/>
        <v>0.752</v>
      </c>
      <c r="J47" s="26">
        <f t="shared" si="3"/>
        <v>0.996</v>
      </c>
      <c r="K47" s="26"/>
      <c r="L47" s="14" t="s">
        <v>103</v>
      </c>
    </row>
    <row r="48" spans="1:12" ht="26.25" customHeight="1" x14ac:dyDescent="0.2">
      <c r="A48" s="14" t="s">
        <v>14</v>
      </c>
      <c r="B48" s="26">
        <v>0.33</v>
      </c>
      <c r="C48" s="26">
        <f>0.01+0.0012</f>
        <v>1.12E-2</v>
      </c>
      <c r="D48" s="26">
        <f t="shared" si="0"/>
        <v>0.3412</v>
      </c>
      <c r="E48" s="26">
        <f t="shared" si="1"/>
        <v>0.5252</v>
      </c>
      <c r="F48" s="26"/>
      <c r="G48" s="26">
        <v>0.33</v>
      </c>
      <c r="H48" s="26">
        <f>0.01+0.0012</f>
        <v>1.12E-2</v>
      </c>
      <c r="I48" s="26">
        <f t="shared" si="2"/>
        <v>0.3412</v>
      </c>
      <c r="J48" s="26">
        <f t="shared" si="3"/>
        <v>0.58520000000000005</v>
      </c>
      <c r="K48" s="26"/>
      <c r="L48" s="14" t="s">
        <v>83</v>
      </c>
    </row>
    <row r="49" spans="1:12" s="29" customFormat="1" x14ac:dyDescent="0.2">
      <c r="A49" s="22" t="s">
        <v>152</v>
      </c>
      <c r="B49" s="23">
        <v>0.2</v>
      </c>
      <c r="C49" s="26">
        <f>0.0025+0.005</f>
        <v>7.4999999999999997E-3</v>
      </c>
      <c r="D49" s="26">
        <f t="shared" si="0"/>
        <v>0.20750000000000002</v>
      </c>
      <c r="E49" s="26">
        <f t="shared" si="1"/>
        <v>0.39150000000000001</v>
      </c>
      <c r="F49" s="26"/>
      <c r="G49" s="23">
        <v>0.2</v>
      </c>
      <c r="H49" s="26">
        <f>0.0025+0.005</f>
        <v>7.4999999999999997E-3</v>
      </c>
      <c r="I49" s="26">
        <f t="shared" si="2"/>
        <v>0.20750000000000002</v>
      </c>
      <c r="J49" s="26">
        <f t="shared" si="3"/>
        <v>0.45150000000000001</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26"/>
      <c r="L50" s="14" t="s">
        <v>68</v>
      </c>
    </row>
    <row r="51" spans="1:12" x14ac:dyDescent="0.2">
      <c r="A51" s="22" t="s">
        <v>19</v>
      </c>
      <c r="B51" s="23">
        <v>0.25</v>
      </c>
      <c r="C51" s="26">
        <f>0.01+0.004</f>
        <v>1.4E-2</v>
      </c>
      <c r="D51" s="26">
        <f t="shared" si="0"/>
        <v>0.26400000000000001</v>
      </c>
      <c r="E51" s="26">
        <f t="shared" si="1"/>
        <v>0.44800000000000001</v>
      </c>
      <c r="F51" s="26"/>
      <c r="G51" s="23">
        <v>0.24</v>
      </c>
      <c r="H51" s="26">
        <f>0.01+0.004</f>
        <v>1.4E-2</v>
      </c>
      <c r="I51" s="26">
        <f t="shared" si="2"/>
        <v>0.254</v>
      </c>
      <c r="J51" s="26">
        <f t="shared" si="3"/>
        <v>0.498</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26"/>
      <c r="L52" s="14" t="s">
        <v>70</v>
      </c>
    </row>
    <row r="53" spans="1:12" x14ac:dyDescent="0.2">
      <c r="A53" s="14" t="s">
        <v>25</v>
      </c>
      <c r="B53" s="26">
        <v>0.29399999999999998</v>
      </c>
      <c r="C53" s="26">
        <f>0.0065</f>
        <v>6.4999999999999997E-3</v>
      </c>
      <c r="D53" s="26">
        <f t="shared" si="0"/>
        <v>0.30049999999999999</v>
      </c>
      <c r="E53" s="26">
        <f t="shared" si="1"/>
        <v>0.48449999999999999</v>
      </c>
      <c r="F53" s="26"/>
      <c r="G53" s="26">
        <v>0.29399999999999998</v>
      </c>
      <c r="H53" s="26">
        <f>0.0065</f>
        <v>6.4999999999999997E-3</v>
      </c>
      <c r="I53" s="26">
        <f t="shared" si="2"/>
        <v>0.30049999999999999</v>
      </c>
      <c r="J53" s="26">
        <f t="shared" si="3"/>
        <v>0.54449999999999998</v>
      </c>
      <c r="K53" s="26"/>
      <c r="L53" s="14" t="s">
        <v>71</v>
      </c>
    </row>
    <row r="54" spans="1:12" ht="40" x14ac:dyDescent="0.2">
      <c r="A54" s="22" t="s">
        <v>75</v>
      </c>
      <c r="B54" s="26">
        <v>0.121</v>
      </c>
      <c r="C54" s="23">
        <f>0.0472+0.134+0.01</f>
        <v>0.19120000000000001</v>
      </c>
      <c r="D54" s="26">
        <f t="shared" si="0"/>
        <v>0.31220000000000003</v>
      </c>
      <c r="E54" s="26">
        <f t="shared" si="1"/>
        <v>0.49620000000000003</v>
      </c>
      <c r="F54" s="26"/>
      <c r="G54" s="26">
        <v>0.28000000000000003</v>
      </c>
      <c r="H54" s="26">
        <f>0.01+0.03</f>
        <v>0.04</v>
      </c>
      <c r="I54" s="26">
        <f t="shared" si="2"/>
        <v>0.32</v>
      </c>
      <c r="J54" s="26">
        <f t="shared" si="3"/>
        <v>0.56400000000000006</v>
      </c>
      <c r="K54" s="26"/>
      <c r="L54" s="14" t="s">
        <v>153</v>
      </c>
    </row>
    <row r="55" spans="1:12" ht="27" x14ac:dyDescent="0.2">
      <c r="A55" s="14" t="s">
        <v>98</v>
      </c>
      <c r="B55" s="26">
        <v>0.16200000000000001</v>
      </c>
      <c r="C55" s="26">
        <f>0.006</f>
        <v>6.0000000000000001E-3</v>
      </c>
      <c r="D55" s="26">
        <f t="shared" si="0"/>
        <v>0.16800000000000001</v>
      </c>
      <c r="E55" s="26">
        <f t="shared" si="1"/>
        <v>0.35199999999999998</v>
      </c>
      <c r="F55" s="26"/>
      <c r="G55" s="26">
        <v>0.20199999999999999</v>
      </c>
      <c r="H55" s="26">
        <f>0.006</f>
        <v>6.0000000000000001E-3</v>
      </c>
      <c r="I55" s="26">
        <f t="shared" si="2"/>
        <v>0.20799999999999999</v>
      </c>
      <c r="J55" s="26">
        <f t="shared" si="3"/>
        <v>0.45200000000000001</v>
      </c>
      <c r="K55" s="26"/>
      <c r="L55" s="14" t="s">
        <v>84</v>
      </c>
    </row>
    <row r="56" spans="1:12" ht="40" x14ac:dyDescent="0.2">
      <c r="A56" s="14" t="s">
        <v>32</v>
      </c>
      <c r="B56" s="26">
        <v>0.49399999999999999</v>
      </c>
      <c r="C56" s="26">
        <f>0.0009523+0.000238</f>
        <v>1.1903E-3</v>
      </c>
      <c r="D56" s="26">
        <f t="shared" si="0"/>
        <v>0.49519029999999997</v>
      </c>
      <c r="E56" s="26">
        <f t="shared" si="1"/>
        <v>0.67919029999999991</v>
      </c>
      <c r="F56" s="26"/>
      <c r="G56" s="26">
        <v>0.49399999999999999</v>
      </c>
      <c r="H56" s="26">
        <f>0.0009523+0.000238</f>
        <v>1.1903E-3</v>
      </c>
      <c r="I56" s="26">
        <f t="shared" si="2"/>
        <v>0.49519029999999997</v>
      </c>
      <c r="J56" s="26">
        <f t="shared" si="3"/>
        <v>0.73919029999999997</v>
      </c>
      <c r="K56" s="26"/>
      <c r="L56" s="14" t="s">
        <v>101</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26"/>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26"/>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28"/>
      <c r="L59" s="27" t="s">
        <v>73</v>
      </c>
    </row>
    <row r="60" spans="1:12" x14ac:dyDescent="0.2">
      <c r="A60" s="14" t="s">
        <v>49</v>
      </c>
      <c r="B60" s="26">
        <v>0.35</v>
      </c>
      <c r="C60" s="26"/>
      <c r="D60" s="26">
        <f t="shared" si="0"/>
        <v>0.35</v>
      </c>
      <c r="E60" s="26"/>
      <c r="F60" s="26"/>
      <c r="G60" s="26">
        <v>0.315</v>
      </c>
      <c r="H60" s="26">
        <f>0.035</f>
        <v>3.5000000000000003E-2</v>
      </c>
      <c r="I60" s="26">
        <f t="shared" si="2"/>
        <v>0.35</v>
      </c>
      <c r="J60" s="26"/>
      <c r="K60" s="26"/>
      <c r="L60" s="14" t="s">
        <v>85</v>
      </c>
    </row>
    <row r="61" spans="1:12" ht="27" x14ac:dyDescent="0.2">
      <c r="A61" s="22" t="s">
        <v>50</v>
      </c>
      <c r="B61" s="23">
        <v>0.15</v>
      </c>
      <c r="C61" s="26">
        <f>0.04</f>
        <v>0.04</v>
      </c>
      <c r="D61" s="26">
        <f t="shared" si="0"/>
        <v>0.19</v>
      </c>
      <c r="E61" s="26"/>
      <c r="F61" s="26"/>
      <c r="G61" s="23">
        <v>0.14000000000000001</v>
      </c>
      <c r="H61" s="26">
        <f>0.04</f>
        <v>0.04</v>
      </c>
      <c r="I61" s="26">
        <f t="shared" si="2"/>
        <v>0.18000000000000002</v>
      </c>
      <c r="J61" s="26"/>
      <c r="K61" s="26"/>
      <c r="L61" s="14" t="s">
        <v>74</v>
      </c>
    </row>
    <row r="62" spans="1:12" ht="15" customHeight="1" x14ac:dyDescent="0.2">
      <c r="A62" s="14" t="s">
        <v>51</v>
      </c>
      <c r="B62" s="26">
        <v>0.15</v>
      </c>
      <c r="C62" s="26"/>
      <c r="D62" s="26">
        <f t="shared" si="0"/>
        <v>0.15</v>
      </c>
      <c r="E62" s="26"/>
      <c r="F62" s="26"/>
      <c r="G62" s="26">
        <v>0.15</v>
      </c>
      <c r="H62" s="26"/>
      <c r="I62" s="26">
        <f t="shared" si="2"/>
        <v>0.15</v>
      </c>
      <c r="J62" s="26"/>
      <c r="K62" s="26"/>
      <c r="L62" s="14" t="s">
        <v>85</v>
      </c>
    </row>
    <row r="63" spans="1:12" ht="14.25" customHeight="1" x14ac:dyDescent="0.2">
      <c r="A63" s="14" t="s">
        <v>52</v>
      </c>
      <c r="B63" s="26">
        <v>0.16</v>
      </c>
      <c r="C63" s="26"/>
      <c r="D63" s="26">
        <f t="shared" si="0"/>
        <v>0.16</v>
      </c>
      <c r="E63" s="26"/>
      <c r="F63" s="26"/>
      <c r="G63" s="26">
        <v>0.08</v>
      </c>
      <c r="H63" s="26"/>
      <c r="I63" s="26">
        <f t="shared" si="2"/>
        <v>0.08</v>
      </c>
      <c r="J63" s="26"/>
      <c r="K63" s="26"/>
      <c r="L63" s="14" t="s">
        <v>85</v>
      </c>
    </row>
    <row r="64" spans="1:12" ht="16" thickBot="1" x14ac:dyDescent="0.25">
      <c r="A64" s="14" t="s">
        <v>81</v>
      </c>
      <c r="B64" s="26">
        <v>0.14000000000000001</v>
      </c>
      <c r="C64" s="26"/>
      <c r="D64" s="26">
        <f t="shared" si="0"/>
        <v>0.14000000000000001</v>
      </c>
      <c r="E64" s="26"/>
      <c r="F64" s="26"/>
      <c r="G64" s="26">
        <v>0.14000000000000001</v>
      </c>
      <c r="H64" s="26"/>
      <c r="I64" s="26">
        <f t="shared" si="2"/>
        <v>0.14000000000000001</v>
      </c>
      <c r="J64" s="26"/>
      <c r="K64" s="26"/>
      <c r="L64" s="14" t="s">
        <v>85</v>
      </c>
    </row>
    <row r="65" spans="1:12" ht="65.25" customHeight="1" x14ac:dyDescent="0.2">
      <c r="A65" s="92" t="s">
        <v>154</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900-000000000000}"/>
  </hyperlinks>
  <pageMargins left="0.17" right="0.17" top="0.4" bottom="0.38" header="0.3" footer="0.3"/>
  <pageSetup paperSize="5"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155</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0.24182352941176477</v>
      </c>
      <c r="C8" s="24">
        <f>AVERAGE(C9:C59)</f>
        <v>4.7790861363636368E-2</v>
      </c>
      <c r="D8" s="32">
        <f>AVERAGE(D9:D59)</f>
        <v>0.28305486078431369</v>
      </c>
      <c r="E8" s="32">
        <f>AVERAGE(E9:E59)</f>
        <v>0.46705486078431391</v>
      </c>
      <c r="F8" s="3"/>
      <c r="G8" s="32">
        <f>AVERAGE(G9:G59)</f>
        <v>0.25286274509803919</v>
      </c>
      <c r="H8" s="32">
        <f>AVERAGE(H9:H59)</f>
        <v>4.6862506818181819E-2</v>
      </c>
      <c r="I8" s="32">
        <f>AVERAGE(I9:I59)</f>
        <v>0.29329314313725502</v>
      </c>
      <c r="J8" s="21">
        <f>AVERAGE(J9:J59)</f>
        <v>0.53729314313725507</v>
      </c>
      <c r="K8" s="32"/>
      <c r="L8" s="11"/>
    </row>
    <row r="9" spans="1:12" ht="40" x14ac:dyDescent="0.2">
      <c r="A9" s="14" t="s">
        <v>33</v>
      </c>
      <c r="B9" s="26">
        <v>0.18</v>
      </c>
      <c r="C9" s="26">
        <v>0.01</v>
      </c>
      <c r="D9" s="26">
        <f>$B9+$C9</f>
        <v>0.19</v>
      </c>
      <c r="E9" s="26">
        <f>$D9+$E$4</f>
        <v>0.374</v>
      </c>
      <c r="F9" s="26"/>
      <c r="G9" s="26">
        <v>0.19</v>
      </c>
      <c r="H9" s="26">
        <f>0.0075+0.01</f>
        <v>1.7500000000000002E-2</v>
      </c>
      <c r="I9" s="26">
        <f>$G9+$H9</f>
        <v>0.20750000000000002</v>
      </c>
      <c r="J9" s="26">
        <f>$I9+$J$4</f>
        <v>0.45150000000000001</v>
      </c>
      <c r="K9" s="33"/>
      <c r="L9" s="14" t="s">
        <v>156</v>
      </c>
    </row>
    <row r="10" spans="1:12" x14ac:dyDescent="0.2">
      <c r="A10" s="14" t="s">
        <v>111</v>
      </c>
      <c r="B10" s="26">
        <v>0.08</v>
      </c>
      <c r="C10" s="26">
        <f>0.0095</f>
        <v>9.4999999999999998E-3</v>
      </c>
      <c r="D10" s="26">
        <f t="shared" ref="D10:D64" si="0">$B10+$C10</f>
        <v>8.9499999999999996E-2</v>
      </c>
      <c r="E10" s="26">
        <f t="shared" ref="E10:E59" si="1">$D10+$E$4</f>
        <v>0.27349999999999997</v>
      </c>
      <c r="F10" s="26"/>
      <c r="G10" s="26">
        <v>0.08</v>
      </c>
      <c r="H10" s="26">
        <f>0.0095</f>
        <v>9.4999999999999998E-3</v>
      </c>
      <c r="I10" s="26">
        <f t="shared" ref="I10:I64" si="2">$G10+$H10</f>
        <v>8.9499999999999996E-2</v>
      </c>
      <c r="J10" s="26">
        <f t="shared" ref="J10:J59" si="3">$I10+$J$4</f>
        <v>0.33350000000000002</v>
      </c>
      <c r="K10" s="33"/>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33"/>
      <c r="L11" s="14" t="s">
        <v>54</v>
      </c>
    </row>
    <row r="12" spans="1:12" ht="27" x14ac:dyDescent="0.2">
      <c r="A12" s="14" t="s">
        <v>86</v>
      </c>
      <c r="B12" s="26">
        <v>0.215</v>
      </c>
      <c r="C12" s="26">
        <f>0.003</f>
        <v>3.0000000000000001E-3</v>
      </c>
      <c r="D12" s="26">
        <f t="shared" si="0"/>
        <v>0.218</v>
      </c>
      <c r="E12" s="26">
        <f t="shared" si="1"/>
        <v>0.40200000000000002</v>
      </c>
      <c r="F12" s="26"/>
      <c r="G12" s="26">
        <v>0.22500000000000001</v>
      </c>
      <c r="H12" s="26">
        <f>0.003</f>
        <v>3.0000000000000001E-3</v>
      </c>
      <c r="I12" s="26">
        <f t="shared" si="2"/>
        <v>0.22800000000000001</v>
      </c>
      <c r="J12" s="26">
        <f t="shared" si="3"/>
        <v>0.47200000000000003</v>
      </c>
      <c r="K12" s="33"/>
      <c r="L12" s="14" t="s">
        <v>55</v>
      </c>
    </row>
    <row r="13" spans="1:12" ht="52" x14ac:dyDescent="0.2">
      <c r="A13" s="22" t="s">
        <v>117</v>
      </c>
      <c r="B13" s="23">
        <v>0.41699999999999998</v>
      </c>
      <c r="C13" s="26">
        <f>0.05+0.02+0.00155</f>
        <v>7.1550000000000002E-2</v>
      </c>
      <c r="D13" s="26">
        <f t="shared" si="0"/>
        <v>0.48854999999999998</v>
      </c>
      <c r="E13" s="26">
        <f t="shared" si="1"/>
        <v>0.67254999999999998</v>
      </c>
      <c r="F13" s="26"/>
      <c r="G13" s="34">
        <v>0.36</v>
      </c>
      <c r="H13" s="23">
        <f>0.25+0.02+0.00155</f>
        <v>0.27155000000000001</v>
      </c>
      <c r="I13" s="26">
        <f t="shared" si="2"/>
        <v>0.63155000000000006</v>
      </c>
      <c r="J13" s="26">
        <f t="shared" si="3"/>
        <v>0.87555000000000005</v>
      </c>
      <c r="K13" s="33"/>
      <c r="L13" s="15" t="s">
        <v>157</v>
      </c>
    </row>
    <row r="14" spans="1:12" ht="27" x14ac:dyDescent="0.2">
      <c r="A14" s="35" t="s">
        <v>1</v>
      </c>
      <c r="B14" s="26">
        <v>0.22</v>
      </c>
      <c r="C14" s="23">
        <f>0.0125</f>
        <v>1.2500000000000001E-2</v>
      </c>
      <c r="D14" s="26">
        <f t="shared" si="0"/>
        <v>0.23250000000000001</v>
      </c>
      <c r="E14" s="26">
        <f t="shared" si="1"/>
        <v>0.41649999999999998</v>
      </c>
      <c r="F14" s="26"/>
      <c r="G14" s="26">
        <v>0.20499999999999999</v>
      </c>
      <c r="H14" s="23">
        <f>0.0125</f>
        <v>1.2500000000000001E-2</v>
      </c>
      <c r="I14" s="26">
        <f t="shared" si="2"/>
        <v>0.2175</v>
      </c>
      <c r="J14" s="26">
        <f t="shared" si="3"/>
        <v>0.46150000000000002</v>
      </c>
      <c r="K14" s="33"/>
      <c r="L14" s="14" t="s">
        <v>158</v>
      </c>
    </row>
    <row r="15" spans="1:12" ht="24.75" customHeight="1" x14ac:dyDescent="0.2">
      <c r="A15" s="14" t="s">
        <v>91</v>
      </c>
      <c r="B15" s="26">
        <v>0.25</v>
      </c>
      <c r="C15" s="26"/>
      <c r="D15" s="26">
        <f t="shared" si="0"/>
        <v>0.25</v>
      </c>
      <c r="E15" s="26">
        <f t="shared" si="1"/>
        <v>0.434</v>
      </c>
      <c r="F15" s="26"/>
      <c r="G15" s="26">
        <v>0.41699999999999998</v>
      </c>
      <c r="H15" s="26"/>
      <c r="I15" s="26">
        <f t="shared" si="2"/>
        <v>0.41699999999999998</v>
      </c>
      <c r="J15" s="26">
        <f t="shared" si="3"/>
        <v>0.66100000000000003</v>
      </c>
      <c r="K15" s="33"/>
      <c r="L15" s="14" t="s">
        <v>56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33"/>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33"/>
      <c r="L17" s="14"/>
    </row>
    <row r="18" spans="1:12" ht="66" x14ac:dyDescent="0.2">
      <c r="A18" s="35" t="s">
        <v>87</v>
      </c>
      <c r="B18" s="26">
        <v>0.04</v>
      </c>
      <c r="C18" s="34">
        <f>0.137+0.00125+0.06+0.076+0.00048+0.00119+0.01904</f>
        <v>0.29496</v>
      </c>
      <c r="D18" s="26">
        <f t="shared" si="0"/>
        <v>0.33495999999999998</v>
      </c>
      <c r="E18" s="26">
        <f t="shared" si="1"/>
        <v>0.51895999999999998</v>
      </c>
      <c r="F18" s="26"/>
      <c r="G18" s="26">
        <v>0.04</v>
      </c>
      <c r="H18" s="34">
        <f>0.137+0.01+0.06+0.076+0.00048+0.00119+0.01904</f>
        <v>0.30371000000000004</v>
      </c>
      <c r="I18" s="26">
        <f t="shared" si="2"/>
        <v>0.34371000000000002</v>
      </c>
      <c r="J18" s="26">
        <f t="shared" si="3"/>
        <v>0.58771000000000007</v>
      </c>
      <c r="K18" s="33"/>
      <c r="L18" s="14" t="s">
        <v>108</v>
      </c>
    </row>
    <row r="19" spans="1:12" ht="40" x14ac:dyDescent="0.2">
      <c r="A19" s="35" t="s">
        <v>88</v>
      </c>
      <c r="B19" s="34">
        <v>0.26800000000000002</v>
      </c>
      <c r="C19" s="26">
        <f>0.005</f>
        <v>5.0000000000000001E-3</v>
      </c>
      <c r="D19" s="26">
        <f t="shared" si="0"/>
        <v>0.27300000000000002</v>
      </c>
      <c r="E19" s="26">
        <f t="shared" si="1"/>
        <v>0.45700000000000002</v>
      </c>
      <c r="F19" s="26"/>
      <c r="G19" s="34">
        <v>0.3</v>
      </c>
      <c r="H19" s="26">
        <f>0.005</f>
        <v>5.0000000000000001E-3</v>
      </c>
      <c r="I19" s="26">
        <f t="shared" si="2"/>
        <v>0.30499999999999999</v>
      </c>
      <c r="J19" s="26">
        <f t="shared" si="3"/>
        <v>0.54900000000000004</v>
      </c>
      <c r="K19" s="33"/>
      <c r="L19" s="14" t="s">
        <v>112</v>
      </c>
    </row>
    <row r="20" spans="1:12" ht="27" x14ac:dyDescent="0.2">
      <c r="A20" s="35"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33"/>
      <c r="L20" s="14" t="s">
        <v>159</v>
      </c>
    </row>
    <row r="21" spans="1:12" x14ac:dyDescent="0.2">
      <c r="A21" s="14" t="s">
        <v>3</v>
      </c>
      <c r="B21" s="26">
        <v>0.32</v>
      </c>
      <c r="C21" s="26">
        <f>0.01</f>
        <v>0.01</v>
      </c>
      <c r="D21" s="26">
        <f>$B21+$C21</f>
        <v>0.33</v>
      </c>
      <c r="E21" s="26">
        <f t="shared" si="1"/>
        <v>0.51400000000000001</v>
      </c>
      <c r="F21" s="26"/>
      <c r="G21" s="26">
        <v>0.32</v>
      </c>
      <c r="H21" s="26">
        <f>0.01</f>
        <v>0.01</v>
      </c>
      <c r="I21" s="26">
        <f t="shared" si="2"/>
        <v>0.33</v>
      </c>
      <c r="J21" s="26">
        <f t="shared" si="3"/>
        <v>0.57400000000000007</v>
      </c>
      <c r="K21" s="33"/>
      <c r="L21" s="14" t="s">
        <v>58</v>
      </c>
    </row>
    <row r="22" spans="1:12" ht="40" x14ac:dyDescent="0.2">
      <c r="A22" s="22" t="s">
        <v>92</v>
      </c>
      <c r="B22" s="26">
        <v>0.19</v>
      </c>
      <c r="C22" s="23">
        <f>0.14+0.003+0.008</f>
        <v>0.15100000000000002</v>
      </c>
      <c r="D22" s="26">
        <f t="shared" si="0"/>
        <v>0.34100000000000003</v>
      </c>
      <c r="E22" s="26">
        <f t="shared" si="1"/>
        <v>0.52500000000000002</v>
      </c>
      <c r="F22" s="26"/>
      <c r="G22" s="26">
        <v>0.215</v>
      </c>
      <c r="H22" s="23">
        <f>0.14+0.003+0.008</f>
        <v>0.15100000000000002</v>
      </c>
      <c r="I22" s="26">
        <f t="shared" si="2"/>
        <v>0.36599999999999999</v>
      </c>
      <c r="J22" s="26">
        <f t="shared" si="3"/>
        <v>0.61</v>
      </c>
      <c r="K22" s="33"/>
      <c r="L22" s="14" t="s">
        <v>160</v>
      </c>
    </row>
    <row r="23" spans="1:12" ht="72.75" customHeight="1" x14ac:dyDescent="0.2">
      <c r="A23" s="22" t="s">
        <v>93</v>
      </c>
      <c r="B23" s="26">
        <v>0.28000000000000003</v>
      </c>
      <c r="C23" s="23">
        <f>0.136+0.01</f>
        <v>0.14600000000000002</v>
      </c>
      <c r="D23" s="26">
        <f t="shared" si="0"/>
        <v>0.42600000000000005</v>
      </c>
      <c r="E23" s="26">
        <f t="shared" si="1"/>
        <v>0.6100000000000001</v>
      </c>
      <c r="F23" s="26"/>
      <c r="G23" s="23">
        <v>0.26</v>
      </c>
      <c r="H23" s="26">
        <f>0.01</f>
        <v>0.01</v>
      </c>
      <c r="I23" s="26">
        <f t="shared" si="2"/>
        <v>0.27</v>
      </c>
      <c r="J23" s="26">
        <f t="shared" si="3"/>
        <v>0.51400000000000001</v>
      </c>
      <c r="K23" s="33"/>
      <c r="L23" s="14" t="s">
        <v>161</v>
      </c>
    </row>
    <row r="24" spans="1:12" ht="27" x14ac:dyDescent="0.2">
      <c r="A24" s="14" t="s">
        <v>94</v>
      </c>
      <c r="B24" s="26">
        <v>0.30499999999999999</v>
      </c>
      <c r="C24" s="26"/>
      <c r="D24" s="26">
        <f t="shared" si="0"/>
        <v>0.30499999999999999</v>
      </c>
      <c r="E24" s="26">
        <f t="shared" si="1"/>
        <v>0.48899999999999999</v>
      </c>
      <c r="F24" s="26"/>
      <c r="G24" s="26">
        <v>0.32500000000000001</v>
      </c>
      <c r="H24" s="26"/>
      <c r="I24" s="26">
        <f t="shared" si="2"/>
        <v>0.32500000000000001</v>
      </c>
      <c r="J24" s="26">
        <f t="shared" si="3"/>
        <v>0.56900000000000006</v>
      </c>
      <c r="K24" s="33"/>
      <c r="L24" s="14" t="s">
        <v>107</v>
      </c>
    </row>
    <row r="25" spans="1:12" ht="27" x14ac:dyDescent="0.2">
      <c r="A25" s="14" t="s">
        <v>5</v>
      </c>
      <c r="B25" s="26">
        <v>0.24</v>
      </c>
      <c r="C25" s="26">
        <f>0.01+0.0003</f>
        <v>1.03E-2</v>
      </c>
      <c r="D25" s="26">
        <f t="shared" si="0"/>
        <v>0.25029999999999997</v>
      </c>
      <c r="E25" s="26">
        <f t="shared" si="1"/>
        <v>0.43429999999999996</v>
      </c>
      <c r="F25" s="26"/>
      <c r="G25" s="26">
        <v>0.26</v>
      </c>
      <c r="H25" s="26">
        <f>0.01+0.0003</f>
        <v>1.03E-2</v>
      </c>
      <c r="I25" s="26">
        <f t="shared" si="2"/>
        <v>0.27029999999999998</v>
      </c>
      <c r="J25" s="26">
        <f t="shared" si="3"/>
        <v>0.51429999999999998</v>
      </c>
      <c r="K25" s="33"/>
      <c r="L25" s="14" t="s">
        <v>109</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33"/>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33"/>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33"/>
      <c r="L28" s="14" t="s">
        <v>105</v>
      </c>
    </row>
    <row r="29" spans="1:12" ht="27" x14ac:dyDescent="0.2">
      <c r="A29" s="14" t="s">
        <v>9</v>
      </c>
      <c r="B29" s="26">
        <v>0.251</v>
      </c>
      <c r="C29" s="26">
        <f>0.087+0.0019</f>
        <v>8.8899999999999993E-2</v>
      </c>
      <c r="D29" s="26">
        <f t="shared" si="0"/>
        <v>0.33989999999999998</v>
      </c>
      <c r="E29" s="26">
        <f t="shared" si="1"/>
        <v>0.52390000000000003</v>
      </c>
      <c r="F29" s="26"/>
      <c r="G29" s="26">
        <v>0.25850000000000001</v>
      </c>
      <c r="H29" s="26">
        <f>0.087+0.0019</f>
        <v>8.8899999999999993E-2</v>
      </c>
      <c r="I29" s="26">
        <f t="shared" si="2"/>
        <v>0.34739999999999999</v>
      </c>
      <c r="J29" s="26">
        <f t="shared" si="3"/>
        <v>0.59140000000000004</v>
      </c>
      <c r="K29" s="33"/>
      <c r="L29" s="14" t="s">
        <v>162</v>
      </c>
    </row>
    <row r="30" spans="1:12" ht="40" x14ac:dyDescent="0.2">
      <c r="A30" s="22" t="s">
        <v>36</v>
      </c>
      <c r="B30" s="26">
        <v>0.24</v>
      </c>
      <c r="C30" s="23">
        <f>0.026226+0.0012</f>
        <v>2.7425999999999999E-2</v>
      </c>
      <c r="D30" s="26">
        <f t="shared" si="0"/>
        <v>0.267426</v>
      </c>
      <c r="E30" s="26">
        <f t="shared" si="1"/>
        <v>0.45142599999999999</v>
      </c>
      <c r="F30" s="26"/>
      <c r="G30" s="26">
        <v>0.24</v>
      </c>
      <c r="H30" s="23">
        <f>0.026226+0.0012</f>
        <v>2.7425999999999999E-2</v>
      </c>
      <c r="I30" s="26">
        <f t="shared" si="2"/>
        <v>0.267426</v>
      </c>
      <c r="J30" s="26">
        <f t="shared" si="3"/>
        <v>0.51142600000000005</v>
      </c>
      <c r="K30" s="33"/>
      <c r="L30" s="14" t="s">
        <v>163</v>
      </c>
    </row>
    <row r="31" spans="1:12" ht="40" x14ac:dyDescent="0.2">
      <c r="A31" s="22" t="s">
        <v>95</v>
      </c>
      <c r="B31" s="26">
        <v>0.26300000000000001</v>
      </c>
      <c r="C31" s="23">
        <f>0.135+0.01</f>
        <v>0.14500000000000002</v>
      </c>
      <c r="D31" s="26">
        <f t="shared" si="0"/>
        <v>0.40800000000000003</v>
      </c>
      <c r="E31" s="26">
        <f t="shared" si="1"/>
        <v>0.59200000000000008</v>
      </c>
      <c r="F31" s="26"/>
      <c r="G31" s="26">
        <v>0.26300000000000001</v>
      </c>
      <c r="H31" s="23">
        <f>0.151+0.01</f>
        <v>0.161</v>
      </c>
      <c r="I31" s="26">
        <f t="shared" si="2"/>
        <v>0.42400000000000004</v>
      </c>
      <c r="J31" s="26">
        <f t="shared" si="3"/>
        <v>0.66800000000000004</v>
      </c>
      <c r="K31" s="33"/>
      <c r="L31" s="14" t="s">
        <v>164</v>
      </c>
    </row>
    <row r="32" spans="1:12" ht="27" x14ac:dyDescent="0.2">
      <c r="A32" s="22"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33"/>
      <c r="L32" s="14" t="s">
        <v>165</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33"/>
      <c r="L33" s="14" t="s">
        <v>60</v>
      </c>
    </row>
    <row r="34" spans="1:12" ht="27" x14ac:dyDescent="0.2">
      <c r="A34" s="22" t="s">
        <v>28</v>
      </c>
      <c r="B34" s="26">
        <v>0.17</v>
      </c>
      <c r="C34" s="26">
        <f>0.0007+0.0025</f>
        <v>3.2000000000000002E-3</v>
      </c>
      <c r="D34" s="26">
        <f t="shared" si="0"/>
        <v>0.17320000000000002</v>
      </c>
      <c r="E34" s="26">
        <f t="shared" si="1"/>
        <v>0.35720000000000002</v>
      </c>
      <c r="F34" s="26"/>
      <c r="G34" s="26">
        <v>0.17</v>
      </c>
      <c r="H34" s="26">
        <f>0.0007+0.0025</f>
        <v>3.2000000000000002E-3</v>
      </c>
      <c r="I34" s="26">
        <f t="shared" si="2"/>
        <v>0.17320000000000002</v>
      </c>
      <c r="J34" s="26">
        <f t="shared" si="3"/>
        <v>0.41720000000000002</v>
      </c>
      <c r="K34" s="33"/>
      <c r="L34" s="14" t="s">
        <v>166</v>
      </c>
    </row>
    <row r="35" spans="1:12" ht="27" x14ac:dyDescent="0.2">
      <c r="A35" s="14" t="s">
        <v>29</v>
      </c>
      <c r="B35" s="26">
        <v>0.315</v>
      </c>
      <c r="C35" s="26">
        <f>0.0075</f>
        <v>7.4999999999999997E-3</v>
      </c>
      <c r="D35" s="26">
        <f t="shared" si="0"/>
        <v>0.32250000000000001</v>
      </c>
      <c r="E35" s="26">
        <f t="shared" si="1"/>
        <v>0.50649999999999995</v>
      </c>
      <c r="F35" s="26"/>
      <c r="G35" s="26">
        <v>0.29249999999999998</v>
      </c>
      <c r="H35" s="26">
        <f>0.0075</f>
        <v>7.4999999999999997E-3</v>
      </c>
      <c r="I35" s="26">
        <f t="shared" si="2"/>
        <v>0.3</v>
      </c>
      <c r="J35" s="26">
        <f t="shared" si="3"/>
        <v>0.54400000000000004</v>
      </c>
      <c r="K35" s="33"/>
      <c r="L35" s="14" t="s">
        <v>61</v>
      </c>
    </row>
    <row r="36" spans="1:12" ht="27" x14ac:dyDescent="0.2">
      <c r="A36" s="22" t="s">
        <v>15</v>
      </c>
      <c r="B36" s="23">
        <v>0.28399999999999997</v>
      </c>
      <c r="C36" s="26">
        <f>0.009</f>
        <v>8.9999999999999993E-3</v>
      </c>
      <c r="D36" s="26">
        <f t="shared" si="0"/>
        <v>0.29299999999999998</v>
      </c>
      <c r="E36" s="26">
        <f t="shared" si="1"/>
        <v>0.47699999999999998</v>
      </c>
      <c r="F36" s="26"/>
      <c r="G36" s="23">
        <v>0.28399999999999997</v>
      </c>
      <c r="H36" s="26">
        <f>0.003</f>
        <v>3.0000000000000001E-3</v>
      </c>
      <c r="I36" s="26">
        <f t="shared" si="2"/>
        <v>0.28699999999999998</v>
      </c>
      <c r="J36" s="26">
        <f t="shared" si="3"/>
        <v>0.53100000000000003</v>
      </c>
      <c r="K36" s="33"/>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33"/>
      <c r="L37" s="14" t="s">
        <v>100</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33"/>
      <c r="L38" s="14" t="s">
        <v>79</v>
      </c>
    </row>
    <row r="39" spans="1:12" ht="40" x14ac:dyDescent="0.2">
      <c r="A39" s="14" t="s">
        <v>96</v>
      </c>
      <c r="B39" s="26">
        <v>0.105</v>
      </c>
      <c r="C39" s="26">
        <f>0.266+0.0005</f>
        <v>0.26650000000000001</v>
      </c>
      <c r="D39" s="26">
        <f t="shared" si="0"/>
        <v>0.3715</v>
      </c>
      <c r="E39" s="26">
        <f t="shared" si="1"/>
        <v>0.55549999999999999</v>
      </c>
      <c r="F39" s="26"/>
      <c r="G39" s="26">
        <v>0.13500000000000001</v>
      </c>
      <c r="H39" s="26">
        <f>0.307+0.0005</f>
        <v>0.3075</v>
      </c>
      <c r="I39" s="26">
        <f t="shared" si="2"/>
        <v>0.4425</v>
      </c>
      <c r="J39" s="26">
        <f t="shared" si="3"/>
        <v>0.6865</v>
      </c>
      <c r="K39" s="33"/>
      <c r="L39" s="14" t="s">
        <v>150</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33"/>
      <c r="L40" s="14" t="s">
        <v>63</v>
      </c>
    </row>
    <row r="41" spans="1:12" ht="92" x14ac:dyDescent="0.2">
      <c r="A41" s="22" t="s">
        <v>97</v>
      </c>
      <c r="B41" s="26">
        <v>0.08</v>
      </c>
      <c r="C41" s="23">
        <f>0.169+0.0005+0.08+0.003274</f>
        <v>0.252774</v>
      </c>
      <c r="D41" s="26">
        <f t="shared" si="0"/>
        <v>0.33277400000000001</v>
      </c>
      <c r="E41" s="26">
        <f t="shared" si="1"/>
        <v>0.51677400000000007</v>
      </c>
      <c r="F41" s="26"/>
      <c r="G41" s="26">
        <v>0.08</v>
      </c>
      <c r="H41" s="23">
        <f>0.1515+0.08+0.003274</f>
        <v>0.23477399999999998</v>
      </c>
      <c r="I41" s="26">
        <f t="shared" si="2"/>
        <v>0.314774</v>
      </c>
      <c r="J41" s="26">
        <f t="shared" si="3"/>
        <v>0.55877399999999999</v>
      </c>
      <c r="K41" s="33"/>
      <c r="L41" s="14" t="s">
        <v>167</v>
      </c>
    </row>
    <row r="42" spans="1:12" x14ac:dyDescent="0.2">
      <c r="A42" s="22" t="s">
        <v>17</v>
      </c>
      <c r="B42" s="23">
        <v>0.35099999999999998</v>
      </c>
      <c r="C42" s="26">
        <f>0.0025</f>
        <v>2.5000000000000001E-3</v>
      </c>
      <c r="D42" s="26">
        <f t="shared" si="0"/>
        <v>0.35349999999999998</v>
      </c>
      <c r="E42" s="26">
        <f t="shared" si="1"/>
        <v>0.53749999999999998</v>
      </c>
      <c r="F42" s="26"/>
      <c r="G42" s="23">
        <v>0.35099999999999998</v>
      </c>
      <c r="H42" s="26">
        <f>0.0025</f>
        <v>2.5000000000000001E-3</v>
      </c>
      <c r="I42" s="26">
        <f t="shared" si="2"/>
        <v>0.35349999999999998</v>
      </c>
      <c r="J42" s="26">
        <f t="shared" si="3"/>
        <v>0.59750000000000003</v>
      </c>
      <c r="K42" s="33"/>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33"/>
      <c r="L43" s="14" t="s">
        <v>64</v>
      </c>
    </row>
    <row r="44" spans="1:12" x14ac:dyDescent="0.2">
      <c r="A44" s="14" t="s">
        <v>23</v>
      </c>
      <c r="B44" s="26">
        <v>0.28000000000000003</v>
      </c>
      <c r="C44" s="26"/>
      <c r="D44" s="26">
        <f t="shared" si="0"/>
        <v>0.28000000000000003</v>
      </c>
      <c r="E44" s="26">
        <f t="shared" si="1"/>
        <v>0.46400000000000002</v>
      </c>
      <c r="F44" s="26"/>
      <c r="G44" s="26">
        <v>0.28000000000000003</v>
      </c>
      <c r="H44" s="26"/>
      <c r="I44" s="26">
        <f t="shared" si="2"/>
        <v>0.28000000000000003</v>
      </c>
      <c r="J44" s="26">
        <f t="shared" si="3"/>
        <v>0.52400000000000002</v>
      </c>
      <c r="K44" s="33"/>
      <c r="L44" s="14"/>
    </row>
    <row r="45" spans="1:12" ht="27" x14ac:dyDescent="0.2">
      <c r="A45" s="14" t="s">
        <v>18</v>
      </c>
      <c r="B45" s="26">
        <v>0.16</v>
      </c>
      <c r="C45" s="26">
        <f>0.01</f>
        <v>0.01</v>
      </c>
      <c r="D45" s="26">
        <f t="shared" si="0"/>
        <v>0.17</v>
      </c>
      <c r="E45" s="26">
        <f t="shared" si="1"/>
        <v>0.35399999999999998</v>
      </c>
      <c r="F45" s="26"/>
      <c r="G45" s="26">
        <v>0.13</v>
      </c>
      <c r="H45" s="26">
        <f>0.01</f>
        <v>0.01</v>
      </c>
      <c r="I45" s="26">
        <f t="shared" si="2"/>
        <v>0.14000000000000001</v>
      </c>
      <c r="J45" s="26">
        <f t="shared" si="3"/>
        <v>0.38400000000000001</v>
      </c>
      <c r="K45" s="33"/>
      <c r="L45" s="14" t="s">
        <v>65</v>
      </c>
    </row>
    <row r="46" spans="1:12" ht="27" x14ac:dyDescent="0.2">
      <c r="A46" s="22" t="s">
        <v>31</v>
      </c>
      <c r="B46" s="23">
        <v>0.34</v>
      </c>
      <c r="C46" s="26"/>
      <c r="D46" s="26">
        <f t="shared" si="0"/>
        <v>0.34</v>
      </c>
      <c r="E46" s="26">
        <f t="shared" si="1"/>
        <v>0.52400000000000002</v>
      </c>
      <c r="F46" s="26"/>
      <c r="G46" s="23">
        <v>0.34</v>
      </c>
      <c r="H46" s="26"/>
      <c r="I46" s="26">
        <f t="shared" si="2"/>
        <v>0.34</v>
      </c>
      <c r="J46" s="26">
        <f t="shared" si="3"/>
        <v>0.58400000000000007</v>
      </c>
      <c r="K46" s="33"/>
      <c r="L46" s="14" t="s">
        <v>66</v>
      </c>
    </row>
    <row r="47" spans="1:12" ht="37.5" customHeight="1" x14ac:dyDescent="0.2">
      <c r="A47" s="22" t="s">
        <v>12</v>
      </c>
      <c r="B47" s="23">
        <v>0.57599999999999996</v>
      </c>
      <c r="C47" s="26">
        <f>0.011</f>
        <v>1.0999999999999999E-2</v>
      </c>
      <c r="D47" s="26">
        <f t="shared" si="0"/>
        <v>0.58699999999999997</v>
      </c>
      <c r="E47" s="26">
        <f t="shared" si="1"/>
        <v>0.77099999999999991</v>
      </c>
      <c r="F47" s="26"/>
      <c r="G47" s="23">
        <v>0.74099999999999999</v>
      </c>
      <c r="H47" s="26">
        <f>0.011</f>
        <v>1.0999999999999999E-2</v>
      </c>
      <c r="I47" s="26">
        <f t="shared" si="2"/>
        <v>0.752</v>
      </c>
      <c r="J47" s="26">
        <f t="shared" si="3"/>
        <v>0.996</v>
      </c>
      <c r="K47" s="33"/>
      <c r="L47" s="14" t="s">
        <v>103</v>
      </c>
    </row>
    <row r="48" spans="1:12" ht="26.25" customHeight="1" x14ac:dyDescent="0.2">
      <c r="A48" s="14" t="s">
        <v>14</v>
      </c>
      <c r="B48" s="26">
        <v>0.33</v>
      </c>
      <c r="C48" s="26">
        <f>0.01+0.0012</f>
        <v>1.12E-2</v>
      </c>
      <c r="D48" s="26">
        <f t="shared" si="0"/>
        <v>0.3412</v>
      </c>
      <c r="E48" s="26">
        <f t="shared" si="1"/>
        <v>0.5252</v>
      </c>
      <c r="F48" s="26"/>
      <c r="G48" s="26">
        <v>0.33</v>
      </c>
      <c r="H48" s="26">
        <f>0.01+0.0012</f>
        <v>1.12E-2</v>
      </c>
      <c r="I48" s="26">
        <f t="shared" si="2"/>
        <v>0.3412</v>
      </c>
      <c r="J48" s="26">
        <f t="shared" si="3"/>
        <v>0.58520000000000005</v>
      </c>
      <c r="K48" s="33"/>
      <c r="L48" s="14" t="s">
        <v>83</v>
      </c>
    </row>
    <row r="49" spans="1:12" s="29" customFormat="1" x14ac:dyDescent="0.2">
      <c r="A49" s="14" t="s">
        <v>119</v>
      </c>
      <c r="B49" s="26">
        <v>0.18</v>
      </c>
      <c r="C49" s="26">
        <f>0.0025+0.005</f>
        <v>7.4999999999999997E-3</v>
      </c>
      <c r="D49" s="26">
        <f t="shared" si="0"/>
        <v>0.1875</v>
      </c>
      <c r="E49" s="26">
        <f t="shared" si="1"/>
        <v>0.3715</v>
      </c>
      <c r="F49" s="26"/>
      <c r="G49" s="26">
        <v>0.18</v>
      </c>
      <c r="H49" s="26">
        <f>0.0025+0.005</f>
        <v>7.4999999999999997E-3</v>
      </c>
      <c r="I49" s="26">
        <f t="shared" si="2"/>
        <v>0.1875</v>
      </c>
      <c r="J49" s="26">
        <f t="shared" si="3"/>
        <v>0.43149999999999999</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33"/>
      <c r="L50" s="14" t="s">
        <v>68</v>
      </c>
    </row>
    <row r="51" spans="1:12" x14ac:dyDescent="0.2">
      <c r="A51" s="14" t="s">
        <v>19</v>
      </c>
      <c r="B51" s="26">
        <v>0.24</v>
      </c>
      <c r="C51" s="26">
        <f>0.01+0.004</f>
        <v>1.4E-2</v>
      </c>
      <c r="D51" s="26">
        <f t="shared" si="0"/>
        <v>0.254</v>
      </c>
      <c r="E51" s="26">
        <f t="shared" si="1"/>
        <v>0.438</v>
      </c>
      <c r="F51" s="26"/>
      <c r="G51" s="26">
        <v>0.21</v>
      </c>
      <c r="H51" s="26">
        <f>0.01+0.004</f>
        <v>1.4E-2</v>
      </c>
      <c r="I51" s="26">
        <f t="shared" si="2"/>
        <v>0.224</v>
      </c>
      <c r="J51" s="26">
        <f t="shared" si="3"/>
        <v>0.46800000000000003</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33"/>
      <c r="L52" s="14" t="s">
        <v>70</v>
      </c>
    </row>
    <row r="53" spans="1:12" x14ac:dyDescent="0.2">
      <c r="A53" s="14" t="s">
        <v>25</v>
      </c>
      <c r="B53" s="26">
        <v>0.29399999999999998</v>
      </c>
      <c r="C53" s="26">
        <f>0.0065</f>
        <v>6.4999999999999997E-3</v>
      </c>
      <c r="D53" s="26">
        <f t="shared" si="0"/>
        <v>0.30049999999999999</v>
      </c>
      <c r="E53" s="26">
        <f t="shared" si="1"/>
        <v>0.48449999999999999</v>
      </c>
      <c r="F53" s="26"/>
      <c r="G53" s="26">
        <v>0.29399999999999998</v>
      </c>
      <c r="H53" s="26">
        <f>0.0065</f>
        <v>6.4999999999999997E-3</v>
      </c>
      <c r="I53" s="26">
        <f t="shared" si="2"/>
        <v>0.30049999999999999</v>
      </c>
      <c r="J53" s="26">
        <f t="shared" si="3"/>
        <v>0.54449999999999998</v>
      </c>
      <c r="K53" s="33"/>
      <c r="L53" s="14" t="s">
        <v>71</v>
      </c>
    </row>
    <row r="54" spans="1:12" ht="40" x14ac:dyDescent="0.2">
      <c r="A54" s="22" t="s">
        <v>75</v>
      </c>
      <c r="B54" s="26">
        <v>0.121</v>
      </c>
      <c r="C54" s="23">
        <f>0.0422+0.134+0.01</f>
        <v>0.18620000000000003</v>
      </c>
      <c r="D54" s="26">
        <f t="shared" si="0"/>
        <v>0.30720000000000003</v>
      </c>
      <c r="E54" s="26">
        <f t="shared" si="1"/>
        <v>0.49120000000000003</v>
      </c>
      <c r="F54" s="26"/>
      <c r="G54" s="26">
        <v>0.28000000000000003</v>
      </c>
      <c r="H54" s="26">
        <f>0.01+0.03</f>
        <v>0.04</v>
      </c>
      <c r="I54" s="26">
        <f t="shared" si="2"/>
        <v>0.32</v>
      </c>
      <c r="J54" s="26">
        <f t="shared" si="3"/>
        <v>0.56400000000000006</v>
      </c>
      <c r="K54" s="33"/>
      <c r="L54" s="14" t="s">
        <v>168</v>
      </c>
    </row>
    <row r="55" spans="1:12" ht="27" x14ac:dyDescent="0.2">
      <c r="A55" s="14" t="s">
        <v>98</v>
      </c>
      <c r="B55" s="26">
        <v>0.16200000000000001</v>
      </c>
      <c r="C55" s="26">
        <f>0.006</f>
        <v>6.0000000000000001E-3</v>
      </c>
      <c r="D55" s="26">
        <f t="shared" si="0"/>
        <v>0.16800000000000001</v>
      </c>
      <c r="E55" s="26">
        <f t="shared" si="1"/>
        <v>0.35199999999999998</v>
      </c>
      <c r="F55" s="26"/>
      <c r="G55" s="26">
        <v>0.20199999999999999</v>
      </c>
      <c r="H55" s="26">
        <f>0.006</f>
        <v>6.0000000000000001E-3</v>
      </c>
      <c r="I55" s="26">
        <f t="shared" si="2"/>
        <v>0.20799999999999999</v>
      </c>
      <c r="J55" s="26">
        <f t="shared" si="3"/>
        <v>0.45200000000000001</v>
      </c>
      <c r="K55" s="33"/>
      <c r="L55" s="14" t="s">
        <v>84</v>
      </c>
    </row>
    <row r="56" spans="1:12" ht="40" x14ac:dyDescent="0.2">
      <c r="A56" s="14" t="s">
        <v>32</v>
      </c>
      <c r="B56" s="26">
        <v>0.49399999999999999</v>
      </c>
      <c r="C56" s="26">
        <f>0.0009523+0.000238</f>
        <v>1.1903E-3</v>
      </c>
      <c r="D56" s="26">
        <f t="shared" si="0"/>
        <v>0.49519029999999997</v>
      </c>
      <c r="E56" s="26">
        <f t="shared" si="1"/>
        <v>0.67919029999999991</v>
      </c>
      <c r="F56" s="26"/>
      <c r="G56" s="26">
        <v>0.49399999999999999</v>
      </c>
      <c r="H56" s="26">
        <f>0.0009523+0.000238</f>
        <v>1.1903E-3</v>
      </c>
      <c r="I56" s="26">
        <f t="shared" si="2"/>
        <v>0.49519029999999997</v>
      </c>
      <c r="J56" s="26">
        <f t="shared" si="3"/>
        <v>0.73919029999999997</v>
      </c>
      <c r="K56" s="33"/>
      <c r="L56" s="14" t="s">
        <v>101</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33"/>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33"/>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36"/>
      <c r="L59" s="27" t="s">
        <v>73</v>
      </c>
    </row>
    <row r="60" spans="1:12" x14ac:dyDescent="0.2">
      <c r="A60" s="37" t="s">
        <v>49</v>
      </c>
      <c r="B60" s="38">
        <v>0.35</v>
      </c>
      <c r="C60" s="38"/>
      <c r="D60" s="38">
        <f t="shared" si="0"/>
        <v>0.35</v>
      </c>
      <c r="E60" s="38"/>
      <c r="F60" s="38"/>
      <c r="G60" s="38">
        <v>0.315</v>
      </c>
      <c r="H60" s="38">
        <f>0.035</f>
        <v>3.5000000000000003E-2</v>
      </c>
      <c r="I60" s="38">
        <f t="shared" si="2"/>
        <v>0.35</v>
      </c>
      <c r="J60" s="38"/>
      <c r="K60" s="38"/>
      <c r="L60" s="14" t="s">
        <v>85</v>
      </c>
    </row>
    <row r="61" spans="1:12" ht="27" x14ac:dyDescent="0.2">
      <c r="A61" s="39" t="s">
        <v>50</v>
      </c>
      <c r="B61" s="33">
        <v>0.11</v>
      </c>
      <c r="C61" s="33">
        <f>0.04</f>
        <v>0.04</v>
      </c>
      <c r="D61" s="33">
        <f t="shared" si="0"/>
        <v>0.15</v>
      </c>
      <c r="E61" s="33"/>
      <c r="F61" s="33"/>
      <c r="G61" s="33">
        <v>0.1</v>
      </c>
      <c r="H61" s="33">
        <f>0.04</f>
        <v>0.04</v>
      </c>
      <c r="I61" s="33">
        <f t="shared" si="2"/>
        <v>0.14000000000000001</v>
      </c>
      <c r="J61" s="33"/>
      <c r="K61" s="33"/>
      <c r="L61" s="14" t="s">
        <v>74</v>
      </c>
    </row>
    <row r="62" spans="1:12" ht="15" customHeight="1" x14ac:dyDescent="0.2">
      <c r="A62" s="39" t="s">
        <v>51</v>
      </c>
      <c r="B62" s="33">
        <v>0.15</v>
      </c>
      <c r="C62" s="33"/>
      <c r="D62" s="33">
        <f t="shared" si="0"/>
        <v>0.15</v>
      </c>
      <c r="E62" s="33"/>
      <c r="F62" s="33"/>
      <c r="G62" s="33">
        <v>0.15</v>
      </c>
      <c r="H62" s="33"/>
      <c r="I62" s="33">
        <f t="shared" si="2"/>
        <v>0.15</v>
      </c>
      <c r="J62" s="33"/>
      <c r="K62" s="33"/>
      <c r="L62" s="14" t="s">
        <v>85</v>
      </c>
    </row>
    <row r="63" spans="1:12" ht="14.25" customHeight="1" x14ac:dyDescent="0.2">
      <c r="A63" s="39" t="s">
        <v>52</v>
      </c>
      <c r="B63" s="33">
        <v>0.16</v>
      </c>
      <c r="C63" s="33"/>
      <c r="D63" s="33">
        <f t="shared" si="0"/>
        <v>0.16</v>
      </c>
      <c r="E63" s="33"/>
      <c r="F63" s="33"/>
      <c r="G63" s="33">
        <v>0.08</v>
      </c>
      <c r="H63" s="33"/>
      <c r="I63" s="33">
        <f t="shared" si="2"/>
        <v>0.08</v>
      </c>
      <c r="J63" s="33"/>
      <c r="K63" s="33"/>
      <c r="L63" s="14" t="s">
        <v>85</v>
      </c>
    </row>
    <row r="64" spans="1:12" ht="16" thickBot="1" x14ac:dyDescent="0.25">
      <c r="A64" s="39" t="s">
        <v>81</v>
      </c>
      <c r="B64" s="33">
        <v>0.14000000000000001</v>
      </c>
      <c r="C64" s="33"/>
      <c r="D64" s="33">
        <f t="shared" si="0"/>
        <v>0.14000000000000001</v>
      </c>
      <c r="E64" s="33"/>
      <c r="F64" s="33"/>
      <c r="G64" s="33">
        <v>0.14000000000000001</v>
      </c>
      <c r="H64" s="33"/>
      <c r="I64" s="33">
        <f t="shared" si="2"/>
        <v>0.14000000000000001</v>
      </c>
      <c r="J64" s="33"/>
      <c r="K64" s="33"/>
      <c r="L64" s="14" t="s">
        <v>85</v>
      </c>
    </row>
    <row r="65" spans="1:12" ht="66.75" customHeight="1" x14ac:dyDescent="0.2">
      <c r="A65" s="92" t="s">
        <v>169</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A00-000000000000}"/>
  </hyperlinks>
  <pageMargins left="0.17" right="0.17" top="0.4" bottom="0.38" header="0.3" footer="0.3"/>
  <pageSetup paperSize="5"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1"/>
  <sheetViews>
    <sheetView showGridLines="0" tabSelected="1" zoomScaleNormal="100" workbookViewId="0">
      <pane ySplit="8" topLeftCell="A9" activePane="bottomLeft" state="frozen"/>
      <selection pane="bottomLeft" activeCell="L9" sqref="L9"/>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170</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0.23827450980392162</v>
      </c>
      <c r="C8" s="24">
        <f>AVERAGE(C9:C59)</f>
        <v>4.664392954545455E-2</v>
      </c>
      <c r="D8" s="32">
        <f>AVERAGE(D9:D59)</f>
        <v>0.278516331372549</v>
      </c>
      <c r="E8" s="32">
        <f>AVERAGE(E9:E59)</f>
        <v>0.46251633137254916</v>
      </c>
      <c r="F8" s="3"/>
      <c r="G8" s="32">
        <f>AVERAGE(G9:G59)</f>
        <v>0.24811764705882353</v>
      </c>
      <c r="H8" s="32">
        <f>AVERAGE(H9:H59)</f>
        <v>4.4161120454545462E-2</v>
      </c>
      <c r="I8" s="32">
        <f>AVERAGE(I9:I59)</f>
        <v>0.28621743725490195</v>
      </c>
      <c r="J8" s="21">
        <f>AVERAGE(J9:J59)</f>
        <v>0.53021743725490211</v>
      </c>
      <c r="K8" s="32"/>
      <c r="L8" s="11"/>
    </row>
    <row r="9" spans="1:12" ht="40" x14ac:dyDescent="0.2">
      <c r="A9" s="14" t="s">
        <v>33</v>
      </c>
      <c r="B9" s="26">
        <v>0.18</v>
      </c>
      <c r="C9" s="26">
        <v>0.01</v>
      </c>
      <c r="D9" s="26">
        <f>$B9+$C9</f>
        <v>0.19</v>
      </c>
      <c r="E9" s="26">
        <f>$D9+$E$4</f>
        <v>0.374</v>
      </c>
      <c r="F9" s="26"/>
      <c r="G9" s="26">
        <v>0.19</v>
      </c>
      <c r="H9" s="26">
        <f>0.0075+0.01</f>
        <v>1.7500000000000002E-2</v>
      </c>
      <c r="I9" s="26">
        <f>$G9+$H9</f>
        <v>0.20750000000000002</v>
      </c>
      <c r="J9" s="26">
        <f>$I9+$J$4</f>
        <v>0.45150000000000001</v>
      </c>
      <c r="K9" s="33"/>
      <c r="L9" s="14" t="s">
        <v>156</v>
      </c>
    </row>
    <row r="10" spans="1:12" x14ac:dyDescent="0.2">
      <c r="A10" s="14" t="s">
        <v>171</v>
      </c>
      <c r="B10" s="26">
        <v>0.08</v>
      </c>
      <c r="C10" s="26">
        <f>0.0095</f>
        <v>9.4999999999999998E-3</v>
      </c>
      <c r="D10" s="26">
        <f t="shared" ref="D10:D64" si="0">$B10+$C10</f>
        <v>8.9499999999999996E-2</v>
      </c>
      <c r="E10" s="26">
        <f t="shared" ref="E10:E59" si="1">$D10+$E$4</f>
        <v>0.27349999999999997</v>
      </c>
      <c r="F10" s="26"/>
      <c r="G10" s="26">
        <v>0.08</v>
      </c>
      <c r="H10" s="26">
        <f>0.0095</f>
        <v>9.4999999999999998E-3</v>
      </c>
      <c r="I10" s="26">
        <f t="shared" ref="I10:I64" si="2">$G10+$H10</f>
        <v>8.9499999999999996E-2</v>
      </c>
      <c r="J10" s="26">
        <f t="shared" ref="J10:J59" si="3">$I10+$J$4</f>
        <v>0.33350000000000002</v>
      </c>
      <c r="K10" s="33"/>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33"/>
      <c r="L11" s="14" t="s">
        <v>54</v>
      </c>
    </row>
    <row r="12" spans="1:12" ht="27" x14ac:dyDescent="0.2">
      <c r="A12" s="14" t="s">
        <v>86</v>
      </c>
      <c r="B12" s="26">
        <v>0.215</v>
      </c>
      <c r="C12" s="26">
        <f>0.003</f>
        <v>3.0000000000000001E-3</v>
      </c>
      <c r="D12" s="26">
        <f t="shared" si="0"/>
        <v>0.218</v>
      </c>
      <c r="E12" s="26">
        <f t="shared" si="1"/>
        <v>0.40200000000000002</v>
      </c>
      <c r="F12" s="26"/>
      <c r="G12" s="26">
        <v>0.22500000000000001</v>
      </c>
      <c r="H12" s="26">
        <f>0.003</f>
        <v>3.0000000000000001E-3</v>
      </c>
      <c r="I12" s="26">
        <f t="shared" si="2"/>
        <v>0.22800000000000001</v>
      </c>
      <c r="J12" s="26">
        <f t="shared" si="3"/>
        <v>0.47200000000000003</v>
      </c>
      <c r="K12" s="33"/>
      <c r="L12" s="14" t="s">
        <v>55</v>
      </c>
    </row>
    <row r="13" spans="1:12" ht="65" x14ac:dyDescent="0.2">
      <c r="A13" s="22" t="s">
        <v>117</v>
      </c>
      <c r="B13" s="23">
        <v>0.29699999999999999</v>
      </c>
      <c r="C13" s="26">
        <f>0.05+0.02+0.00155</f>
        <v>7.1550000000000002E-2</v>
      </c>
      <c r="D13" s="26">
        <f t="shared" si="0"/>
        <v>0.36854999999999999</v>
      </c>
      <c r="E13" s="26">
        <f t="shared" si="1"/>
        <v>0.55254999999999999</v>
      </c>
      <c r="F13" s="26"/>
      <c r="G13" s="26">
        <v>0.16</v>
      </c>
      <c r="H13" s="23">
        <f>0.18+0.02+0.00155</f>
        <v>0.20154999999999998</v>
      </c>
      <c r="I13" s="26">
        <f t="shared" si="2"/>
        <v>0.36154999999999998</v>
      </c>
      <c r="J13" s="26">
        <f t="shared" si="3"/>
        <v>0.60555000000000003</v>
      </c>
      <c r="K13" s="33"/>
      <c r="L13" s="15" t="s">
        <v>172</v>
      </c>
    </row>
    <row r="14" spans="1:12" ht="27" x14ac:dyDescent="0.2">
      <c r="A14" s="14" t="s">
        <v>1</v>
      </c>
      <c r="B14" s="26">
        <v>0.22</v>
      </c>
      <c r="C14" s="23">
        <f>0.0094</f>
        <v>9.4000000000000004E-3</v>
      </c>
      <c r="D14" s="26">
        <f t="shared" si="0"/>
        <v>0.22939999999999999</v>
      </c>
      <c r="E14" s="26">
        <f t="shared" si="1"/>
        <v>0.41339999999999999</v>
      </c>
      <c r="F14" s="26"/>
      <c r="G14" s="26">
        <v>0.20499999999999999</v>
      </c>
      <c r="H14" s="23">
        <f>0.0094</f>
        <v>9.4000000000000004E-3</v>
      </c>
      <c r="I14" s="26">
        <f t="shared" si="2"/>
        <v>0.21439999999999998</v>
      </c>
      <c r="J14" s="26">
        <f t="shared" si="3"/>
        <v>0.45840000000000003</v>
      </c>
      <c r="K14" s="33"/>
      <c r="L14" s="14" t="s">
        <v>173</v>
      </c>
    </row>
    <row r="15" spans="1:12" ht="24.75" customHeight="1" x14ac:dyDescent="0.2">
      <c r="A15" s="14" t="s">
        <v>91</v>
      </c>
      <c r="B15" s="26">
        <v>0.25</v>
      </c>
      <c r="C15" s="26"/>
      <c r="D15" s="26">
        <f t="shared" si="0"/>
        <v>0.25</v>
      </c>
      <c r="E15" s="26">
        <f t="shared" si="1"/>
        <v>0.434</v>
      </c>
      <c r="F15" s="26"/>
      <c r="G15" s="26">
        <v>0.41699999999999998</v>
      </c>
      <c r="H15" s="26"/>
      <c r="I15" s="26">
        <f t="shared" si="2"/>
        <v>0.41699999999999998</v>
      </c>
      <c r="J15" s="26">
        <f t="shared" si="3"/>
        <v>0.66100000000000003</v>
      </c>
      <c r="K15" s="33"/>
      <c r="L15" s="14" t="s">
        <v>56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33"/>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33"/>
      <c r="L17" s="14"/>
    </row>
    <row r="18" spans="1:12" ht="66" x14ac:dyDescent="0.2">
      <c r="A18" s="14" t="s">
        <v>87</v>
      </c>
      <c r="B18" s="26">
        <v>0.04</v>
      </c>
      <c r="C18" s="26">
        <f>0.134+0.00125+0.06+0.074+0.00048+0.00119+0.01904</f>
        <v>0.28996</v>
      </c>
      <c r="D18" s="26">
        <f t="shared" si="0"/>
        <v>0.32995999999999998</v>
      </c>
      <c r="E18" s="26">
        <f t="shared" si="1"/>
        <v>0.51395999999999997</v>
      </c>
      <c r="F18" s="26"/>
      <c r="G18" s="26">
        <v>0.04</v>
      </c>
      <c r="H18" s="26">
        <f>0.134+0.01+0.06+0.074+0.00048+0.00119+0.01904</f>
        <v>0.29871000000000003</v>
      </c>
      <c r="I18" s="26">
        <f t="shared" si="2"/>
        <v>0.33871000000000001</v>
      </c>
      <c r="J18" s="26">
        <f t="shared" si="3"/>
        <v>0.58271000000000006</v>
      </c>
      <c r="K18" s="33"/>
      <c r="L18" s="14" t="s">
        <v>174</v>
      </c>
    </row>
    <row r="19" spans="1:12" ht="40" x14ac:dyDescent="0.2">
      <c r="A19" s="14" t="s">
        <v>88</v>
      </c>
      <c r="B19" s="26">
        <v>0.26300000000000001</v>
      </c>
      <c r="C19" s="26">
        <f>0.005</f>
        <v>5.0000000000000001E-3</v>
      </c>
      <c r="D19" s="26">
        <f t="shared" si="0"/>
        <v>0.26800000000000002</v>
      </c>
      <c r="E19" s="26">
        <f t="shared" si="1"/>
        <v>0.45200000000000001</v>
      </c>
      <c r="F19" s="26"/>
      <c r="G19" s="26">
        <v>0.29399999999999998</v>
      </c>
      <c r="H19" s="26">
        <f>0.005</f>
        <v>5.0000000000000001E-3</v>
      </c>
      <c r="I19" s="26">
        <f t="shared" si="2"/>
        <v>0.29899999999999999</v>
      </c>
      <c r="J19" s="26">
        <f t="shared" si="3"/>
        <v>0.54300000000000004</v>
      </c>
      <c r="K19" s="33"/>
      <c r="L19" s="14" t="s">
        <v>175</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33"/>
      <c r="L20" s="14" t="s">
        <v>176</v>
      </c>
    </row>
    <row r="21" spans="1:12" x14ac:dyDescent="0.2">
      <c r="A21" s="14" t="s">
        <v>3</v>
      </c>
      <c r="B21" s="26">
        <v>0.32</v>
      </c>
      <c r="C21" s="26">
        <f>0.01</f>
        <v>0.01</v>
      </c>
      <c r="D21" s="26">
        <f>$B21+$C21</f>
        <v>0.33</v>
      </c>
      <c r="E21" s="26">
        <f t="shared" si="1"/>
        <v>0.51400000000000001</v>
      </c>
      <c r="F21" s="26"/>
      <c r="G21" s="26">
        <v>0.32</v>
      </c>
      <c r="H21" s="26">
        <f>0.01</f>
        <v>0.01</v>
      </c>
      <c r="I21" s="26">
        <f t="shared" si="2"/>
        <v>0.33</v>
      </c>
      <c r="J21" s="26">
        <f t="shared" si="3"/>
        <v>0.57400000000000007</v>
      </c>
      <c r="K21" s="33"/>
      <c r="L21" s="14" t="s">
        <v>58</v>
      </c>
    </row>
    <row r="22" spans="1:12" ht="40" x14ac:dyDescent="0.2">
      <c r="A22" s="22" t="s">
        <v>92</v>
      </c>
      <c r="B22" s="26">
        <v>0.19</v>
      </c>
      <c r="C22" s="23">
        <f>0.13+0.003+0.008</f>
        <v>0.14100000000000001</v>
      </c>
      <c r="D22" s="26">
        <f t="shared" si="0"/>
        <v>0.33100000000000002</v>
      </c>
      <c r="E22" s="26">
        <f t="shared" si="1"/>
        <v>0.51500000000000001</v>
      </c>
      <c r="F22" s="26"/>
      <c r="G22" s="26">
        <v>0.215</v>
      </c>
      <c r="H22" s="23">
        <f>0.13+0.003+0.008</f>
        <v>0.14100000000000001</v>
      </c>
      <c r="I22" s="26">
        <f t="shared" si="2"/>
        <v>0.35599999999999998</v>
      </c>
      <c r="J22" s="26">
        <f t="shared" si="3"/>
        <v>0.6</v>
      </c>
      <c r="K22" s="33"/>
      <c r="L22" s="14" t="s">
        <v>177</v>
      </c>
    </row>
    <row r="23" spans="1:12" ht="61.5" customHeight="1" x14ac:dyDescent="0.2">
      <c r="A23" s="22" t="s">
        <v>93</v>
      </c>
      <c r="B23" s="23">
        <v>0.28000000000000003</v>
      </c>
      <c r="C23" s="23">
        <f>0.128+0.01</f>
        <v>0.13800000000000001</v>
      </c>
      <c r="D23" s="26">
        <f t="shared" si="0"/>
        <v>0.41800000000000004</v>
      </c>
      <c r="E23" s="26">
        <f t="shared" si="1"/>
        <v>0.60200000000000009</v>
      </c>
      <c r="F23" s="26"/>
      <c r="G23" s="23">
        <v>0.28000000000000003</v>
      </c>
      <c r="H23" s="26">
        <f>0.01</f>
        <v>0.01</v>
      </c>
      <c r="I23" s="26">
        <f t="shared" si="2"/>
        <v>0.29000000000000004</v>
      </c>
      <c r="J23" s="26">
        <f t="shared" si="3"/>
        <v>0.53400000000000003</v>
      </c>
      <c r="K23" s="33"/>
      <c r="L23" s="14" t="s">
        <v>178</v>
      </c>
    </row>
    <row r="24" spans="1:12" ht="27" x14ac:dyDescent="0.2">
      <c r="A24" s="22" t="s">
        <v>94</v>
      </c>
      <c r="B24" s="23">
        <v>0.30499999999999999</v>
      </c>
      <c r="C24" s="26"/>
      <c r="D24" s="26">
        <f t="shared" si="0"/>
        <v>0.30499999999999999</v>
      </c>
      <c r="E24" s="26">
        <f t="shared" si="1"/>
        <v>0.48899999999999999</v>
      </c>
      <c r="F24" s="26"/>
      <c r="G24" s="26">
        <v>0.32500000000000001</v>
      </c>
      <c r="H24" s="26"/>
      <c r="I24" s="26">
        <f t="shared" si="2"/>
        <v>0.32500000000000001</v>
      </c>
      <c r="J24" s="26">
        <f t="shared" si="3"/>
        <v>0.56900000000000006</v>
      </c>
      <c r="K24" s="33"/>
      <c r="L24" s="14" t="s">
        <v>107</v>
      </c>
    </row>
    <row r="25" spans="1:12" ht="27" x14ac:dyDescent="0.2">
      <c r="A25" s="22" t="s">
        <v>5</v>
      </c>
      <c r="B25" s="26">
        <v>0.24</v>
      </c>
      <c r="C25" s="23">
        <f>0.01+0.0003</f>
        <v>1.03E-2</v>
      </c>
      <c r="D25" s="26">
        <f t="shared" si="0"/>
        <v>0.25029999999999997</v>
      </c>
      <c r="E25" s="26">
        <f t="shared" si="1"/>
        <v>0.43429999999999996</v>
      </c>
      <c r="F25" s="26"/>
      <c r="G25" s="26">
        <v>0.26</v>
      </c>
      <c r="H25" s="23">
        <f>0.01+0.0003</f>
        <v>1.03E-2</v>
      </c>
      <c r="I25" s="26">
        <f t="shared" si="2"/>
        <v>0.27029999999999998</v>
      </c>
      <c r="J25" s="26">
        <f t="shared" si="3"/>
        <v>0.51429999999999998</v>
      </c>
      <c r="K25" s="33"/>
      <c r="L25" s="14" t="s">
        <v>179</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33"/>
      <c r="L26" s="20" t="s">
        <v>102</v>
      </c>
    </row>
    <row r="27" spans="1:12" ht="40"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33"/>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33"/>
      <c r="L28" s="14" t="s">
        <v>105</v>
      </c>
    </row>
    <row r="29" spans="1:12" ht="27" x14ac:dyDescent="0.2">
      <c r="A29" s="22" t="s">
        <v>9</v>
      </c>
      <c r="B29" s="23">
        <v>0.251</v>
      </c>
      <c r="C29" s="23">
        <f>0.087+0.0019</f>
        <v>8.8899999999999993E-2</v>
      </c>
      <c r="D29" s="26">
        <f t="shared" si="0"/>
        <v>0.33989999999999998</v>
      </c>
      <c r="E29" s="26">
        <f t="shared" si="1"/>
        <v>0.52390000000000003</v>
      </c>
      <c r="F29" s="26"/>
      <c r="G29" s="23">
        <v>0.25850000000000001</v>
      </c>
      <c r="H29" s="23">
        <f>0.087+0.0019</f>
        <v>8.8899999999999993E-2</v>
      </c>
      <c r="I29" s="26">
        <f t="shared" si="2"/>
        <v>0.34739999999999999</v>
      </c>
      <c r="J29" s="26">
        <f t="shared" si="3"/>
        <v>0.59140000000000004</v>
      </c>
      <c r="K29" s="33"/>
      <c r="L29" s="14" t="s">
        <v>162</v>
      </c>
    </row>
    <row r="30" spans="1:12" ht="40" x14ac:dyDescent="0.2">
      <c r="A30" s="14" t="s">
        <v>36</v>
      </c>
      <c r="B30" s="26">
        <v>0.24</v>
      </c>
      <c r="C30" s="26">
        <f>0.025715+0.0012</f>
        <v>2.6914999999999998E-2</v>
      </c>
      <c r="D30" s="26">
        <f t="shared" si="0"/>
        <v>0.26691500000000001</v>
      </c>
      <c r="E30" s="26">
        <f t="shared" si="1"/>
        <v>0.45091500000000001</v>
      </c>
      <c r="F30" s="26"/>
      <c r="G30" s="26">
        <v>0.24</v>
      </c>
      <c r="H30" s="26">
        <f>0.025715+0.0012</f>
        <v>2.6914999999999998E-2</v>
      </c>
      <c r="I30" s="26">
        <f t="shared" si="2"/>
        <v>0.26691500000000001</v>
      </c>
      <c r="J30" s="26">
        <f t="shared" si="3"/>
        <v>0.51091500000000001</v>
      </c>
      <c r="K30" s="33"/>
      <c r="L30" s="14" t="s">
        <v>180</v>
      </c>
    </row>
    <row r="31" spans="1:12" ht="40" x14ac:dyDescent="0.2">
      <c r="A31" s="22" t="s">
        <v>95</v>
      </c>
      <c r="B31" s="26">
        <v>0.26300000000000001</v>
      </c>
      <c r="C31" s="23">
        <f>0.122+0.00875</f>
        <v>0.13075000000000001</v>
      </c>
      <c r="D31" s="26">
        <f t="shared" si="0"/>
        <v>0.39375000000000004</v>
      </c>
      <c r="E31" s="26">
        <f t="shared" si="1"/>
        <v>0.57774999999999999</v>
      </c>
      <c r="F31" s="26"/>
      <c r="G31" s="26">
        <v>0.26300000000000001</v>
      </c>
      <c r="H31" s="23">
        <f>0.129+0.00875</f>
        <v>0.13775000000000001</v>
      </c>
      <c r="I31" s="26">
        <f t="shared" si="2"/>
        <v>0.40075000000000005</v>
      </c>
      <c r="J31" s="26">
        <f t="shared" si="3"/>
        <v>0.64475000000000005</v>
      </c>
      <c r="K31" s="33"/>
      <c r="L31" s="14" t="s">
        <v>181</v>
      </c>
    </row>
    <row r="32" spans="1:12" ht="26.25" customHeight="1" x14ac:dyDescent="0.2">
      <c r="A32" s="22" t="s">
        <v>10</v>
      </c>
      <c r="B32" s="26">
        <v>0.28499999999999998</v>
      </c>
      <c r="C32" s="23">
        <f>0.001</f>
        <v>1E-3</v>
      </c>
      <c r="D32" s="26">
        <f t="shared" si="0"/>
        <v>0.28599999999999998</v>
      </c>
      <c r="E32" s="26">
        <f t="shared" si="1"/>
        <v>0.47</v>
      </c>
      <c r="F32" s="26"/>
      <c r="G32" s="26">
        <v>0.28499999999999998</v>
      </c>
      <c r="H32" s="23">
        <f>0.001</f>
        <v>1E-3</v>
      </c>
      <c r="I32" s="26">
        <f t="shared" si="2"/>
        <v>0.28599999999999998</v>
      </c>
      <c r="J32" s="26">
        <f t="shared" si="3"/>
        <v>0.53</v>
      </c>
      <c r="K32" s="33"/>
      <c r="L32" s="14" t="s">
        <v>182</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33"/>
      <c r="L33" s="14" t="s">
        <v>60</v>
      </c>
    </row>
    <row r="34" spans="1:12" ht="27" x14ac:dyDescent="0.2">
      <c r="A34" s="22" t="s">
        <v>28</v>
      </c>
      <c r="B34" s="26">
        <v>0.17</v>
      </c>
      <c r="C34" s="23">
        <f>0.0007+0.0025</f>
        <v>3.2000000000000002E-3</v>
      </c>
      <c r="D34" s="26">
        <f t="shared" si="0"/>
        <v>0.17320000000000002</v>
      </c>
      <c r="E34" s="26">
        <f t="shared" si="1"/>
        <v>0.35720000000000002</v>
      </c>
      <c r="F34" s="26"/>
      <c r="G34" s="26">
        <v>0.17</v>
      </c>
      <c r="H34" s="23">
        <f>0.0007+0.0025</f>
        <v>3.2000000000000002E-3</v>
      </c>
      <c r="I34" s="26">
        <f t="shared" si="2"/>
        <v>0.17320000000000002</v>
      </c>
      <c r="J34" s="26">
        <f t="shared" si="3"/>
        <v>0.41720000000000002</v>
      </c>
      <c r="K34" s="33"/>
      <c r="L34" s="14" t="s">
        <v>166</v>
      </c>
    </row>
    <row r="35" spans="1:12" ht="27" x14ac:dyDescent="0.2">
      <c r="A35" s="22" t="s">
        <v>29</v>
      </c>
      <c r="B35" s="23">
        <v>0.315</v>
      </c>
      <c r="C35" s="26">
        <f>0.0075</f>
        <v>7.4999999999999997E-3</v>
      </c>
      <c r="D35" s="26">
        <f t="shared" si="0"/>
        <v>0.32250000000000001</v>
      </c>
      <c r="E35" s="26">
        <f t="shared" si="1"/>
        <v>0.50649999999999995</v>
      </c>
      <c r="F35" s="26"/>
      <c r="G35" s="23">
        <v>0.29249999999999998</v>
      </c>
      <c r="H35" s="26">
        <f>0.0075</f>
        <v>7.4999999999999997E-3</v>
      </c>
      <c r="I35" s="26">
        <f t="shared" si="2"/>
        <v>0.3</v>
      </c>
      <c r="J35" s="26">
        <f t="shared" si="3"/>
        <v>0.54400000000000004</v>
      </c>
      <c r="K35" s="33"/>
      <c r="L35" s="14" t="s">
        <v>61</v>
      </c>
    </row>
    <row r="36" spans="1:12" ht="27" x14ac:dyDescent="0.2">
      <c r="A36" s="22" t="s">
        <v>15</v>
      </c>
      <c r="B36" s="23">
        <v>0.27</v>
      </c>
      <c r="C36" s="26">
        <f>0.009</f>
        <v>8.9999999999999993E-3</v>
      </c>
      <c r="D36" s="26">
        <f t="shared" si="0"/>
        <v>0.27900000000000003</v>
      </c>
      <c r="E36" s="26">
        <f t="shared" si="1"/>
        <v>0.46300000000000002</v>
      </c>
      <c r="F36" s="26"/>
      <c r="G36" s="23">
        <v>0.27</v>
      </c>
      <c r="H36" s="26">
        <f>0.003</f>
        <v>3.0000000000000001E-3</v>
      </c>
      <c r="I36" s="26">
        <f t="shared" si="2"/>
        <v>0.27300000000000002</v>
      </c>
      <c r="J36" s="26">
        <f t="shared" si="3"/>
        <v>0.51700000000000002</v>
      </c>
      <c r="K36" s="33"/>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33"/>
      <c r="L37" s="14" t="s">
        <v>100</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33"/>
      <c r="L38" s="14" t="s">
        <v>79</v>
      </c>
    </row>
    <row r="39" spans="1:12" ht="40" x14ac:dyDescent="0.2">
      <c r="A39" s="22" t="s">
        <v>96</v>
      </c>
      <c r="B39" s="26">
        <v>0.105</v>
      </c>
      <c r="C39" s="26">
        <f>0.266+0.0005</f>
        <v>0.26650000000000001</v>
      </c>
      <c r="D39" s="26">
        <f t="shared" si="0"/>
        <v>0.3715</v>
      </c>
      <c r="E39" s="26">
        <f t="shared" si="1"/>
        <v>0.55549999999999999</v>
      </c>
      <c r="F39" s="26"/>
      <c r="G39" s="26">
        <v>0.13500000000000001</v>
      </c>
      <c r="H39" s="23">
        <f>0.307+0.0005</f>
        <v>0.3075</v>
      </c>
      <c r="I39" s="26">
        <f t="shared" si="2"/>
        <v>0.4425</v>
      </c>
      <c r="J39" s="26">
        <f t="shared" si="3"/>
        <v>0.6865</v>
      </c>
      <c r="K39" s="33"/>
      <c r="L39" s="14" t="s">
        <v>183</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33"/>
      <c r="L40" s="14" t="s">
        <v>63</v>
      </c>
    </row>
    <row r="41" spans="1:12" ht="92" x14ac:dyDescent="0.2">
      <c r="A41" s="22" t="s">
        <v>97</v>
      </c>
      <c r="B41" s="26">
        <v>0.08</v>
      </c>
      <c r="C41" s="23">
        <f>0.162+0.0005+0.08+0.00327</f>
        <v>0.24576999999999999</v>
      </c>
      <c r="D41" s="26">
        <f t="shared" si="0"/>
        <v>0.32577</v>
      </c>
      <c r="E41" s="26">
        <f t="shared" si="1"/>
        <v>0.50977000000000006</v>
      </c>
      <c r="F41" s="26"/>
      <c r="G41" s="26">
        <v>0.08</v>
      </c>
      <c r="H41" s="23">
        <f>0.1445+0.08+0.003274</f>
        <v>0.22777399999999998</v>
      </c>
      <c r="I41" s="26">
        <f t="shared" si="2"/>
        <v>0.30777399999999999</v>
      </c>
      <c r="J41" s="26">
        <f t="shared" si="3"/>
        <v>0.55177399999999999</v>
      </c>
      <c r="K41" s="33"/>
      <c r="L41" s="14" t="s">
        <v>184</v>
      </c>
    </row>
    <row r="42" spans="1:12" x14ac:dyDescent="0.2">
      <c r="A42" s="14" t="s">
        <v>17</v>
      </c>
      <c r="B42" s="26">
        <v>0.34300000000000003</v>
      </c>
      <c r="C42" s="26">
        <f>0.0025</f>
        <v>2.5000000000000001E-3</v>
      </c>
      <c r="D42" s="26">
        <f t="shared" si="0"/>
        <v>0.34550000000000003</v>
      </c>
      <c r="E42" s="26">
        <f t="shared" si="1"/>
        <v>0.52950000000000008</v>
      </c>
      <c r="F42" s="26"/>
      <c r="G42" s="26">
        <v>0.34300000000000003</v>
      </c>
      <c r="H42" s="26">
        <f>0.0025</f>
        <v>2.5000000000000001E-3</v>
      </c>
      <c r="I42" s="26">
        <f t="shared" si="2"/>
        <v>0.34550000000000003</v>
      </c>
      <c r="J42" s="26">
        <f t="shared" si="3"/>
        <v>0.58950000000000002</v>
      </c>
      <c r="K42" s="33"/>
      <c r="L42" s="14" t="s">
        <v>82</v>
      </c>
    </row>
    <row r="43" spans="1:12" ht="15" customHeight="1"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33"/>
      <c r="L43" s="14" t="s">
        <v>64</v>
      </c>
    </row>
    <row r="44" spans="1:12" x14ac:dyDescent="0.2">
      <c r="A44" s="14" t="s">
        <v>23</v>
      </c>
      <c r="B44" s="26">
        <v>0.28000000000000003</v>
      </c>
      <c r="C44" s="26"/>
      <c r="D44" s="26">
        <f t="shared" si="0"/>
        <v>0.28000000000000003</v>
      </c>
      <c r="E44" s="26">
        <f t="shared" si="1"/>
        <v>0.46400000000000002</v>
      </c>
      <c r="F44" s="26"/>
      <c r="G44" s="26">
        <v>0.28000000000000003</v>
      </c>
      <c r="H44" s="26"/>
      <c r="I44" s="26">
        <f t="shared" si="2"/>
        <v>0.28000000000000003</v>
      </c>
      <c r="J44" s="26">
        <f t="shared" si="3"/>
        <v>0.52400000000000002</v>
      </c>
      <c r="K44" s="33"/>
      <c r="L44" s="14"/>
    </row>
    <row r="45" spans="1:12" ht="27" x14ac:dyDescent="0.2">
      <c r="A45" s="14" t="s">
        <v>18</v>
      </c>
      <c r="B45" s="26">
        <v>0.16</v>
      </c>
      <c r="C45" s="26">
        <f>0.01</f>
        <v>0.01</v>
      </c>
      <c r="D45" s="26">
        <f t="shared" si="0"/>
        <v>0.17</v>
      </c>
      <c r="E45" s="26">
        <f t="shared" si="1"/>
        <v>0.35399999999999998</v>
      </c>
      <c r="F45" s="26"/>
      <c r="G45" s="26">
        <v>0.13</v>
      </c>
      <c r="H45" s="26">
        <f>0.01</f>
        <v>0.01</v>
      </c>
      <c r="I45" s="26">
        <f t="shared" si="2"/>
        <v>0.14000000000000001</v>
      </c>
      <c r="J45" s="26">
        <f t="shared" si="3"/>
        <v>0.38400000000000001</v>
      </c>
      <c r="K45" s="33"/>
      <c r="L45" s="14" t="s">
        <v>65</v>
      </c>
    </row>
    <row r="46" spans="1:12" ht="27" x14ac:dyDescent="0.2">
      <c r="A46" s="14" t="s">
        <v>31</v>
      </c>
      <c r="B46" s="26">
        <v>0.3</v>
      </c>
      <c r="C46" s="26"/>
      <c r="D46" s="26">
        <f t="shared" si="0"/>
        <v>0.3</v>
      </c>
      <c r="E46" s="26">
        <f t="shared" si="1"/>
        <v>0.48399999999999999</v>
      </c>
      <c r="F46" s="26"/>
      <c r="G46" s="26">
        <v>0.3</v>
      </c>
      <c r="H46" s="26"/>
      <c r="I46" s="26">
        <f t="shared" si="2"/>
        <v>0.3</v>
      </c>
      <c r="J46" s="26">
        <f t="shared" si="3"/>
        <v>0.54400000000000004</v>
      </c>
      <c r="K46" s="33"/>
      <c r="L46" s="14" t="s">
        <v>66</v>
      </c>
    </row>
    <row r="47" spans="1:12" ht="37.5" customHeight="1" x14ac:dyDescent="0.2">
      <c r="A47" s="14" t="s">
        <v>12</v>
      </c>
      <c r="B47" s="26">
        <v>0.58199999999999996</v>
      </c>
      <c r="C47" s="26">
        <f>0.011</f>
        <v>1.0999999999999999E-2</v>
      </c>
      <c r="D47" s="26">
        <f t="shared" si="0"/>
        <v>0.59299999999999997</v>
      </c>
      <c r="E47" s="26">
        <f t="shared" si="1"/>
        <v>0.77699999999999991</v>
      </c>
      <c r="F47" s="26"/>
      <c r="G47" s="26">
        <v>0.747</v>
      </c>
      <c r="H47" s="26">
        <f>0.011</f>
        <v>1.0999999999999999E-2</v>
      </c>
      <c r="I47" s="26">
        <f t="shared" si="2"/>
        <v>0.75800000000000001</v>
      </c>
      <c r="J47" s="26">
        <f t="shared" si="3"/>
        <v>1.002</v>
      </c>
      <c r="K47" s="33"/>
      <c r="L47" s="14" t="s">
        <v>103</v>
      </c>
    </row>
    <row r="48" spans="1:12" ht="26.25" customHeight="1" x14ac:dyDescent="0.2">
      <c r="A48" s="14" t="s">
        <v>14</v>
      </c>
      <c r="B48" s="26">
        <v>0.33</v>
      </c>
      <c r="C48" s="26">
        <f>0.01+0.0012</f>
        <v>1.12E-2</v>
      </c>
      <c r="D48" s="26">
        <f t="shared" si="0"/>
        <v>0.3412</v>
      </c>
      <c r="E48" s="26">
        <f t="shared" si="1"/>
        <v>0.5252</v>
      </c>
      <c r="F48" s="26"/>
      <c r="G48" s="26">
        <v>0.33</v>
      </c>
      <c r="H48" s="26">
        <f>0.01+0.0012</f>
        <v>1.12E-2</v>
      </c>
      <c r="I48" s="26">
        <f t="shared" si="2"/>
        <v>0.3412</v>
      </c>
      <c r="J48" s="26">
        <f t="shared" si="3"/>
        <v>0.58520000000000005</v>
      </c>
      <c r="K48" s="33"/>
      <c r="L48" s="14" t="s">
        <v>83</v>
      </c>
    </row>
    <row r="49" spans="1:12" x14ac:dyDescent="0.2">
      <c r="A49" s="22" t="s">
        <v>119</v>
      </c>
      <c r="B49" s="23">
        <v>0.18</v>
      </c>
      <c r="C49" s="26">
        <f>0.0025+0.005</f>
        <v>7.4999999999999997E-3</v>
      </c>
      <c r="D49" s="26">
        <f t="shared" si="0"/>
        <v>0.1875</v>
      </c>
      <c r="E49" s="26">
        <f t="shared" si="1"/>
        <v>0.3715</v>
      </c>
      <c r="F49" s="26"/>
      <c r="G49" s="23">
        <v>0.18</v>
      </c>
      <c r="H49" s="26">
        <f>0.0025+0.005</f>
        <v>7.4999999999999997E-3</v>
      </c>
      <c r="I49" s="26">
        <f t="shared" si="2"/>
        <v>0.1875</v>
      </c>
      <c r="J49" s="26">
        <f t="shared" si="3"/>
        <v>0.43149999999999999</v>
      </c>
      <c r="K49" s="33"/>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33"/>
      <c r="L50" s="14" t="s">
        <v>68</v>
      </c>
    </row>
    <row r="51" spans="1:12" x14ac:dyDescent="0.2">
      <c r="A51" s="22" t="s">
        <v>19</v>
      </c>
      <c r="B51" s="23">
        <v>0.24</v>
      </c>
      <c r="C51" s="26">
        <f>0.01+0.004</f>
        <v>1.4E-2</v>
      </c>
      <c r="D51" s="26">
        <f t="shared" si="0"/>
        <v>0.254</v>
      </c>
      <c r="E51" s="26">
        <f t="shared" si="1"/>
        <v>0.438</v>
      </c>
      <c r="F51" s="26"/>
      <c r="G51" s="23">
        <v>0.21</v>
      </c>
      <c r="H51" s="26">
        <f>0.01+0.004</f>
        <v>1.4E-2</v>
      </c>
      <c r="I51" s="26">
        <f t="shared" si="2"/>
        <v>0.224</v>
      </c>
      <c r="J51" s="26">
        <f t="shared" si="3"/>
        <v>0.46800000000000003</v>
      </c>
      <c r="K51" s="33"/>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33"/>
      <c r="L52" s="14" t="s">
        <v>70</v>
      </c>
    </row>
    <row r="53" spans="1:12" x14ac:dyDescent="0.2">
      <c r="A53" s="14" t="s">
        <v>25</v>
      </c>
      <c r="B53" s="26">
        <v>0.29399999999999998</v>
      </c>
      <c r="C53" s="26">
        <f>0.0065</f>
        <v>6.4999999999999997E-3</v>
      </c>
      <c r="D53" s="26">
        <f t="shared" si="0"/>
        <v>0.30049999999999999</v>
      </c>
      <c r="E53" s="26">
        <f t="shared" si="1"/>
        <v>0.48449999999999999</v>
      </c>
      <c r="F53" s="26"/>
      <c r="G53" s="26">
        <v>0.29399999999999998</v>
      </c>
      <c r="H53" s="26">
        <f>0.0065</f>
        <v>6.4999999999999997E-3</v>
      </c>
      <c r="I53" s="26">
        <f t="shared" si="2"/>
        <v>0.30049999999999999</v>
      </c>
      <c r="J53" s="26">
        <f t="shared" si="3"/>
        <v>0.54449999999999998</v>
      </c>
      <c r="K53" s="33"/>
      <c r="L53" s="14" t="s">
        <v>71</v>
      </c>
    </row>
    <row r="54" spans="1:12" ht="40" x14ac:dyDescent="0.2">
      <c r="A54" s="14" t="s">
        <v>75</v>
      </c>
      <c r="B54" s="26">
        <v>0.121</v>
      </c>
      <c r="C54" s="26">
        <f>0.0396+0.134+0.01</f>
        <v>0.18360000000000001</v>
      </c>
      <c r="D54" s="26">
        <f t="shared" si="0"/>
        <v>0.30459999999999998</v>
      </c>
      <c r="E54" s="26">
        <f t="shared" si="1"/>
        <v>0.48859999999999998</v>
      </c>
      <c r="F54" s="26"/>
      <c r="G54" s="26">
        <v>0.28000000000000003</v>
      </c>
      <c r="H54" s="26">
        <f>0.01+0.03</f>
        <v>0.04</v>
      </c>
      <c r="I54" s="26">
        <f t="shared" si="2"/>
        <v>0.32</v>
      </c>
      <c r="J54" s="26">
        <f t="shared" si="3"/>
        <v>0.56400000000000006</v>
      </c>
      <c r="K54" s="33"/>
      <c r="L54" s="14" t="s">
        <v>185</v>
      </c>
    </row>
    <row r="55" spans="1:12" ht="27" x14ac:dyDescent="0.2">
      <c r="A55" s="14" t="s">
        <v>98</v>
      </c>
      <c r="B55" s="26">
        <v>0.16200000000000001</v>
      </c>
      <c r="C55" s="26">
        <f>0.006</f>
        <v>6.0000000000000001E-3</v>
      </c>
      <c r="D55" s="26">
        <f t="shared" si="0"/>
        <v>0.16800000000000001</v>
      </c>
      <c r="E55" s="26">
        <f t="shared" si="1"/>
        <v>0.35199999999999998</v>
      </c>
      <c r="F55" s="26"/>
      <c r="G55" s="26">
        <v>0.20199999999999999</v>
      </c>
      <c r="H55" s="26">
        <f>0.006</f>
        <v>6.0000000000000001E-3</v>
      </c>
      <c r="I55" s="26">
        <f t="shared" si="2"/>
        <v>0.20799999999999999</v>
      </c>
      <c r="J55" s="26">
        <f t="shared" si="3"/>
        <v>0.45200000000000001</v>
      </c>
      <c r="K55" s="33"/>
      <c r="L55" s="14" t="s">
        <v>84</v>
      </c>
    </row>
    <row r="56" spans="1:12" ht="40" x14ac:dyDescent="0.2">
      <c r="A56" s="14" t="s">
        <v>32</v>
      </c>
      <c r="B56" s="26">
        <v>0.49399999999999999</v>
      </c>
      <c r="C56" s="26">
        <f>0.0009523+0.000238</f>
        <v>1.1903E-3</v>
      </c>
      <c r="D56" s="26">
        <f t="shared" si="0"/>
        <v>0.49519029999999997</v>
      </c>
      <c r="E56" s="26">
        <f t="shared" si="1"/>
        <v>0.67919029999999991</v>
      </c>
      <c r="F56" s="26"/>
      <c r="G56" s="26">
        <v>0.49399999999999999</v>
      </c>
      <c r="H56" s="26">
        <f>0.0009523+0.000238</f>
        <v>1.1903E-3</v>
      </c>
      <c r="I56" s="26">
        <f t="shared" si="2"/>
        <v>0.49519029999999997</v>
      </c>
      <c r="J56" s="26">
        <f t="shared" si="3"/>
        <v>0.73919029999999997</v>
      </c>
      <c r="K56" s="33"/>
      <c r="L56" s="14" t="s">
        <v>101</v>
      </c>
    </row>
    <row r="57" spans="1:12" x14ac:dyDescent="0.2">
      <c r="A57" s="22" t="s">
        <v>26</v>
      </c>
      <c r="B57" s="26">
        <v>0.20499999999999999</v>
      </c>
      <c r="C57" s="23">
        <v>0.152</v>
      </c>
      <c r="D57" s="26">
        <f t="shared" si="0"/>
        <v>0.35699999999999998</v>
      </c>
      <c r="E57" s="26">
        <f t="shared" si="1"/>
        <v>0.54099999999999993</v>
      </c>
      <c r="F57" s="26"/>
      <c r="G57" s="26">
        <v>0.20499999999999999</v>
      </c>
      <c r="H57" s="23">
        <v>0.152</v>
      </c>
      <c r="I57" s="26">
        <f t="shared" si="2"/>
        <v>0.35699999999999998</v>
      </c>
      <c r="J57" s="26">
        <f t="shared" si="3"/>
        <v>0.60099999999999998</v>
      </c>
      <c r="K57" s="33"/>
      <c r="L57" s="14" t="s">
        <v>186</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33"/>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36"/>
      <c r="L59" s="27" t="s">
        <v>73</v>
      </c>
    </row>
    <row r="60" spans="1:12" x14ac:dyDescent="0.2">
      <c r="A60" s="37" t="s">
        <v>49</v>
      </c>
      <c r="B60" s="38">
        <v>0.35</v>
      </c>
      <c r="C60" s="38"/>
      <c r="D60" s="38">
        <f t="shared" si="0"/>
        <v>0.35</v>
      </c>
      <c r="E60" s="38"/>
      <c r="F60" s="38"/>
      <c r="G60" s="38">
        <v>0.315</v>
      </c>
      <c r="H60" s="38">
        <f>0.035</f>
        <v>3.5000000000000003E-2</v>
      </c>
      <c r="I60" s="38">
        <f t="shared" si="2"/>
        <v>0.35</v>
      </c>
      <c r="J60" s="38"/>
      <c r="K60" s="38"/>
      <c r="L60" s="14" t="s">
        <v>85</v>
      </c>
    </row>
    <row r="61" spans="1:12" ht="27" x14ac:dyDescent="0.2">
      <c r="A61" s="39" t="s">
        <v>50</v>
      </c>
      <c r="B61" s="33">
        <v>0.11</v>
      </c>
      <c r="C61" s="33">
        <f>0.04</f>
        <v>0.04</v>
      </c>
      <c r="D61" s="33">
        <f t="shared" si="0"/>
        <v>0.15</v>
      </c>
      <c r="E61" s="33"/>
      <c r="F61" s="33"/>
      <c r="G61" s="33">
        <v>0.1</v>
      </c>
      <c r="H61" s="33">
        <f>0.04</f>
        <v>0.04</v>
      </c>
      <c r="I61" s="33">
        <f t="shared" si="2"/>
        <v>0.14000000000000001</v>
      </c>
      <c r="J61" s="33"/>
      <c r="K61" s="33"/>
      <c r="L61" s="14" t="s">
        <v>74</v>
      </c>
    </row>
    <row r="62" spans="1:12" ht="15" customHeight="1" x14ac:dyDescent="0.2">
      <c r="A62" s="39" t="s">
        <v>51</v>
      </c>
      <c r="B62" s="33">
        <v>0.15</v>
      </c>
      <c r="C62" s="33"/>
      <c r="D62" s="33">
        <f t="shared" si="0"/>
        <v>0.15</v>
      </c>
      <c r="E62" s="33"/>
      <c r="F62" s="33"/>
      <c r="G62" s="33">
        <v>0.15</v>
      </c>
      <c r="H62" s="33"/>
      <c r="I62" s="33">
        <f t="shared" si="2"/>
        <v>0.15</v>
      </c>
      <c r="J62" s="33"/>
      <c r="K62" s="33"/>
      <c r="L62" s="14" t="s">
        <v>85</v>
      </c>
    </row>
    <row r="63" spans="1:12" ht="14.25" customHeight="1" x14ac:dyDescent="0.2">
      <c r="A63" s="39" t="s">
        <v>52</v>
      </c>
      <c r="B63" s="33">
        <v>0.16</v>
      </c>
      <c r="C63" s="33"/>
      <c r="D63" s="33">
        <f t="shared" si="0"/>
        <v>0.16</v>
      </c>
      <c r="E63" s="33"/>
      <c r="F63" s="33"/>
      <c r="G63" s="33">
        <v>0.08</v>
      </c>
      <c r="H63" s="33"/>
      <c r="I63" s="33">
        <f t="shared" si="2"/>
        <v>0.08</v>
      </c>
      <c r="J63" s="33"/>
      <c r="K63" s="33"/>
      <c r="L63" s="14" t="s">
        <v>85</v>
      </c>
    </row>
    <row r="64" spans="1:12" ht="16" thickBot="1" x14ac:dyDescent="0.25">
      <c r="A64" s="39" t="s">
        <v>81</v>
      </c>
      <c r="B64" s="33">
        <v>0.14000000000000001</v>
      </c>
      <c r="C64" s="33"/>
      <c r="D64" s="33">
        <f t="shared" si="0"/>
        <v>0.14000000000000001</v>
      </c>
      <c r="E64" s="33"/>
      <c r="F64" s="33"/>
      <c r="G64" s="33">
        <v>0.14000000000000001</v>
      </c>
      <c r="H64" s="33"/>
      <c r="I64" s="33">
        <f t="shared" si="2"/>
        <v>0.14000000000000001</v>
      </c>
      <c r="J64" s="33"/>
      <c r="K64" s="33"/>
      <c r="L64" s="14" t="s">
        <v>85</v>
      </c>
    </row>
    <row r="65" spans="1:12" ht="65.25" customHeight="1" x14ac:dyDescent="0.2">
      <c r="A65" s="92" t="s">
        <v>187</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F71" r:id="rId1" display="mailto:maureen.klein@eia.gov" xr:uid="{00000000-0004-0000-0B00-000000000000}"/>
  </hyperlinks>
  <pageMargins left="0.17" right="0.17" top="0.4" bottom="0.38" header="0.3" footer="0.3"/>
  <pageSetup paperSize="5"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82.6640625" customWidth="1"/>
  </cols>
  <sheetData>
    <row r="1" spans="1:12" ht="16" x14ac:dyDescent="0.2">
      <c r="A1" s="19" t="s">
        <v>80</v>
      </c>
    </row>
    <row r="2" spans="1:12" ht="31.5" customHeight="1" x14ac:dyDescent="0.2">
      <c r="A2" s="25" t="s">
        <v>188</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0.23390196078431377</v>
      </c>
      <c r="C8" s="24">
        <f>AVERAGE(C9:C59)</f>
        <v>4.5360520454545451E-2</v>
      </c>
      <c r="D8" s="32">
        <f>AVERAGE(D9:D59)</f>
        <v>0.27303652745098045</v>
      </c>
      <c r="E8" s="32">
        <f>AVERAGE(E9:E59)</f>
        <v>0.4570365274509805</v>
      </c>
      <c r="F8" s="3"/>
      <c r="G8" s="32">
        <f>AVERAGE(G9:G59)</f>
        <v>0.24425490196078428</v>
      </c>
      <c r="H8" s="32">
        <f>AVERAGE(H9:H59)</f>
        <v>4.0695802272727281E-2</v>
      </c>
      <c r="I8" s="32">
        <f>AVERAGE(I9:I59)</f>
        <v>0.27936500588235297</v>
      </c>
      <c r="J8" s="21">
        <f>AVERAGE(J9:J59)</f>
        <v>0.52336500588235324</v>
      </c>
      <c r="K8" s="32"/>
      <c r="L8" s="11"/>
    </row>
    <row r="9" spans="1:12" ht="38.25" customHeight="1" x14ac:dyDescent="0.2">
      <c r="A9" s="22" t="s">
        <v>33</v>
      </c>
      <c r="B9" s="23">
        <v>0.18</v>
      </c>
      <c r="C9" s="23">
        <v>0.01</v>
      </c>
      <c r="D9" s="33">
        <f>$B9+$C9</f>
        <v>0.19</v>
      </c>
      <c r="E9" s="33">
        <f>$D9+$E$4</f>
        <v>0.374</v>
      </c>
      <c r="F9" s="33"/>
      <c r="G9" s="33">
        <v>0.19</v>
      </c>
      <c r="H9" s="33">
        <f>0.0075+0.01</f>
        <v>1.7500000000000002E-2</v>
      </c>
      <c r="I9" s="33">
        <f>$G9+$H9</f>
        <v>0.20750000000000002</v>
      </c>
      <c r="J9" s="33">
        <f>$I9+$J$4</f>
        <v>0.45150000000000001</v>
      </c>
      <c r="K9" s="33"/>
      <c r="L9" s="14" t="s">
        <v>156</v>
      </c>
    </row>
    <row r="10" spans="1:12" x14ac:dyDescent="0.2">
      <c r="A10" s="39" t="s">
        <v>171</v>
      </c>
      <c r="B10" s="33">
        <v>0.08</v>
      </c>
      <c r="C10" s="33">
        <f>0.0095</f>
        <v>9.4999999999999998E-3</v>
      </c>
      <c r="D10" s="33">
        <f t="shared" ref="D10:D64" si="0">$B10+$C10</f>
        <v>8.9499999999999996E-2</v>
      </c>
      <c r="E10" s="33">
        <f t="shared" ref="E10:E59" si="1">$D10+$E$4</f>
        <v>0.27349999999999997</v>
      </c>
      <c r="F10" s="33"/>
      <c r="G10" s="33">
        <v>0.08</v>
      </c>
      <c r="H10" s="33">
        <f>0.0095</f>
        <v>9.4999999999999998E-3</v>
      </c>
      <c r="I10" s="33">
        <f t="shared" ref="I10:I64" si="2">$G10+$H10</f>
        <v>8.9499999999999996E-2</v>
      </c>
      <c r="J10" s="33">
        <f t="shared" ref="J10:J59" si="3">$I10+$J$4</f>
        <v>0.33350000000000002</v>
      </c>
      <c r="K10" s="33"/>
      <c r="L10" s="39" t="s">
        <v>99</v>
      </c>
    </row>
    <row r="11" spans="1:12" x14ac:dyDescent="0.2">
      <c r="A11" s="39" t="s">
        <v>0</v>
      </c>
      <c r="B11" s="33">
        <v>0.18</v>
      </c>
      <c r="C11" s="33">
        <f>0.01</f>
        <v>0.01</v>
      </c>
      <c r="D11" s="33">
        <f t="shared" si="0"/>
        <v>0.19</v>
      </c>
      <c r="E11" s="33">
        <f t="shared" si="1"/>
        <v>0.374</v>
      </c>
      <c r="F11" s="33"/>
      <c r="G11" s="33">
        <v>0.18</v>
      </c>
      <c r="H11" s="33">
        <f>0.01</f>
        <v>0.01</v>
      </c>
      <c r="I11" s="33">
        <f t="shared" si="2"/>
        <v>0.19</v>
      </c>
      <c r="J11" s="33">
        <f t="shared" si="3"/>
        <v>0.43400000000000005</v>
      </c>
      <c r="K11" s="33"/>
      <c r="L11" s="14" t="s">
        <v>54</v>
      </c>
    </row>
    <row r="12" spans="1:12" ht="26.25" customHeight="1" x14ac:dyDescent="0.2">
      <c r="A12" s="39" t="s">
        <v>86</v>
      </c>
      <c r="B12" s="33">
        <v>0.215</v>
      </c>
      <c r="C12" s="33">
        <f>0.003</f>
        <v>3.0000000000000001E-3</v>
      </c>
      <c r="D12" s="33">
        <f t="shared" si="0"/>
        <v>0.218</v>
      </c>
      <c r="E12" s="33">
        <f t="shared" si="1"/>
        <v>0.40200000000000002</v>
      </c>
      <c r="F12" s="33"/>
      <c r="G12" s="33">
        <v>0.22500000000000001</v>
      </c>
      <c r="H12" s="33">
        <f>0.003</f>
        <v>3.0000000000000001E-3</v>
      </c>
      <c r="I12" s="33">
        <f t="shared" si="2"/>
        <v>0.22800000000000001</v>
      </c>
      <c r="J12" s="33">
        <f t="shared" si="3"/>
        <v>0.47200000000000003</v>
      </c>
      <c r="K12" s="33"/>
      <c r="L12" s="14" t="s">
        <v>55</v>
      </c>
    </row>
    <row r="13" spans="1:12" ht="51.75" customHeight="1" x14ac:dyDescent="0.2">
      <c r="A13" s="22" t="s">
        <v>117</v>
      </c>
      <c r="B13" s="33">
        <v>0.27800000000000002</v>
      </c>
      <c r="C13" s="33">
        <f>0.05+0.02+0.00155</f>
        <v>7.1550000000000002E-2</v>
      </c>
      <c r="D13" s="33">
        <f t="shared" si="0"/>
        <v>0.34955000000000003</v>
      </c>
      <c r="E13" s="33">
        <f t="shared" si="1"/>
        <v>0.53354999999999997</v>
      </c>
      <c r="F13" s="33"/>
      <c r="G13" s="33">
        <v>0.16</v>
      </c>
      <c r="H13" s="23">
        <f>0.17+0.02+0.00155</f>
        <v>0.19155</v>
      </c>
      <c r="I13" s="33">
        <f t="shared" si="2"/>
        <v>0.35155000000000003</v>
      </c>
      <c r="J13" s="33">
        <f t="shared" si="3"/>
        <v>0.59555000000000002</v>
      </c>
      <c r="K13" s="33"/>
      <c r="L13" s="15" t="s">
        <v>189</v>
      </c>
    </row>
    <row r="14" spans="1:12" x14ac:dyDescent="0.2">
      <c r="A14" s="39" t="s">
        <v>1</v>
      </c>
      <c r="B14" s="33">
        <v>0.22</v>
      </c>
      <c r="C14" s="33">
        <f>0.0125</f>
        <v>1.2500000000000001E-2</v>
      </c>
      <c r="D14" s="33">
        <f t="shared" si="0"/>
        <v>0.23250000000000001</v>
      </c>
      <c r="E14" s="33">
        <f t="shared" si="1"/>
        <v>0.41649999999999998</v>
      </c>
      <c r="F14" s="33"/>
      <c r="G14" s="33">
        <v>0.20499999999999999</v>
      </c>
      <c r="H14" s="33">
        <f>0.0125</f>
        <v>1.2500000000000001E-2</v>
      </c>
      <c r="I14" s="33">
        <f t="shared" si="2"/>
        <v>0.2175</v>
      </c>
      <c r="J14" s="33">
        <f t="shared" si="3"/>
        <v>0.46150000000000002</v>
      </c>
      <c r="K14" s="33"/>
      <c r="L14" s="14" t="s">
        <v>141</v>
      </c>
    </row>
    <row r="15" spans="1:12" ht="24.75" customHeight="1" x14ac:dyDescent="0.2">
      <c r="A15" s="39" t="s">
        <v>91</v>
      </c>
      <c r="B15" s="33">
        <v>0.25</v>
      </c>
      <c r="C15" s="33"/>
      <c r="D15" s="33">
        <f t="shared" si="0"/>
        <v>0.25</v>
      </c>
      <c r="E15" s="33">
        <f t="shared" si="1"/>
        <v>0.434</v>
      </c>
      <c r="F15" s="33"/>
      <c r="G15" s="33">
        <v>0.41699999999999998</v>
      </c>
      <c r="H15" s="33"/>
      <c r="I15" s="33">
        <f t="shared" si="2"/>
        <v>0.41699999999999998</v>
      </c>
      <c r="J15" s="33">
        <f t="shared" si="3"/>
        <v>0.66100000000000003</v>
      </c>
      <c r="K15" s="33"/>
      <c r="L15" s="14" t="s">
        <v>56</v>
      </c>
    </row>
    <row r="16" spans="1:12" ht="14.25" customHeight="1" x14ac:dyDescent="0.2">
      <c r="A16" s="39" t="s">
        <v>4</v>
      </c>
      <c r="B16" s="33">
        <v>0.23</v>
      </c>
      <c r="C16" s="33"/>
      <c r="D16" s="33">
        <f t="shared" si="0"/>
        <v>0.23</v>
      </c>
      <c r="E16" s="33">
        <f t="shared" si="1"/>
        <v>0.41400000000000003</v>
      </c>
      <c r="F16" s="33"/>
      <c r="G16" s="33">
        <v>0.22</v>
      </c>
      <c r="H16" s="33"/>
      <c r="I16" s="33">
        <f t="shared" si="2"/>
        <v>0.22</v>
      </c>
      <c r="J16" s="33">
        <f t="shared" si="3"/>
        <v>0.46400000000000002</v>
      </c>
      <c r="K16" s="33"/>
      <c r="L16" s="14" t="s">
        <v>57</v>
      </c>
    </row>
    <row r="17" spans="1:12" x14ac:dyDescent="0.2">
      <c r="A17" s="39" t="s">
        <v>2</v>
      </c>
      <c r="B17" s="33">
        <v>0.23499999999999999</v>
      </c>
      <c r="C17" s="33"/>
      <c r="D17" s="33">
        <f t="shared" si="0"/>
        <v>0.23499999999999999</v>
      </c>
      <c r="E17" s="33">
        <f t="shared" si="1"/>
        <v>0.41899999999999998</v>
      </c>
      <c r="F17" s="33"/>
      <c r="G17" s="33">
        <v>0.23499999999999999</v>
      </c>
      <c r="H17" s="33"/>
      <c r="I17" s="33">
        <f t="shared" si="2"/>
        <v>0.23499999999999999</v>
      </c>
      <c r="J17" s="33">
        <f t="shared" si="3"/>
        <v>0.47899999999999998</v>
      </c>
      <c r="K17" s="33"/>
      <c r="L17" s="39"/>
    </row>
    <row r="18" spans="1:12" ht="63" customHeight="1" x14ac:dyDescent="0.2">
      <c r="A18" s="22" t="s">
        <v>87</v>
      </c>
      <c r="B18" s="33">
        <v>0.04</v>
      </c>
      <c r="C18" s="23">
        <f>0.134+0.00125+0.06+0.074+0.00048+0.00119+0.01904</f>
        <v>0.28996</v>
      </c>
      <c r="D18" s="33">
        <f t="shared" si="0"/>
        <v>0.32995999999999998</v>
      </c>
      <c r="E18" s="33">
        <f t="shared" si="1"/>
        <v>0.51395999999999997</v>
      </c>
      <c r="F18" s="33"/>
      <c r="G18" s="33">
        <v>0.04</v>
      </c>
      <c r="H18" s="23">
        <f>0.134+0.01+0.06+0.074+0.00048+0.00119+0.01904</f>
        <v>0.29871000000000003</v>
      </c>
      <c r="I18" s="33">
        <f t="shared" si="2"/>
        <v>0.33871000000000001</v>
      </c>
      <c r="J18" s="33">
        <f t="shared" si="3"/>
        <v>0.58271000000000006</v>
      </c>
      <c r="K18" s="33"/>
      <c r="L18" s="14" t="s">
        <v>174</v>
      </c>
    </row>
    <row r="19" spans="1:12" ht="27" x14ac:dyDescent="0.2">
      <c r="A19" s="22" t="s">
        <v>88</v>
      </c>
      <c r="B19" s="23">
        <v>0.26300000000000001</v>
      </c>
      <c r="C19" s="33">
        <f>0.005</f>
        <v>5.0000000000000001E-3</v>
      </c>
      <c r="D19" s="33">
        <f t="shared" si="0"/>
        <v>0.26800000000000002</v>
      </c>
      <c r="E19" s="33">
        <f t="shared" si="1"/>
        <v>0.45200000000000001</v>
      </c>
      <c r="F19" s="33"/>
      <c r="G19" s="23">
        <v>0.29399999999999998</v>
      </c>
      <c r="H19" s="33">
        <f>0.005</f>
        <v>5.0000000000000001E-3</v>
      </c>
      <c r="I19" s="33">
        <f t="shared" si="2"/>
        <v>0.29899999999999999</v>
      </c>
      <c r="J19" s="33">
        <f t="shared" si="3"/>
        <v>0.54300000000000004</v>
      </c>
      <c r="K19" s="33"/>
      <c r="L19" s="14" t="s">
        <v>190</v>
      </c>
    </row>
    <row r="20" spans="1:12" ht="27" x14ac:dyDescent="0.2">
      <c r="A20" s="39" t="s">
        <v>118</v>
      </c>
      <c r="B20" s="33">
        <v>0.16</v>
      </c>
      <c r="C20" s="33">
        <f>0.025</f>
        <v>2.5000000000000001E-2</v>
      </c>
      <c r="D20" s="33">
        <f t="shared" si="0"/>
        <v>0.185</v>
      </c>
      <c r="E20" s="33">
        <f t="shared" si="1"/>
        <v>0.36899999999999999</v>
      </c>
      <c r="F20" s="33"/>
      <c r="G20" s="33">
        <v>0.16</v>
      </c>
      <c r="H20" s="33">
        <f>0.025</f>
        <v>2.5000000000000001E-2</v>
      </c>
      <c r="I20" s="33">
        <f t="shared" si="2"/>
        <v>0.185</v>
      </c>
      <c r="J20" s="33">
        <f t="shared" si="3"/>
        <v>0.42900000000000005</v>
      </c>
      <c r="K20" s="33"/>
      <c r="L20" s="14" t="s">
        <v>191</v>
      </c>
    </row>
    <row r="21" spans="1:12" x14ac:dyDescent="0.2">
      <c r="A21" s="39" t="s">
        <v>3</v>
      </c>
      <c r="B21" s="33">
        <v>0.32</v>
      </c>
      <c r="C21" s="33">
        <f>0.01</f>
        <v>0.01</v>
      </c>
      <c r="D21" s="33">
        <f>$B21+$C21</f>
        <v>0.33</v>
      </c>
      <c r="E21" s="33">
        <f t="shared" si="1"/>
        <v>0.51400000000000001</v>
      </c>
      <c r="F21" s="33"/>
      <c r="G21" s="33">
        <v>0.32</v>
      </c>
      <c r="H21" s="33">
        <f>0.01</f>
        <v>0.01</v>
      </c>
      <c r="I21" s="33">
        <f t="shared" si="2"/>
        <v>0.33</v>
      </c>
      <c r="J21" s="33">
        <f t="shared" si="3"/>
        <v>0.57400000000000007</v>
      </c>
      <c r="K21" s="33"/>
      <c r="L21" s="14" t="s">
        <v>58</v>
      </c>
    </row>
    <row r="22" spans="1:12" ht="38.25" customHeight="1" x14ac:dyDescent="0.2">
      <c r="A22" s="22" t="s">
        <v>92</v>
      </c>
      <c r="B22" s="33">
        <v>0.19</v>
      </c>
      <c r="C22" s="23">
        <f>0.12+0.003+0.008</f>
        <v>0.13100000000000001</v>
      </c>
      <c r="D22" s="33">
        <f t="shared" si="0"/>
        <v>0.32100000000000001</v>
      </c>
      <c r="E22" s="33">
        <f t="shared" si="1"/>
        <v>0.505</v>
      </c>
      <c r="F22" s="33"/>
      <c r="G22" s="33">
        <v>0.215</v>
      </c>
      <c r="H22" s="23">
        <f>0.12+0.003+0.008</f>
        <v>0.13100000000000001</v>
      </c>
      <c r="I22" s="33">
        <f t="shared" si="2"/>
        <v>0.34599999999999997</v>
      </c>
      <c r="J22" s="33">
        <f t="shared" si="3"/>
        <v>0.59</v>
      </c>
      <c r="K22" s="33"/>
      <c r="L22" s="14" t="s">
        <v>192</v>
      </c>
    </row>
    <row r="23" spans="1:12" ht="61.5" customHeight="1" x14ac:dyDescent="0.2">
      <c r="A23" s="22" t="s">
        <v>93</v>
      </c>
      <c r="B23" s="33">
        <v>0.18</v>
      </c>
      <c r="C23" s="23">
        <f>0.116+0.01</f>
        <v>0.126</v>
      </c>
      <c r="D23" s="33">
        <f t="shared" si="0"/>
        <v>0.30599999999999999</v>
      </c>
      <c r="E23" s="33">
        <f t="shared" si="1"/>
        <v>0.49</v>
      </c>
      <c r="F23" s="33"/>
      <c r="G23" s="33">
        <v>0.16</v>
      </c>
      <c r="H23" s="33">
        <f>0.01</f>
        <v>0.01</v>
      </c>
      <c r="I23" s="33">
        <f t="shared" si="2"/>
        <v>0.17</v>
      </c>
      <c r="J23" s="33">
        <f t="shared" si="3"/>
        <v>0.41400000000000003</v>
      </c>
      <c r="K23" s="33"/>
      <c r="L23" s="14" t="s">
        <v>193</v>
      </c>
    </row>
    <row r="24" spans="1:12" ht="27" x14ac:dyDescent="0.2">
      <c r="A24" s="22" t="s">
        <v>94</v>
      </c>
      <c r="B24" s="33">
        <v>0.307</v>
      </c>
      <c r="C24" s="33"/>
      <c r="D24" s="33">
        <f t="shared" si="0"/>
        <v>0.307</v>
      </c>
      <c r="E24" s="33">
        <f t="shared" si="1"/>
        <v>0.49099999999999999</v>
      </c>
      <c r="F24" s="33"/>
      <c r="G24" s="33">
        <v>0.32500000000000001</v>
      </c>
      <c r="H24" s="33"/>
      <c r="I24" s="33">
        <f t="shared" si="2"/>
        <v>0.32500000000000001</v>
      </c>
      <c r="J24" s="33">
        <f t="shared" si="3"/>
        <v>0.56900000000000006</v>
      </c>
      <c r="K24" s="33"/>
      <c r="L24" s="14" t="s">
        <v>194</v>
      </c>
    </row>
    <row r="25" spans="1:12" ht="27" x14ac:dyDescent="0.2">
      <c r="A25" s="22" t="s">
        <v>5</v>
      </c>
      <c r="B25" s="33">
        <v>0.24</v>
      </c>
      <c r="C25" s="23">
        <f>0.0003</f>
        <v>2.9999999999999997E-4</v>
      </c>
      <c r="D25" s="33">
        <f t="shared" si="0"/>
        <v>0.24029999999999999</v>
      </c>
      <c r="E25" s="33">
        <f t="shared" si="1"/>
        <v>0.42430000000000001</v>
      </c>
      <c r="F25" s="33"/>
      <c r="G25" s="33">
        <v>0.26</v>
      </c>
      <c r="H25" s="23">
        <v>2.9999999999999997E-4</v>
      </c>
      <c r="I25" s="33">
        <f t="shared" si="2"/>
        <v>0.26030000000000003</v>
      </c>
      <c r="J25" s="33">
        <f t="shared" si="3"/>
        <v>0.50430000000000008</v>
      </c>
      <c r="K25" s="33"/>
      <c r="L25" s="14" t="s">
        <v>195</v>
      </c>
    </row>
    <row r="26" spans="1:12" ht="27" x14ac:dyDescent="0.2">
      <c r="A26" s="39" t="s">
        <v>6</v>
      </c>
      <c r="B26" s="33">
        <v>0.246</v>
      </c>
      <c r="C26" s="33">
        <f>0.014</f>
        <v>1.4E-2</v>
      </c>
      <c r="D26" s="33">
        <f t="shared" si="0"/>
        <v>0.26</v>
      </c>
      <c r="E26" s="33">
        <f t="shared" si="1"/>
        <v>0.44400000000000001</v>
      </c>
      <c r="F26" s="33"/>
      <c r="G26" s="33">
        <v>0.216</v>
      </c>
      <c r="H26" s="33">
        <f>0.014</f>
        <v>1.4E-2</v>
      </c>
      <c r="I26" s="33">
        <f t="shared" si="2"/>
        <v>0.23</v>
      </c>
      <c r="J26" s="33">
        <f t="shared" si="3"/>
        <v>0.47400000000000003</v>
      </c>
      <c r="K26" s="33"/>
      <c r="L26" s="20" t="s">
        <v>102</v>
      </c>
    </row>
    <row r="27" spans="1:12" ht="27" x14ac:dyDescent="0.2">
      <c r="A27" s="39" t="s">
        <v>7</v>
      </c>
      <c r="B27" s="33">
        <v>0.2</v>
      </c>
      <c r="C27" s="33">
        <f>0.00125+0.008</f>
        <v>9.2499999999999995E-3</v>
      </c>
      <c r="D27" s="33">
        <f t="shared" si="0"/>
        <v>0.20925000000000002</v>
      </c>
      <c r="E27" s="33">
        <f t="shared" si="1"/>
        <v>0.39324999999999999</v>
      </c>
      <c r="F27" s="33"/>
      <c r="G27" s="33">
        <v>0.2</v>
      </c>
      <c r="H27" s="33">
        <f>0.00125+0.008</f>
        <v>9.2499999999999995E-3</v>
      </c>
      <c r="I27" s="33">
        <f t="shared" si="2"/>
        <v>0.20925000000000002</v>
      </c>
      <c r="J27" s="33">
        <f t="shared" si="3"/>
        <v>0.45325000000000004</v>
      </c>
      <c r="K27" s="33"/>
      <c r="L27" s="14" t="s">
        <v>59</v>
      </c>
    </row>
    <row r="28" spans="1:12" ht="66" x14ac:dyDescent="0.2">
      <c r="A28" s="39" t="s">
        <v>8</v>
      </c>
      <c r="B28" s="33">
        <v>0.3</v>
      </c>
      <c r="C28" s="33">
        <f>0.0140476</f>
        <v>1.40476E-2</v>
      </c>
      <c r="D28" s="33">
        <f t="shared" si="0"/>
        <v>0.31404759999999998</v>
      </c>
      <c r="E28" s="33">
        <f t="shared" si="1"/>
        <v>0.49804759999999998</v>
      </c>
      <c r="F28" s="33"/>
      <c r="G28" s="33">
        <v>0.312</v>
      </c>
      <c r="H28" s="33">
        <v>6.7000000000000002E-3</v>
      </c>
      <c r="I28" s="33">
        <f t="shared" si="2"/>
        <v>0.31869999999999998</v>
      </c>
      <c r="J28" s="33">
        <f t="shared" si="3"/>
        <v>0.56269999999999998</v>
      </c>
      <c r="K28" s="33"/>
      <c r="L28" s="14" t="s">
        <v>105</v>
      </c>
    </row>
    <row r="29" spans="1:12" ht="26.25" customHeight="1" x14ac:dyDescent="0.2">
      <c r="A29" s="14" t="s">
        <v>9</v>
      </c>
      <c r="B29" s="33">
        <v>0.247</v>
      </c>
      <c r="C29" s="33">
        <f>0.088+0.0019</f>
        <v>8.9899999999999994E-2</v>
      </c>
      <c r="D29" s="33">
        <f t="shared" si="0"/>
        <v>0.33689999999999998</v>
      </c>
      <c r="E29" s="33">
        <f t="shared" si="1"/>
        <v>0.52089999999999992</v>
      </c>
      <c r="F29" s="33"/>
      <c r="G29" s="33">
        <v>0.2535</v>
      </c>
      <c r="H29" s="33">
        <f>0.088+0.0019</f>
        <v>8.9899999999999994E-2</v>
      </c>
      <c r="I29" s="33">
        <f t="shared" si="2"/>
        <v>0.34339999999999998</v>
      </c>
      <c r="J29" s="33">
        <f t="shared" si="3"/>
        <v>0.58740000000000003</v>
      </c>
      <c r="K29" s="33"/>
      <c r="L29" s="14" t="s">
        <v>196</v>
      </c>
    </row>
    <row r="30" spans="1:12" ht="27" x14ac:dyDescent="0.2">
      <c r="A30" s="22" t="s">
        <v>36</v>
      </c>
      <c r="B30" s="33">
        <v>0.24</v>
      </c>
      <c r="C30" s="23">
        <f>0.025715+0.0012</f>
        <v>2.6914999999999998E-2</v>
      </c>
      <c r="D30" s="33">
        <f t="shared" si="0"/>
        <v>0.26691500000000001</v>
      </c>
      <c r="E30" s="33">
        <f t="shared" si="1"/>
        <v>0.45091500000000001</v>
      </c>
      <c r="F30" s="33"/>
      <c r="G30" s="33">
        <v>0.24</v>
      </c>
      <c r="H30" s="23">
        <f>0.025715+0.0012</f>
        <v>2.6914999999999998E-2</v>
      </c>
      <c r="I30" s="33">
        <f t="shared" si="2"/>
        <v>0.26691500000000001</v>
      </c>
      <c r="J30" s="33">
        <f t="shared" si="3"/>
        <v>0.51091500000000001</v>
      </c>
      <c r="K30" s="33"/>
      <c r="L30" s="14" t="s">
        <v>197</v>
      </c>
    </row>
    <row r="31" spans="1:12" ht="39" customHeight="1" x14ac:dyDescent="0.2">
      <c r="A31" s="22" t="s">
        <v>95</v>
      </c>
      <c r="B31" s="23">
        <v>0.26300000000000001</v>
      </c>
      <c r="C31" s="23">
        <f>0.109+0.00875</f>
        <v>0.11774999999999999</v>
      </c>
      <c r="D31" s="33">
        <f t="shared" si="0"/>
        <v>0.38075000000000003</v>
      </c>
      <c r="E31" s="33">
        <f t="shared" si="1"/>
        <v>0.56475000000000009</v>
      </c>
      <c r="F31" s="33"/>
      <c r="G31" s="23">
        <v>0.26300000000000001</v>
      </c>
      <c r="H31" s="23">
        <f>0.126+0.00875</f>
        <v>0.13475000000000001</v>
      </c>
      <c r="I31" s="33">
        <f t="shared" si="2"/>
        <v>0.39775000000000005</v>
      </c>
      <c r="J31" s="33">
        <f t="shared" si="3"/>
        <v>0.64175000000000004</v>
      </c>
      <c r="K31" s="33"/>
      <c r="L31" s="14" t="s">
        <v>198</v>
      </c>
    </row>
    <row r="32" spans="1:12" ht="26.25" customHeight="1" x14ac:dyDescent="0.2">
      <c r="A32" s="22" t="s">
        <v>10</v>
      </c>
      <c r="B32" s="33">
        <v>0.28499999999999998</v>
      </c>
      <c r="C32" s="23">
        <f>0.02+0.001</f>
        <v>2.1000000000000001E-2</v>
      </c>
      <c r="D32" s="33">
        <f t="shared" si="0"/>
        <v>0.30599999999999999</v>
      </c>
      <c r="E32" s="33">
        <f t="shared" si="1"/>
        <v>0.49</v>
      </c>
      <c r="F32" s="33"/>
      <c r="G32" s="33">
        <v>0.28499999999999998</v>
      </c>
      <c r="H32" s="23">
        <f>0.02+0.001</f>
        <v>2.1000000000000001E-2</v>
      </c>
      <c r="I32" s="33">
        <f t="shared" si="2"/>
        <v>0.30599999999999999</v>
      </c>
      <c r="J32" s="33">
        <f t="shared" si="3"/>
        <v>0.55000000000000004</v>
      </c>
      <c r="K32" s="33"/>
      <c r="L32" s="14" t="s">
        <v>199</v>
      </c>
    </row>
    <row r="33" spans="1:12" ht="27" customHeight="1" x14ac:dyDescent="0.2">
      <c r="A33" s="39" t="s">
        <v>27</v>
      </c>
      <c r="B33" s="33">
        <v>0.18</v>
      </c>
      <c r="C33" s="33">
        <f>0.004</f>
        <v>4.0000000000000001E-3</v>
      </c>
      <c r="D33" s="33">
        <f t="shared" si="0"/>
        <v>0.184</v>
      </c>
      <c r="E33" s="33">
        <f t="shared" si="1"/>
        <v>0.36799999999999999</v>
      </c>
      <c r="F33" s="33"/>
      <c r="G33" s="33">
        <v>0.18</v>
      </c>
      <c r="H33" s="33">
        <f>0.004</f>
        <v>4.0000000000000001E-3</v>
      </c>
      <c r="I33" s="33">
        <f t="shared" si="2"/>
        <v>0.184</v>
      </c>
      <c r="J33" s="33">
        <f t="shared" si="3"/>
        <v>0.42800000000000005</v>
      </c>
      <c r="K33" s="33"/>
      <c r="L33" s="14" t="s">
        <v>60</v>
      </c>
    </row>
    <row r="34" spans="1:12" x14ac:dyDescent="0.2">
      <c r="A34" s="39" t="s">
        <v>28</v>
      </c>
      <c r="B34" s="33">
        <v>0.17</v>
      </c>
      <c r="C34" s="33">
        <f>0.0005+0.0025</f>
        <v>3.0000000000000001E-3</v>
      </c>
      <c r="D34" s="33">
        <f t="shared" si="0"/>
        <v>0.17300000000000001</v>
      </c>
      <c r="E34" s="33">
        <f t="shared" si="1"/>
        <v>0.35699999999999998</v>
      </c>
      <c r="F34" s="33"/>
      <c r="G34" s="33">
        <v>0.17</v>
      </c>
      <c r="H34" s="33">
        <f>0.0005+0.0025</f>
        <v>3.0000000000000001E-3</v>
      </c>
      <c r="I34" s="33">
        <f t="shared" si="2"/>
        <v>0.17300000000000001</v>
      </c>
      <c r="J34" s="33">
        <f t="shared" si="3"/>
        <v>0.41700000000000004</v>
      </c>
      <c r="K34" s="33"/>
      <c r="L34" s="14" t="s">
        <v>200</v>
      </c>
    </row>
    <row r="35" spans="1:12" x14ac:dyDescent="0.2">
      <c r="A35" s="39" t="s">
        <v>29</v>
      </c>
      <c r="B35" s="33">
        <v>0.27</v>
      </c>
      <c r="C35" s="33">
        <f>0.0075</f>
        <v>7.4999999999999997E-3</v>
      </c>
      <c r="D35" s="33">
        <f t="shared" si="0"/>
        <v>0.27750000000000002</v>
      </c>
      <c r="E35" s="33">
        <f t="shared" si="1"/>
        <v>0.46150000000000002</v>
      </c>
      <c r="F35" s="33"/>
      <c r="G35" s="33">
        <v>0.27750000000000002</v>
      </c>
      <c r="H35" s="33">
        <f>0.0075</f>
        <v>7.4999999999999997E-3</v>
      </c>
      <c r="I35" s="33">
        <f t="shared" si="2"/>
        <v>0.28500000000000003</v>
      </c>
      <c r="J35" s="33">
        <f t="shared" si="3"/>
        <v>0.52900000000000003</v>
      </c>
      <c r="K35" s="33"/>
      <c r="L35" s="14" t="s">
        <v>61</v>
      </c>
    </row>
    <row r="36" spans="1:12" ht="27" x14ac:dyDescent="0.2">
      <c r="A36" s="22" t="s">
        <v>15</v>
      </c>
      <c r="B36" s="23">
        <v>0.27300000000000002</v>
      </c>
      <c r="C36" s="33">
        <f>0.009</f>
        <v>8.9999999999999993E-3</v>
      </c>
      <c r="D36" s="33">
        <f t="shared" si="0"/>
        <v>0.28200000000000003</v>
      </c>
      <c r="E36" s="33">
        <f t="shared" si="1"/>
        <v>0.46600000000000003</v>
      </c>
      <c r="F36" s="33"/>
      <c r="G36" s="23">
        <v>0.27300000000000002</v>
      </c>
      <c r="H36" s="33">
        <f>0.003</f>
        <v>3.0000000000000001E-3</v>
      </c>
      <c r="I36" s="33">
        <f t="shared" si="2"/>
        <v>0.27600000000000002</v>
      </c>
      <c r="J36" s="33">
        <f t="shared" si="3"/>
        <v>0.52</v>
      </c>
      <c r="K36" s="33"/>
      <c r="L36" s="14" t="s">
        <v>62</v>
      </c>
    </row>
    <row r="37" spans="1:12" ht="38.25" customHeight="1" x14ac:dyDescent="0.2">
      <c r="A37" s="39" t="s">
        <v>30</v>
      </c>
      <c r="B37" s="33">
        <v>0.23</v>
      </c>
      <c r="C37" s="33">
        <f>0.00055+0.0075</f>
        <v>8.0499999999999999E-3</v>
      </c>
      <c r="D37" s="33">
        <f t="shared" si="0"/>
        <v>0.23805000000000001</v>
      </c>
      <c r="E37" s="33">
        <f t="shared" si="1"/>
        <v>0.42205000000000004</v>
      </c>
      <c r="F37" s="33"/>
      <c r="G37" s="33">
        <v>0.27</v>
      </c>
      <c r="H37" s="33">
        <f>0.0075</f>
        <v>7.4999999999999997E-3</v>
      </c>
      <c r="I37" s="33">
        <f t="shared" si="2"/>
        <v>0.27750000000000002</v>
      </c>
      <c r="J37" s="33">
        <f t="shared" si="3"/>
        <v>0.52150000000000007</v>
      </c>
      <c r="K37" s="33"/>
      <c r="L37" s="14" t="s">
        <v>100</v>
      </c>
    </row>
    <row r="38" spans="1:12" ht="27.75" customHeight="1" x14ac:dyDescent="0.2">
      <c r="A38" s="39" t="s">
        <v>16</v>
      </c>
      <c r="B38" s="33">
        <v>0.222</v>
      </c>
      <c r="C38" s="33">
        <f>0.015+0.00125</f>
        <v>1.6250000000000001E-2</v>
      </c>
      <c r="D38" s="33">
        <f t="shared" si="0"/>
        <v>0.23825000000000002</v>
      </c>
      <c r="E38" s="33">
        <f t="shared" si="1"/>
        <v>0.42225000000000001</v>
      </c>
      <c r="F38" s="33"/>
      <c r="G38" s="33">
        <v>0.222</v>
      </c>
      <c r="H38" s="33">
        <f>0.015+0.00125</f>
        <v>1.6250000000000001E-2</v>
      </c>
      <c r="I38" s="33">
        <f t="shared" si="2"/>
        <v>0.23825000000000002</v>
      </c>
      <c r="J38" s="33">
        <f t="shared" si="3"/>
        <v>0.48225000000000007</v>
      </c>
      <c r="K38" s="33"/>
      <c r="L38" s="14" t="s">
        <v>79</v>
      </c>
    </row>
    <row r="39" spans="1:12" ht="27" x14ac:dyDescent="0.2">
      <c r="A39" s="22" t="s">
        <v>96</v>
      </c>
      <c r="B39" s="33">
        <v>0.105</v>
      </c>
      <c r="C39" s="23">
        <f>0.266+0.0005</f>
        <v>0.26650000000000001</v>
      </c>
      <c r="D39" s="33">
        <f t="shared" si="0"/>
        <v>0.3715</v>
      </c>
      <c r="E39" s="33">
        <f t="shared" si="1"/>
        <v>0.55549999999999999</v>
      </c>
      <c r="F39" s="33"/>
      <c r="G39" s="33">
        <v>0.13500000000000001</v>
      </c>
      <c r="H39" s="23">
        <f>0.199+0.0005</f>
        <v>0.19950000000000001</v>
      </c>
      <c r="I39" s="33">
        <f t="shared" si="2"/>
        <v>0.33450000000000002</v>
      </c>
      <c r="J39" s="33">
        <f t="shared" si="3"/>
        <v>0.57850000000000001</v>
      </c>
      <c r="K39" s="33"/>
      <c r="L39" s="14" t="s">
        <v>201</v>
      </c>
    </row>
    <row r="40" spans="1:12" ht="27" x14ac:dyDescent="0.2">
      <c r="A40" s="39" t="s">
        <v>22</v>
      </c>
      <c r="B40" s="33">
        <v>0.17</v>
      </c>
      <c r="C40" s="33">
        <f>0.01875</f>
        <v>1.8749999999999999E-2</v>
      </c>
      <c r="D40" s="33">
        <f t="shared" si="0"/>
        <v>0.18875</v>
      </c>
      <c r="E40" s="33">
        <f t="shared" si="1"/>
        <v>0.37275000000000003</v>
      </c>
      <c r="F40" s="33"/>
      <c r="G40" s="33">
        <v>0.21</v>
      </c>
      <c r="H40" s="33">
        <f>0.01875</f>
        <v>1.8749999999999999E-2</v>
      </c>
      <c r="I40" s="33">
        <f t="shared" si="2"/>
        <v>0.22874999999999998</v>
      </c>
      <c r="J40" s="33">
        <f t="shared" si="3"/>
        <v>0.47275</v>
      </c>
      <c r="K40" s="33"/>
      <c r="L40" s="14" t="s">
        <v>63</v>
      </c>
    </row>
    <row r="41" spans="1:12" ht="86.25" customHeight="1" x14ac:dyDescent="0.2">
      <c r="A41" s="22" t="s">
        <v>97</v>
      </c>
      <c r="B41" s="33">
        <v>0.08</v>
      </c>
      <c r="C41" s="23">
        <f>0.162+0.0005+0.08+0.0029</f>
        <v>0.24540000000000001</v>
      </c>
      <c r="D41" s="33">
        <f t="shared" si="0"/>
        <v>0.32540000000000002</v>
      </c>
      <c r="E41" s="33">
        <f t="shared" si="1"/>
        <v>0.50940000000000007</v>
      </c>
      <c r="F41" s="33"/>
      <c r="G41" s="33">
        <v>0.08</v>
      </c>
      <c r="H41" s="23">
        <f>0.1445+0.08+0.0029</f>
        <v>0.22739999999999999</v>
      </c>
      <c r="I41" s="33">
        <f t="shared" si="2"/>
        <v>0.30740000000000001</v>
      </c>
      <c r="J41" s="33">
        <f t="shared" si="3"/>
        <v>0.5514</v>
      </c>
      <c r="K41" s="33"/>
      <c r="L41" s="14" t="s">
        <v>202</v>
      </c>
    </row>
    <row r="42" spans="1:12" x14ac:dyDescent="0.2">
      <c r="A42" s="22" t="s">
        <v>17</v>
      </c>
      <c r="B42" s="23">
        <v>0.34300000000000003</v>
      </c>
      <c r="C42" s="33">
        <f>0.0025</f>
        <v>2.5000000000000001E-3</v>
      </c>
      <c r="D42" s="33">
        <f t="shared" si="0"/>
        <v>0.34550000000000003</v>
      </c>
      <c r="E42" s="33">
        <f t="shared" si="1"/>
        <v>0.52950000000000008</v>
      </c>
      <c r="F42" s="33"/>
      <c r="G42" s="23">
        <v>0.34300000000000003</v>
      </c>
      <c r="H42" s="33">
        <f>0.0025</f>
        <v>2.5000000000000001E-3</v>
      </c>
      <c r="I42" s="33">
        <f t="shared" si="2"/>
        <v>0.34550000000000003</v>
      </c>
      <c r="J42" s="33">
        <f t="shared" si="3"/>
        <v>0.58950000000000002</v>
      </c>
      <c r="K42" s="33"/>
      <c r="L42" s="14" t="s">
        <v>82</v>
      </c>
    </row>
    <row r="43" spans="1:12" ht="15" customHeight="1" x14ac:dyDescent="0.2">
      <c r="A43" s="39" t="s">
        <v>11</v>
      </c>
      <c r="B43" s="33">
        <v>0.23</v>
      </c>
      <c r="C43" s="33">
        <f>0.00025</f>
        <v>2.5000000000000001E-4</v>
      </c>
      <c r="D43" s="33">
        <f t="shared" si="0"/>
        <v>0.23025000000000001</v>
      </c>
      <c r="E43" s="33">
        <f t="shared" si="1"/>
        <v>0.41425000000000001</v>
      </c>
      <c r="F43" s="33"/>
      <c r="G43" s="33">
        <v>0.23</v>
      </c>
      <c r="H43" s="33">
        <f>0.00025</f>
        <v>2.5000000000000001E-4</v>
      </c>
      <c r="I43" s="33">
        <f t="shared" si="2"/>
        <v>0.23025000000000001</v>
      </c>
      <c r="J43" s="33">
        <f t="shared" si="3"/>
        <v>0.47425000000000006</v>
      </c>
      <c r="K43" s="33"/>
      <c r="L43" s="14" t="s">
        <v>64</v>
      </c>
    </row>
    <row r="44" spans="1:12" x14ac:dyDescent="0.2">
      <c r="A44" s="39" t="s">
        <v>23</v>
      </c>
      <c r="B44" s="33">
        <v>0.28000000000000003</v>
      </c>
      <c r="C44" s="33"/>
      <c r="D44" s="33">
        <f t="shared" si="0"/>
        <v>0.28000000000000003</v>
      </c>
      <c r="E44" s="33">
        <f t="shared" si="1"/>
        <v>0.46400000000000002</v>
      </c>
      <c r="F44" s="33"/>
      <c r="G44" s="33">
        <v>0.28000000000000003</v>
      </c>
      <c r="H44" s="33"/>
      <c r="I44" s="33">
        <f t="shared" si="2"/>
        <v>0.28000000000000003</v>
      </c>
      <c r="J44" s="33">
        <f t="shared" si="3"/>
        <v>0.52400000000000002</v>
      </c>
      <c r="K44" s="33"/>
      <c r="L44" s="39"/>
    </row>
    <row r="45" spans="1:12" ht="27" x14ac:dyDescent="0.2">
      <c r="A45" s="39" t="s">
        <v>18</v>
      </c>
      <c r="B45" s="33">
        <v>0.16</v>
      </c>
      <c r="C45" s="33">
        <f>0.01</f>
        <v>0.01</v>
      </c>
      <c r="D45" s="33">
        <f t="shared" si="0"/>
        <v>0.17</v>
      </c>
      <c r="E45" s="33">
        <f t="shared" si="1"/>
        <v>0.35399999999999998</v>
      </c>
      <c r="F45" s="33"/>
      <c r="G45" s="33">
        <v>0.13</v>
      </c>
      <c r="H45" s="33">
        <f>0.01</f>
        <v>0.01</v>
      </c>
      <c r="I45" s="33">
        <f t="shared" si="2"/>
        <v>0.14000000000000001</v>
      </c>
      <c r="J45" s="33">
        <f t="shared" si="3"/>
        <v>0.38400000000000001</v>
      </c>
      <c r="K45" s="33"/>
      <c r="L45" s="14" t="s">
        <v>65</v>
      </c>
    </row>
    <row r="46" spans="1:12" x14ac:dyDescent="0.2">
      <c r="A46" s="39" t="s">
        <v>31</v>
      </c>
      <c r="B46" s="33">
        <v>0.3</v>
      </c>
      <c r="C46" s="33"/>
      <c r="D46" s="33">
        <f t="shared" si="0"/>
        <v>0.3</v>
      </c>
      <c r="E46" s="33">
        <f t="shared" si="1"/>
        <v>0.48399999999999999</v>
      </c>
      <c r="F46" s="33"/>
      <c r="G46" s="33">
        <v>0.3</v>
      </c>
      <c r="H46" s="33"/>
      <c r="I46" s="33">
        <f t="shared" si="2"/>
        <v>0.3</v>
      </c>
      <c r="J46" s="33">
        <f t="shared" si="3"/>
        <v>0.54400000000000004</v>
      </c>
      <c r="K46" s="33"/>
      <c r="L46" s="14" t="s">
        <v>66</v>
      </c>
    </row>
    <row r="47" spans="1:12" ht="37.5" customHeight="1" x14ac:dyDescent="0.2">
      <c r="A47" s="22" t="s">
        <v>12</v>
      </c>
      <c r="B47" s="23">
        <v>0.58199999999999996</v>
      </c>
      <c r="C47" s="33">
        <f>0.011</f>
        <v>1.0999999999999999E-2</v>
      </c>
      <c r="D47" s="33">
        <f t="shared" si="0"/>
        <v>0.59299999999999997</v>
      </c>
      <c r="E47" s="33">
        <f t="shared" si="1"/>
        <v>0.77699999999999991</v>
      </c>
      <c r="F47" s="33"/>
      <c r="G47" s="23">
        <v>0.747</v>
      </c>
      <c r="H47" s="33">
        <f>0.011</f>
        <v>1.0999999999999999E-2</v>
      </c>
      <c r="I47" s="33">
        <f t="shared" si="2"/>
        <v>0.75800000000000001</v>
      </c>
      <c r="J47" s="33">
        <f t="shared" si="3"/>
        <v>1.002</v>
      </c>
      <c r="K47" s="33"/>
      <c r="L47" s="14" t="s">
        <v>103</v>
      </c>
    </row>
    <row r="48" spans="1:12" ht="26.25" customHeight="1" x14ac:dyDescent="0.2">
      <c r="A48" s="39" t="s">
        <v>14</v>
      </c>
      <c r="B48" s="33">
        <v>0.33</v>
      </c>
      <c r="C48" s="33">
        <f>0.01+0.0012</f>
        <v>1.12E-2</v>
      </c>
      <c r="D48" s="33">
        <f t="shared" si="0"/>
        <v>0.3412</v>
      </c>
      <c r="E48" s="33">
        <f t="shared" si="1"/>
        <v>0.5252</v>
      </c>
      <c r="F48" s="33"/>
      <c r="G48" s="33">
        <v>0.33</v>
      </c>
      <c r="H48" s="33">
        <f>0.01+0.0012</f>
        <v>1.12E-2</v>
      </c>
      <c r="I48" s="33">
        <f t="shared" si="2"/>
        <v>0.3412</v>
      </c>
      <c r="J48" s="33">
        <f t="shared" si="3"/>
        <v>0.58520000000000005</v>
      </c>
      <c r="K48" s="33"/>
      <c r="L48" s="14" t="s">
        <v>83</v>
      </c>
    </row>
    <row r="49" spans="1:12" x14ac:dyDescent="0.2">
      <c r="A49" s="39" t="s">
        <v>119</v>
      </c>
      <c r="B49" s="33">
        <v>0.16</v>
      </c>
      <c r="C49" s="33">
        <f>0.0025+0.005</f>
        <v>7.4999999999999997E-3</v>
      </c>
      <c r="D49" s="33">
        <f t="shared" si="0"/>
        <v>0.16750000000000001</v>
      </c>
      <c r="E49" s="33">
        <f t="shared" si="1"/>
        <v>0.35150000000000003</v>
      </c>
      <c r="F49" s="33"/>
      <c r="G49" s="33">
        <v>0.16</v>
      </c>
      <c r="H49" s="33">
        <f>0.0025+0.005</f>
        <v>7.4999999999999997E-3</v>
      </c>
      <c r="I49" s="33">
        <f t="shared" si="2"/>
        <v>0.16750000000000001</v>
      </c>
      <c r="J49" s="33">
        <f t="shared" si="3"/>
        <v>0.41150000000000003</v>
      </c>
      <c r="K49" s="33"/>
      <c r="L49" s="14" t="s">
        <v>67</v>
      </c>
    </row>
    <row r="50" spans="1:12" x14ac:dyDescent="0.2">
      <c r="A50" s="39" t="s">
        <v>13</v>
      </c>
      <c r="B50" s="33">
        <v>0.28000000000000003</v>
      </c>
      <c r="C50" s="33">
        <f>0.02</f>
        <v>0.02</v>
      </c>
      <c r="D50" s="33">
        <f t="shared" si="0"/>
        <v>0.30000000000000004</v>
      </c>
      <c r="E50" s="33">
        <f t="shared" si="1"/>
        <v>0.48400000000000004</v>
      </c>
      <c r="F50" s="33"/>
      <c r="G50" s="33">
        <v>0.28000000000000003</v>
      </c>
      <c r="H50" s="33">
        <f>0.02</f>
        <v>0.02</v>
      </c>
      <c r="I50" s="33">
        <f t="shared" si="2"/>
        <v>0.30000000000000004</v>
      </c>
      <c r="J50" s="33">
        <f t="shared" si="3"/>
        <v>0.54400000000000004</v>
      </c>
      <c r="K50" s="33"/>
      <c r="L50" s="14" t="s">
        <v>68</v>
      </c>
    </row>
    <row r="51" spans="1:12" x14ac:dyDescent="0.2">
      <c r="A51" s="39" t="s">
        <v>19</v>
      </c>
      <c r="B51" s="33">
        <v>0.2</v>
      </c>
      <c r="C51" s="33">
        <f>0.01+0.004</f>
        <v>1.4E-2</v>
      </c>
      <c r="D51" s="33">
        <f t="shared" si="0"/>
        <v>0.21400000000000002</v>
      </c>
      <c r="E51" s="33">
        <f t="shared" si="1"/>
        <v>0.39800000000000002</v>
      </c>
      <c r="F51" s="33"/>
      <c r="G51" s="33">
        <v>0.17</v>
      </c>
      <c r="H51" s="33">
        <f>0.01+0.004</f>
        <v>1.4E-2</v>
      </c>
      <c r="I51" s="33">
        <f t="shared" si="2"/>
        <v>0.18400000000000002</v>
      </c>
      <c r="J51" s="33">
        <f t="shared" si="3"/>
        <v>0.42800000000000005</v>
      </c>
      <c r="K51" s="33"/>
      <c r="L51" s="14" t="s">
        <v>69</v>
      </c>
    </row>
    <row r="52" spans="1:12" x14ac:dyDescent="0.2">
      <c r="A52" s="39" t="s">
        <v>24</v>
      </c>
      <c r="B52" s="33">
        <v>0.2</v>
      </c>
      <c r="C52" s="33"/>
      <c r="D52" s="33">
        <f t="shared" si="0"/>
        <v>0.2</v>
      </c>
      <c r="E52" s="33">
        <f t="shared" si="1"/>
        <v>0.38400000000000001</v>
      </c>
      <c r="F52" s="33"/>
      <c r="G52" s="33">
        <v>0.2</v>
      </c>
      <c r="H52" s="33"/>
      <c r="I52" s="33">
        <f t="shared" si="2"/>
        <v>0.2</v>
      </c>
      <c r="J52" s="33">
        <f t="shared" si="3"/>
        <v>0.44400000000000006</v>
      </c>
      <c r="K52" s="33"/>
      <c r="L52" s="14" t="s">
        <v>70</v>
      </c>
    </row>
    <row r="53" spans="1:12" x14ac:dyDescent="0.2">
      <c r="A53" s="39" t="s">
        <v>25</v>
      </c>
      <c r="B53" s="33">
        <v>0.29399999999999998</v>
      </c>
      <c r="C53" s="33">
        <f>0.0065</f>
        <v>6.4999999999999997E-3</v>
      </c>
      <c r="D53" s="33">
        <f t="shared" si="0"/>
        <v>0.30049999999999999</v>
      </c>
      <c r="E53" s="33">
        <f t="shared" si="1"/>
        <v>0.48449999999999999</v>
      </c>
      <c r="F53" s="33"/>
      <c r="G53" s="33">
        <v>0.29399999999999998</v>
      </c>
      <c r="H53" s="33">
        <f>0.0065</f>
        <v>6.4999999999999997E-3</v>
      </c>
      <c r="I53" s="33">
        <f t="shared" si="2"/>
        <v>0.30049999999999999</v>
      </c>
      <c r="J53" s="33">
        <f t="shared" si="3"/>
        <v>0.54449999999999998</v>
      </c>
      <c r="K53" s="33"/>
      <c r="L53" s="14" t="s">
        <v>71</v>
      </c>
    </row>
    <row r="54" spans="1:12" ht="27" x14ac:dyDescent="0.2">
      <c r="A54" s="39" t="s">
        <v>75</v>
      </c>
      <c r="B54" s="33">
        <v>0.121</v>
      </c>
      <c r="C54" s="33">
        <f>0.0396+0.134+0.01</f>
        <v>0.18360000000000001</v>
      </c>
      <c r="D54" s="33">
        <f t="shared" si="0"/>
        <v>0.30459999999999998</v>
      </c>
      <c r="E54" s="33">
        <f t="shared" si="1"/>
        <v>0.48859999999999998</v>
      </c>
      <c r="F54" s="33"/>
      <c r="G54" s="33">
        <v>0.28000000000000003</v>
      </c>
      <c r="H54" s="33">
        <f>0.01+0.03</f>
        <v>0.04</v>
      </c>
      <c r="I54" s="33">
        <f t="shared" si="2"/>
        <v>0.32</v>
      </c>
      <c r="J54" s="33">
        <f t="shared" si="3"/>
        <v>0.56400000000000006</v>
      </c>
      <c r="K54" s="33"/>
      <c r="L54" s="14" t="s">
        <v>203</v>
      </c>
    </row>
    <row r="55" spans="1:12" ht="27" x14ac:dyDescent="0.2">
      <c r="A55" s="39" t="s">
        <v>98</v>
      </c>
      <c r="B55" s="33">
        <v>0.16200000000000001</v>
      </c>
      <c r="C55" s="33">
        <f>0.006</f>
        <v>6.0000000000000001E-3</v>
      </c>
      <c r="D55" s="33">
        <f t="shared" si="0"/>
        <v>0.16800000000000001</v>
      </c>
      <c r="E55" s="33">
        <f t="shared" si="1"/>
        <v>0.35199999999999998</v>
      </c>
      <c r="F55" s="33"/>
      <c r="G55" s="33">
        <v>0.20199999999999999</v>
      </c>
      <c r="H55" s="33">
        <f>0.006</f>
        <v>6.0000000000000001E-3</v>
      </c>
      <c r="I55" s="33">
        <f t="shared" si="2"/>
        <v>0.20799999999999999</v>
      </c>
      <c r="J55" s="33">
        <f t="shared" si="3"/>
        <v>0.45200000000000001</v>
      </c>
      <c r="K55" s="33"/>
      <c r="L55" s="14" t="s">
        <v>84</v>
      </c>
    </row>
    <row r="56" spans="1:12" ht="40" x14ac:dyDescent="0.2">
      <c r="A56" s="39" t="s">
        <v>32</v>
      </c>
      <c r="B56" s="33">
        <v>0.49399999999999999</v>
      </c>
      <c r="C56" s="33">
        <f>0.0009523+0.000238</f>
        <v>1.1903E-3</v>
      </c>
      <c r="D56" s="33">
        <f t="shared" si="0"/>
        <v>0.49519029999999997</v>
      </c>
      <c r="E56" s="33">
        <f t="shared" si="1"/>
        <v>0.67919029999999991</v>
      </c>
      <c r="F56" s="33"/>
      <c r="G56" s="33">
        <v>0.49399999999999999</v>
      </c>
      <c r="H56" s="33">
        <f>0.0009523+0.000238</f>
        <v>1.1903E-3</v>
      </c>
      <c r="I56" s="33">
        <f t="shared" si="2"/>
        <v>0.49519029999999997</v>
      </c>
      <c r="J56" s="33">
        <f t="shared" si="3"/>
        <v>0.73919029999999997</v>
      </c>
      <c r="K56" s="33"/>
      <c r="L56" s="14" t="s">
        <v>101</v>
      </c>
    </row>
    <row r="57" spans="1:12" x14ac:dyDescent="0.2">
      <c r="A57" s="22" t="s">
        <v>26</v>
      </c>
      <c r="B57" s="33">
        <v>0.20499999999999999</v>
      </c>
      <c r="C57" s="23">
        <v>0.11700000000000001</v>
      </c>
      <c r="D57" s="33">
        <f t="shared" si="0"/>
        <v>0.32200000000000001</v>
      </c>
      <c r="E57" s="33">
        <f t="shared" si="1"/>
        <v>0.50600000000000001</v>
      </c>
      <c r="F57" s="33"/>
      <c r="G57" s="33">
        <v>0.20499999999999999</v>
      </c>
      <c r="H57" s="23">
        <v>0.11700000000000001</v>
      </c>
      <c r="I57" s="33">
        <f t="shared" si="2"/>
        <v>0.32200000000000001</v>
      </c>
      <c r="J57" s="33">
        <f t="shared" si="3"/>
        <v>0.56600000000000006</v>
      </c>
      <c r="K57" s="33"/>
      <c r="L57" s="14" t="s">
        <v>204</v>
      </c>
    </row>
    <row r="58" spans="1:12" x14ac:dyDescent="0.2">
      <c r="A58" s="39" t="s">
        <v>20</v>
      </c>
      <c r="B58" s="33">
        <v>0.309</v>
      </c>
      <c r="C58" s="33">
        <f>0.02</f>
        <v>0.02</v>
      </c>
      <c r="D58" s="33">
        <f t="shared" si="0"/>
        <v>0.32900000000000001</v>
      </c>
      <c r="E58" s="33">
        <f t="shared" si="1"/>
        <v>0.51300000000000001</v>
      </c>
      <c r="F58" s="33"/>
      <c r="G58" s="33">
        <v>0.309</v>
      </c>
      <c r="H58" s="33">
        <f>0.02</f>
        <v>0.02</v>
      </c>
      <c r="I58" s="33">
        <f t="shared" si="2"/>
        <v>0.32900000000000001</v>
      </c>
      <c r="J58" s="33">
        <f t="shared" si="3"/>
        <v>0.57300000000000006</v>
      </c>
      <c r="K58" s="33"/>
      <c r="L58" s="14" t="s">
        <v>72</v>
      </c>
    </row>
    <row r="59" spans="1:12" x14ac:dyDescent="0.2">
      <c r="A59" s="40" t="s">
        <v>21</v>
      </c>
      <c r="B59" s="36">
        <v>0.23</v>
      </c>
      <c r="C59" s="36">
        <f>0.01</f>
        <v>0.01</v>
      </c>
      <c r="D59" s="36">
        <f t="shared" si="0"/>
        <v>0.24000000000000002</v>
      </c>
      <c r="E59" s="36">
        <f t="shared" si="1"/>
        <v>0.42400000000000004</v>
      </c>
      <c r="F59" s="36"/>
      <c r="G59" s="36">
        <v>0.23</v>
      </c>
      <c r="H59" s="36">
        <f>0.01</f>
        <v>0.01</v>
      </c>
      <c r="I59" s="36">
        <f t="shared" si="2"/>
        <v>0.24000000000000002</v>
      </c>
      <c r="J59" s="36">
        <f t="shared" si="3"/>
        <v>0.48400000000000004</v>
      </c>
      <c r="K59" s="36"/>
      <c r="L59" s="40" t="s">
        <v>73</v>
      </c>
    </row>
    <row r="60" spans="1:12" x14ac:dyDescent="0.2">
      <c r="A60" s="37" t="s">
        <v>49</v>
      </c>
      <c r="B60" s="38">
        <v>0.35</v>
      </c>
      <c r="C60" s="38"/>
      <c r="D60" s="38">
        <f t="shared" si="0"/>
        <v>0.35</v>
      </c>
      <c r="E60" s="38"/>
      <c r="F60" s="38"/>
      <c r="G60" s="38">
        <v>0.315</v>
      </c>
      <c r="H60" s="38">
        <f>0.035</f>
        <v>3.5000000000000003E-2</v>
      </c>
      <c r="I60" s="38">
        <f t="shared" si="2"/>
        <v>0.35</v>
      </c>
      <c r="J60" s="38"/>
      <c r="K60" s="38"/>
      <c r="L60" s="39" t="s">
        <v>85</v>
      </c>
    </row>
    <row r="61" spans="1:12" x14ac:dyDescent="0.2">
      <c r="A61" s="39" t="s">
        <v>50</v>
      </c>
      <c r="B61" s="33">
        <v>0.11</v>
      </c>
      <c r="C61" s="33">
        <f>0.04</f>
        <v>0.04</v>
      </c>
      <c r="D61" s="33">
        <f t="shared" si="0"/>
        <v>0.15</v>
      </c>
      <c r="E61" s="33"/>
      <c r="F61" s="33"/>
      <c r="G61" s="33">
        <v>0.1</v>
      </c>
      <c r="H61" s="33">
        <f>0.04</f>
        <v>0.04</v>
      </c>
      <c r="I61" s="33">
        <f t="shared" si="2"/>
        <v>0.14000000000000001</v>
      </c>
      <c r="J61" s="33"/>
      <c r="K61" s="33"/>
      <c r="L61" s="14" t="s">
        <v>74</v>
      </c>
    </row>
    <row r="62" spans="1:12" ht="15" customHeight="1" x14ac:dyDescent="0.2">
      <c r="A62" s="39" t="s">
        <v>51</v>
      </c>
      <c r="B62" s="33">
        <v>0.15</v>
      </c>
      <c r="C62" s="33"/>
      <c r="D62" s="33">
        <f t="shared" si="0"/>
        <v>0.15</v>
      </c>
      <c r="E62" s="33"/>
      <c r="F62" s="33"/>
      <c r="G62" s="33">
        <v>0.15</v>
      </c>
      <c r="H62" s="33"/>
      <c r="I62" s="33">
        <f t="shared" si="2"/>
        <v>0.15</v>
      </c>
      <c r="J62" s="33"/>
      <c r="K62" s="33"/>
      <c r="L62" s="14" t="s">
        <v>85</v>
      </c>
    </row>
    <row r="63" spans="1:12" ht="14.25" customHeight="1" x14ac:dyDescent="0.2">
      <c r="A63" s="39" t="s">
        <v>52</v>
      </c>
      <c r="B63" s="33">
        <v>0.16</v>
      </c>
      <c r="C63" s="33"/>
      <c r="D63" s="33">
        <f t="shared" si="0"/>
        <v>0.16</v>
      </c>
      <c r="E63" s="33"/>
      <c r="F63" s="33"/>
      <c r="G63" s="33">
        <v>0.08</v>
      </c>
      <c r="H63" s="33"/>
      <c r="I63" s="33">
        <f t="shared" si="2"/>
        <v>0.08</v>
      </c>
      <c r="J63" s="33"/>
      <c r="K63" s="33"/>
      <c r="L63" s="14" t="s">
        <v>85</v>
      </c>
    </row>
    <row r="64" spans="1:12" ht="16" thickBot="1" x14ac:dyDescent="0.25">
      <c r="A64" s="39" t="s">
        <v>81</v>
      </c>
      <c r="B64" s="33">
        <v>0.14000000000000001</v>
      </c>
      <c r="C64" s="33"/>
      <c r="D64" s="33">
        <f t="shared" si="0"/>
        <v>0.14000000000000001</v>
      </c>
      <c r="E64" s="33"/>
      <c r="F64" s="33"/>
      <c r="G64" s="33">
        <v>0.14000000000000001</v>
      </c>
      <c r="H64" s="33"/>
      <c r="I64" s="33">
        <f t="shared" si="2"/>
        <v>0.14000000000000001</v>
      </c>
      <c r="J64" s="33"/>
      <c r="K64" s="33"/>
      <c r="L64" s="14" t="s">
        <v>85</v>
      </c>
    </row>
    <row r="65" spans="1:12" ht="66" customHeight="1" x14ac:dyDescent="0.2">
      <c r="A65" s="92" t="s">
        <v>205</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F71" r:id="rId1" display="mailto:maureen.klein@eia.gov" xr:uid="{00000000-0004-0000-0C00-000000000000}"/>
  </hyperlinks>
  <pageMargins left="0.17" right="0.17" top="0.4" bottom="0.38" header="0.3" footer="0.3"/>
  <pageSetup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82.6640625" customWidth="1"/>
  </cols>
  <sheetData>
    <row r="1" spans="1:12" ht="16" x14ac:dyDescent="0.2">
      <c r="A1" s="19" t="s">
        <v>80</v>
      </c>
    </row>
    <row r="2" spans="1:12" ht="31.5" customHeight="1" x14ac:dyDescent="0.2">
      <c r="A2" s="41"/>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0.23011764705882357</v>
      </c>
      <c r="C8" s="32">
        <f>AVERAGE(C9:C59)</f>
        <v>4.0698895555555552E-2</v>
      </c>
      <c r="D8" s="32">
        <f>AVERAGE(D9:D59)</f>
        <v>0.26602843725490199</v>
      </c>
      <c r="E8" s="32">
        <f>AVERAGE(E9:E59)</f>
        <v>0.4500284372549021</v>
      </c>
      <c r="F8" s="3"/>
      <c r="G8" s="32">
        <f>AVERAGE(G9:G59)</f>
        <v>0.23950980392156865</v>
      </c>
      <c r="H8" s="32">
        <f>AVERAGE(H9:H59)</f>
        <v>3.7981784444444444E-2</v>
      </c>
      <c r="I8" s="32">
        <f>AVERAGE(I9:I59)</f>
        <v>0.27302314313725495</v>
      </c>
      <c r="J8" s="21">
        <f>AVERAGE(J9:J59)</f>
        <v>0.51702314313725506</v>
      </c>
      <c r="K8" s="32"/>
      <c r="L8" s="11"/>
    </row>
    <row r="9" spans="1:12" ht="38.25" customHeight="1" x14ac:dyDescent="0.2">
      <c r="A9" s="39" t="s">
        <v>33</v>
      </c>
      <c r="B9" s="33">
        <v>0.16</v>
      </c>
      <c r="C9" s="33">
        <f>0.02+0.01</f>
        <v>0.03</v>
      </c>
      <c r="D9" s="33">
        <f>$B9+$C9</f>
        <v>0.19</v>
      </c>
      <c r="E9" s="33">
        <f>$D9+$E$4</f>
        <v>0.374</v>
      </c>
      <c r="F9" s="33"/>
      <c r="G9" s="33">
        <v>0.19</v>
      </c>
      <c r="H9" s="33">
        <f>0.0075+0.01</f>
        <v>1.7500000000000002E-2</v>
      </c>
      <c r="I9" s="33">
        <f>$G9+$H9</f>
        <v>0.20750000000000002</v>
      </c>
      <c r="J9" s="33">
        <f>$I9+$J$4</f>
        <v>0.45150000000000001</v>
      </c>
      <c r="K9" s="33"/>
      <c r="L9" s="14" t="s">
        <v>156</v>
      </c>
    </row>
    <row r="10" spans="1:12" x14ac:dyDescent="0.2">
      <c r="A10" s="39" t="s">
        <v>171</v>
      </c>
      <c r="B10" s="33">
        <v>0.08</v>
      </c>
      <c r="C10" s="33">
        <f>0.0095</f>
        <v>9.4999999999999998E-3</v>
      </c>
      <c r="D10" s="33">
        <f t="shared" ref="D10:D64" si="0">$B10+$C10</f>
        <v>8.9499999999999996E-2</v>
      </c>
      <c r="E10" s="33">
        <f t="shared" ref="E10:E59" si="1">$D10+$E$4</f>
        <v>0.27349999999999997</v>
      </c>
      <c r="F10" s="33"/>
      <c r="G10" s="33">
        <v>0.08</v>
      </c>
      <c r="H10" s="33">
        <f>0.0095</f>
        <v>9.4999999999999998E-3</v>
      </c>
      <c r="I10" s="33">
        <f t="shared" ref="I10:I64" si="2">$G10+$H10</f>
        <v>8.9499999999999996E-2</v>
      </c>
      <c r="J10" s="33">
        <f t="shared" ref="J10:J59" si="3">$I10+$J$4</f>
        <v>0.33350000000000002</v>
      </c>
      <c r="K10" s="33"/>
      <c r="L10" s="39" t="s">
        <v>99</v>
      </c>
    </row>
    <row r="11" spans="1:12" x14ac:dyDescent="0.2">
      <c r="A11" s="39" t="s">
        <v>0</v>
      </c>
      <c r="B11" s="33">
        <v>0.18</v>
      </c>
      <c r="C11" s="33">
        <f>0.01</f>
        <v>0.01</v>
      </c>
      <c r="D11" s="33">
        <f t="shared" si="0"/>
        <v>0.19</v>
      </c>
      <c r="E11" s="33">
        <f t="shared" si="1"/>
        <v>0.374</v>
      </c>
      <c r="F11" s="33"/>
      <c r="G11" s="33">
        <v>0.18</v>
      </c>
      <c r="H11" s="33">
        <f>0.01</f>
        <v>0.01</v>
      </c>
      <c r="I11" s="33">
        <f t="shared" si="2"/>
        <v>0.19</v>
      </c>
      <c r="J11" s="33">
        <f t="shared" si="3"/>
        <v>0.43400000000000005</v>
      </c>
      <c r="K11" s="33"/>
      <c r="L11" s="14" t="s">
        <v>54</v>
      </c>
    </row>
    <row r="12" spans="1:12" ht="26.25" customHeight="1" x14ac:dyDescent="0.2">
      <c r="A12" s="39" t="s">
        <v>86</v>
      </c>
      <c r="B12" s="33">
        <v>0.215</v>
      </c>
      <c r="C12" s="33">
        <f>0.003</f>
        <v>3.0000000000000001E-3</v>
      </c>
      <c r="D12" s="33">
        <f t="shared" si="0"/>
        <v>0.218</v>
      </c>
      <c r="E12" s="33">
        <f t="shared" si="1"/>
        <v>0.40200000000000002</v>
      </c>
      <c r="F12" s="33"/>
      <c r="G12" s="33">
        <v>0.22500000000000001</v>
      </c>
      <c r="H12" s="33">
        <f>0.003</f>
        <v>3.0000000000000001E-3</v>
      </c>
      <c r="I12" s="33">
        <f t="shared" si="2"/>
        <v>0.22800000000000001</v>
      </c>
      <c r="J12" s="33">
        <f t="shared" si="3"/>
        <v>0.47200000000000003</v>
      </c>
      <c r="K12" s="33"/>
      <c r="L12" s="14" t="s">
        <v>55</v>
      </c>
    </row>
    <row r="13" spans="1:12" ht="51.75" customHeight="1" x14ac:dyDescent="0.2">
      <c r="A13" s="39" t="s">
        <v>117</v>
      </c>
      <c r="B13" s="33">
        <v>0.27800000000000002</v>
      </c>
      <c r="C13" s="33">
        <f>0.05+0.02+0.00155</f>
        <v>7.1550000000000002E-2</v>
      </c>
      <c r="D13" s="33">
        <f t="shared" si="0"/>
        <v>0.34955000000000003</v>
      </c>
      <c r="E13" s="33">
        <f t="shared" si="1"/>
        <v>0.53354999999999997</v>
      </c>
      <c r="F13" s="33"/>
      <c r="G13" s="33">
        <v>0.16</v>
      </c>
      <c r="H13" s="33">
        <f>0.225+0.02+0.00155</f>
        <v>0.24654999999999999</v>
      </c>
      <c r="I13" s="33">
        <f t="shared" si="2"/>
        <v>0.40654999999999997</v>
      </c>
      <c r="J13" s="33">
        <f t="shared" si="3"/>
        <v>0.65054999999999996</v>
      </c>
      <c r="K13" s="33"/>
      <c r="L13" s="15" t="s">
        <v>206</v>
      </c>
    </row>
    <row r="14" spans="1:12" x14ac:dyDescent="0.2">
      <c r="A14" s="39" t="s">
        <v>1</v>
      </c>
      <c r="B14" s="33">
        <v>0.22</v>
      </c>
      <c r="C14" s="33">
        <f>0.0125</f>
        <v>1.2500000000000001E-2</v>
      </c>
      <c r="D14" s="33">
        <f t="shared" si="0"/>
        <v>0.23250000000000001</v>
      </c>
      <c r="E14" s="33">
        <f t="shared" si="1"/>
        <v>0.41649999999999998</v>
      </c>
      <c r="F14" s="33"/>
      <c r="G14" s="33">
        <v>0.20499999999999999</v>
      </c>
      <c r="H14" s="33">
        <f>0.0125</f>
        <v>1.2500000000000001E-2</v>
      </c>
      <c r="I14" s="33">
        <f t="shared" si="2"/>
        <v>0.2175</v>
      </c>
      <c r="J14" s="33">
        <f t="shared" si="3"/>
        <v>0.46150000000000002</v>
      </c>
      <c r="K14" s="33"/>
      <c r="L14" s="14" t="s">
        <v>141</v>
      </c>
    </row>
    <row r="15" spans="1:12" ht="24.75" customHeight="1" x14ac:dyDescent="0.2">
      <c r="A15" s="39" t="s">
        <v>91</v>
      </c>
      <c r="B15" s="33">
        <v>0.25</v>
      </c>
      <c r="C15" s="33"/>
      <c r="D15" s="33">
        <f t="shared" si="0"/>
        <v>0.25</v>
      </c>
      <c r="E15" s="33">
        <f t="shared" si="1"/>
        <v>0.434</v>
      </c>
      <c r="F15" s="33"/>
      <c r="G15" s="33">
        <v>0.41699999999999998</v>
      </c>
      <c r="H15" s="33"/>
      <c r="I15" s="33">
        <f t="shared" si="2"/>
        <v>0.41699999999999998</v>
      </c>
      <c r="J15" s="33">
        <f t="shared" si="3"/>
        <v>0.66100000000000003</v>
      </c>
      <c r="K15" s="33"/>
      <c r="L15" s="14" t="s">
        <v>56</v>
      </c>
    </row>
    <row r="16" spans="1:12" ht="14.25" customHeight="1" x14ac:dyDescent="0.2">
      <c r="A16" s="39" t="s">
        <v>4</v>
      </c>
      <c r="B16" s="33">
        <v>0.23</v>
      </c>
      <c r="C16" s="33"/>
      <c r="D16" s="33">
        <f t="shared" si="0"/>
        <v>0.23</v>
      </c>
      <c r="E16" s="33">
        <f t="shared" si="1"/>
        <v>0.41400000000000003</v>
      </c>
      <c r="F16" s="33"/>
      <c r="G16" s="33">
        <v>0.22</v>
      </c>
      <c r="H16" s="33"/>
      <c r="I16" s="33">
        <f t="shared" si="2"/>
        <v>0.22</v>
      </c>
      <c r="J16" s="33">
        <f t="shared" si="3"/>
        <v>0.46400000000000002</v>
      </c>
      <c r="K16" s="33"/>
      <c r="L16" s="14" t="s">
        <v>57</v>
      </c>
    </row>
    <row r="17" spans="1:12" x14ac:dyDescent="0.2">
      <c r="A17" s="39" t="s">
        <v>2</v>
      </c>
      <c r="B17" s="33">
        <v>0.23499999999999999</v>
      </c>
      <c r="C17" s="33"/>
      <c r="D17" s="33">
        <f t="shared" si="0"/>
        <v>0.23499999999999999</v>
      </c>
      <c r="E17" s="33">
        <f t="shared" si="1"/>
        <v>0.41899999999999998</v>
      </c>
      <c r="F17" s="33"/>
      <c r="G17" s="33">
        <v>0.23499999999999999</v>
      </c>
      <c r="H17" s="33"/>
      <c r="I17" s="33">
        <f t="shared" si="2"/>
        <v>0.23499999999999999</v>
      </c>
      <c r="J17" s="33">
        <f t="shared" si="3"/>
        <v>0.47899999999999998</v>
      </c>
      <c r="K17" s="33"/>
      <c r="L17" s="39"/>
    </row>
    <row r="18" spans="1:12" ht="63" customHeight="1" x14ac:dyDescent="0.2">
      <c r="A18" s="39" t="s">
        <v>87</v>
      </c>
      <c r="B18" s="33">
        <v>0.04</v>
      </c>
      <c r="C18" s="33">
        <v>0.26600000000000001</v>
      </c>
      <c r="D18" s="33">
        <f t="shared" si="0"/>
        <v>0.30599999999999999</v>
      </c>
      <c r="E18" s="33">
        <f t="shared" si="1"/>
        <v>0.49</v>
      </c>
      <c r="F18" s="33"/>
      <c r="G18" s="33">
        <v>0.04</v>
      </c>
      <c r="H18" s="33">
        <f>0.277+0.02068</f>
        <v>0.29768</v>
      </c>
      <c r="I18" s="33">
        <f t="shared" si="2"/>
        <v>0.33767999999999998</v>
      </c>
      <c r="J18" s="33">
        <f t="shared" si="3"/>
        <v>0.58167999999999997</v>
      </c>
      <c r="K18" s="33"/>
      <c r="L18" s="14" t="s">
        <v>207</v>
      </c>
    </row>
    <row r="19" spans="1:12" ht="27" x14ac:dyDescent="0.2">
      <c r="A19" s="39" t="s">
        <v>88</v>
      </c>
      <c r="B19" s="33">
        <v>0.26</v>
      </c>
      <c r="C19" s="33">
        <f>0.005</f>
        <v>5.0000000000000001E-3</v>
      </c>
      <c r="D19" s="33">
        <f t="shared" si="0"/>
        <v>0.26500000000000001</v>
      </c>
      <c r="E19" s="33">
        <f t="shared" si="1"/>
        <v>0.44900000000000001</v>
      </c>
      <c r="F19" s="33"/>
      <c r="G19" s="33">
        <v>0.28999999999999998</v>
      </c>
      <c r="H19" s="33">
        <f>0.005</f>
        <v>5.0000000000000001E-3</v>
      </c>
      <c r="I19" s="33">
        <f t="shared" si="2"/>
        <v>0.29499999999999998</v>
      </c>
      <c r="J19" s="33">
        <f t="shared" si="3"/>
        <v>0.53900000000000003</v>
      </c>
      <c r="K19" s="33"/>
      <c r="L19" s="14" t="s">
        <v>190</v>
      </c>
    </row>
    <row r="20" spans="1:12" ht="27" x14ac:dyDescent="0.2">
      <c r="A20" s="39" t="s">
        <v>118</v>
      </c>
      <c r="B20" s="33">
        <v>0.16</v>
      </c>
      <c r="C20" s="33">
        <f>0.025</f>
        <v>2.5000000000000001E-2</v>
      </c>
      <c r="D20" s="33">
        <f t="shared" si="0"/>
        <v>0.185</v>
      </c>
      <c r="E20" s="33">
        <f t="shared" si="1"/>
        <v>0.36899999999999999</v>
      </c>
      <c r="F20" s="33"/>
      <c r="G20" s="33">
        <v>0.16</v>
      </c>
      <c r="H20" s="33">
        <f>0.025</f>
        <v>2.5000000000000001E-2</v>
      </c>
      <c r="I20" s="33">
        <f t="shared" si="2"/>
        <v>0.185</v>
      </c>
      <c r="J20" s="33">
        <f t="shared" si="3"/>
        <v>0.42900000000000005</v>
      </c>
      <c r="K20" s="33"/>
      <c r="L20" s="14" t="s">
        <v>191</v>
      </c>
    </row>
    <row r="21" spans="1:12" x14ac:dyDescent="0.2">
      <c r="A21" s="39" t="s">
        <v>3</v>
      </c>
      <c r="B21" s="33">
        <v>0.32</v>
      </c>
      <c r="C21" s="33">
        <f>0.01</f>
        <v>0.01</v>
      </c>
      <c r="D21" s="33">
        <f>$B21+$C21</f>
        <v>0.33</v>
      </c>
      <c r="E21" s="33">
        <f t="shared" si="1"/>
        <v>0.51400000000000001</v>
      </c>
      <c r="F21" s="33"/>
      <c r="G21" s="33">
        <v>0.32</v>
      </c>
      <c r="H21" s="33">
        <f>0.01</f>
        <v>0.01</v>
      </c>
      <c r="I21" s="33">
        <f t="shared" si="2"/>
        <v>0.33</v>
      </c>
      <c r="J21" s="33">
        <f t="shared" si="3"/>
        <v>0.57400000000000007</v>
      </c>
      <c r="K21" s="33"/>
      <c r="L21" s="14" t="s">
        <v>58</v>
      </c>
    </row>
    <row r="22" spans="1:12" ht="38.25" customHeight="1" x14ac:dyDescent="0.2">
      <c r="A22" s="39" t="s">
        <v>92</v>
      </c>
      <c r="B22" s="33">
        <v>0.19</v>
      </c>
      <c r="C22" s="33">
        <f>0.003+0.008+0.13</f>
        <v>0.14100000000000001</v>
      </c>
      <c r="D22" s="33">
        <f t="shared" si="0"/>
        <v>0.33100000000000002</v>
      </c>
      <c r="E22" s="33">
        <f t="shared" si="1"/>
        <v>0.51500000000000001</v>
      </c>
      <c r="F22" s="33"/>
      <c r="G22" s="33">
        <v>0.215</v>
      </c>
      <c r="H22" s="33">
        <f>0.003+0.008+0.13</f>
        <v>0.14100000000000001</v>
      </c>
      <c r="I22" s="33">
        <f t="shared" si="2"/>
        <v>0.35599999999999998</v>
      </c>
      <c r="J22" s="33">
        <f t="shared" si="3"/>
        <v>0.6</v>
      </c>
      <c r="K22" s="33"/>
      <c r="L22" s="14" t="s">
        <v>208</v>
      </c>
    </row>
    <row r="23" spans="1:12" ht="61.5" customHeight="1" x14ac:dyDescent="0.2">
      <c r="A23" s="39" t="s">
        <v>93</v>
      </c>
      <c r="B23" s="33">
        <v>0.18</v>
      </c>
      <c r="C23" s="33">
        <f>0.141+0.01</f>
        <v>0.151</v>
      </c>
      <c r="D23" s="33">
        <f t="shared" si="0"/>
        <v>0.33099999999999996</v>
      </c>
      <c r="E23" s="33">
        <f t="shared" si="1"/>
        <v>0.5149999999999999</v>
      </c>
      <c r="F23" s="33"/>
      <c r="G23" s="33">
        <v>0.16</v>
      </c>
      <c r="H23" s="33">
        <f>0.01</f>
        <v>0.01</v>
      </c>
      <c r="I23" s="33">
        <f t="shared" si="2"/>
        <v>0.17</v>
      </c>
      <c r="J23" s="33">
        <f t="shared" si="3"/>
        <v>0.41400000000000003</v>
      </c>
      <c r="K23" s="33"/>
      <c r="L23" s="14" t="s">
        <v>209</v>
      </c>
    </row>
    <row r="24" spans="1:12" ht="27" x14ac:dyDescent="0.2">
      <c r="A24" s="39" t="s">
        <v>94</v>
      </c>
      <c r="B24" s="33">
        <v>0.307</v>
      </c>
      <c r="C24" s="33">
        <f>0.01</f>
        <v>0.01</v>
      </c>
      <c r="D24" s="33">
        <f t="shared" si="0"/>
        <v>0.317</v>
      </c>
      <c r="E24" s="33">
        <f t="shared" si="1"/>
        <v>0.501</v>
      </c>
      <c r="F24" s="33"/>
      <c r="G24" s="33">
        <v>0.32500000000000001</v>
      </c>
      <c r="H24" s="33">
        <f>0.01</f>
        <v>0.01</v>
      </c>
      <c r="I24" s="33">
        <f t="shared" si="2"/>
        <v>0.33500000000000002</v>
      </c>
      <c r="J24" s="33">
        <f t="shared" si="3"/>
        <v>0.57900000000000007</v>
      </c>
      <c r="K24" s="33"/>
      <c r="L24" s="14" t="s">
        <v>210</v>
      </c>
    </row>
    <row r="25" spans="1:12" x14ac:dyDescent="0.2">
      <c r="A25" s="39" t="s">
        <v>5</v>
      </c>
      <c r="B25" s="33">
        <v>0.24</v>
      </c>
      <c r="C25" s="33">
        <f>0.01+0.0003</f>
        <v>1.03E-2</v>
      </c>
      <c r="D25" s="33">
        <f t="shared" si="0"/>
        <v>0.25029999999999997</v>
      </c>
      <c r="E25" s="33">
        <f t="shared" si="1"/>
        <v>0.43429999999999996</v>
      </c>
      <c r="F25" s="33"/>
      <c r="G25" s="33">
        <v>0.26</v>
      </c>
      <c r="H25" s="33">
        <f>0.01+0.0003</f>
        <v>1.03E-2</v>
      </c>
      <c r="I25" s="33">
        <f t="shared" si="2"/>
        <v>0.27029999999999998</v>
      </c>
      <c r="J25" s="33">
        <f t="shared" si="3"/>
        <v>0.51429999999999998</v>
      </c>
      <c r="K25" s="33"/>
      <c r="L25" s="14" t="s">
        <v>211</v>
      </c>
    </row>
    <row r="26" spans="1:12" ht="27" x14ac:dyDescent="0.2">
      <c r="A26" s="39" t="s">
        <v>6</v>
      </c>
      <c r="B26" s="33">
        <v>0.246</v>
      </c>
      <c r="C26" s="33">
        <f>0.014</f>
        <v>1.4E-2</v>
      </c>
      <c r="D26" s="33">
        <f t="shared" si="0"/>
        <v>0.26</v>
      </c>
      <c r="E26" s="33">
        <f t="shared" si="1"/>
        <v>0.44400000000000001</v>
      </c>
      <c r="F26" s="33"/>
      <c r="G26" s="33">
        <v>0.216</v>
      </c>
      <c r="H26" s="33">
        <f>0.014</f>
        <v>1.4E-2</v>
      </c>
      <c r="I26" s="33">
        <f t="shared" si="2"/>
        <v>0.23</v>
      </c>
      <c r="J26" s="33">
        <f t="shared" si="3"/>
        <v>0.47400000000000003</v>
      </c>
      <c r="K26" s="33"/>
      <c r="L26" s="20" t="s">
        <v>102</v>
      </c>
    </row>
    <row r="27" spans="1:12" ht="27" x14ac:dyDescent="0.2">
      <c r="A27" s="39" t="s">
        <v>7</v>
      </c>
      <c r="B27" s="33">
        <v>0.2</v>
      </c>
      <c r="C27" s="33">
        <f>0.00125+0.008</f>
        <v>9.2499999999999995E-3</v>
      </c>
      <c r="D27" s="33">
        <f t="shared" si="0"/>
        <v>0.20925000000000002</v>
      </c>
      <c r="E27" s="33">
        <f t="shared" si="1"/>
        <v>0.39324999999999999</v>
      </c>
      <c r="F27" s="33"/>
      <c r="G27" s="33">
        <v>0.2</v>
      </c>
      <c r="H27" s="33">
        <f>0.00125+0.008</f>
        <v>9.2499999999999995E-3</v>
      </c>
      <c r="I27" s="33">
        <f t="shared" si="2"/>
        <v>0.20925000000000002</v>
      </c>
      <c r="J27" s="33">
        <f t="shared" si="3"/>
        <v>0.45325000000000004</v>
      </c>
      <c r="K27" s="33"/>
      <c r="L27" s="14" t="s">
        <v>59</v>
      </c>
    </row>
    <row r="28" spans="1:12" ht="66" x14ac:dyDescent="0.2">
      <c r="A28" s="39" t="s">
        <v>8</v>
      </c>
      <c r="B28" s="33">
        <v>0.3</v>
      </c>
      <c r="C28" s="33">
        <v>1.4E-2</v>
      </c>
      <c r="D28" s="33">
        <f t="shared" si="0"/>
        <v>0.314</v>
      </c>
      <c r="E28" s="33">
        <f t="shared" si="1"/>
        <v>0.498</v>
      </c>
      <c r="F28" s="33"/>
      <c r="G28" s="33">
        <v>0.312</v>
      </c>
      <c r="H28" s="33">
        <v>6.7000000000000002E-3</v>
      </c>
      <c r="I28" s="33">
        <f t="shared" si="2"/>
        <v>0.31869999999999998</v>
      </c>
      <c r="J28" s="33">
        <f t="shared" si="3"/>
        <v>0.56269999999999998</v>
      </c>
      <c r="K28" s="33"/>
      <c r="L28" s="14" t="s">
        <v>212</v>
      </c>
    </row>
    <row r="29" spans="1:12" ht="26.25" customHeight="1" x14ac:dyDescent="0.2">
      <c r="A29" s="39" t="s">
        <v>9</v>
      </c>
      <c r="B29" s="33">
        <v>0.247</v>
      </c>
      <c r="C29" s="33">
        <f>0.088+0.0019</f>
        <v>8.9899999999999994E-2</v>
      </c>
      <c r="D29" s="33">
        <f t="shared" si="0"/>
        <v>0.33689999999999998</v>
      </c>
      <c r="E29" s="33">
        <f t="shared" si="1"/>
        <v>0.52089999999999992</v>
      </c>
      <c r="F29" s="33"/>
      <c r="G29" s="33">
        <v>0.2535</v>
      </c>
      <c r="H29" s="33">
        <f>0.088+0.0019</f>
        <v>8.9899999999999994E-2</v>
      </c>
      <c r="I29" s="33">
        <f t="shared" si="2"/>
        <v>0.34339999999999998</v>
      </c>
      <c r="J29" s="33">
        <f t="shared" si="3"/>
        <v>0.58740000000000003</v>
      </c>
      <c r="K29" s="33"/>
      <c r="L29" s="14" t="s">
        <v>196</v>
      </c>
    </row>
    <row r="30" spans="1:12" ht="27" x14ac:dyDescent="0.2">
      <c r="A30" s="39" t="s">
        <v>36</v>
      </c>
      <c r="B30" s="33">
        <v>0.24</v>
      </c>
      <c r="C30" s="33">
        <f>0.02551+0.001</f>
        <v>2.6510000000000002E-2</v>
      </c>
      <c r="D30" s="33">
        <f t="shared" si="0"/>
        <v>0.26650999999999997</v>
      </c>
      <c r="E30" s="33">
        <f t="shared" si="1"/>
        <v>0.45050999999999997</v>
      </c>
      <c r="F30" s="33"/>
      <c r="G30" s="33">
        <v>0.24</v>
      </c>
      <c r="H30" s="33">
        <f>0.02551+0.001</f>
        <v>2.6510000000000002E-2</v>
      </c>
      <c r="I30" s="33">
        <f t="shared" si="2"/>
        <v>0.26650999999999997</v>
      </c>
      <c r="J30" s="33">
        <f t="shared" si="3"/>
        <v>0.51051000000000002</v>
      </c>
      <c r="K30" s="33"/>
      <c r="L30" s="14" t="s">
        <v>213</v>
      </c>
    </row>
    <row r="31" spans="1:12" ht="39" customHeight="1" x14ac:dyDescent="0.2">
      <c r="A31" s="39" t="s">
        <v>95</v>
      </c>
      <c r="B31" s="33">
        <v>0.19</v>
      </c>
      <c r="C31" s="33">
        <f>0.122+0.00875</f>
        <v>0.13075000000000001</v>
      </c>
      <c r="D31" s="33">
        <f t="shared" si="0"/>
        <v>0.32074999999999998</v>
      </c>
      <c r="E31" s="33">
        <f t="shared" si="1"/>
        <v>0.50475000000000003</v>
      </c>
      <c r="F31" s="33"/>
      <c r="G31" s="33">
        <v>0.15</v>
      </c>
      <c r="H31" s="33">
        <f>0.122+0.00875</f>
        <v>0.13075000000000001</v>
      </c>
      <c r="I31" s="33">
        <f t="shared" si="2"/>
        <v>0.28075</v>
      </c>
      <c r="J31" s="33">
        <f t="shared" si="3"/>
        <v>0.52475000000000005</v>
      </c>
      <c r="K31" s="33"/>
      <c r="L31" s="14" t="s">
        <v>214</v>
      </c>
    </row>
    <row r="32" spans="1:12" ht="26.25" customHeight="1" x14ac:dyDescent="0.2">
      <c r="A32" s="39" t="s">
        <v>10</v>
      </c>
      <c r="B32" s="33">
        <v>0.28499999999999998</v>
      </c>
      <c r="C32" s="33">
        <v>1E-3</v>
      </c>
      <c r="D32" s="33">
        <f t="shared" si="0"/>
        <v>0.28599999999999998</v>
      </c>
      <c r="E32" s="33">
        <f t="shared" si="1"/>
        <v>0.47</v>
      </c>
      <c r="F32" s="33"/>
      <c r="G32" s="33">
        <v>0.28499999999999998</v>
      </c>
      <c r="H32" s="33">
        <v>1E-3</v>
      </c>
      <c r="I32" s="33">
        <f t="shared" si="2"/>
        <v>0.28599999999999998</v>
      </c>
      <c r="J32" s="33">
        <f t="shared" si="3"/>
        <v>0.53</v>
      </c>
      <c r="K32" s="33"/>
      <c r="L32" s="14" t="s">
        <v>215</v>
      </c>
    </row>
    <row r="33" spans="1:12" ht="27" customHeight="1" x14ac:dyDescent="0.2">
      <c r="A33" s="39" t="s">
        <v>27</v>
      </c>
      <c r="B33" s="33">
        <v>0.18</v>
      </c>
      <c r="C33" s="33">
        <f>0.004</f>
        <v>4.0000000000000001E-3</v>
      </c>
      <c r="D33" s="33">
        <f t="shared" si="0"/>
        <v>0.184</v>
      </c>
      <c r="E33" s="33">
        <f t="shared" si="1"/>
        <v>0.36799999999999999</v>
      </c>
      <c r="F33" s="33"/>
      <c r="G33" s="33">
        <v>0.18</v>
      </c>
      <c r="H33" s="33">
        <f>0.004</f>
        <v>4.0000000000000001E-3</v>
      </c>
      <c r="I33" s="33">
        <f t="shared" si="2"/>
        <v>0.184</v>
      </c>
      <c r="J33" s="33">
        <f t="shared" si="3"/>
        <v>0.42800000000000005</v>
      </c>
      <c r="K33" s="33"/>
      <c r="L33" s="14" t="s">
        <v>60</v>
      </c>
    </row>
    <row r="34" spans="1:12" x14ac:dyDescent="0.2">
      <c r="A34" s="39" t="s">
        <v>28</v>
      </c>
      <c r="B34" s="33">
        <v>0.17</v>
      </c>
      <c r="C34" s="33">
        <f>0.0005+0.0025</f>
        <v>3.0000000000000001E-3</v>
      </c>
      <c r="D34" s="33">
        <f t="shared" si="0"/>
        <v>0.17300000000000001</v>
      </c>
      <c r="E34" s="33">
        <f t="shared" si="1"/>
        <v>0.35699999999999998</v>
      </c>
      <c r="F34" s="33"/>
      <c r="G34" s="33">
        <v>0.17</v>
      </c>
      <c r="H34" s="33">
        <f>0.0005+0.0025</f>
        <v>3.0000000000000001E-3</v>
      </c>
      <c r="I34" s="33">
        <f t="shared" si="2"/>
        <v>0.17300000000000001</v>
      </c>
      <c r="J34" s="33">
        <f t="shared" si="3"/>
        <v>0.41700000000000004</v>
      </c>
      <c r="K34" s="33"/>
      <c r="L34" s="14" t="s">
        <v>200</v>
      </c>
    </row>
    <row r="35" spans="1:12" x14ac:dyDescent="0.2">
      <c r="A35" s="39" t="s">
        <v>29</v>
      </c>
      <c r="B35" s="33">
        <v>0.27</v>
      </c>
      <c r="C35" s="33">
        <f>0.0075</f>
        <v>7.4999999999999997E-3</v>
      </c>
      <c r="D35" s="33">
        <f t="shared" si="0"/>
        <v>0.27750000000000002</v>
      </c>
      <c r="E35" s="33">
        <f t="shared" si="1"/>
        <v>0.46150000000000002</v>
      </c>
      <c r="F35" s="33"/>
      <c r="G35" s="33">
        <v>0.27750000000000002</v>
      </c>
      <c r="H35" s="33">
        <f>0.0075</f>
        <v>7.4999999999999997E-3</v>
      </c>
      <c r="I35" s="33">
        <f t="shared" si="2"/>
        <v>0.28500000000000003</v>
      </c>
      <c r="J35" s="33">
        <f t="shared" si="3"/>
        <v>0.52900000000000003</v>
      </c>
      <c r="K35" s="33"/>
      <c r="L35" s="14" t="s">
        <v>61</v>
      </c>
    </row>
    <row r="36" spans="1:12" ht="27" x14ac:dyDescent="0.2">
      <c r="A36" s="39" t="s">
        <v>15</v>
      </c>
      <c r="B36" s="33">
        <v>0.25800000000000001</v>
      </c>
      <c r="C36" s="33">
        <f>0.009</f>
        <v>8.9999999999999993E-3</v>
      </c>
      <c r="D36" s="33">
        <f t="shared" si="0"/>
        <v>0.26700000000000002</v>
      </c>
      <c r="E36" s="33">
        <f t="shared" si="1"/>
        <v>0.45100000000000001</v>
      </c>
      <c r="F36" s="33"/>
      <c r="G36" s="33">
        <v>0.25800000000000001</v>
      </c>
      <c r="H36" s="33">
        <f>0.003</f>
        <v>3.0000000000000001E-3</v>
      </c>
      <c r="I36" s="33">
        <f t="shared" si="2"/>
        <v>0.26100000000000001</v>
      </c>
      <c r="J36" s="33">
        <f t="shared" si="3"/>
        <v>0.505</v>
      </c>
      <c r="K36" s="33"/>
      <c r="L36" s="14" t="s">
        <v>62</v>
      </c>
    </row>
    <row r="37" spans="1:12" ht="38.25" customHeight="1" x14ac:dyDescent="0.2">
      <c r="A37" s="39" t="s">
        <v>30</v>
      </c>
      <c r="B37" s="33">
        <v>0.23</v>
      </c>
      <c r="C37" s="33">
        <f>0.00055+0.0075</f>
        <v>8.0499999999999999E-3</v>
      </c>
      <c r="D37" s="33">
        <f t="shared" si="0"/>
        <v>0.23805000000000001</v>
      </c>
      <c r="E37" s="33">
        <f t="shared" si="1"/>
        <v>0.42205000000000004</v>
      </c>
      <c r="F37" s="33"/>
      <c r="G37" s="33">
        <v>0.27</v>
      </c>
      <c r="H37" s="33">
        <f>0.0075</f>
        <v>7.4999999999999997E-3</v>
      </c>
      <c r="I37" s="33">
        <f t="shared" si="2"/>
        <v>0.27750000000000002</v>
      </c>
      <c r="J37" s="33">
        <f t="shared" si="3"/>
        <v>0.52150000000000007</v>
      </c>
      <c r="K37" s="33"/>
      <c r="L37" s="14" t="s">
        <v>100</v>
      </c>
    </row>
    <row r="38" spans="1:12" ht="27.75" customHeight="1" x14ac:dyDescent="0.2">
      <c r="A38" s="39" t="s">
        <v>16</v>
      </c>
      <c r="B38" s="33">
        <v>0.222</v>
      </c>
      <c r="C38" s="33">
        <f>0.015+0.00125</f>
        <v>1.6250000000000001E-2</v>
      </c>
      <c r="D38" s="33">
        <f t="shared" si="0"/>
        <v>0.23825000000000002</v>
      </c>
      <c r="E38" s="33">
        <f t="shared" si="1"/>
        <v>0.42225000000000001</v>
      </c>
      <c r="F38" s="33"/>
      <c r="G38" s="33">
        <v>0.222</v>
      </c>
      <c r="H38" s="33">
        <f>0.015+0.00125</f>
        <v>1.6250000000000001E-2</v>
      </c>
      <c r="I38" s="33">
        <f t="shared" si="2"/>
        <v>0.23825000000000002</v>
      </c>
      <c r="J38" s="33">
        <f t="shared" si="3"/>
        <v>0.48225000000000007</v>
      </c>
      <c r="K38" s="33"/>
      <c r="L38" s="14" t="s">
        <v>79</v>
      </c>
    </row>
    <row r="39" spans="1:12" ht="27" customHeight="1" x14ac:dyDescent="0.2">
      <c r="A39" s="39" t="s">
        <v>96</v>
      </c>
      <c r="B39" s="33">
        <v>0.105</v>
      </c>
      <c r="C39" s="33">
        <f>0.04+0.0005</f>
        <v>4.0500000000000001E-2</v>
      </c>
      <c r="D39" s="33">
        <f t="shared" si="0"/>
        <v>0.14549999999999999</v>
      </c>
      <c r="E39" s="33">
        <f t="shared" si="1"/>
        <v>0.32950000000000002</v>
      </c>
      <c r="F39" s="33"/>
      <c r="G39" s="33">
        <v>0.13500000000000001</v>
      </c>
      <c r="H39" s="33">
        <f>0.04+0.0005</f>
        <v>4.0500000000000001E-2</v>
      </c>
      <c r="I39" s="33">
        <f t="shared" si="2"/>
        <v>0.17550000000000002</v>
      </c>
      <c r="J39" s="33">
        <f t="shared" si="3"/>
        <v>0.41950000000000004</v>
      </c>
      <c r="K39" s="33"/>
      <c r="L39" s="14" t="s">
        <v>216</v>
      </c>
    </row>
    <row r="40" spans="1:12" ht="27" x14ac:dyDescent="0.2">
      <c r="A40" s="39" t="s">
        <v>22</v>
      </c>
      <c r="B40" s="33">
        <v>0.17</v>
      </c>
      <c r="C40" s="33">
        <f>0.01875</f>
        <v>1.8749999999999999E-2</v>
      </c>
      <c r="D40" s="33">
        <f t="shared" si="0"/>
        <v>0.18875</v>
      </c>
      <c r="E40" s="33">
        <f t="shared" si="1"/>
        <v>0.37275000000000003</v>
      </c>
      <c r="F40" s="33"/>
      <c r="G40" s="33">
        <v>0.21</v>
      </c>
      <c r="H40" s="33">
        <f>0.01875</f>
        <v>1.8749999999999999E-2</v>
      </c>
      <c r="I40" s="33">
        <f t="shared" si="2"/>
        <v>0.22874999999999998</v>
      </c>
      <c r="J40" s="33">
        <f t="shared" si="3"/>
        <v>0.47275</v>
      </c>
      <c r="K40" s="33"/>
      <c r="L40" s="14" t="s">
        <v>63</v>
      </c>
    </row>
    <row r="41" spans="1:12" ht="86.25" customHeight="1" x14ac:dyDescent="0.2">
      <c r="A41" s="39" t="s">
        <v>97</v>
      </c>
      <c r="B41" s="33">
        <v>0.08</v>
      </c>
      <c r="C41" s="33">
        <f>0.17+0.0005+0.08+0.0029</f>
        <v>0.25340000000000001</v>
      </c>
      <c r="D41" s="33">
        <f t="shared" si="0"/>
        <v>0.33340000000000003</v>
      </c>
      <c r="E41" s="33">
        <f t="shared" si="1"/>
        <v>0.51740000000000008</v>
      </c>
      <c r="F41" s="33"/>
      <c r="G41" s="33">
        <v>0.08</v>
      </c>
      <c r="H41" s="33">
        <f>0.1525+0.08+0.0029</f>
        <v>0.2354</v>
      </c>
      <c r="I41" s="33">
        <f t="shared" si="2"/>
        <v>0.31540000000000001</v>
      </c>
      <c r="J41" s="33">
        <f t="shared" si="3"/>
        <v>0.55940000000000001</v>
      </c>
      <c r="K41" s="33"/>
      <c r="L41" s="14" t="s">
        <v>217</v>
      </c>
    </row>
    <row r="42" spans="1:12" x14ac:dyDescent="0.2">
      <c r="A42" s="39" t="s">
        <v>17</v>
      </c>
      <c r="B42" s="33">
        <v>0.34</v>
      </c>
      <c r="C42" s="33">
        <f>0.0025</f>
        <v>2.5000000000000001E-3</v>
      </c>
      <c r="D42" s="33">
        <f t="shared" si="0"/>
        <v>0.34250000000000003</v>
      </c>
      <c r="E42" s="33">
        <f t="shared" si="1"/>
        <v>0.52649999999999997</v>
      </c>
      <c r="F42" s="33"/>
      <c r="G42" s="33">
        <v>0.34</v>
      </c>
      <c r="H42" s="33">
        <f>0.0025</f>
        <v>2.5000000000000001E-3</v>
      </c>
      <c r="I42" s="33">
        <f t="shared" si="2"/>
        <v>0.34250000000000003</v>
      </c>
      <c r="J42" s="33">
        <f t="shared" si="3"/>
        <v>0.58650000000000002</v>
      </c>
      <c r="K42" s="33"/>
      <c r="L42" s="14" t="s">
        <v>82</v>
      </c>
    </row>
    <row r="43" spans="1:12" ht="15" customHeight="1" x14ac:dyDescent="0.2">
      <c r="A43" s="39" t="s">
        <v>11</v>
      </c>
      <c r="B43" s="33">
        <v>0.23</v>
      </c>
      <c r="C43" s="33">
        <f>0.00025</f>
        <v>2.5000000000000001E-4</v>
      </c>
      <c r="D43" s="33">
        <f t="shared" si="0"/>
        <v>0.23025000000000001</v>
      </c>
      <c r="E43" s="33">
        <f t="shared" si="1"/>
        <v>0.41425000000000001</v>
      </c>
      <c r="F43" s="33"/>
      <c r="G43" s="33">
        <v>0.23</v>
      </c>
      <c r="H43" s="33">
        <f>0.00025</f>
        <v>2.5000000000000001E-4</v>
      </c>
      <c r="I43" s="33">
        <f t="shared" si="2"/>
        <v>0.23025000000000001</v>
      </c>
      <c r="J43" s="33">
        <f t="shared" si="3"/>
        <v>0.47425000000000006</v>
      </c>
      <c r="K43" s="33"/>
      <c r="L43" s="14" t="s">
        <v>64</v>
      </c>
    </row>
    <row r="44" spans="1:12" x14ac:dyDescent="0.2">
      <c r="A44" s="39" t="s">
        <v>23</v>
      </c>
      <c r="B44" s="33">
        <v>0.28000000000000003</v>
      </c>
      <c r="C44" s="33"/>
      <c r="D44" s="33">
        <f t="shared" si="0"/>
        <v>0.28000000000000003</v>
      </c>
      <c r="E44" s="33">
        <f t="shared" si="1"/>
        <v>0.46400000000000002</v>
      </c>
      <c r="F44" s="33"/>
      <c r="G44" s="33">
        <v>0.28000000000000003</v>
      </c>
      <c r="H44" s="33"/>
      <c r="I44" s="33">
        <f t="shared" si="2"/>
        <v>0.28000000000000003</v>
      </c>
      <c r="J44" s="33">
        <f t="shared" si="3"/>
        <v>0.52400000000000002</v>
      </c>
      <c r="K44" s="33"/>
      <c r="L44" s="39"/>
    </row>
    <row r="45" spans="1:12" ht="27" x14ac:dyDescent="0.2">
      <c r="A45" s="39" t="s">
        <v>18</v>
      </c>
      <c r="B45" s="33">
        <v>0.16</v>
      </c>
      <c r="C45" s="33">
        <f>0.01</f>
        <v>0.01</v>
      </c>
      <c r="D45" s="33">
        <f t="shared" si="0"/>
        <v>0.17</v>
      </c>
      <c r="E45" s="33">
        <f t="shared" si="1"/>
        <v>0.35399999999999998</v>
      </c>
      <c r="F45" s="33"/>
      <c r="G45" s="33">
        <v>0.13</v>
      </c>
      <c r="H45" s="33">
        <f>0.01</f>
        <v>0.01</v>
      </c>
      <c r="I45" s="33">
        <f t="shared" si="2"/>
        <v>0.14000000000000001</v>
      </c>
      <c r="J45" s="33">
        <f t="shared" si="3"/>
        <v>0.38400000000000001</v>
      </c>
      <c r="K45" s="33"/>
      <c r="L45" s="14" t="s">
        <v>65</v>
      </c>
    </row>
    <row r="46" spans="1:12" x14ac:dyDescent="0.2">
      <c r="A46" s="39" t="s">
        <v>31</v>
      </c>
      <c r="B46" s="33">
        <v>0.3</v>
      </c>
      <c r="C46" s="33"/>
      <c r="D46" s="33">
        <f t="shared" si="0"/>
        <v>0.3</v>
      </c>
      <c r="E46" s="33">
        <f t="shared" si="1"/>
        <v>0.48399999999999999</v>
      </c>
      <c r="F46" s="33"/>
      <c r="G46" s="33">
        <v>0.3</v>
      </c>
      <c r="H46" s="33"/>
      <c r="I46" s="33">
        <f t="shared" si="2"/>
        <v>0.3</v>
      </c>
      <c r="J46" s="33">
        <f t="shared" si="3"/>
        <v>0.54400000000000004</v>
      </c>
      <c r="K46" s="33"/>
      <c r="L46" s="14" t="s">
        <v>66</v>
      </c>
    </row>
    <row r="47" spans="1:12" ht="37.5" customHeight="1" x14ac:dyDescent="0.2">
      <c r="A47" s="39" t="s">
        <v>12</v>
      </c>
      <c r="B47" s="33">
        <v>0.503</v>
      </c>
      <c r="C47" s="33">
        <f>0.011</f>
        <v>1.0999999999999999E-2</v>
      </c>
      <c r="D47" s="33">
        <f t="shared" si="0"/>
        <v>0.51400000000000001</v>
      </c>
      <c r="E47" s="33">
        <f t="shared" si="1"/>
        <v>0.69799999999999995</v>
      </c>
      <c r="F47" s="33"/>
      <c r="G47" s="33">
        <v>0.64</v>
      </c>
      <c r="H47" s="33">
        <f>0.011</f>
        <v>1.0999999999999999E-2</v>
      </c>
      <c r="I47" s="33">
        <f t="shared" si="2"/>
        <v>0.65100000000000002</v>
      </c>
      <c r="J47" s="33">
        <f t="shared" si="3"/>
        <v>0.89500000000000002</v>
      </c>
      <c r="K47" s="33"/>
      <c r="L47" s="14" t="s">
        <v>218</v>
      </c>
    </row>
    <row r="48" spans="1:12" ht="26.25" customHeight="1" x14ac:dyDescent="0.2">
      <c r="A48" s="39" t="s">
        <v>14</v>
      </c>
      <c r="B48" s="33">
        <v>0.33</v>
      </c>
      <c r="C48" s="33">
        <f>0.01+0.0012</f>
        <v>1.12E-2</v>
      </c>
      <c r="D48" s="33">
        <f t="shared" si="0"/>
        <v>0.3412</v>
      </c>
      <c r="E48" s="33">
        <f t="shared" si="1"/>
        <v>0.5252</v>
      </c>
      <c r="F48" s="33"/>
      <c r="G48" s="33">
        <v>0.33</v>
      </c>
      <c r="H48" s="33">
        <f>0.01+0.0012</f>
        <v>1.12E-2</v>
      </c>
      <c r="I48" s="33">
        <f t="shared" si="2"/>
        <v>0.3412</v>
      </c>
      <c r="J48" s="33">
        <f t="shared" si="3"/>
        <v>0.58520000000000005</v>
      </c>
      <c r="K48" s="33"/>
      <c r="L48" s="14" t="s">
        <v>83</v>
      </c>
    </row>
    <row r="49" spans="1:12" x14ac:dyDescent="0.2">
      <c r="A49" s="39" t="s">
        <v>119</v>
      </c>
      <c r="B49" s="33">
        <v>0.16</v>
      </c>
      <c r="C49" s="33">
        <f>0.0025+0.005</f>
        <v>7.4999999999999997E-3</v>
      </c>
      <c r="D49" s="33">
        <f t="shared" si="0"/>
        <v>0.16750000000000001</v>
      </c>
      <c r="E49" s="33">
        <f t="shared" si="1"/>
        <v>0.35150000000000003</v>
      </c>
      <c r="F49" s="33"/>
      <c r="G49" s="33">
        <v>0.16</v>
      </c>
      <c r="H49" s="33">
        <f>0.0025+0.005</f>
        <v>7.4999999999999997E-3</v>
      </c>
      <c r="I49" s="33">
        <f t="shared" si="2"/>
        <v>0.16750000000000001</v>
      </c>
      <c r="J49" s="33">
        <f t="shared" si="3"/>
        <v>0.41150000000000003</v>
      </c>
      <c r="K49" s="33"/>
      <c r="L49" s="14" t="s">
        <v>67</v>
      </c>
    </row>
    <row r="50" spans="1:12" x14ac:dyDescent="0.2">
      <c r="A50" s="39" t="s">
        <v>13</v>
      </c>
      <c r="B50" s="33">
        <v>0.28000000000000003</v>
      </c>
      <c r="C50" s="33">
        <f>0.02</f>
        <v>0.02</v>
      </c>
      <c r="D50" s="33">
        <f t="shared" si="0"/>
        <v>0.30000000000000004</v>
      </c>
      <c r="E50" s="33">
        <f t="shared" si="1"/>
        <v>0.48400000000000004</v>
      </c>
      <c r="F50" s="33"/>
      <c r="G50" s="33">
        <v>0.28000000000000003</v>
      </c>
      <c r="H50" s="33">
        <f>0.02</f>
        <v>0.02</v>
      </c>
      <c r="I50" s="33">
        <f t="shared" si="2"/>
        <v>0.30000000000000004</v>
      </c>
      <c r="J50" s="33">
        <f t="shared" si="3"/>
        <v>0.54400000000000004</v>
      </c>
      <c r="K50" s="33"/>
      <c r="L50" s="14" t="s">
        <v>68</v>
      </c>
    </row>
    <row r="51" spans="1:12" x14ac:dyDescent="0.2">
      <c r="A51" s="39" t="s">
        <v>19</v>
      </c>
      <c r="B51" s="33">
        <v>0.2</v>
      </c>
      <c r="C51" s="33">
        <f>0.01+0.004</f>
        <v>1.4E-2</v>
      </c>
      <c r="D51" s="33">
        <f t="shared" si="0"/>
        <v>0.21400000000000002</v>
      </c>
      <c r="E51" s="33">
        <f t="shared" si="1"/>
        <v>0.39800000000000002</v>
      </c>
      <c r="F51" s="33"/>
      <c r="G51" s="33">
        <v>0.17</v>
      </c>
      <c r="H51" s="33">
        <f>0.01+0.004</f>
        <v>1.4E-2</v>
      </c>
      <c r="I51" s="33">
        <f t="shared" si="2"/>
        <v>0.18400000000000002</v>
      </c>
      <c r="J51" s="33">
        <f t="shared" si="3"/>
        <v>0.42800000000000005</v>
      </c>
      <c r="K51" s="33"/>
      <c r="L51" s="14" t="s">
        <v>69</v>
      </c>
    </row>
    <row r="52" spans="1:12" x14ac:dyDescent="0.2">
      <c r="A52" s="39" t="s">
        <v>24</v>
      </c>
      <c r="B52" s="33">
        <v>0.2</v>
      </c>
      <c r="C52" s="33"/>
      <c r="D52" s="33">
        <f t="shared" si="0"/>
        <v>0.2</v>
      </c>
      <c r="E52" s="33">
        <f t="shared" si="1"/>
        <v>0.38400000000000001</v>
      </c>
      <c r="F52" s="33"/>
      <c r="G52" s="33">
        <v>0.2</v>
      </c>
      <c r="H52" s="33"/>
      <c r="I52" s="33">
        <f t="shared" si="2"/>
        <v>0.2</v>
      </c>
      <c r="J52" s="33">
        <f t="shared" si="3"/>
        <v>0.44400000000000006</v>
      </c>
      <c r="K52" s="33"/>
      <c r="L52" s="14" t="s">
        <v>70</v>
      </c>
    </row>
    <row r="53" spans="1:12" x14ac:dyDescent="0.2">
      <c r="A53" s="39" t="s">
        <v>25</v>
      </c>
      <c r="B53" s="33">
        <v>0.29399999999999998</v>
      </c>
      <c r="C53" s="33">
        <f>0.0065</f>
        <v>6.4999999999999997E-3</v>
      </c>
      <c r="D53" s="33">
        <f t="shared" si="0"/>
        <v>0.30049999999999999</v>
      </c>
      <c r="E53" s="33">
        <f t="shared" si="1"/>
        <v>0.48449999999999999</v>
      </c>
      <c r="F53" s="33"/>
      <c r="G53" s="33">
        <v>0.29399999999999998</v>
      </c>
      <c r="H53" s="33">
        <f>0.0065</f>
        <v>6.4999999999999997E-3</v>
      </c>
      <c r="I53" s="33">
        <f t="shared" si="2"/>
        <v>0.30049999999999999</v>
      </c>
      <c r="J53" s="33">
        <f t="shared" si="3"/>
        <v>0.54449999999999998</v>
      </c>
      <c r="K53" s="33"/>
      <c r="L53" s="14" t="s">
        <v>71</v>
      </c>
    </row>
    <row r="54" spans="1:12" ht="27" x14ac:dyDescent="0.2">
      <c r="A54" s="39" t="s">
        <v>75</v>
      </c>
      <c r="B54" s="33">
        <v>0.121</v>
      </c>
      <c r="C54" s="33">
        <f>0.0396+0.134+0.01</f>
        <v>0.18360000000000001</v>
      </c>
      <c r="D54" s="33">
        <f t="shared" si="0"/>
        <v>0.30459999999999998</v>
      </c>
      <c r="E54" s="33">
        <f t="shared" si="1"/>
        <v>0.48859999999999998</v>
      </c>
      <c r="F54" s="33"/>
      <c r="G54" s="33">
        <v>0.28000000000000003</v>
      </c>
      <c r="H54" s="33">
        <f>0.01+0.03</f>
        <v>0.04</v>
      </c>
      <c r="I54" s="33">
        <f t="shared" si="2"/>
        <v>0.32</v>
      </c>
      <c r="J54" s="33">
        <f t="shared" si="3"/>
        <v>0.56400000000000006</v>
      </c>
      <c r="K54" s="33"/>
      <c r="L54" s="14" t="s">
        <v>219</v>
      </c>
    </row>
    <row r="55" spans="1:12" ht="27" x14ac:dyDescent="0.2">
      <c r="A55" s="39" t="s">
        <v>98</v>
      </c>
      <c r="B55" s="33">
        <v>0.16200000000000001</v>
      </c>
      <c r="C55" s="33">
        <f>0.006</f>
        <v>6.0000000000000001E-3</v>
      </c>
      <c r="D55" s="33">
        <f t="shared" si="0"/>
        <v>0.16800000000000001</v>
      </c>
      <c r="E55" s="33">
        <f t="shared" si="1"/>
        <v>0.35199999999999998</v>
      </c>
      <c r="F55" s="33"/>
      <c r="G55" s="33">
        <v>0.20199999999999999</v>
      </c>
      <c r="H55" s="33">
        <f>0.006</f>
        <v>6.0000000000000001E-3</v>
      </c>
      <c r="I55" s="33">
        <f t="shared" si="2"/>
        <v>0.20799999999999999</v>
      </c>
      <c r="J55" s="33">
        <f t="shared" si="3"/>
        <v>0.45200000000000001</v>
      </c>
      <c r="K55" s="33"/>
      <c r="L55" s="14" t="s">
        <v>84</v>
      </c>
    </row>
    <row r="56" spans="1:12" ht="40" x14ac:dyDescent="0.2">
      <c r="A56" s="39" t="s">
        <v>32</v>
      </c>
      <c r="B56" s="33">
        <v>0.49399999999999999</v>
      </c>
      <c r="C56" s="33">
        <f>0.0009523+0.000238</f>
        <v>1.1903E-3</v>
      </c>
      <c r="D56" s="33">
        <f t="shared" si="0"/>
        <v>0.49519029999999997</v>
      </c>
      <c r="E56" s="33">
        <f t="shared" si="1"/>
        <v>0.67919029999999991</v>
      </c>
      <c r="F56" s="33"/>
      <c r="G56" s="33">
        <v>0.49399999999999999</v>
      </c>
      <c r="H56" s="33">
        <f>0.0009523+0.000238</f>
        <v>1.1903E-3</v>
      </c>
      <c r="I56" s="33">
        <f t="shared" si="2"/>
        <v>0.49519029999999997</v>
      </c>
      <c r="J56" s="33">
        <f t="shared" si="3"/>
        <v>0.73919029999999997</v>
      </c>
      <c r="K56" s="33"/>
      <c r="L56" s="14" t="s">
        <v>101</v>
      </c>
    </row>
    <row r="57" spans="1:12" x14ac:dyDescent="0.2">
      <c r="A57" s="39" t="s">
        <v>26</v>
      </c>
      <c r="B57" s="33">
        <v>0.20499999999999999</v>
      </c>
      <c r="C57" s="33">
        <v>0.127</v>
      </c>
      <c r="D57" s="33">
        <f t="shared" si="0"/>
        <v>0.33199999999999996</v>
      </c>
      <c r="E57" s="33">
        <f t="shared" si="1"/>
        <v>0.51600000000000001</v>
      </c>
      <c r="F57" s="33"/>
      <c r="G57" s="33">
        <v>0.20499999999999999</v>
      </c>
      <c r="H57" s="33">
        <v>0.127</v>
      </c>
      <c r="I57" s="33">
        <f t="shared" si="2"/>
        <v>0.33199999999999996</v>
      </c>
      <c r="J57" s="33">
        <f t="shared" si="3"/>
        <v>0.57599999999999996</v>
      </c>
      <c r="K57" s="33"/>
      <c r="L57" s="14" t="s">
        <v>220</v>
      </c>
    </row>
    <row r="58" spans="1:12" x14ac:dyDescent="0.2">
      <c r="A58" s="39" t="s">
        <v>20</v>
      </c>
      <c r="B58" s="33">
        <v>0.309</v>
      </c>
      <c r="C58" s="33">
        <f>0.02</f>
        <v>0.02</v>
      </c>
      <c r="D58" s="33">
        <f t="shared" si="0"/>
        <v>0.32900000000000001</v>
      </c>
      <c r="E58" s="33">
        <f t="shared" si="1"/>
        <v>0.51300000000000001</v>
      </c>
      <c r="F58" s="33"/>
      <c r="G58" s="33">
        <v>0.309</v>
      </c>
      <c r="H58" s="33">
        <f>0.02</f>
        <v>0.02</v>
      </c>
      <c r="I58" s="33">
        <f t="shared" si="2"/>
        <v>0.32900000000000001</v>
      </c>
      <c r="J58" s="33">
        <f t="shared" si="3"/>
        <v>0.57300000000000006</v>
      </c>
      <c r="K58" s="33"/>
      <c r="L58" s="14" t="s">
        <v>72</v>
      </c>
    </row>
    <row r="59" spans="1:12" x14ac:dyDescent="0.2">
      <c r="A59" s="40" t="s">
        <v>21</v>
      </c>
      <c r="B59" s="36">
        <v>0.23</v>
      </c>
      <c r="C59" s="36">
        <f>0.01</f>
        <v>0.01</v>
      </c>
      <c r="D59" s="36">
        <f t="shared" si="0"/>
        <v>0.24000000000000002</v>
      </c>
      <c r="E59" s="36">
        <f t="shared" si="1"/>
        <v>0.42400000000000004</v>
      </c>
      <c r="F59" s="36"/>
      <c r="G59" s="36">
        <v>0.23</v>
      </c>
      <c r="H59" s="36">
        <f>0.01</f>
        <v>0.01</v>
      </c>
      <c r="I59" s="36">
        <f t="shared" si="2"/>
        <v>0.24000000000000002</v>
      </c>
      <c r="J59" s="36">
        <f t="shared" si="3"/>
        <v>0.48400000000000004</v>
      </c>
      <c r="K59" s="36"/>
      <c r="L59" s="40" t="s">
        <v>73</v>
      </c>
    </row>
    <row r="60" spans="1:12" x14ac:dyDescent="0.2">
      <c r="A60" s="37" t="s">
        <v>49</v>
      </c>
      <c r="B60" s="38">
        <v>0.35</v>
      </c>
      <c r="C60" s="38"/>
      <c r="D60" s="38">
        <f t="shared" si="0"/>
        <v>0.35</v>
      </c>
      <c r="E60" s="38"/>
      <c r="F60" s="38"/>
      <c r="G60" s="38">
        <v>0.315</v>
      </c>
      <c r="H60" s="38">
        <f>0.035</f>
        <v>3.5000000000000003E-2</v>
      </c>
      <c r="I60" s="38">
        <f t="shared" si="2"/>
        <v>0.35</v>
      </c>
      <c r="J60" s="38"/>
      <c r="K60" s="38"/>
      <c r="L60" s="39" t="s">
        <v>85</v>
      </c>
    </row>
    <row r="61" spans="1:12" x14ac:dyDescent="0.2">
      <c r="A61" s="39" t="s">
        <v>50</v>
      </c>
      <c r="B61" s="33">
        <v>0.11</v>
      </c>
      <c r="C61" s="33">
        <f>0.04</f>
        <v>0.04</v>
      </c>
      <c r="D61" s="33">
        <f t="shared" si="0"/>
        <v>0.15</v>
      </c>
      <c r="E61" s="33"/>
      <c r="F61" s="33"/>
      <c r="G61" s="33">
        <v>0.1</v>
      </c>
      <c r="H61" s="33">
        <f>0.04</f>
        <v>0.04</v>
      </c>
      <c r="I61" s="33">
        <f t="shared" si="2"/>
        <v>0.14000000000000001</v>
      </c>
      <c r="J61" s="33"/>
      <c r="K61" s="33"/>
      <c r="L61" s="14" t="s">
        <v>74</v>
      </c>
    </row>
    <row r="62" spans="1:12" ht="15" customHeight="1" x14ac:dyDescent="0.2">
      <c r="A62" s="39" t="s">
        <v>51</v>
      </c>
      <c r="B62" s="33">
        <v>0.15</v>
      </c>
      <c r="C62" s="33"/>
      <c r="D62" s="33">
        <f t="shared" si="0"/>
        <v>0.15</v>
      </c>
      <c r="E62" s="33"/>
      <c r="F62" s="33"/>
      <c r="G62" s="33">
        <v>0.15</v>
      </c>
      <c r="H62" s="33"/>
      <c r="I62" s="33">
        <f t="shared" si="2"/>
        <v>0.15</v>
      </c>
      <c r="J62" s="33"/>
      <c r="K62" s="33"/>
      <c r="L62" s="14" t="s">
        <v>85</v>
      </c>
    </row>
    <row r="63" spans="1:12" ht="14.25" customHeight="1" x14ac:dyDescent="0.2">
      <c r="A63" s="39" t="s">
        <v>52</v>
      </c>
      <c r="B63" s="33">
        <v>0.16</v>
      </c>
      <c r="C63" s="33"/>
      <c r="D63" s="33">
        <f t="shared" si="0"/>
        <v>0.16</v>
      </c>
      <c r="E63" s="33"/>
      <c r="F63" s="33"/>
      <c r="G63" s="33">
        <v>0.08</v>
      </c>
      <c r="H63" s="33"/>
      <c r="I63" s="33">
        <f t="shared" si="2"/>
        <v>0.08</v>
      </c>
      <c r="J63" s="33"/>
      <c r="K63" s="33"/>
      <c r="L63" s="14" t="s">
        <v>85</v>
      </c>
    </row>
    <row r="64" spans="1:12" ht="16" thickBot="1" x14ac:dyDescent="0.25">
      <c r="A64" s="39" t="s">
        <v>81</v>
      </c>
      <c r="B64" s="33">
        <v>0.14000000000000001</v>
      </c>
      <c r="C64" s="33"/>
      <c r="D64" s="33">
        <f t="shared" si="0"/>
        <v>0.14000000000000001</v>
      </c>
      <c r="E64" s="33"/>
      <c r="F64" s="33"/>
      <c r="G64" s="33">
        <v>0.14000000000000001</v>
      </c>
      <c r="H64" s="33"/>
      <c r="I64" s="33">
        <f t="shared" si="2"/>
        <v>0.14000000000000001</v>
      </c>
      <c r="J64" s="33"/>
      <c r="K64" s="33"/>
      <c r="L64" s="14" t="s">
        <v>85</v>
      </c>
    </row>
    <row r="65" spans="1:12" ht="63" customHeight="1" x14ac:dyDescent="0.2">
      <c r="A65" s="92" t="s">
        <v>292</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1" spans="1:12" x14ac:dyDescent="0.2">
      <c r="A71" s="18" t="s">
        <v>221</v>
      </c>
      <c r="B71"/>
      <c r="C71"/>
      <c r="D71"/>
      <c r="E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E71" r:id="rId1" display="mailto:maureen.klein@eia.gov" xr:uid="{00000000-0004-0000-0D00-000000000000}"/>
  </hyperlinks>
  <pageMargins left="0.17" right="0.17" top="0.4" bottom="0.38" header="0.3" footer="0.3"/>
  <pageSetup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1"/>
  <sheetViews>
    <sheetView showGridLines="0" zoomScaleNormal="100" workbookViewId="0">
      <pane ySplit="7" topLeftCell="A8"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82.6640625" customWidth="1"/>
  </cols>
  <sheetData>
    <row r="1" spans="1:12" ht="16" x14ac:dyDescent="0.2">
      <c r="A1" s="19" t="s">
        <v>80</v>
      </c>
    </row>
    <row r="2" spans="1:12" ht="31.5" customHeight="1" x14ac:dyDescent="0.2">
      <c r="A2" s="41"/>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0.22998039215686275</v>
      </c>
      <c r="C8" s="32">
        <f>AVERAGE(C9:C59)</f>
        <v>3.978867333333333E-2</v>
      </c>
      <c r="D8" s="32">
        <f>AVERAGE(D9:D59)</f>
        <v>0.26508804509803918</v>
      </c>
      <c r="E8" s="32">
        <f>AVERAGE(E9:E59)</f>
        <v>0.44908804509803929</v>
      </c>
      <c r="F8" s="3"/>
      <c r="G8" s="32">
        <f>AVERAGE(G9:G59)</f>
        <v>0.24003921568627454</v>
      </c>
      <c r="H8" s="32">
        <f>AVERAGE(H9:H59)</f>
        <v>3.8783117777777779E-2</v>
      </c>
      <c r="I8" s="32">
        <f>AVERAGE(I9:I59)</f>
        <v>0.27425961372549024</v>
      </c>
      <c r="J8" s="32">
        <f>AVERAGE(J9:J59)</f>
        <v>0.51825961372549034</v>
      </c>
      <c r="K8" s="32"/>
      <c r="L8" s="11"/>
    </row>
    <row r="9" spans="1:12" ht="38.25" customHeight="1" x14ac:dyDescent="0.2">
      <c r="A9" s="39" t="s">
        <v>33</v>
      </c>
      <c r="B9" s="33">
        <v>0.16</v>
      </c>
      <c r="C9" s="33">
        <f>0.02+0.01</f>
        <v>0.03</v>
      </c>
      <c r="D9" s="33">
        <f>$B9+$C9</f>
        <v>0.19</v>
      </c>
      <c r="E9" s="33">
        <f>$D9+$E$4</f>
        <v>0.374</v>
      </c>
      <c r="F9" s="33"/>
      <c r="G9" s="33">
        <v>0.19</v>
      </c>
      <c r="H9" s="33">
        <f>0.0175</f>
        <v>1.7500000000000002E-2</v>
      </c>
      <c r="I9" s="33">
        <f>$G9+$H9</f>
        <v>0.20750000000000002</v>
      </c>
      <c r="J9" s="33">
        <f>$I9+$J$4</f>
        <v>0.45150000000000001</v>
      </c>
      <c r="K9" s="33"/>
      <c r="L9" s="14" t="s">
        <v>156</v>
      </c>
    </row>
    <row r="10" spans="1:12" x14ac:dyDescent="0.2">
      <c r="A10" s="39" t="s">
        <v>171</v>
      </c>
      <c r="B10" s="33">
        <v>0.08</v>
      </c>
      <c r="C10" s="33">
        <f>0.0095</f>
        <v>9.4999999999999998E-3</v>
      </c>
      <c r="D10" s="33">
        <f t="shared" ref="D10:D64" si="0">$B10+$C10</f>
        <v>8.9499999999999996E-2</v>
      </c>
      <c r="E10" s="33">
        <f t="shared" ref="E10:E59" si="1">$D10+$E$4</f>
        <v>0.27349999999999997</v>
      </c>
      <c r="F10" s="33"/>
      <c r="G10" s="33">
        <v>0.08</v>
      </c>
      <c r="H10" s="33">
        <f>0.0095</f>
        <v>9.4999999999999998E-3</v>
      </c>
      <c r="I10" s="33">
        <f t="shared" ref="I10:I64" si="2">$G10+$H10</f>
        <v>8.9499999999999996E-2</v>
      </c>
      <c r="J10" s="33">
        <f t="shared" ref="J10:J59" si="3">$I10+$J$4</f>
        <v>0.33350000000000002</v>
      </c>
      <c r="K10" s="33"/>
      <c r="L10" s="39" t="s">
        <v>99</v>
      </c>
    </row>
    <row r="11" spans="1:12" x14ac:dyDescent="0.2">
      <c r="A11" s="39" t="s">
        <v>0</v>
      </c>
      <c r="B11" s="33">
        <v>0.18</v>
      </c>
      <c r="C11" s="33">
        <f>0.01</f>
        <v>0.01</v>
      </c>
      <c r="D11" s="33">
        <f t="shared" si="0"/>
        <v>0.19</v>
      </c>
      <c r="E11" s="33">
        <f t="shared" si="1"/>
        <v>0.374</v>
      </c>
      <c r="F11" s="33"/>
      <c r="G11" s="33">
        <v>0.18</v>
      </c>
      <c r="H11" s="33">
        <f>0.01</f>
        <v>0.01</v>
      </c>
      <c r="I11" s="33">
        <f t="shared" si="2"/>
        <v>0.19</v>
      </c>
      <c r="J11" s="33">
        <f t="shared" si="3"/>
        <v>0.43400000000000005</v>
      </c>
      <c r="K11" s="33"/>
      <c r="L11" s="14" t="s">
        <v>54</v>
      </c>
    </row>
    <row r="12" spans="1:12" ht="26.25" customHeight="1" x14ac:dyDescent="0.2">
      <c r="A12" s="39" t="s">
        <v>86</v>
      </c>
      <c r="B12" s="33">
        <v>0.215</v>
      </c>
      <c r="C12" s="33">
        <f>0.003</f>
        <v>3.0000000000000001E-3</v>
      </c>
      <c r="D12" s="33">
        <f t="shared" si="0"/>
        <v>0.218</v>
      </c>
      <c r="E12" s="33">
        <f t="shared" si="1"/>
        <v>0.40200000000000002</v>
      </c>
      <c r="F12" s="33"/>
      <c r="G12" s="33">
        <v>0.22500000000000001</v>
      </c>
      <c r="H12" s="33">
        <f>0.003</f>
        <v>3.0000000000000001E-3</v>
      </c>
      <c r="I12" s="33">
        <f t="shared" si="2"/>
        <v>0.22800000000000001</v>
      </c>
      <c r="J12" s="33">
        <f t="shared" si="3"/>
        <v>0.47200000000000003</v>
      </c>
      <c r="K12" s="33"/>
      <c r="L12" s="14" t="s">
        <v>55</v>
      </c>
    </row>
    <row r="13" spans="1:12" ht="51.75" customHeight="1" x14ac:dyDescent="0.2">
      <c r="A13" s="39" t="s">
        <v>117</v>
      </c>
      <c r="B13" s="33">
        <v>0.3</v>
      </c>
      <c r="C13" s="33">
        <f>0.05+0.02+0.00155</f>
        <v>7.1550000000000002E-2</v>
      </c>
      <c r="D13" s="33">
        <f t="shared" si="0"/>
        <v>0.37154999999999999</v>
      </c>
      <c r="E13" s="33">
        <f t="shared" si="1"/>
        <v>0.55554999999999999</v>
      </c>
      <c r="F13" s="33"/>
      <c r="G13" s="33">
        <v>0.13</v>
      </c>
      <c r="H13" s="33">
        <f>0.225+0.02+0.00155</f>
        <v>0.24654999999999999</v>
      </c>
      <c r="I13" s="33">
        <f t="shared" si="2"/>
        <v>0.37655</v>
      </c>
      <c r="J13" s="33">
        <f t="shared" si="3"/>
        <v>0.62055000000000005</v>
      </c>
      <c r="K13" s="33"/>
      <c r="L13" s="15" t="s">
        <v>222</v>
      </c>
    </row>
    <row r="14" spans="1:12" x14ac:dyDescent="0.2">
      <c r="A14" s="39" t="s">
        <v>1</v>
      </c>
      <c r="B14" s="33">
        <v>0.22</v>
      </c>
      <c r="C14" s="33">
        <f>0.0125</f>
        <v>1.2500000000000001E-2</v>
      </c>
      <c r="D14" s="33">
        <f t="shared" si="0"/>
        <v>0.23250000000000001</v>
      </c>
      <c r="E14" s="33">
        <f t="shared" si="1"/>
        <v>0.41649999999999998</v>
      </c>
      <c r="F14" s="33"/>
      <c r="G14" s="33">
        <v>0.20499999999999999</v>
      </c>
      <c r="H14" s="33">
        <f>0.0125</f>
        <v>1.2500000000000001E-2</v>
      </c>
      <c r="I14" s="33">
        <f t="shared" si="2"/>
        <v>0.2175</v>
      </c>
      <c r="J14" s="33">
        <f t="shared" si="3"/>
        <v>0.46150000000000002</v>
      </c>
      <c r="K14" s="33"/>
      <c r="L14" s="14" t="s">
        <v>141</v>
      </c>
    </row>
    <row r="15" spans="1:12" ht="24.75" customHeight="1" x14ac:dyDescent="0.2">
      <c r="A15" s="39" t="s">
        <v>91</v>
      </c>
      <c r="B15" s="33">
        <v>0.25</v>
      </c>
      <c r="C15" s="33"/>
      <c r="D15" s="33">
        <f t="shared" si="0"/>
        <v>0.25</v>
      </c>
      <c r="E15" s="33">
        <f t="shared" si="1"/>
        <v>0.434</v>
      </c>
      <c r="F15" s="33"/>
      <c r="G15" s="33">
        <v>0.503</v>
      </c>
      <c r="H15" s="33"/>
      <c r="I15" s="33">
        <f t="shared" si="2"/>
        <v>0.503</v>
      </c>
      <c r="J15" s="33">
        <f t="shared" si="3"/>
        <v>0.747</v>
      </c>
      <c r="K15" s="33"/>
      <c r="L15" s="14" t="s">
        <v>56</v>
      </c>
    </row>
    <row r="16" spans="1:12" ht="14.25" customHeight="1" x14ac:dyDescent="0.2">
      <c r="A16" s="39" t="s">
        <v>4</v>
      </c>
      <c r="B16" s="33">
        <v>0.23</v>
      </c>
      <c r="C16" s="33"/>
      <c r="D16" s="33">
        <f t="shared" si="0"/>
        <v>0.23</v>
      </c>
      <c r="E16" s="33">
        <f t="shared" si="1"/>
        <v>0.41400000000000003</v>
      </c>
      <c r="F16" s="33"/>
      <c r="G16" s="33">
        <v>0.22</v>
      </c>
      <c r="H16" s="33"/>
      <c r="I16" s="33">
        <f t="shared" si="2"/>
        <v>0.22</v>
      </c>
      <c r="J16" s="33">
        <f t="shared" si="3"/>
        <v>0.46400000000000002</v>
      </c>
      <c r="K16" s="33"/>
      <c r="L16" s="14" t="s">
        <v>57</v>
      </c>
    </row>
    <row r="17" spans="1:12" x14ac:dyDescent="0.2">
      <c r="A17" s="39" t="s">
        <v>2</v>
      </c>
      <c r="B17" s="33">
        <v>0.23499999999999999</v>
      </c>
      <c r="C17" s="33"/>
      <c r="D17" s="33">
        <f t="shared" si="0"/>
        <v>0.23499999999999999</v>
      </c>
      <c r="E17" s="33">
        <f t="shared" si="1"/>
        <v>0.41899999999999998</v>
      </c>
      <c r="F17" s="33"/>
      <c r="G17" s="33">
        <v>0.23499999999999999</v>
      </c>
      <c r="H17" s="33"/>
      <c r="I17" s="33">
        <f t="shared" si="2"/>
        <v>0.23499999999999999</v>
      </c>
      <c r="J17" s="33">
        <f t="shared" si="3"/>
        <v>0.47899999999999998</v>
      </c>
      <c r="K17" s="33"/>
      <c r="L17" s="39"/>
    </row>
    <row r="18" spans="1:12" ht="63" customHeight="1" x14ac:dyDescent="0.2">
      <c r="A18" s="39" t="s">
        <v>87</v>
      </c>
      <c r="B18" s="33">
        <v>0.04</v>
      </c>
      <c r="C18" s="33">
        <v>0.26600000000000001</v>
      </c>
      <c r="D18" s="33">
        <f t="shared" si="0"/>
        <v>0.30599999999999999</v>
      </c>
      <c r="E18" s="33">
        <f t="shared" si="1"/>
        <v>0.49</v>
      </c>
      <c r="F18" s="33"/>
      <c r="G18" s="33">
        <v>0.04</v>
      </c>
      <c r="H18" s="33">
        <v>0.29770000000000002</v>
      </c>
      <c r="I18" s="33">
        <f t="shared" si="2"/>
        <v>0.3377</v>
      </c>
      <c r="J18" s="33">
        <f t="shared" si="3"/>
        <v>0.58169999999999999</v>
      </c>
      <c r="K18" s="33"/>
      <c r="L18" s="14" t="s">
        <v>207</v>
      </c>
    </row>
    <row r="19" spans="1:12" ht="27" x14ac:dyDescent="0.2">
      <c r="A19" s="39" t="s">
        <v>88</v>
      </c>
      <c r="B19" s="33">
        <v>0.26</v>
      </c>
      <c r="C19" s="33">
        <f>0.005</f>
        <v>5.0000000000000001E-3</v>
      </c>
      <c r="D19" s="33">
        <f t="shared" si="0"/>
        <v>0.26500000000000001</v>
      </c>
      <c r="E19" s="33">
        <f t="shared" si="1"/>
        <v>0.44900000000000001</v>
      </c>
      <c r="F19" s="33"/>
      <c r="G19" s="33">
        <v>0.28999999999999998</v>
      </c>
      <c r="H19" s="33">
        <f>0.005</f>
        <v>5.0000000000000001E-3</v>
      </c>
      <c r="I19" s="33">
        <f t="shared" si="2"/>
        <v>0.29499999999999998</v>
      </c>
      <c r="J19" s="33">
        <f t="shared" si="3"/>
        <v>0.53900000000000003</v>
      </c>
      <c r="K19" s="33"/>
      <c r="L19" s="14" t="s">
        <v>190</v>
      </c>
    </row>
    <row r="20" spans="1:12" ht="27" x14ac:dyDescent="0.2">
      <c r="A20" s="39" t="s">
        <v>118</v>
      </c>
      <c r="B20" s="33">
        <v>0.16</v>
      </c>
      <c r="C20" s="33">
        <f>0.025</f>
        <v>2.5000000000000001E-2</v>
      </c>
      <c r="D20" s="33">
        <f t="shared" si="0"/>
        <v>0.185</v>
      </c>
      <c r="E20" s="33">
        <f t="shared" si="1"/>
        <v>0.36899999999999999</v>
      </c>
      <c r="F20" s="33"/>
      <c r="G20" s="33">
        <v>0.16</v>
      </c>
      <c r="H20" s="33">
        <f>0.025</f>
        <v>2.5000000000000001E-2</v>
      </c>
      <c r="I20" s="33">
        <f t="shared" si="2"/>
        <v>0.185</v>
      </c>
      <c r="J20" s="33">
        <f t="shared" si="3"/>
        <v>0.42900000000000005</v>
      </c>
      <c r="K20" s="33"/>
      <c r="L20" s="14" t="s">
        <v>223</v>
      </c>
    </row>
    <row r="21" spans="1:12" x14ac:dyDescent="0.2">
      <c r="A21" s="39" t="s">
        <v>3</v>
      </c>
      <c r="B21" s="33">
        <v>0.32</v>
      </c>
      <c r="C21" s="33">
        <f>0.01</f>
        <v>0.01</v>
      </c>
      <c r="D21" s="33">
        <f>$B21+$C21</f>
        <v>0.33</v>
      </c>
      <c r="E21" s="33">
        <f t="shared" si="1"/>
        <v>0.51400000000000001</v>
      </c>
      <c r="F21" s="33"/>
      <c r="G21" s="33">
        <v>0.32</v>
      </c>
      <c r="H21" s="33">
        <f>0.01</f>
        <v>0.01</v>
      </c>
      <c r="I21" s="33">
        <f t="shared" si="2"/>
        <v>0.33</v>
      </c>
      <c r="J21" s="33">
        <f t="shared" si="3"/>
        <v>0.57400000000000007</v>
      </c>
      <c r="K21" s="33"/>
      <c r="L21" s="14" t="s">
        <v>58</v>
      </c>
    </row>
    <row r="22" spans="1:12" ht="38.25" customHeight="1" x14ac:dyDescent="0.2">
      <c r="A22" s="39" t="s">
        <v>92</v>
      </c>
      <c r="B22" s="33">
        <v>0.19</v>
      </c>
      <c r="C22" s="33">
        <v>0.14099999999999999</v>
      </c>
      <c r="D22" s="33">
        <f t="shared" si="0"/>
        <v>0.33099999999999996</v>
      </c>
      <c r="E22" s="33">
        <f t="shared" si="1"/>
        <v>0.5149999999999999</v>
      </c>
      <c r="F22" s="33"/>
      <c r="G22" s="33">
        <v>0.215</v>
      </c>
      <c r="H22" s="33">
        <v>0.14099999999999999</v>
      </c>
      <c r="I22" s="33">
        <f t="shared" si="2"/>
        <v>0.35599999999999998</v>
      </c>
      <c r="J22" s="33">
        <f t="shared" si="3"/>
        <v>0.6</v>
      </c>
      <c r="K22" s="33"/>
      <c r="L22" s="14" t="s">
        <v>208</v>
      </c>
    </row>
    <row r="23" spans="1:12" ht="61.5" customHeight="1" x14ac:dyDescent="0.2">
      <c r="A23" s="39" t="s">
        <v>93</v>
      </c>
      <c r="B23" s="33">
        <v>0.18</v>
      </c>
      <c r="C23" s="33">
        <v>0.11</v>
      </c>
      <c r="D23" s="33">
        <f t="shared" si="0"/>
        <v>0.28999999999999998</v>
      </c>
      <c r="E23" s="33">
        <f t="shared" si="1"/>
        <v>0.47399999999999998</v>
      </c>
      <c r="F23" s="33"/>
      <c r="G23" s="33">
        <v>0.16</v>
      </c>
      <c r="H23" s="33">
        <f>0.01</f>
        <v>0.01</v>
      </c>
      <c r="I23" s="33">
        <f t="shared" si="2"/>
        <v>0.17</v>
      </c>
      <c r="J23" s="33">
        <f t="shared" si="3"/>
        <v>0.41400000000000003</v>
      </c>
      <c r="K23" s="33"/>
      <c r="L23" s="14" t="s">
        <v>224</v>
      </c>
    </row>
    <row r="24" spans="1:12" x14ac:dyDescent="0.2">
      <c r="A24" s="39" t="s">
        <v>94</v>
      </c>
      <c r="B24" s="33">
        <v>0.308</v>
      </c>
      <c r="C24" s="33">
        <f>0.01</f>
        <v>0.01</v>
      </c>
      <c r="D24" s="33">
        <f t="shared" si="0"/>
        <v>0.318</v>
      </c>
      <c r="E24" s="33">
        <f t="shared" si="1"/>
        <v>0.502</v>
      </c>
      <c r="F24" s="33"/>
      <c r="G24" s="33">
        <v>0.32500000000000001</v>
      </c>
      <c r="H24" s="33">
        <f>0.01</f>
        <v>0.01</v>
      </c>
      <c r="I24" s="33">
        <f t="shared" si="2"/>
        <v>0.33500000000000002</v>
      </c>
      <c r="J24" s="33">
        <f t="shared" si="3"/>
        <v>0.57900000000000007</v>
      </c>
      <c r="K24" s="33"/>
      <c r="L24" s="14" t="s">
        <v>225</v>
      </c>
    </row>
    <row r="25" spans="1:12" x14ac:dyDescent="0.2">
      <c r="A25" s="39" t="s">
        <v>5</v>
      </c>
      <c r="B25" s="33">
        <v>0.24</v>
      </c>
      <c r="C25" s="33">
        <f>0.01+0.0003</f>
        <v>1.03E-2</v>
      </c>
      <c r="D25" s="33">
        <f t="shared" si="0"/>
        <v>0.25029999999999997</v>
      </c>
      <c r="E25" s="33">
        <f t="shared" si="1"/>
        <v>0.43429999999999996</v>
      </c>
      <c r="F25" s="33"/>
      <c r="G25" s="33">
        <v>0.26</v>
      </c>
      <c r="H25" s="33">
        <f>0.01+0.0003</f>
        <v>1.03E-2</v>
      </c>
      <c r="I25" s="33">
        <f t="shared" si="2"/>
        <v>0.27029999999999998</v>
      </c>
      <c r="J25" s="33">
        <f t="shared" si="3"/>
        <v>0.51429999999999998</v>
      </c>
      <c r="K25" s="33"/>
      <c r="L25" s="14" t="s">
        <v>211</v>
      </c>
    </row>
    <row r="26" spans="1:12" ht="27" x14ac:dyDescent="0.2">
      <c r="A26" s="39" t="s">
        <v>6</v>
      </c>
      <c r="B26" s="33">
        <v>0.246</v>
      </c>
      <c r="C26" s="33">
        <f>0.014</f>
        <v>1.4E-2</v>
      </c>
      <c r="D26" s="33">
        <f t="shared" si="0"/>
        <v>0.26</v>
      </c>
      <c r="E26" s="33">
        <f t="shared" si="1"/>
        <v>0.44400000000000001</v>
      </c>
      <c r="F26" s="33"/>
      <c r="G26" s="33">
        <v>0.216</v>
      </c>
      <c r="H26" s="33">
        <f>0.014</f>
        <v>1.4E-2</v>
      </c>
      <c r="I26" s="33">
        <f t="shared" si="2"/>
        <v>0.23</v>
      </c>
      <c r="J26" s="33">
        <f t="shared" si="3"/>
        <v>0.47400000000000003</v>
      </c>
      <c r="K26" s="33"/>
      <c r="L26" s="20" t="s">
        <v>226</v>
      </c>
    </row>
    <row r="27" spans="1:12" ht="27" x14ac:dyDescent="0.2">
      <c r="A27" s="39" t="s">
        <v>7</v>
      </c>
      <c r="B27" s="33">
        <v>0.2</v>
      </c>
      <c r="C27" s="33">
        <f>0.00125+0.008</f>
        <v>9.2499999999999995E-3</v>
      </c>
      <c r="D27" s="33">
        <f t="shared" si="0"/>
        <v>0.20925000000000002</v>
      </c>
      <c r="E27" s="33">
        <f t="shared" si="1"/>
        <v>0.39324999999999999</v>
      </c>
      <c r="F27" s="33"/>
      <c r="G27" s="33">
        <v>0.2</v>
      </c>
      <c r="H27" s="33">
        <f>0.00125+0.008</f>
        <v>9.2499999999999995E-3</v>
      </c>
      <c r="I27" s="33">
        <f t="shared" si="2"/>
        <v>0.20925000000000002</v>
      </c>
      <c r="J27" s="33">
        <f t="shared" si="3"/>
        <v>0.45325000000000004</v>
      </c>
      <c r="K27" s="33"/>
      <c r="L27" s="14" t="s">
        <v>59</v>
      </c>
    </row>
    <row r="28" spans="1:12" ht="73.5" customHeight="1" x14ac:dyDescent="0.2">
      <c r="A28" s="39" t="s">
        <v>8</v>
      </c>
      <c r="B28" s="33">
        <v>0.3</v>
      </c>
      <c r="C28" s="33">
        <f>0.0007+0.0133</f>
        <v>1.3999999999999999E-2</v>
      </c>
      <c r="D28" s="33">
        <f t="shared" si="0"/>
        <v>0.314</v>
      </c>
      <c r="E28" s="33">
        <f t="shared" si="1"/>
        <v>0.498</v>
      </c>
      <c r="F28" s="33"/>
      <c r="G28" s="33">
        <v>0.312</v>
      </c>
      <c r="H28" s="33">
        <v>6.7000000000000002E-3</v>
      </c>
      <c r="I28" s="33">
        <f t="shared" si="2"/>
        <v>0.31869999999999998</v>
      </c>
      <c r="J28" s="33">
        <f t="shared" si="3"/>
        <v>0.56269999999999998</v>
      </c>
      <c r="K28" s="33"/>
      <c r="L28" s="14" t="s">
        <v>227</v>
      </c>
    </row>
    <row r="29" spans="1:12" ht="26.25" customHeight="1" x14ac:dyDescent="0.2">
      <c r="A29" s="39" t="s">
        <v>9</v>
      </c>
      <c r="B29" s="33">
        <v>0.246</v>
      </c>
      <c r="C29" s="33">
        <v>8.1900000000000001E-2</v>
      </c>
      <c r="D29" s="33">
        <f t="shared" si="0"/>
        <v>0.32789999999999997</v>
      </c>
      <c r="E29" s="33">
        <f t="shared" si="1"/>
        <v>0.51190000000000002</v>
      </c>
      <c r="F29" s="33"/>
      <c r="G29" s="33">
        <v>0.2535</v>
      </c>
      <c r="H29" s="33">
        <v>8.1900000000000001E-2</v>
      </c>
      <c r="I29" s="33">
        <f t="shared" si="2"/>
        <v>0.33540000000000003</v>
      </c>
      <c r="J29" s="33">
        <f t="shared" si="3"/>
        <v>0.57940000000000003</v>
      </c>
      <c r="K29" s="33"/>
      <c r="L29" s="14" t="s">
        <v>228</v>
      </c>
    </row>
    <row r="30" spans="1:12" ht="27" x14ac:dyDescent="0.2">
      <c r="A30" s="39" t="s">
        <v>36</v>
      </c>
      <c r="B30" s="33">
        <v>0.24</v>
      </c>
      <c r="C30" s="33">
        <v>2.6499999999999999E-2</v>
      </c>
      <c r="D30" s="33">
        <f t="shared" si="0"/>
        <v>0.26650000000000001</v>
      </c>
      <c r="E30" s="33">
        <f t="shared" si="1"/>
        <v>0.45050000000000001</v>
      </c>
      <c r="F30" s="33"/>
      <c r="G30" s="33">
        <v>0.24</v>
      </c>
      <c r="H30" s="33">
        <v>2.6499999999999999E-2</v>
      </c>
      <c r="I30" s="33">
        <f t="shared" si="2"/>
        <v>0.26650000000000001</v>
      </c>
      <c r="J30" s="33">
        <f t="shared" si="3"/>
        <v>0.51050000000000006</v>
      </c>
      <c r="K30" s="33"/>
      <c r="L30" s="14" t="s">
        <v>229</v>
      </c>
    </row>
    <row r="31" spans="1:12" ht="39" customHeight="1" x14ac:dyDescent="0.2">
      <c r="A31" s="39" t="s">
        <v>95</v>
      </c>
      <c r="B31" s="33">
        <v>0.19</v>
      </c>
      <c r="C31" s="33">
        <v>0.1188</v>
      </c>
      <c r="D31" s="33">
        <f t="shared" si="0"/>
        <v>0.30880000000000002</v>
      </c>
      <c r="E31" s="33">
        <f t="shared" si="1"/>
        <v>0.49280000000000002</v>
      </c>
      <c r="F31" s="33"/>
      <c r="G31" s="33">
        <v>0.15</v>
      </c>
      <c r="H31" s="33">
        <v>0.15479999999999999</v>
      </c>
      <c r="I31" s="33">
        <f t="shared" si="2"/>
        <v>0.30479999999999996</v>
      </c>
      <c r="J31" s="33">
        <f t="shared" si="3"/>
        <v>0.54879999999999995</v>
      </c>
      <c r="K31" s="33"/>
      <c r="L31" s="14" t="s">
        <v>230</v>
      </c>
    </row>
    <row r="32" spans="1:12" ht="26.25" customHeight="1" x14ac:dyDescent="0.2">
      <c r="A32" s="39" t="s">
        <v>10</v>
      </c>
      <c r="B32" s="33">
        <v>0.28499999999999998</v>
      </c>
      <c r="C32" s="33">
        <v>2.1000000000000001E-2</v>
      </c>
      <c r="D32" s="33">
        <f t="shared" si="0"/>
        <v>0.30599999999999999</v>
      </c>
      <c r="E32" s="33">
        <f t="shared" si="1"/>
        <v>0.49</v>
      </c>
      <c r="F32" s="33"/>
      <c r="G32" s="33">
        <v>0.28499999999999998</v>
      </c>
      <c r="H32" s="33">
        <v>2.1000000000000001E-2</v>
      </c>
      <c r="I32" s="33">
        <f t="shared" si="2"/>
        <v>0.30599999999999999</v>
      </c>
      <c r="J32" s="33">
        <f t="shared" si="3"/>
        <v>0.55000000000000004</v>
      </c>
      <c r="K32" s="33"/>
      <c r="L32" s="14" t="s">
        <v>231</v>
      </c>
    </row>
    <row r="33" spans="1:12" ht="27" customHeight="1" x14ac:dyDescent="0.2">
      <c r="A33" s="39" t="s">
        <v>27</v>
      </c>
      <c r="B33" s="33">
        <v>0.18</v>
      </c>
      <c r="C33" s="33">
        <f>0.004</f>
        <v>4.0000000000000001E-3</v>
      </c>
      <c r="D33" s="33">
        <f t="shared" si="0"/>
        <v>0.184</v>
      </c>
      <c r="E33" s="33">
        <f t="shared" si="1"/>
        <v>0.36799999999999999</v>
      </c>
      <c r="F33" s="33"/>
      <c r="G33" s="33">
        <v>0.18</v>
      </c>
      <c r="H33" s="33">
        <f>0.004</f>
        <v>4.0000000000000001E-3</v>
      </c>
      <c r="I33" s="33">
        <f t="shared" si="2"/>
        <v>0.184</v>
      </c>
      <c r="J33" s="33">
        <f t="shared" si="3"/>
        <v>0.42800000000000005</v>
      </c>
      <c r="K33" s="33"/>
      <c r="L33" s="14" t="s">
        <v>60</v>
      </c>
    </row>
    <row r="34" spans="1:12" x14ac:dyDescent="0.2">
      <c r="A34" s="39" t="s">
        <v>28</v>
      </c>
      <c r="B34" s="33">
        <v>0.17</v>
      </c>
      <c r="C34" s="33">
        <f>0.0005+0.0025</f>
        <v>3.0000000000000001E-3</v>
      </c>
      <c r="D34" s="33">
        <f t="shared" si="0"/>
        <v>0.17300000000000001</v>
      </c>
      <c r="E34" s="33">
        <f t="shared" si="1"/>
        <v>0.35699999999999998</v>
      </c>
      <c r="F34" s="33"/>
      <c r="G34" s="33">
        <v>0.17</v>
      </c>
      <c r="H34" s="33">
        <f>0.0005+0.0025</f>
        <v>3.0000000000000001E-3</v>
      </c>
      <c r="I34" s="33">
        <f t="shared" si="2"/>
        <v>0.17300000000000001</v>
      </c>
      <c r="J34" s="33">
        <f t="shared" si="3"/>
        <v>0.41700000000000004</v>
      </c>
      <c r="K34" s="33"/>
      <c r="L34" s="14" t="s">
        <v>200</v>
      </c>
    </row>
    <row r="35" spans="1:12" x14ac:dyDescent="0.2">
      <c r="A35" s="39" t="s">
        <v>29</v>
      </c>
      <c r="B35" s="33">
        <v>0.27</v>
      </c>
      <c r="C35" s="33">
        <f>0.0075</f>
        <v>7.4999999999999997E-3</v>
      </c>
      <c r="D35" s="33">
        <f t="shared" si="0"/>
        <v>0.27750000000000002</v>
      </c>
      <c r="E35" s="33">
        <f t="shared" si="1"/>
        <v>0.46150000000000002</v>
      </c>
      <c r="F35" s="33"/>
      <c r="G35" s="33">
        <v>0.27750000000000002</v>
      </c>
      <c r="H35" s="33">
        <f>0.0075</f>
        <v>7.4999999999999997E-3</v>
      </c>
      <c r="I35" s="33">
        <f t="shared" si="2"/>
        <v>0.28500000000000003</v>
      </c>
      <c r="J35" s="33">
        <f t="shared" si="3"/>
        <v>0.52900000000000003</v>
      </c>
      <c r="K35" s="33"/>
      <c r="L35" s="14" t="s">
        <v>61</v>
      </c>
    </row>
    <row r="36" spans="1:12" ht="27" x14ac:dyDescent="0.2">
      <c r="A36" s="39" t="s">
        <v>15</v>
      </c>
      <c r="B36" s="33">
        <v>0.26800000000000002</v>
      </c>
      <c r="C36" s="33">
        <f>0.009</f>
        <v>8.9999999999999993E-3</v>
      </c>
      <c r="D36" s="33">
        <f t="shared" si="0"/>
        <v>0.27700000000000002</v>
      </c>
      <c r="E36" s="33">
        <f t="shared" si="1"/>
        <v>0.46100000000000002</v>
      </c>
      <c r="F36" s="33"/>
      <c r="G36" s="33">
        <v>0.26800000000000002</v>
      </c>
      <c r="H36" s="33">
        <f>0.003</f>
        <v>3.0000000000000001E-3</v>
      </c>
      <c r="I36" s="33">
        <f t="shared" si="2"/>
        <v>0.27100000000000002</v>
      </c>
      <c r="J36" s="33">
        <f t="shared" si="3"/>
        <v>0.51500000000000001</v>
      </c>
      <c r="K36" s="33"/>
      <c r="L36" s="14" t="s">
        <v>62</v>
      </c>
    </row>
    <row r="37" spans="1:12" ht="38.25" customHeight="1" x14ac:dyDescent="0.2">
      <c r="A37" s="39" t="s">
        <v>30</v>
      </c>
      <c r="B37" s="33">
        <v>0.23</v>
      </c>
      <c r="C37" s="33">
        <f>0.00055+0.0075</f>
        <v>8.0499999999999999E-3</v>
      </c>
      <c r="D37" s="33">
        <f t="shared" si="0"/>
        <v>0.23805000000000001</v>
      </c>
      <c r="E37" s="33">
        <f t="shared" si="1"/>
        <v>0.42205000000000004</v>
      </c>
      <c r="F37" s="33"/>
      <c r="G37" s="33">
        <v>0.27</v>
      </c>
      <c r="H37" s="33">
        <f>0.0075</f>
        <v>7.4999999999999997E-3</v>
      </c>
      <c r="I37" s="33">
        <f t="shared" si="2"/>
        <v>0.27750000000000002</v>
      </c>
      <c r="J37" s="33">
        <f t="shared" si="3"/>
        <v>0.52150000000000007</v>
      </c>
      <c r="K37" s="33"/>
      <c r="L37" s="14" t="s">
        <v>100</v>
      </c>
    </row>
    <row r="38" spans="1:12" ht="27.75" customHeight="1" x14ac:dyDescent="0.2">
      <c r="A38" s="39" t="s">
        <v>16</v>
      </c>
      <c r="B38" s="33">
        <v>0.222</v>
      </c>
      <c r="C38" s="33">
        <f>0.015+0.00125</f>
        <v>1.6250000000000001E-2</v>
      </c>
      <c r="D38" s="33">
        <f t="shared" si="0"/>
        <v>0.23825000000000002</v>
      </c>
      <c r="E38" s="33">
        <f t="shared" si="1"/>
        <v>0.42225000000000001</v>
      </c>
      <c r="F38" s="33"/>
      <c r="G38" s="33">
        <v>0.222</v>
      </c>
      <c r="H38" s="33">
        <f>0.015+0.00125</f>
        <v>1.6250000000000001E-2</v>
      </c>
      <c r="I38" s="33">
        <f t="shared" si="2"/>
        <v>0.23825000000000002</v>
      </c>
      <c r="J38" s="33">
        <f t="shared" si="3"/>
        <v>0.48225000000000007</v>
      </c>
      <c r="K38" s="33"/>
      <c r="L38" s="14" t="s">
        <v>79</v>
      </c>
    </row>
    <row r="39" spans="1:12" ht="27" customHeight="1" x14ac:dyDescent="0.2">
      <c r="A39" s="39" t="s">
        <v>96</v>
      </c>
      <c r="B39" s="33">
        <v>0.105</v>
      </c>
      <c r="C39" s="33">
        <f>0.04+0.0005</f>
        <v>4.0500000000000001E-2</v>
      </c>
      <c r="D39" s="33">
        <f t="shared" si="0"/>
        <v>0.14549999999999999</v>
      </c>
      <c r="E39" s="33">
        <f t="shared" si="1"/>
        <v>0.32950000000000002</v>
      </c>
      <c r="F39" s="33"/>
      <c r="G39" s="33">
        <v>0.13500000000000001</v>
      </c>
      <c r="H39" s="33">
        <f>0.04+0.0005</f>
        <v>4.0500000000000001E-2</v>
      </c>
      <c r="I39" s="33">
        <f t="shared" si="2"/>
        <v>0.17550000000000002</v>
      </c>
      <c r="J39" s="33">
        <f t="shared" si="3"/>
        <v>0.41950000000000004</v>
      </c>
      <c r="K39" s="33"/>
      <c r="L39" s="14" t="s">
        <v>216</v>
      </c>
    </row>
    <row r="40" spans="1:12" ht="27" x14ac:dyDescent="0.2">
      <c r="A40" s="39" t="s">
        <v>22</v>
      </c>
      <c r="B40" s="33">
        <v>0.17</v>
      </c>
      <c r="C40" s="33">
        <f>0.01875</f>
        <v>1.8749999999999999E-2</v>
      </c>
      <c r="D40" s="33">
        <f t="shared" si="0"/>
        <v>0.18875</v>
      </c>
      <c r="E40" s="33">
        <f t="shared" si="1"/>
        <v>0.37275000000000003</v>
      </c>
      <c r="F40" s="33"/>
      <c r="G40" s="33">
        <v>0.21</v>
      </c>
      <c r="H40" s="33">
        <f>0.01875</f>
        <v>1.8749999999999999E-2</v>
      </c>
      <c r="I40" s="33">
        <f t="shared" si="2"/>
        <v>0.22874999999999998</v>
      </c>
      <c r="J40" s="33">
        <f t="shared" si="3"/>
        <v>0.47275</v>
      </c>
      <c r="K40" s="33"/>
      <c r="L40" s="14" t="s">
        <v>63</v>
      </c>
    </row>
    <row r="41" spans="1:12" ht="86.25" customHeight="1" x14ac:dyDescent="0.2">
      <c r="A41" s="39" t="s">
        <v>97</v>
      </c>
      <c r="B41" s="33">
        <v>0.08</v>
      </c>
      <c r="C41" s="33">
        <f>0.17+0.0005+0.08+0.0029</f>
        <v>0.25340000000000001</v>
      </c>
      <c r="D41" s="33">
        <f t="shared" si="0"/>
        <v>0.33340000000000003</v>
      </c>
      <c r="E41" s="33">
        <f t="shared" si="1"/>
        <v>0.51740000000000008</v>
      </c>
      <c r="F41" s="33"/>
      <c r="G41" s="33">
        <v>0.08</v>
      </c>
      <c r="H41" s="33">
        <f>0.1525+0.08+0.0029</f>
        <v>0.2354</v>
      </c>
      <c r="I41" s="33">
        <f t="shared" si="2"/>
        <v>0.31540000000000001</v>
      </c>
      <c r="J41" s="33">
        <f t="shared" si="3"/>
        <v>0.55940000000000001</v>
      </c>
      <c r="K41" s="33"/>
      <c r="L41" s="14" t="s">
        <v>217</v>
      </c>
    </row>
    <row r="42" spans="1:12" x14ac:dyDescent="0.2">
      <c r="A42" s="39" t="s">
        <v>17</v>
      </c>
      <c r="B42" s="33">
        <v>0.35</v>
      </c>
      <c r="C42" s="33">
        <f>0.0025</f>
        <v>2.5000000000000001E-3</v>
      </c>
      <c r="D42" s="33">
        <f t="shared" si="0"/>
        <v>0.35249999999999998</v>
      </c>
      <c r="E42" s="33">
        <f t="shared" si="1"/>
        <v>0.53649999999999998</v>
      </c>
      <c r="F42" s="33"/>
      <c r="G42" s="33">
        <v>0.35</v>
      </c>
      <c r="H42" s="33">
        <f>0.0025</f>
        <v>2.5000000000000001E-3</v>
      </c>
      <c r="I42" s="33">
        <f t="shared" si="2"/>
        <v>0.35249999999999998</v>
      </c>
      <c r="J42" s="33">
        <f t="shared" si="3"/>
        <v>0.59650000000000003</v>
      </c>
      <c r="K42" s="33"/>
      <c r="L42" s="14" t="s">
        <v>82</v>
      </c>
    </row>
    <row r="43" spans="1:12" ht="15" customHeight="1" x14ac:dyDescent="0.2">
      <c r="A43" s="39" t="s">
        <v>11</v>
      </c>
      <c r="B43" s="33">
        <v>0.23</v>
      </c>
      <c r="C43" s="33">
        <f>0.00025</f>
        <v>2.5000000000000001E-4</v>
      </c>
      <c r="D43" s="33">
        <f t="shared" si="0"/>
        <v>0.23025000000000001</v>
      </c>
      <c r="E43" s="33">
        <f t="shared" si="1"/>
        <v>0.41425000000000001</v>
      </c>
      <c r="F43" s="33"/>
      <c r="G43" s="33">
        <v>0.23</v>
      </c>
      <c r="H43" s="33">
        <f>0.00025</f>
        <v>2.5000000000000001E-4</v>
      </c>
      <c r="I43" s="33">
        <f t="shared" si="2"/>
        <v>0.23025000000000001</v>
      </c>
      <c r="J43" s="33">
        <f t="shared" si="3"/>
        <v>0.47425000000000006</v>
      </c>
      <c r="K43" s="33"/>
      <c r="L43" s="14" t="s">
        <v>64</v>
      </c>
    </row>
    <row r="44" spans="1:12" x14ac:dyDescent="0.2">
      <c r="A44" s="39" t="s">
        <v>23</v>
      </c>
      <c r="B44" s="33">
        <v>0.28000000000000003</v>
      </c>
      <c r="C44" s="33"/>
      <c r="D44" s="33">
        <f t="shared" si="0"/>
        <v>0.28000000000000003</v>
      </c>
      <c r="E44" s="33">
        <f t="shared" si="1"/>
        <v>0.46400000000000002</v>
      </c>
      <c r="F44" s="33"/>
      <c r="G44" s="33">
        <v>0.28000000000000003</v>
      </c>
      <c r="H44" s="33"/>
      <c r="I44" s="33">
        <f t="shared" si="2"/>
        <v>0.28000000000000003</v>
      </c>
      <c r="J44" s="33">
        <f t="shared" si="3"/>
        <v>0.52400000000000002</v>
      </c>
      <c r="K44" s="33"/>
      <c r="L44" s="39"/>
    </row>
    <row r="45" spans="1:12" ht="27" x14ac:dyDescent="0.2">
      <c r="A45" s="39" t="s">
        <v>18</v>
      </c>
      <c r="B45" s="33">
        <v>0.16</v>
      </c>
      <c r="C45" s="33">
        <f>0.01</f>
        <v>0.01</v>
      </c>
      <c r="D45" s="33">
        <f t="shared" si="0"/>
        <v>0.17</v>
      </c>
      <c r="E45" s="33">
        <f t="shared" si="1"/>
        <v>0.35399999999999998</v>
      </c>
      <c r="F45" s="33"/>
      <c r="G45" s="33">
        <v>0.13</v>
      </c>
      <c r="H45" s="33">
        <f>0.01</f>
        <v>0.01</v>
      </c>
      <c r="I45" s="33">
        <f t="shared" si="2"/>
        <v>0.14000000000000001</v>
      </c>
      <c r="J45" s="33">
        <f t="shared" si="3"/>
        <v>0.38400000000000001</v>
      </c>
      <c r="K45" s="33"/>
      <c r="L45" s="14" t="s">
        <v>65</v>
      </c>
    </row>
    <row r="46" spans="1:12" x14ac:dyDescent="0.2">
      <c r="A46" s="39" t="s">
        <v>31</v>
      </c>
      <c r="B46" s="33">
        <v>0.3</v>
      </c>
      <c r="C46" s="33"/>
      <c r="D46" s="33">
        <f t="shared" si="0"/>
        <v>0.3</v>
      </c>
      <c r="E46" s="33">
        <f t="shared" si="1"/>
        <v>0.48399999999999999</v>
      </c>
      <c r="F46" s="33"/>
      <c r="G46" s="33">
        <v>0.3</v>
      </c>
      <c r="H46" s="33"/>
      <c r="I46" s="33">
        <f t="shared" si="2"/>
        <v>0.3</v>
      </c>
      <c r="J46" s="33">
        <f t="shared" si="3"/>
        <v>0.54400000000000004</v>
      </c>
      <c r="K46" s="33"/>
      <c r="L46" s="14" t="s">
        <v>66</v>
      </c>
    </row>
    <row r="47" spans="1:12" ht="37.5" customHeight="1" x14ac:dyDescent="0.2">
      <c r="A47" s="39" t="s">
        <v>12</v>
      </c>
      <c r="B47" s="33">
        <v>0.503</v>
      </c>
      <c r="C47" s="33">
        <f>0.011</f>
        <v>1.0999999999999999E-2</v>
      </c>
      <c r="D47" s="33">
        <f t="shared" si="0"/>
        <v>0.51400000000000001</v>
      </c>
      <c r="E47" s="33">
        <f t="shared" si="1"/>
        <v>0.69799999999999995</v>
      </c>
      <c r="F47" s="33"/>
      <c r="G47" s="33">
        <v>0.64</v>
      </c>
      <c r="H47" s="33">
        <f>0.011</f>
        <v>1.0999999999999999E-2</v>
      </c>
      <c r="I47" s="33">
        <f t="shared" si="2"/>
        <v>0.65100000000000002</v>
      </c>
      <c r="J47" s="33">
        <f t="shared" si="3"/>
        <v>0.89500000000000002</v>
      </c>
      <c r="K47" s="33"/>
      <c r="L47" s="14" t="s">
        <v>218</v>
      </c>
    </row>
    <row r="48" spans="1:12" ht="26.25" customHeight="1" x14ac:dyDescent="0.2">
      <c r="A48" s="39" t="s">
        <v>14</v>
      </c>
      <c r="B48" s="33">
        <v>0.33</v>
      </c>
      <c r="C48" s="33">
        <f>0.01+0.0012</f>
        <v>1.12E-2</v>
      </c>
      <c r="D48" s="33">
        <f t="shared" si="0"/>
        <v>0.3412</v>
      </c>
      <c r="E48" s="33">
        <f t="shared" si="1"/>
        <v>0.5252</v>
      </c>
      <c r="F48" s="33"/>
      <c r="G48" s="33">
        <v>0.33</v>
      </c>
      <c r="H48" s="33">
        <f>0.01+0.0012</f>
        <v>1.12E-2</v>
      </c>
      <c r="I48" s="33">
        <f t="shared" si="2"/>
        <v>0.3412</v>
      </c>
      <c r="J48" s="33">
        <f t="shared" si="3"/>
        <v>0.58520000000000005</v>
      </c>
      <c r="K48" s="33"/>
      <c r="L48" s="14" t="s">
        <v>83</v>
      </c>
    </row>
    <row r="49" spans="1:12" x14ac:dyDescent="0.2">
      <c r="A49" s="39" t="s">
        <v>119</v>
      </c>
      <c r="B49" s="33">
        <v>0.16</v>
      </c>
      <c r="C49" s="33">
        <f>0.0025+0.005</f>
        <v>7.4999999999999997E-3</v>
      </c>
      <c r="D49" s="33">
        <f t="shared" si="0"/>
        <v>0.16750000000000001</v>
      </c>
      <c r="E49" s="33">
        <f t="shared" si="1"/>
        <v>0.35150000000000003</v>
      </c>
      <c r="F49" s="33"/>
      <c r="G49" s="33">
        <v>0.16</v>
      </c>
      <c r="H49" s="33">
        <f>0.0025+0.005</f>
        <v>7.4999999999999997E-3</v>
      </c>
      <c r="I49" s="33">
        <f t="shared" si="2"/>
        <v>0.16750000000000001</v>
      </c>
      <c r="J49" s="33">
        <f t="shared" si="3"/>
        <v>0.41150000000000003</v>
      </c>
      <c r="K49" s="33"/>
      <c r="L49" s="14" t="s">
        <v>67</v>
      </c>
    </row>
    <row r="50" spans="1:12" x14ac:dyDescent="0.2">
      <c r="A50" s="39" t="s">
        <v>13</v>
      </c>
      <c r="B50" s="33">
        <v>0.28000000000000003</v>
      </c>
      <c r="C50" s="33">
        <f>0.02</f>
        <v>0.02</v>
      </c>
      <c r="D50" s="33">
        <f t="shared" si="0"/>
        <v>0.30000000000000004</v>
      </c>
      <c r="E50" s="33">
        <f t="shared" si="1"/>
        <v>0.48400000000000004</v>
      </c>
      <c r="F50" s="33"/>
      <c r="G50" s="33">
        <v>0.28000000000000003</v>
      </c>
      <c r="H50" s="33">
        <f>0.02</f>
        <v>0.02</v>
      </c>
      <c r="I50" s="33">
        <f t="shared" si="2"/>
        <v>0.30000000000000004</v>
      </c>
      <c r="J50" s="33">
        <f t="shared" si="3"/>
        <v>0.54400000000000004</v>
      </c>
      <c r="K50" s="33"/>
      <c r="L50" s="14" t="s">
        <v>68</v>
      </c>
    </row>
    <row r="51" spans="1:12" x14ac:dyDescent="0.2">
      <c r="A51" s="39" t="s">
        <v>19</v>
      </c>
      <c r="B51" s="33">
        <v>0.2</v>
      </c>
      <c r="C51" s="33">
        <f>0.01+0.004</f>
        <v>1.4E-2</v>
      </c>
      <c r="D51" s="33">
        <f t="shared" si="0"/>
        <v>0.21400000000000002</v>
      </c>
      <c r="E51" s="33">
        <f t="shared" si="1"/>
        <v>0.39800000000000002</v>
      </c>
      <c r="F51" s="33"/>
      <c r="G51" s="33">
        <v>0.17</v>
      </c>
      <c r="H51" s="33">
        <f>0.01+0.004</f>
        <v>1.4E-2</v>
      </c>
      <c r="I51" s="33">
        <f t="shared" si="2"/>
        <v>0.18400000000000002</v>
      </c>
      <c r="J51" s="33">
        <f t="shared" si="3"/>
        <v>0.42800000000000005</v>
      </c>
      <c r="K51" s="33"/>
      <c r="L51" s="14" t="s">
        <v>69</v>
      </c>
    </row>
    <row r="52" spans="1:12" x14ac:dyDescent="0.2">
      <c r="A52" s="39" t="s">
        <v>24</v>
      </c>
      <c r="B52" s="33">
        <v>0.2</v>
      </c>
      <c r="C52" s="33"/>
      <c r="D52" s="33">
        <f t="shared" si="0"/>
        <v>0.2</v>
      </c>
      <c r="E52" s="33">
        <f t="shared" si="1"/>
        <v>0.38400000000000001</v>
      </c>
      <c r="F52" s="33"/>
      <c r="G52" s="33">
        <v>0.2</v>
      </c>
      <c r="H52" s="33"/>
      <c r="I52" s="33">
        <f t="shared" si="2"/>
        <v>0.2</v>
      </c>
      <c r="J52" s="33">
        <f t="shared" si="3"/>
        <v>0.44400000000000006</v>
      </c>
      <c r="K52" s="33"/>
      <c r="L52" s="14" t="s">
        <v>70</v>
      </c>
    </row>
    <row r="53" spans="1:12" x14ac:dyDescent="0.2">
      <c r="A53" s="39" t="s">
        <v>25</v>
      </c>
      <c r="B53" s="33">
        <v>0.29399999999999998</v>
      </c>
      <c r="C53" s="33">
        <f>0.0065</f>
        <v>6.4999999999999997E-3</v>
      </c>
      <c r="D53" s="33">
        <f t="shared" si="0"/>
        <v>0.30049999999999999</v>
      </c>
      <c r="E53" s="33">
        <f t="shared" si="1"/>
        <v>0.48449999999999999</v>
      </c>
      <c r="F53" s="33"/>
      <c r="G53" s="33">
        <v>0.29399999999999998</v>
      </c>
      <c r="H53" s="33">
        <f>0.0065</f>
        <v>6.4999999999999997E-3</v>
      </c>
      <c r="I53" s="33">
        <f t="shared" si="2"/>
        <v>0.30049999999999999</v>
      </c>
      <c r="J53" s="33">
        <f t="shared" si="3"/>
        <v>0.54449999999999998</v>
      </c>
      <c r="K53" s="33"/>
      <c r="L53" s="14" t="s">
        <v>71</v>
      </c>
    </row>
    <row r="54" spans="1:12" ht="27" x14ac:dyDescent="0.2">
      <c r="A54" s="39" t="s">
        <v>75</v>
      </c>
      <c r="B54" s="33">
        <v>0.121</v>
      </c>
      <c r="C54" s="33">
        <v>0.18360000000000001</v>
      </c>
      <c r="D54" s="33">
        <f t="shared" si="0"/>
        <v>0.30459999999999998</v>
      </c>
      <c r="E54" s="33">
        <f t="shared" si="1"/>
        <v>0.48859999999999998</v>
      </c>
      <c r="F54" s="33"/>
      <c r="G54" s="33">
        <v>0.28000000000000003</v>
      </c>
      <c r="H54" s="33">
        <f>0.01+0.03</f>
        <v>0.04</v>
      </c>
      <c r="I54" s="33">
        <f t="shared" si="2"/>
        <v>0.32</v>
      </c>
      <c r="J54" s="33">
        <f t="shared" si="3"/>
        <v>0.56400000000000006</v>
      </c>
      <c r="K54" s="33"/>
      <c r="L54" s="14" t="s">
        <v>219</v>
      </c>
    </row>
    <row r="55" spans="1:12" ht="27" x14ac:dyDescent="0.2">
      <c r="A55" s="39" t="s">
        <v>98</v>
      </c>
      <c r="B55" s="33">
        <v>0.16200000000000001</v>
      </c>
      <c r="C55" s="33">
        <f>0.006</f>
        <v>6.0000000000000001E-3</v>
      </c>
      <c r="D55" s="33">
        <f t="shared" si="0"/>
        <v>0.16800000000000001</v>
      </c>
      <c r="E55" s="33">
        <f t="shared" si="1"/>
        <v>0.35199999999999998</v>
      </c>
      <c r="F55" s="33"/>
      <c r="G55" s="33">
        <v>0.20199999999999999</v>
      </c>
      <c r="H55" s="33">
        <f>0.006</f>
        <v>6.0000000000000001E-3</v>
      </c>
      <c r="I55" s="33">
        <f t="shared" si="2"/>
        <v>0.20799999999999999</v>
      </c>
      <c r="J55" s="33">
        <f t="shared" si="3"/>
        <v>0.45200000000000001</v>
      </c>
      <c r="K55" s="33"/>
      <c r="L55" s="14" t="s">
        <v>84</v>
      </c>
    </row>
    <row r="56" spans="1:12" ht="25.5" customHeight="1" x14ac:dyDescent="0.2">
      <c r="A56" s="39" t="s">
        <v>32</v>
      </c>
      <c r="B56" s="33">
        <v>0.44500000000000001</v>
      </c>
      <c r="C56" s="33">
        <f>0.0009523+0.000238</f>
        <v>1.1903E-3</v>
      </c>
      <c r="D56" s="33">
        <f t="shared" si="0"/>
        <v>0.44619029999999998</v>
      </c>
      <c r="E56" s="33">
        <f t="shared" si="1"/>
        <v>0.63019029999999998</v>
      </c>
      <c r="F56" s="33"/>
      <c r="G56" s="33">
        <v>0.44500000000000001</v>
      </c>
      <c r="H56" s="33">
        <f>0.0009523+0.000238</f>
        <v>1.1903E-3</v>
      </c>
      <c r="I56" s="33">
        <f t="shared" si="2"/>
        <v>0.44619029999999998</v>
      </c>
      <c r="J56" s="33">
        <f t="shared" si="3"/>
        <v>0.69019030000000003</v>
      </c>
      <c r="K56" s="33"/>
      <c r="L56" s="14" t="s">
        <v>101</v>
      </c>
    </row>
    <row r="57" spans="1:12" x14ac:dyDescent="0.2">
      <c r="A57" s="39" t="s">
        <v>26</v>
      </c>
      <c r="B57" s="33">
        <v>0.20499999999999999</v>
      </c>
      <c r="C57" s="33">
        <v>0.127</v>
      </c>
      <c r="D57" s="33">
        <f t="shared" si="0"/>
        <v>0.33199999999999996</v>
      </c>
      <c r="E57" s="33">
        <f t="shared" si="1"/>
        <v>0.51600000000000001</v>
      </c>
      <c r="F57" s="33"/>
      <c r="G57" s="33">
        <v>0.20499999999999999</v>
      </c>
      <c r="H57" s="33">
        <v>0.127</v>
      </c>
      <c r="I57" s="33">
        <f t="shared" si="2"/>
        <v>0.33199999999999996</v>
      </c>
      <c r="J57" s="33">
        <f t="shared" si="3"/>
        <v>0.57599999999999996</v>
      </c>
      <c r="K57" s="33"/>
      <c r="L57" s="14" t="s">
        <v>220</v>
      </c>
    </row>
    <row r="58" spans="1:12" x14ac:dyDescent="0.2">
      <c r="A58" s="39" t="s">
        <v>20</v>
      </c>
      <c r="B58" s="33">
        <v>0.309</v>
      </c>
      <c r="C58" s="33">
        <f>0.02</f>
        <v>0.02</v>
      </c>
      <c r="D58" s="33">
        <f t="shared" si="0"/>
        <v>0.32900000000000001</v>
      </c>
      <c r="E58" s="33">
        <f t="shared" si="1"/>
        <v>0.51300000000000001</v>
      </c>
      <c r="F58" s="33"/>
      <c r="G58" s="33">
        <v>0.309</v>
      </c>
      <c r="H58" s="33">
        <f>0.02</f>
        <v>0.02</v>
      </c>
      <c r="I58" s="33">
        <f t="shared" si="2"/>
        <v>0.32900000000000001</v>
      </c>
      <c r="J58" s="33">
        <f t="shared" si="3"/>
        <v>0.57300000000000006</v>
      </c>
      <c r="K58" s="33"/>
      <c r="L58" s="14" t="s">
        <v>72</v>
      </c>
    </row>
    <row r="59" spans="1:12" x14ac:dyDescent="0.2">
      <c r="A59" s="40" t="s">
        <v>21</v>
      </c>
      <c r="B59" s="36">
        <v>0.23</v>
      </c>
      <c r="C59" s="36">
        <f>0.01</f>
        <v>0.01</v>
      </c>
      <c r="D59" s="36">
        <f t="shared" si="0"/>
        <v>0.24000000000000002</v>
      </c>
      <c r="E59" s="36">
        <f t="shared" si="1"/>
        <v>0.42400000000000004</v>
      </c>
      <c r="F59" s="36"/>
      <c r="G59" s="36">
        <v>0.23</v>
      </c>
      <c r="H59" s="36">
        <f>0.01</f>
        <v>0.01</v>
      </c>
      <c r="I59" s="36">
        <f t="shared" si="2"/>
        <v>0.24000000000000002</v>
      </c>
      <c r="J59" s="36">
        <f t="shared" si="3"/>
        <v>0.48400000000000004</v>
      </c>
      <c r="K59" s="36"/>
      <c r="L59" s="40" t="s">
        <v>73</v>
      </c>
    </row>
    <row r="60" spans="1:12" x14ac:dyDescent="0.2">
      <c r="A60" s="37" t="s">
        <v>49</v>
      </c>
      <c r="B60" s="38">
        <v>0.35</v>
      </c>
      <c r="C60" s="38"/>
      <c r="D60" s="38">
        <f t="shared" si="0"/>
        <v>0.35</v>
      </c>
      <c r="E60" s="38"/>
      <c r="F60" s="38"/>
      <c r="G60" s="38">
        <v>0.315</v>
      </c>
      <c r="H60" s="38">
        <f>0.035</f>
        <v>3.5000000000000003E-2</v>
      </c>
      <c r="I60" s="38">
        <f t="shared" si="2"/>
        <v>0.35</v>
      </c>
      <c r="J60" s="38"/>
      <c r="K60" s="38"/>
      <c r="L60" s="39" t="s">
        <v>85</v>
      </c>
    </row>
    <row r="61" spans="1:12" x14ac:dyDescent="0.2">
      <c r="A61" s="39" t="s">
        <v>50</v>
      </c>
      <c r="B61" s="33">
        <v>0.11</v>
      </c>
      <c r="C61" s="33">
        <f>0.04</f>
        <v>0.04</v>
      </c>
      <c r="D61" s="33">
        <f t="shared" si="0"/>
        <v>0.15</v>
      </c>
      <c r="E61" s="33"/>
      <c r="F61" s="33"/>
      <c r="G61" s="33">
        <v>0.1</v>
      </c>
      <c r="H61" s="33">
        <f>0.04</f>
        <v>0.04</v>
      </c>
      <c r="I61" s="33">
        <f t="shared" si="2"/>
        <v>0.14000000000000001</v>
      </c>
      <c r="J61" s="33"/>
      <c r="K61" s="33"/>
      <c r="L61" s="14" t="s">
        <v>74</v>
      </c>
    </row>
    <row r="62" spans="1:12" ht="15" customHeight="1" x14ac:dyDescent="0.2">
      <c r="A62" s="39" t="s">
        <v>51</v>
      </c>
      <c r="B62" s="33">
        <v>0.15</v>
      </c>
      <c r="C62" s="33"/>
      <c r="D62" s="33">
        <f t="shared" si="0"/>
        <v>0.15</v>
      </c>
      <c r="E62" s="33"/>
      <c r="F62" s="33"/>
      <c r="G62" s="33">
        <v>0.15</v>
      </c>
      <c r="H62" s="33"/>
      <c r="I62" s="33">
        <f t="shared" si="2"/>
        <v>0.15</v>
      </c>
      <c r="J62" s="33"/>
      <c r="K62" s="33"/>
      <c r="L62" s="14" t="s">
        <v>85</v>
      </c>
    </row>
    <row r="63" spans="1:12" ht="14.25" customHeight="1" x14ac:dyDescent="0.2">
      <c r="A63" s="39" t="s">
        <v>52</v>
      </c>
      <c r="B63" s="33">
        <v>0.16</v>
      </c>
      <c r="C63" s="33"/>
      <c r="D63" s="33">
        <f t="shared" si="0"/>
        <v>0.16</v>
      </c>
      <c r="E63" s="33"/>
      <c r="F63" s="33"/>
      <c r="G63" s="33">
        <v>0.08</v>
      </c>
      <c r="H63" s="33"/>
      <c r="I63" s="33">
        <f t="shared" si="2"/>
        <v>0.08</v>
      </c>
      <c r="J63" s="33"/>
      <c r="K63" s="33"/>
      <c r="L63" s="14" t="s">
        <v>85</v>
      </c>
    </row>
    <row r="64" spans="1:12" ht="16" thickBot="1" x14ac:dyDescent="0.25">
      <c r="A64" s="39" t="s">
        <v>81</v>
      </c>
      <c r="B64" s="33">
        <v>0.14000000000000001</v>
      </c>
      <c r="C64" s="33"/>
      <c r="D64" s="33">
        <f t="shared" si="0"/>
        <v>0.14000000000000001</v>
      </c>
      <c r="E64" s="33"/>
      <c r="F64" s="33"/>
      <c r="G64" s="33">
        <v>0.14000000000000001</v>
      </c>
      <c r="H64" s="33"/>
      <c r="I64" s="33">
        <f t="shared" si="2"/>
        <v>0.14000000000000001</v>
      </c>
      <c r="J64" s="33"/>
      <c r="K64" s="33"/>
      <c r="L64" s="14" t="s">
        <v>85</v>
      </c>
    </row>
    <row r="65" spans="1:12" ht="63" customHeight="1" x14ac:dyDescent="0.2">
      <c r="A65" s="92" t="s">
        <v>295</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1" spans="1:12" x14ac:dyDescent="0.2">
      <c r="A71" s="18" t="s">
        <v>221</v>
      </c>
      <c r="B71"/>
      <c r="C71"/>
      <c r="D71"/>
      <c r="E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E71" r:id="rId1" display="mailto:maureen.klein@eia.gov" xr:uid="{00000000-0004-0000-0E00-000000000000}"/>
  </hyperlinks>
  <pageMargins left="0.17" right="0.17" top="0.4" bottom="0.38" header="0.3" footer="0.3"/>
  <pageSetup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1"/>
  <sheetViews>
    <sheetView showGridLines="0" zoomScaleNormal="100" workbookViewId="0">
      <pane ySplit="4" topLeftCell="A5"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82.6640625" customWidth="1"/>
  </cols>
  <sheetData>
    <row r="1" spans="1:12" ht="16" x14ac:dyDescent="0.2">
      <c r="A1" s="19" t="s">
        <v>80</v>
      </c>
    </row>
    <row r="2" spans="1:12" ht="31.5" customHeight="1" x14ac:dyDescent="0.2">
      <c r="A2" s="41"/>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0.22794117647058826</v>
      </c>
      <c r="C8" s="32">
        <f>AVERAGE(C9:C59)</f>
        <v>4.1921828888888894E-2</v>
      </c>
      <c r="D8" s="32">
        <f>AVERAGE(D9:D59)</f>
        <v>0.26493102549019615</v>
      </c>
      <c r="E8" s="32">
        <f>AVERAGE(E9:E59)</f>
        <v>0.44893102549019615</v>
      </c>
      <c r="F8" s="3"/>
      <c r="G8" s="32">
        <f>AVERAGE(G9:G59)</f>
        <v>0.23799999999999999</v>
      </c>
      <c r="H8" s="32">
        <f>AVERAGE(H9:H59)</f>
        <v>3.9037384444444448E-2</v>
      </c>
      <c r="I8" s="32">
        <f>AVERAGE(I9:I59)</f>
        <v>0.27244475098039223</v>
      </c>
      <c r="J8" s="32">
        <f>AVERAGE(J9:J59)</f>
        <v>0.51644475098039233</v>
      </c>
      <c r="K8" s="32"/>
      <c r="L8" s="11"/>
    </row>
    <row r="9" spans="1:12" ht="38.25" customHeight="1" x14ac:dyDescent="0.2">
      <c r="A9" s="39" t="s">
        <v>33</v>
      </c>
      <c r="B9" s="42">
        <v>0.16</v>
      </c>
      <c r="C9" s="42">
        <f>0.02+0.01</f>
        <v>0.03</v>
      </c>
      <c r="D9" s="42">
        <f>$B9+$C9</f>
        <v>0.19</v>
      </c>
      <c r="E9" s="43">
        <f>$D9+$E$4</f>
        <v>0.374</v>
      </c>
      <c r="F9" s="39"/>
      <c r="G9" s="42">
        <v>0.19</v>
      </c>
      <c r="H9" s="44">
        <f>0.0175</f>
        <v>1.7500000000000002E-2</v>
      </c>
      <c r="I9" s="44">
        <f>$G9+$H9</f>
        <v>0.20750000000000002</v>
      </c>
      <c r="J9" s="44">
        <f>$I9+$J$4</f>
        <v>0.45150000000000001</v>
      </c>
      <c r="K9" s="44"/>
      <c r="L9" s="14" t="s">
        <v>232</v>
      </c>
    </row>
    <row r="10" spans="1:12" x14ac:dyDescent="0.2">
      <c r="A10" s="39" t="s">
        <v>171</v>
      </c>
      <c r="B10" s="42">
        <v>0.08</v>
      </c>
      <c r="C10" s="44">
        <f>0.0095</f>
        <v>9.4999999999999998E-3</v>
      </c>
      <c r="D10" s="44">
        <f t="shared" ref="D10:D64" si="0">$B10+$C10</f>
        <v>8.9499999999999996E-2</v>
      </c>
      <c r="E10" s="44">
        <f t="shared" ref="E10:E59" si="1">$D10+$E$4</f>
        <v>0.27349999999999997</v>
      </c>
      <c r="F10" s="39"/>
      <c r="G10" s="42">
        <v>0.08</v>
      </c>
      <c r="H10" s="33">
        <f>0.0095</f>
        <v>9.4999999999999998E-3</v>
      </c>
      <c r="I10" s="33">
        <f t="shared" ref="I10:I64" si="2">$G10+$H10</f>
        <v>8.9499999999999996E-2</v>
      </c>
      <c r="J10" s="44">
        <f t="shared" ref="J10:J59" si="3">$I10+$J$4</f>
        <v>0.33350000000000002</v>
      </c>
      <c r="K10" s="43"/>
      <c r="L10" s="39" t="s">
        <v>99</v>
      </c>
    </row>
    <row r="11" spans="1:12" x14ac:dyDescent="0.2">
      <c r="A11" s="39" t="s">
        <v>0</v>
      </c>
      <c r="B11" s="42">
        <v>0.18</v>
      </c>
      <c r="C11" s="42">
        <f>0.01</f>
        <v>0.01</v>
      </c>
      <c r="D11" s="42">
        <f t="shared" si="0"/>
        <v>0.19</v>
      </c>
      <c r="E11" s="43">
        <f t="shared" si="1"/>
        <v>0.374</v>
      </c>
      <c r="F11" s="39"/>
      <c r="G11" s="42">
        <v>0.18</v>
      </c>
      <c r="H11" s="33">
        <f>0.01</f>
        <v>0.01</v>
      </c>
      <c r="I11" s="33">
        <f t="shared" si="2"/>
        <v>0.19</v>
      </c>
      <c r="J11" s="43">
        <f t="shared" si="3"/>
        <v>0.43400000000000005</v>
      </c>
      <c r="K11" s="43"/>
      <c r="L11" s="14" t="s">
        <v>54</v>
      </c>
    </row>
    <row r="12" spans="1:12" ht="26.25" customHeight="1" x14ac:dyDescent="0.2">
      <c r="A12" s="39" t="s">
        <v>86</v>
      </c>
      <c r="B12" s="43">
        <v>0.215</v>
      </c>
      <c r="C12" s="43">
        <f>0.003</f>
        <v>3.0000000000000001E-3</v>
      </c>
      <c r="D12" s="43">
        <f t="shared" si="0"/>
        <v>0.218</v>
      </c>
      <c r="E12" s="43">
        <f t="shared" si="1"/>
        <v>0.40200000000000002</v>
      </c>
      <c r="F12" s="39"/>
      <c r="G12" s="43">
        <v>0.22500000000000001</v>
      </c>
      <c r="H12" s="43">
        <f>0.003</f>
        <v>3.0000000000000001E-3</v>
      </c>
      <c r="I12" s="43">
        <f t="shared" si="2"/>
        <v>0.22800000000000001</v>
      </c>
      <c r="J12" s="43">
        <f t="shared" si="3"/>
        <v>0.47200000000000003</v>
      </c>
      <c r="K12" s="43"/>
      <c r="L12" s="14" t="s">
        <v>55</v>
      </c>
    </row>
    <row r="13" spans="1:12" ht="51.75" customHeight="1" x14ac:dyDescent="0.2">
      <c r="A13" s="39" t="s">
        <v>117</v>
      </c>
      <c r="B13" s="42">
        <v>0.3</v>
      </c>
      <c r="C13" s="44">
        <f>0.05+0.02+0.00155</f>
        <v>7.1550000000000002E-2</v>
      </c>
      <c r="D13" s="44">
        <f t="shared" si="0"/>
        <v>0.37154999999999999</v>
      </c>
      <c r="E13" s="44">
        <f t="shared" si="1"/>
        <v>0.55554999999999999</v>
      </c>
      <c r="F13" s="39"/>
      <c r="G13" s="42">
        <v>0.13</v>
      </c>
      <c r="H13" s="44">
        <f>0.225+0.02+0.00155</f>
        <v>0.24654999999999999</v>
      </c>
      <c r="I13" s="44">
        <f t="shared" si="2"/>
        <v>0.37655</v>
      </c>
      <c r="J13" s="44">
        <f t="shared" si="3"/>
        <v>0.62055000000000005</v>
      </c>
      <c r="K13" s="44"/>
      <c r="L13" s="15" t="s">
        <v>206</v>
      </c>
    </row>
    <row r="14" spans="1:12" x14ac:dyDescent="0.2">
      <c r="A14" s="39" t="s">
        <v>1</v>
      </c>
      <c r="B14" s="42">
        <v>0.22</v>
      </c>
      <c r="C14" s="44">
        <f>0.0125</f>
        <v>1.2500000000000001E-2</v>
      </c>
      <c r="D14" s="44">
        <f t="shared" si="0"/>
        <v>0.23250000000000001</v>
      </c>
      <c r="E14" s="44">
        <f t="shared" si="1"/>
        <v>0.41649999999999998</v>
      </c>
      <c r="F14" s="39"/>
      <c r="G14" s="43">
        <v>0.20499999999999999</v>
      </c>
      <c r="H14" s="44">
        <f>0.0125</f>
        <v>1.2500000000000001E-2</v>
      </c>
      <c r="I14" s="44">
        <f t="shared" si="2"/>
        <v>0.2175</v>
      </c>
      <c r="J14" s="44">
        <f t="shared" si="3"/>
        <v>0.46150000000000002</v>
      </c>
      <c r="K14" s="44"/>
      <c r="L14" s="14" t="s">
        <v>141</v>
      </c>
    </row>
    <row r="15" spans="1:12" ht="24.75" customHeight="1" x14ac:dyDescent="0.2">
      <c r="A15" s="39" t="s">
        <v>91</v>
      </c>
      <c r="B15" s="42">
        <v>0.25</v>
      </c>
      <c r="C15" s="42"/>
      <c r="D15" s="42">
        <f t="shared" si="0"/>
        <v>0.25</v>
      </c>
      <c r="E15" s="43">
        <f t="shared" si="1"/>
        <v>0.434</v>
      </c>
      <c r="F15" s="39"/>
      <c r="G15" s="43">
        <v>0.503</v>
      </c>
      <c r="H15" s="44"/>
      <c r="I15" s="43">
        <f t="shared" si="2"/>
        <v>0.503</v>
      </c>
      <c r="J15" s="43">
        <f t="shared" si="3"/>
        <v>0.747</v>
      </c>
      <c r="K15" s="43"/>
      <c r="L15" s="14" t="s">
        <v>56</v>
      </c>
    </row>
    <row r="16" spans="1:12" ht="14.25" customHeight="1" x14ac:dyDescent="0.2">
      <c r="A16" s="39" t="s">
        <v>4</v>
      </c>
      <c r="B16" s="42">
        <v>0.23</v>
      </c>
      <c r="C16" s="42"/>
      <c r="D16" s="42">
        <f t="shared" si="0"/>
        <v>0.23</v>
      </c>
      <c r="E16" s="43">
        <f t="shared" si="1"/>
        <v>0.41400000000000003</v>
      </c>
      <c r="F16" s="39"/>
      <c r="G16" s="42">
        <v>0.22</v>
      </c>
      <c r="H16" s="44"/>
      <c r="I16" s="42">
        <f t="shared" si="2"/>
        <v>0.22</v>
      </c>
      <c r="J16" s="43">
        <f t="shared" si="3"/>
        <v>0.46400000000000002</v>
      </c>
      <c r="K16" s="43"/>
      <c r="L16" s="14" t="s">
        <v>57</v>
      </c>
    </row>
    <row r="17" spans="1:12" x14ac:dyDescent="0.2">
      <c r="A17" s="39" t="s">
        <v>2</v>
      </c>
      <c r="B17" s="43">
        <v>0.23499999999999999</v>
      </c>
      <c r="C17" s="43"/>
      <c r="D17" s="43">
        <f t="shared" si="0"/>
        <v>0.23499999999999999</v>
      </c>
      <c r="E17" s="43">
        <f t="shared" si="1"/>
        <v>0.41899999999999998</v>
      </c>
      <c r="F17" s="39"/>
      <c r="G17" s="43">
        <v>0.23499999999999999</v>
      </c>
      <c r="H17" s="43"/>
      <c r="I17" s="43">
        <f t="shared" si="2"/>
        <v>0.23499999999999999</v>
      </c>
      <c r="J17" s="43">
        <f t="shared" si="3"/>
        <v>0.47899999999999998</v>
      </c>
      <c r="K17" s="43"/>
      <c r="L17" s="39"/>
    </row>
    <row r="18" spans="1:12" ht="63" customHeight="1" x14ac:dyDescent="0.2">
      <c r="A18" s="39" t="s">
        <v>87</v>
      </c>
      <c r="B18" s="42">
        <v>0.04</v>
      </c>
      <c r="C18" s="44">
        <f>0.133+0.00125+0.05+0.061+0.00048+0.0012+0.019</f>
        <v>0.26593000000000006</v>
      </c>
      <c r="D18" s="44">
        <f t="shared" si="0"/>
        <v>0.30593000000000004</v>
      </c>
      <c r="E18" s="44">
        <f t="shared" si="1"/>
        <v>0.48993000000000003</v>
      </c>
      <c r="F18" s="39"/>
      <c r="G18" s="42">
        <v>0.04</v>
      </c>
      <c r="H18" s="44">
        <f>0.133+0.01+0.06+0.073+0.00048+0.0012+0.019</f>
        <v>0.29668</v>
      </c>
      <c r="I18" s="44">
        <f t="shared" si="2"/>
        <v>0.33667999999999998</v>
      </c>
      <c r="J18" s="44">
        <f t="shared" si="3"/>
        <v>0.58067999999999997</v>
      </c>
      <c r="K18" s="44"/>
      <c r="L18" s="14" t="s">
        <v>207</v>
      </c>
    </row>
    <row r="19" spans="1:12" ht="27" x14ac:dyDescent="0.2">
      <c r="A19" s="39" t="s">
        <v>88</v>
      </c>
      <c r="B19" s="43">
        <v>0.26</v>
      </c>
      <c r="C19" s="43">
        <f>0.005</f>
        <v>5.0000000000000001E-3</v>
      </c>
      <c r="D19" s="43">
        <f t="shared" si="0"/>
        <v>0.26500000000000001</v>
      </c>
      <c r="E19" s="43">
        <f t="shared" si="1"/>
        <v>0.44900000000000001</v>
      </c>
      <c r="F19" s="39"/>
      <c r="G19" s="43">
        <v>0.28999999999999998</v>
      </c>
      <c r="H19" s="43">
        <f>0.005</f>
        <v>5.0000000000000001E-3</v>
      </c>
      <c r="I19" s="43">
        <f t="shared" si="2"/>
        <v>0.29499999999999998</v>
      </c>
      <c r="J19" s="43">
        <f t="shared" si="3"/>
        <v>0.53900000000000003</v>
      </c>
      <c r="K19" s="43"/>
      <c r="L19" s="14" t="s">
        <v>233</v>
      </c>
    </row>
    <row r="20" spans="1:12" ht="27" x14ac:dyDescent="0.2">
      <c r="A20" s="39" t="s">
        <v>118</v>
      </c>
      <c r="B20" s="42">
        <v>0.17</v>
      </c>
      <c r="C20" s="43">
        <f>0.025</f>
        <v>2.5000000000000001E-2</v>
      </c>
      <c r="D20" s="43">
        <f t="shared" si="0"/>
        <v>0.19500000000000001</v>
      </c>
      <c r="E20" s="43">
        <f t="shared" si="1"/>
        <v>0.379</v>
      </c>
      <c r="F20" s="39"/>
      <c r="G20" s="42">
        <v>0.17</v>
      </c>
      <c r="H20" s="43">
        <f>0.025</f>
        <v>2.5000000000000001E-2</v>
      </c>
      <c r="I20" s="43">
        <f t="shared" si="2"/>
        <v>0.19500000000000001</v>
      </c>
      <c r="J20" s="43">
        <f t="shared" si="3"/>
        <v>0.43900000000000006</v>
      </c>
      <c r="K20" s="43"/>
      <c r="L20" s="14" t="s">
        <v>234</v>
      </c>
    </row>
    <row r="21" spans="1:12" x14ac:dyDescent="0.2">
      <c r="A21" s="39" t="s">
        <v>3</v>
      </c>
      <c r="B21" s="42">
        <v>0.32</v>
      </c>
      <c r="C21" s="42">
        <f>0.01</f>
        <v>0.01</v>
      </c>
      <c r="D21" s="42">
        <f>$B21+$C21</f>
        <v>0.33</v>
      </c>
      <c r="E21" s="43">
        <f t="shared" si="1"/>
        <v>0.51400000000000001</v>
      </c>
      <c r="F21" s="39"/>
      <c r="G21" s="42">
        <v>0.32</v>
      </c>
      <c r="H21" s="42">
        <f>0.01</f>
        <v>0.01</v>
      </c>
      <c r="I21" s="42">
        <f t="shared" si="2"/>
        <v>0.33</v>
      </c>
      <c r="J21" s="43">
        <f t="shared" si="3"/>
        <v>0.57400000000000007</v>
      </c>
      <c r="K21" s="43"/>
      <c r="L21" s="14" t="s">
        <v>58</v>
      </c>
    </row>
    <row r="22" spans="1:12" ht="38.25" customHeight="1" x14ac:dyDescent="0.2">
      <c r="A22" s="39" t="s">
        <v>92</v>
      </c>
      <c r="B22" s="42">
        <v>0.19</v>
      </c>
      <c r="C22" s="43">
        <f>0.14+0.003+0.008</f>
        <v>0.15100000000000002</v>
      </c>
      <c r="D22" s="43">
        <f t="shared" si="0"/>
        <v>0.34100000000000003</v>
      </c>
      <c r="E22" s="43">
        <f t="shared" si="1"/>
        <v>0.52500000000000002</v>
      </c>
      <c r="F22" s="39"/>
      <c r="G22" s="43">
        <v>0.215</v>
      </c>
      <c r="H22" s="43">
        <f>0.14+0.003+0.008</f>
        <v>0.15100000000000002</v>
      </c>
      <c r="I22" s="43">
        <f t="shared" si="2"/>
        <v>0.36599999999999999</v>
      </c>
      <c r="J22" s="42">
        <f t="shared" si="3"/>
        <v>0.61</v>
      </c>
      <c r="K22" s="42"/>
      <c r="L22" s="14" t="s">
        <v>235</v>
      </c>
    </row>
    <row r="23" spans="1:12" ht="61.5" customHeight="1" x14ac:dyDescent="0.2">
      <c r="A23" s="39" t="s">
        <v>93</v>
      </c>
      <c r="B23" s="42">
        <v>0.18</v>
      </c>
      <c r="C23" s="43">
        <f>0.158+0.01</f>
        <v>0.16800000000000001</v>
      </c>
      <c r="D23" s="43">
        <f t="shared" si="0"/>
        <v>0.34799999999999998</v>
      </c>
      <c r="E23" s="43">
        <f t="shared" si="1"/>
        <v>0.53200000000000003</v>
      </c>
      <c r="F23" s="39"/>
      <c r="G23" s="42">
        <v>0.16</v>
      </c>
      <c r="H23" s="42">
        <f>0.01</f>
        <v>0.01</v>
      </c>
      <c r="I23" s="42">
        <f t="shared" si="2"/>
        <v>0.17</v>
      </c>
      <c r="J23" s="43">
        <f t="shared" si="3"/>
        <v>0.41400000000000003</v>
      </c>
      <c r="K23" s="43"/>
      <c r="L23" s="14" t="s">
        <v>236</v>
      </c>
    </row>
    <row r="24" spans="1:12" x14ac:dyDescent="0.2">
      <c r="A24" s="39" t="s">
        <v>94</v>
      </c>
      <c r="B24" s="33">
        <v>0.308</v>
      </c>
      <c r="C24" s="33">
        <f>0.01</f>
        <v>0.01</v>
      </c>
      <c r="D24" s="33">
        <f t="shared" si="0"/>
        <v>0.318</v>
      </c>
      <c r="E24" s="33">
        <f t="shared" si="1"/>
        <v>0.502</v>
      </c>
      <c r="F24" s="33"/>
      <c r="G24" s="33">
        <v>0.32500000000000001</v>
      </c>
      <c r="H24" s="33">
        <f>0.01</f>
        <v>0.01</v>
      </c>
      <c r="I24" s="33">
        <f t="shared" si="2"/>
        <v>0.33500000000000002</v>
      </c>
      <c r="J24" s="33">
        <f t="shared" si="3"/>
        <v>0.57900000000000007</v>
      </c>
      <c r="K24" s="33"/>
      <c r="L24" s="14" t="s">
        <v>225</v>
      </c>
    </row>
    <row r="25" spans="1:12" x14ac:dyDescent="0.2">
      <c r="A25" s="39" t="s">
        <v>5</v>
      </c>
      <c r="B25" s="42">
        <v>0.24</v>
      </c>
      <c r="C25" s="44">
        <f>0.01+0.0003</f>
        <v>1.03E-2</v>
      </c>
      <c r="D25" s="44">
        <f t="shared" si="0"/>
        <v>0.25029999999999997</v>
      </c>
      <c r="E25" s="44">
        <f t="shared" si="1"/>
        <v>0.43429999999999996</v>
      </c>
      <c r="F25" s="39"/>
      <c r="G25" s="42">
        <v>0.26</v>
      </c>
      <c r="H25" s="44">
        <f>0.01+0.0003</f>
        <v>1.03E-2</v>
      </c>
      <c r="I25" s="44">
        <f t="shared" si="2"/>
        <v>0.27029999999999998</v>
      </c>
      <c r="J25" s="44">
        <f t="shared" si="3"/>
        <v>0.51429999999999998</v>
      </c>
      <c r="K25" s="44"/>
      <c r="L25" s="14" t="s">
        <v>211</v>
      </c>
    </row>
    <row r="26" spans="1:12" ht="27" x14ac:dyDescent="0.2">
      <c r="A26" s="39" t="s">
        <v>6</v>
      </c>
      <c r="B26" s="43">
        <v>0.246</v>
      </c>
      <c r="C26" s="43">
        <f>0.014</f>
        <v>1.4E-2</v>
      </c>
      <c r="D26" s="43">
        <f t="shared" si="0"/>
        <v>0.26</v>
      </c>
      <c r="E26" s="42">
        <f t="shared" si="1"/>
        <v>0.44400000000000001</v>
      </c>
      <c r="F26" s="39"/>
      <c r="G26" s="43">
        <v>0.216</v>
      </c>
      <c r="H26" s="43">
        <f>0.014</f>
        <v>1.4E-2</v>
      </c>
      <c r="I26" s="43">
        <f t="shared" si="2"/>
        <v>0.23</v>
      </c>
      <c r="J26" s="43">
        <f t="shared" si="3"/>
        <v>0.47400000000000003</v>
      </c>
      <c r="K26" s="43"/>
      <c r="L26" s="14" t="s">
        <v>237</v>
      </c>
    </row>
    <row r="27" spans="1:12" ht="27" x14ac:dyDescent="0.2">
      <c r="A27" s="39" t="s">
        <v>7</v>
      </c>
      <c r="B27" s="45">
        <v>0.2</v>
      </c>
      <c r="C27" s="44">
        <f>0.00125+0.008</f>
        <v>9.2499999999999995E-3</v>
      </c>
      <c r="D27" s="44">
        <f t="shared" si="0"/>
        <v>0.20925000000000002</v>
      </c>
      <c r="E27" s="44">
        <f t="shared" si="1"/>
        <v>0.39324999999999999</v>
      </c>
      <c r="F27" s="39"/>
      <c r="G27" s="45">
        <v>0.2</v>
      </c>
      <c r="H27" s="44">
        <f>0.00125+0.008</f>
        <v>9.2499999999999995E-3</v>
      </c>
      <c r="I27" s="44">
        <f t="shared" si="2"/>
        <v>0.20925000000000002</v>
      </c>
      <c r="J27" s="44">
        <f t="shared" si="3"/>
        <v>0.45325000000000004</v>
      </c>
      <c r="K27" s="44"/>
      <c r="L27" s="14" t="s">
        <v>59</v>
      </c>
    </row>
    <row r="28" spans="1:12" ht="73.5" customHeight="1" x14ac:dyDescent="0.2">
      <c r="A28" s="39" t="s">
        <v>8</v>
      </c>
      <c r="B28" s="45">
        <v>0.3</v>
      </c>
      <c r="C28" s="43">
        <f>0.0007+0.0133</f>
        <v>1.3999999999999999E-2</v>
      </c>
      <c r="D28" s="43">
        <f t="shared" si="0"/>
        <v>0.314</v>
      </c>
      <c r="E28" s="43">
        <f t="shared" si="1"/>
        <v>0.498</v>
      </c>
      <c r="F28" s="39"/>
      <c r="G28" s="43">
        <v>0.312</v>
      </c>
      <c r="H28" s="44">
        <f>0.0007+0.0059</f>
        <v>6.6E-3</v>
      </c>
      <c r="I28" s="44">
        <f t="shared" si="2"/>
        <v>0.31859999999999999</v>
      </c>
      <c r="J28" s="44">
        <f t="shared" si="3"/>
        <v>0.56259999999999999</v>
      </c>
      <c r="K28" s="44"/>
      <c r="L28" s="14" t="s">
        <v>238</v>
      </c>
    </row>
    <row r="29" spans="1:12" ht="26.25" customHeight="1" x14ac:dyDescent="0.2">
      <c r="A29" s="39" t="s">
        <v>9</v>
      </c>
      <c r="B29" s="43">
        <v>0.246</v>
      </c>
      <c r="C29" s="44">
        <f>0.075+0.00185</f>
        <v>7.6850000000000002E-2</v>
      </c>
      <c r="D29" s="44">
        <f t="shared" si="0"/>
        <v>0.32284999999999997</v>
      </c>
      <c r="E29" s="44">
        <f t="shared" si="1"/>
        <v>0.50685000000000002</v>
      </c>
      <c r="F29" s="39"/>
      <c r="G29" s="44">
        <v>0.2535</v>
      </c>
      <c r="H29" s="44">
        <f>0.075+0.00185</f>
        <v>7.6850000000000002E-2</v>
      </c>
      <c r="I29" s="44">
        <f t="shared" si="2"/>
        <v>0.33035000000000003</v>
      </c>
      <c r="J29" s="44">
        <f t="shared" si="3"/>
        <v>0.57435000000000003</v>
      </c>
      <c r="K29" s="44"/>
      <c r="L29" s="14" t="s">
        <v>239</v>
      </c>
    </row>
    <row r="30" spans="1:12" ht="27" x14ac:dyDescent="0.2">
      <c r="A30" s="39" t="s">
        <v>36</v>
      </c>
      <c r="B30" s="42">
        <v>0.24</v>
      </c>
      <c r="C30" s="44">
        <f>0.001+0.0254</f>
        <v>2.64E-2</v>
      </c>
      <c r="D30" s="44">
        <f t="shared" si="0"/>
        <v>0.26639999999999997</v>
      </c>
      <c r="E30" s="44">
        <f t="shared" si="1"/>
        <v>0.45039999999999997</v>
      </c>
      <c r="F30" s="39"/>
      <c r="G30" s="42">
        <v>0.24</v>
      </c>
      <c r="H30" s="44">
        <f>0.0254+0.001</f>
        <v>2.64E-2</v>
      </c>
      <c r="I30" s="44">
        <f t="shared" si="2"/>
        <v>0.26639999999999997</v>
      </c>
      <c r="J30" s="44">
        <f t="shared" si="3"/>
        <v>0.51039999999999996</v>
      </c>
      <c r="K30" s="44"/>
      <c r="L30" s="14" t="s">
        <v>240</v>
      </c>
    </row>
    <row r="31" spans="1:12" ht="39" customHeight="1" x14ac:dyDescent="0.2">
      <c r="A31" s="39" t="s">
        <v>95</v>
      </c>
      <c r="B31" s="42">
        <v>0.19</v>
      </c>
      <c r="C31" s="44">
        <f>0.138+0.00875</f>
        <v>0.14675000000000002</v>
      </c>
      <c r="D31" s="44">
        <f t="shared" si="0"/>
        <v>0.33674999999999999</v>
      </c>
      <c r="E31" s="44">
        <f t="shared" si="1"/>
        <v>0.52075000000000005</v>
      </c>
      <c r="F31" s="39"/>
      <c r="G31" s="42">
        <v>0.15</v>
      </c>
      <c r="H31" s="44">
        <f>0.152+0.00875</f>
        <v>0.16075</v>
      </c>
      <c r="I31" s="44">
        <f t="shared" si="2"/>
        <v>0.31074999999999997</v>
      </c>
      <c r="J31" s="44">
        <f t="shared" si="3"/>
        <v>0.55474999999999997</v>
      </c>
      <c r="K31" s="44"/>
      <c r="L31" s="14" t="s">
        <v>241</v>
      </c>
    </row>
    <row r="32" spans="1:12" ht="26.25" customHeight="1" x14ac:dyDescent="0.2">
      <c r="A32" s="39" t="s">
        <v>10</v>
      </c>
      <c r="B32" s="43">
        <v>0.28499999999999998</v>
      </c>
      <c r="C32" s="43">
        <f>0.001</f>
        <v>1E-3</v>
      </c>
      <c r="D32" s="43">
        <f t="shared" si="0"/>
        <v>0.28599999999999998</v>
      </c>
      <c r="E32" s="42">
        <f t="shared" si="1"/>
        <v>0.47</v>
      </c>
      <c r="F32" s="39"/>
      <c r="G32" s="43">
        <v>0.28499999999999998</v>
      </c>
      <c r="H32" s="43">
        <f>0.001</f>
        <v>1E-3</v>
      </c>
      <c r="I32" s="43">
        <f t="shared" si="2"/>
        <v>0.28599999999999998</v>
      </c>
      <c r="J32" s="42">
        <f t="shared" si="3"/>
        <v>0.53</v>
      </c>
      <c r="K32" s="42"/>
      <c r="L32" s="14" t="s">
        <v>231</v>
      </c>
    </row>
    <row r="33" spans="1:12" ht="27" customHeight="1" x14ac:dyDescent="0.2">
      <c r="A33" s="39" t="s">
        <v>27</v>
      </c>
      <c r="B33" s="42">
        <v>0.18</v>
      </c>
      <c r="C33" s="43">
        <f>0.004</f>
        <v>4.0000000000000001E-3</v>
      </c>
      <c r="D33" s="43">
        <f t="shared" si="0"/>
        <v>0.184</v>
      </c>
      <c r="E33" s="33">
        <f t="shared" si="1"/>
        <v>0.36799999999999999</v>
      </c>
      <c r="F33" s="39"/>
      <c r="G33" s="42">
        <v>0.18</v>
      </c>
      <c r="H33" s="43">
        <f>0.004</f>
        <v>4.0000000000000001E-3</v>
      </c>
      <c r="I33" s="43">
        <f t="shared" si="2"/>
        <v>0.184</v>
      </c>
      <c r="J33" s="33">
        <f t="shared" si="3"/>
        <v>0.42800000000000005</v>
      </c>
      <c r="K33" s="42"/>
      <c r="L33" s="14" t="s">
        <v>60</v>
      </c>
    </row>
    <row r="34" spans="1:12" x14ac:dyDescent="0.2">
      <c r="A34" s="39" t="s">
        <v>28</v>
      </c>
      <c r="B34" s="42">
        <v>0.17</v>
      </c>
      <c r="C34" s="43">
        <f>0.0005+0.0025</f>
        <v>3.0000000000000001E-3</v>
      </c>
      <c r="D34" s="43">
        <f t="shared" si="0"/>
        <v>0.17300000000000001</v>
      </c>
      <c r="E34" s="43">
        <f t="shared" si="1"/>
        <v>0.35699999999999998</v>
      </c>
      <c r="F34" s="39"/>
      <c r="G34" s="42">
        <v>0.17</v>
      </c>
      <c r="H34" s="33">
        <f>0.0005+0.0025</f>
        <v>3.0000000000000001E-3</v>
      </c>
      <c r="I34" s="33">
        <f t="shared" si="2"/>
        <v>0.17300000000000001</v>
      </c>
      <c r="J34" s="43">
        <f t="shared" si="3"/>
        <v>0.41700000000000004</v>
      </c>
      <c r="K34" s="43"/>
      <c r="L34" s="14" t="s">
        <v>200</v>
      </c>
    </row>
    <row r="35" spans="1:12" x14ac:dyDescent="0.2">
      <c r="A35" s="39" t="s">
        <v>29</v>
      </c>
      <c r="B35" s="42">
        <v>0.27</v>
      </c>
      <c r="C35" s="44">
        <f>0.0075</f>
        <v>7.4999999999999997E-3</v>
      </c>
      <c r="D35" s="44">
        <f t="shared" si="0"/>
        <v>0.27750000000000002</v>
      </c>
      <c r="E35" s="44">
        <f t="shared" si="1"/>
        <v>0.46150000000000002</v>
      </c>
      <c r="F35" s="39"/>
      <c r="G35" s="44">
        <v>0.27750000000000002</v>
      </c>
      <c r="H35" s="44">
        <f>0.0075</f>
        <v>7.4999999999999997E-3</v>
      </c>
      <c r="I35" s="43">
        <f t="shared" si="2"/>
        <v>0.28500000000000003</v>
      </c>
      <c r="J35" s="43">
        <f t="shared" si="3"/>
        <v>0.52900000000000003</v>
      </c>
      <c r="K35" s="43"/>
      <c r="L35" s="14" t="s">
        <v>61</v>
      </c>
    </row>
    <row r="36" spans="1:12" ht="27" x14ac:dyDescent="0.2">
      <c r="A36" s="39" t="s">
        <v>15</v>
      </c>
      <c r="B36" s="43">
        <v>0.26100000000000001</v>
      </c>
      <c r="C36" s="43">
        <f>0.009</f>
        <v>8.9999999999999993E-3</v>
      </c>
      <c r="D36" s="43">
        <f t="shared" si="0"/>
        <v>0.27</v>
      </c>
      <c r="E36" s="43">
        <f t="shared" si="1"/>
        <v>0.45400000000000001</v>
      </c>
      <c r="F36" s="39"/>
      <c r="G36" s="43">
        <v>0.26100000000000001</v>
      </c>
      <c r="H36" s="43">
        <f>0.003</f>
        <v>3.0000000000000001E-3</v>
      </c>
      <c r="I36" s="43">
        <f t="shared" si="2"/>
        <v>0.26400000000000001</v>
      </c>
      <c r="J36" s="43">
        <f t="shared" si="3"/>
        <v>0.50800000000000001</v>
      </c>
      <c r="K36" s="43"/>
      <c r="L36" s="14" t="s">
        <v>62</v>
      </c>
    </row>
    <row r="37" spans="1:12" ht="38.25" customHeight="1" x14ac:dyDescent="0.2">
      <c r="A37" s="39" t="s">
        <v>30</v>
      </c>
      <c r="B37" s="42">
        <v>0.23</v>
      </c>
      <c r="C37" s="44">
        <f>0.00055+0.0075</f>
        <v>8.0499999999999999E-3</v>
      </c>
      <c r="D37" s="44">
        <f t="shared" si="0"/>
        <v>0.23805000000000001</v>
      </c>
      <c r="E37" s="44">
        <f t="shared" si="1"/>
        <v>0.42205000000000004</v>
      </c>
      <c r="F37" s="39"/>
      <c r="G37" s="42">
        <v>0.27</v>
      </c>
      <c r="H37" s="44">
        <f>0.0075</f>
        <v>7.4999999999999997E-3</v>
      </c>
      <c r="I37" s="44">
        <f t="shared" si="2"/>
        <v>0.27750000000000002</v>
      </c>
      <c r="J37" s="44">
        <f t="shared" si="3"/>
        <v>0.52150000000000007</v>
      </c>
      <c r="K37" s="44"/>
      <c r="L37" s="14" t="s">
        <v>100</v>
      </c>
    </row>
    <row r="38" spans="1:12" ht="27.75" customHeight="1" x14ac:dyDescent="0.2">
      <c r="A38" s="39" t="s">
        <v>16</v>
      </c>
      <c r="B38" s="43">
        <v>0.222</v>
      </c>
      <c r="C38" s="44">
        <f>0.015+0.00125</f>
        <v>1.6250000000000001E-2</v>
      </c>
      <c r="D38" s="44">
        <f t="shared" si="0"/>
        <v>0.23825000000000002</v>
      </c>
      <c r="E38" s="44">
        <f t="shared" si="1"/>
        <v>0.42225000000000001</v>
      </c>
      <c r="F38" s="39"/>
      <c r="G38" s="43">
        <v>0.222</v>
      </c>
      <c r="H38" s="44">
        <f>0.015+0.00125</f>
        <v>1.6250000000000001E-2</v>
      </c>
      <c r="I38" s="44">
        <f t="shared" si="2"/>
        <v>0.23825000000000002</v>
      </c>
      <c r="J38" s="44">
        <f t="shared" si="3"/>
        <v>0.48225000000000007</v>
      </c>
      <c r="K38" s="44"/>
      <c r="L38" s="14" t="s">
        <v>79</v>
      </c>
    </row>
    <row r="39" spans="1:12" ht="27" customHeight="1" x14ac:dyDescent="0.2">
      <c r="A39" s="39" t="s">
        <v>96</v>
      </c>
      <c r="B39" s="43">
        <v>0.105</v>
      </c>
      <c r="C39" s="44">
        <f>0.04+0.0005</f>
        <v>4.0500000000000001E-2</v>
      </c>
      <c r="D39" s="44">
        <f t="shared" si="0"/>
        <v>0.14549999999999999</v>
      </c>
      <c r="E39" s="44">
        <f t="shared" si="1"/>
        <v>0.32950000000000002</v>
      </c>
      <c r="F39" s="39"/>
      <c r="G39" s="43">
        <v>0.13500000000000001</v>
      </c>
      <c r="H39" s="44">
        <f>0.04+0.0005</f>
        <v>4.0500000000000001E-2</v>
      </c>
      <c r="I39" s="44">
        <f t="shared" si="2"/>
        <v>0.17550000000000002</v>
      </c>
      <c r="J39" s="44">
        <f t="shared" si="3"/>
        <v>0.41950000000000004</v>
      </c>
      <c r="K39" s="44"/>
      <c r="L39" s="14" t="s">
        <v>216</v>
      </c>
    </row>
    <row r="40" spans="1:12" ht="27" x14ac:dyDescent="0.2">
      <c r="A40" s="39" t="s">
        <v>22</v>
      </c>
      <c r="B40" s="42">
        <v>0.17</v>
      </c>
      <c r="C40" s="44">
        <f>0.01875</f>
        <v>1.8749999999999999E-2</v>
      </c>
      <c r="D40" s="44">
        <f t="shared" si="0"/>
        <v>0.18875</v>
      </c>
      <c r="E40" s="44">
        <f t="shared" si="1"/>
        <v>0.37275000000000003</v>
      </c>
      <c r="F40" s="39"/>
      <c r="G40" s="42">
        <v>0.21</v>
      </c>
      <c r="H40" s="44">
        <f>0.01875</f>
        <v>1.8749999999999999E-2</v>
      </c>
      <c r="I40" s="44">
        <f t="shared" si="2"/>
        <v>0.22874999999999998</v>
      </c>
      <c r="J40" s="44">
        <f t="shared" si="3"/>
        <v>0.47275</v>
      </c>
      <c r="K40" s="44"/>
      <c r="L40" s="14" t="s">
        <v>63</v>
      </c>
    </row>
    <row r="41" spans="1:12" ht="86.25" customHeight="1" x14ac:dyDescent="0.2">
      <c r="A41" s="39" t="s">
        <v>97</v>
      </c>
      <c r="B41" s="42">
        <v>0.08</v>
      </c>
      <c r="C41" s="44">
        <f>0.178+0.0005+0.08+0.0029</f>
        <v>0.26140000000000002</v>
      </c>
      <c r="D41" s="44">
        <f t="shared" si="0"/>
        <v>0.34140000000000004</v>
      </c>
      <c r="E41" s="44">
        <f t="shared" si="1"/>
        <v>0.52540000000000009</v>
      </c>
      <c r="F41" s="39"/>
      <c r="G41" s="42">
        <v>0.08</v>
      </c>
      <c r="H41" s="44">
        <f>0.1605+0.08+0.0029</f>
        <v>0.24340000000000001</v>
      </c>
      <c r="I41" s="44">
        <f t="shared" si="2"/>
        <v>0.32340000000000002</v>
      </c>
      <c r="J41" s="44">
        <f t="shared" si="3"/>
        <v>0.56740000000000002</v>
      </c>
      <c r="K41" s="44"/>
      <c r="L41" s="14" t="s">
        <v>242</v>
      </c>
    </row>
    <row r="42" spans="1:12" x14ac:dyDescent="0.2">
      <c r="A42" s="39" t="s">
        <v>17</v>
      </c>
      <c r="B42" s="43">
        <v>0.36</v>
      </c>
      <c r="C42" s="44">
        <f>0.0025</f>
        <v>2.5000000000000001E-3</v>
      </c>
      <c r="D42" s="44">
        <f t="shared" si="0"/>
        <v>0.36249999999999999</v>
      </c>
      <c r="E42" s="44">
        <f t="shared" si="1"/>
        <v>0.54649999999999999</v>
      </c>
      <c r="F42" s="39"/>
      <c r="G42" s="43">
        <v>0.36</v>
      </c>
      <c r="H42" s="44">
        <f>0.0025</f>
        <v>2.5000000000000001E-3</v>
      </c>
      <c r="I42" s="44">
        <f t="shared" si="2"/>
        <v>0.36249999999999999</v>
      </c>
      <c r="J42" s="44">
        <f t="shared" si="3"/>
        <v>0.60650000000000004</v>
      </c>
      <c r="K42" s="44"/>
      <c r="L42" s="14" t="s">
        <v>82</v>
      </c>
    </row>
    <row r="43" spans="1:12" ht="15" customHeight="1" x14ac:dyDescent="0.2">
      <c r="A43" s="39" t="s">
        <v>11</v>
      </c>
      <c r="B43" s="42">
        <v>0.23</v>
      </c>
      <c r="C43" s="44">
        <f>0.00025</f>
        <v>2.5000000000000001E-4</v>
      </c>
      <c r="D43" s="44">
        <f t="shared" si="0"/>
        <v>0.23025000000000001</v>
      </c>
      <c r="E43" s="44">
        <f t="shared" si="1"/>
        <v>0.41425000000000001</v>
      </c>
      <c r="F43" s="39"/>
      <c r="G43" s="42">
        <v>0.23</v>
      </c>
      <c r="H43" s="44">
        <f>0.00025</f>
        <v>2.5000000000000001E-4</v>
      </c>
      <c r="I43" s="44">
        <f t="shared" si="2"/>
        <v>0.23025000000000001</v>
      </c>
      <c r="J43" s="44">
        <f t="shared" si="3"/>
        <v>0.47425000000000006</v>
      </c>
      <c r="K43" s="44"/>
      <c r="L43" s="14" t="s">
        <v>64</v>
      </c>
    </row>
    <row r="44" spans="1:12" x14ac:dyDescent="0.2">
      <c r="A44" s="39" t="s">
        <v>23</v>
      </c>
      <c r="B44" s="42">
        <v>0.28000000000000003</v>
      </c>
      <c r="C44" s="42"/>
      <c r="D44" s="42">
        <f t="shared" si="0"/>
        <v>0.28000000000000003</v>
      </c>
      <c r="E44" s="43">
        <f t="shared" si="1"/>
        <v>0.46400000000000002</v>
      </c>
      <c r="F44" s="39"/>
      <c r="G44" s="42">
        <v>0.28000000000000003</v>
      </c>
      <c r="H44" s="42"/>
      <c r="I44" s="42">
        <f t="shared" si="2"/>
        <v>0.28000000000000003</v>
      </c>
      <c r="J44" s="43">
        <f t="shared" si="3"/>
        <v>0.52400000000000002</v>
      </c>
      <c r="K44" s="43"/>
      <c r="L44" s="39"/>
    </row>
    <row r="45" spans="1:12" ht="27" x14ac:dyDescent="0.2">
      <c r="A45" s="39" t="s">
        <v>18</v>
      </c>
      <c r="B45" s="33">
        <v>0.16</v>
      </c>
      <c r="C45" s="33">
        <f>0.01</f>
        <v>0.01</v>
      </c>
      <c r="D45" s="33">
        <f t="shared" si="0"/>
        <v>0.17</v>
      </c>
      <c r="E45" s="33">
        <f t="shared" si="1"/>
        <v>0.35399999999999998</v>
      </c>
      <c r="F45" s="33"/>
      <c r="G45" s="33">
        <v>0.13</v>
      </c>
      <c r="H45" s="33">
        <f>0.01</f>
        <v>0.01</v>
      </c>
      <c r="I45" s="33">
        <f t="shared" si="2"/>
        <v>0.14000000000000001</v>
      </c>
      <c r="J45" s="33">
        <f t="shared" si="3"/>
        <v>0.38400000000000001</v>
      </c>
      <c r="K45" s="43"/>
      <c r="L45" s="14" t="s">
        <v>65</v>
      </c>
    </row>
    <row r="46" spans="1:12" x14ac:dyDescent="0.2">
      <c r="A46" s="39" t="s">
        <v>31</v>
      </c>
      <c r="B46" s="45">
        <v>0.3</v>
      </c>
      <c r="C46" s="42"/>
      <c r="D46" s="45">
        <f t="shared" si="0"/>
        <v>0.3</v>
      </c>
      <c r="E46" s="43">
        <f t="shared" si="1"/>
        <v>0.48399999999999999</v>
      </c>
      <c r="F46" s="39"/>
      <c r="G46" s="45">
        <v>0.3</v>
      </c>
      <c r="H46" s="42"/>
      <c r="I46" s="45">
        <f t="shared" si="2"/>
        <v>0.3</v>
      </c>
      <c r="J46" s="43">
        <f t="shared" si="3"/>
        <v>0.54400000000000004</v>
      </c>
      <c r="K46" s="43"/>
      <c r="L46" s="14" t="s">
        <v>66</v>
      </c>
    </row>
    <row r="47" spans="1:12" ht="37.5" customHeight="1" x14ac:dyDescent="0.2">
      <c r="A47" s="39" t="s">
        <v>12</v>
      </c>
      <c r="B47" s="43">
        <v>0.505</v>
      </c>
      <c r="C47" s="43">
        <f>0.011</f>
        <v>1.0999999999999999E-2</v>
      </c>
      <c r="D47" s="43">
        <f t="shared" si="0"/>
        <v>0.51600000000000001</v>
      </c>
      <c r="E47" s="45">
        <f t="shared" si="1"/>
        <v>0.7</v>
      </c>
      <c r="F47" s="39"/>
      <c r="G47" s="43">
        <v>0.64200000000000002</v>
      </c>
      <c r="H47" s="43">
        <f>0.011</f>
        <v>1.0999999999999999E-2</v>
      </c>
      <c r="I47" s="43">
        <f t="shared" si="2"/>
        <v>0.65300000000000002</v>
      </c>
      <c r="J47" s="43">
        <f t="shared" si="3"/>
        <v>0.89700000000000002</v>
      </c>
      <c r="K47" s="43"/>
      <c r="L47" s="14" t="s">
        <v>218</v>
      </c>
    </row>
    <row r="48" spans="1:12" ht="26.25" customHeight="1" x14ac:dyDescent="0.2">
      <c r="A48" s="39" t="s">
        <v>14</v>
      </c>
      <c r="B48" s="42">
        <v>0.33</v>
      </c>
      <c r="C48" s="44">
        <f>0.01+0.0012</f>
        <v>1.12E-2</v>
      </c>
      <c r="D48" s="44">
        <f t="shared" si="0"/>
        <v>0.3412</v>
      </c>
      <c r="E48" s="44">
        <f t="shared" si="1"/>
        <v>0.5252</v>
      </c>
      <c r="F48" s="39"/>
      <c r="G48" s="42">
        <v>0.33</v>
      </c>
      <c r="H48" s="44">
        <f>0.01+0.0012</f>
        <v>1.12E-2</v>
      </c>
      <c r="I48" s="44">
        <f t="shared" si="2"/>
        <v>0.3412</v>
      </c>
      <c r="J48" s="44">
        <f t="shared" si="3"/>
        <v>0.58520000000000005</v>
      </c>
      <c r="K48" s="44"/>
      <c r="L48" s="14" t="s">
        <v>83</v>
      </c>
    </row>
    <row r="49" spans="1:12" x14ac:dyDescent="0.2">
      <c r="A49" s="39" t="s">
        <v>119</v>
      </c>
      <c r="B49" s="42">
        <v>0.16</v>
      </c>
      <c r="C49" s="44">
        <f>0.0025+0.005</f>
        <v>7.4999999999999997E-3</v>
      </c>
      <c r="D49" s="44">
        <f t="shared" si="0"/>
        <v>0.16750000000000001</v>
      </c>
      <c r="E49" s="44">
        <f t="shared" si="1"/>
        <v>0.35150000000000003</v>
      </c>
      <c r="F49" s="39"/>
      <c r="G49" s="42">
        <v>0.16</v>
      </c>
      <c r="H49" s="44">
        <f>0.0025+0.005</f>
        <v>7.4999999999999997E-3</v>
      </c>
      <c r="I49" s="44">
        <f t="shared" si="2"/>
        <v>0.16750000000000001</v>
      </c>
      <c r="J49" s="44">
        <f t="shared" si="3"/>
        <v>0.41150000000000003</v>
      </c>
      <c r="K49" s="44"/>
      <c r="L49" s="14" t="s">
        <v>67</v>
      </c>
    </row>
    <row r="50" spans="1:12" x14ac:dyDescent="0.2">
      <c r="A50" s="39" t="s">
        <v>13</v>
      </c>
      <c r="B50" s="42">
        <v>0.28000000000000003</v>
      </c>
      <c r="C50" s="42">
        <f>0.02</f>
        <v>0.02</v>
      </c>
      <c r="D50" s="42">
        <f t="shared" si="0"/>
        <v>0.30000000000000004</v>
      </c>
      <c r="E50" s="43">
        <f t="shared" si="1"/>
        <v>0.48400000000000004</v>
      </c>
      <c r="F50" s="39"/>
      <c r="G50" s="42">
        <v>0.28000000000000003</v>
      </c>
      <c r="H50" s="42">
        <f>0.02</f>
        <v>0.02</v>
      </c>
      <c r="I50" s="33">
        <f t="shared" si="2"/>
        <v>0.30000000000000004</v>
      </c>
      <c r="J50" s="43">
        <f t="shared" si="3"/>
        <v>0.54400000000000004</v>
      </c>
      <c r="K50" s="43"/>
      <c r="L50" s="14" t="s">
        <v>68</v>
      </c>
    </row>
    <row r="51" spans="1:12" x14ac:dyDescent="0.2">
      <c r="A51" s="39" t="s">
        <v>19</v>
      </c>
      <c r="B51" s="45">
        <v>0.2</v>
      </c>
      <c r="C51" s="43">
        <f>0.01+0.004</f>
        <v>1.4E-2</v>
      </c>
      <c r="D51" s="43">
        <f t="shared" si="0"/>
        <v>0.21400000000000002</v>
      </c>
      <c r="E51" s="43">
        <f t="shared" si="1"/>
        <v>0.39800000000000002</v>
      </c>
      <c r="F51" s="39"/>
      <c r="G51" s="42">
        <v>0.17</v>
      </c>
      <c r="H51" s="43">
        <f>0.01+0.004</f>
        <v>1.4E-2</v>
      </c>
      <c r="I51" s="43">
        <f t="shared" si="2"/>
        <v>0.18400000000000002</v>
      </c>
      <c r="J51" s="43">
        <f t="shared" si="3"/>
        <v>0.42800000000000005</v>
      </c>
      <c r="K51" s="43"/>
      <c r="L51" s="14" t="s">
        <v>69</v>
      </c>
    </row>
    <row r="52" spans="1:12" x14ac:dyDescent="0.2">
      <c r="A52" s="39" t="s">
        <v>24</v>
      </c>
      <c r="B52" s="45">
        <v>0.2</v>
      </c>
      <c r="C52" s="43"/>
      <c r="D52" s="45">
        <f t="shared" si="0"/>
        <v>0.2</v>
      </c>
      <c r="E52" s="43">
        <f t="shared" si="1"/>
        <v>0.38400000000000001</v>
      </c>
      <c r="F52" s="39"/>
      <c r="G52" s="45">
        <v>0.2</v>
      </c>
      <c r="H52" s="43"/>
      <c r="I52" s="45">
        <f t="shared" si="2"/>
        <v>0.2</v>
      </c>
      <c r="J52" s="43">
        <f t="shared" si="3"/>
        <v>0.44400000000000006</v>
      </c>
      <c r="K52" s="43"/>
      <c r="L52" s="14" t="s">
        <v>70</v>
      </c>
    </row>
    <row r="53" spans="1:12" x14ac:dyDescent="0.2">
      <c r="A53" s="39" t="s">
        <v>25</v>
      </c>
      <c r="B53" s="43">
        <v>0.245</v>
      </c>
      <c r="C53" s="44">
        <f>0.0065</f>
        <v>6.4999999999999997E-3</v>
      </c>
      <c r="D53" s="44">
        <f t="shared" si="0"/>
        <v>0.2515</v>
      </c>
      <c r="E53" s="44">
        <f t="shared" si="1"/>
        <v>0.4355</v>
      </c>
      <c r="F53" s="39"/>
      <c r="G53" s="43">
        <v>0.245</v>
      </c>
      <c r="H53" s="44">
        <f>0.0065</f>
        <v>6.4999999999999997E-3</v>
      </c>
      <c r="I53" s="44">
        <f t="shared" si="2"/>
        <v>0.2515</v>
      </c>
      <c r="J53" s="44">
        <f t="shared" si="3"/>
        <v>0.49550000000000005</v>
      </c>
      <c r="K53" s="44"/>
      <c r="L53" s="14" t="s">
        <v>71</v>
      </c>
    </row>
    <row r="54" spans="1:12" ht="27" x14ac:dyDescent="0.2">
      <c r="A54" s="39" t="s">
        <v>75</v>
      </c>
      <c r="B54" s="43">
        <v>0.121</v>
      </c>
      <c r="C54" s="44">
        <f>0.01+0.0431+0.134</f>
        <v>0.18710000000000002</v>
      </c>
      <c r="D54" s="44">
        <f t="shared" si="0"/>
        <v>0.30810000000000004</v>
      </c>
      <c r="E54" s="44">
        <f t="shared" si="1"/>
        <v>0.49210000000000004</v>
      </c>
      <c r="F54" s="39"/>
      <c r="G54" s="42">
        <v>0.28000000000000003</v>
      </c>
      <c r="H54" s="42">
        <f>0.01+0.03</f>
        <v>0.04</v>
      </c>
      <c r="I54" s="42">
        <f t="shared" si="2"/>
        <v>0.32</v>
      </c>
      <c r="J54" s="43">
        <f t="shared" si="3"/>
        <v>0.56400000000000006</v>
      </c>
      <c r="K54" s="43"/>
      <c r="L54" s="14" t="s">
        <v>243</v>
      </c>
    </row>
    <row r="55" spans="1:12" ht="27" x14ac:dyDescent="0.2">
      <c r="A55" s="39" t="s">
        <v>98</v>
      </c>
      <c r="B55" s="43">
        <v>0.16200000000000001</v>
      </c>
      <c r="C55" s="43">
        <f>0.006</f>
        <v>6.0000000000000001E-3</v>
      </c>
      <c r="D55" s="43">
        <f t="shared" si="0"/>
        <v>0.16800000000000001</v>
      </c>
      <c r="E55" s="43">
        <f t="shared" si="1"/>
        <v>0.35199999999999998</v>
      </c>
      <c r="F55" s="39"/>
      <c r="G55" s="43">
        <v>0.20199999999999999</v>
      </c>
      <c r="H55" s="43">
        <f>0.006</f>
        <v>6.0000000000000001E-3</v>
      </c>
      <c r="I55" s="33">
        <f t="shared" si="2"/>
        <v>0.20799999999999999</v>
      </c>
      <c r="J55" s="43">
        <f t="shared" si="3"/>
        <v>0.45200000000000001</v>
      </c>
      <c r="K55" s="43"/>
      <c r="L55" s="14" t="s">
        <v>84</v>
      </c>
    </row>
    <row r="56" spans="1:12" ht="25.5" customHeight="1" x14ac:dyDescent="0.2">
      <c r="A56" s="39" t="s">
        <v>32</v>
      </c>
      <c r="B56" s="43">
        <v>0.375</v>
      </c>
      <c r="C56" s="43">
        <f>0.0009523</f>
        <v>9.523E-4</v>
      </c>
      <c r="D56" s="43">
        <f t="shared" si="0"/>
        <v>0.37595230000000002</v>
      </c>
      <c r="E56" s="42">
        <f t="shared" si="1"/>
        <v>0.55995229999999996</v>
      </c>
      <c r="F56" s="39"/>
      <c r="G56" s="43">
        <v>0.375</v>
      </c>
      <c r="H56" s="43">
        <f>0.0009523</f>
        <v>9.523E-4</v>
      </c>
      <c r="I56" s="43">
        <f t="shared" si="2"/>
        <v>0.37595230000000002</v>
      </c>
      <c r="J56" s="42">
        <f t="shared" si="3"/>
        <v>0.61995230000000001</v>
      </c>
      <c r="K56" s="42"/>
      <c r="L56" s="14" t="s">
        <v>244</v>
      </c>
    </row>
    <row r="57" spans="1:12" x14ac:dyDescent="0.2">
      <c r="A57" s="39" t="s">
        <v>26</v>
      </c>
      <c r="B57" s="43">
        <v>0.20499999999999999</v>
      </c>
      <c r="C57" s="43">
        <f>0.141</f>
        <v>0.14099999999999999</v>
      </c>
      <c r="D57" s="43">
        <f t="shared" si="0"/>
        <v>0.34599999999999997</v>
      </c>
      <c r="E57" s="42">
        <f t="shared" si="1"/>
        <v>0.53</v>
      </c>
      <c r="F57" s="39"/>
      <c r="G57" s="43">
        <v>0.20499999999999999</v>
      </c>
      <c r="H57" s="33">
        <f>0.141</f>
        <v>0.14099999999999999</v>
      </c>
      <c r="I57" s="43">
        <f t="shared" si="2"/>
        <v>0.34599999999999997</v>
      </c>
      <c r="J57" s="42">
        <f t="shared" si="3"/>
        <v>0.59</v>
      </c>
      <c r="K57" s="42"/>
      <c r="L57" s="14" t="s">
        <v>245</v>
      </c>
    </row>
    <row r="58" spans="1:12" x14ac:dyDescent="0.2">
      <c r="A58" s="39" t="s">
        <v>20</v>
      </c>
      <c r="B58" s="43">
        <v>0.309</v>
      </c>
      <c r="C58" s="42">
        <f>0.02</f>
        <v>0.02</v>
      </c>
      <c r="D58" s="43">
        <f t="shared" si="0"/>
        <v>0.32900000000000001</v>
      </c>
      <c r="E58" s="43">
        <f t="shared" si="1"/>
        <v>0.51300000000000001</v>
      </c>
      <c r="F58" s="39"/>
      <c r="G58" s="43">
        <v>0.309</v>
      </c>
      <c r="H58" s="33">
        <f>0.02</f>
        <v>0.02</v>
      </c>
      <c r="I58" s="43">
        <f t="shared" si="2"/>
        <v>0.32900000000000001</v>
      </c>
      <c r="J58" s="43">
        <f t="shared" si="3"/>
        <v>0.57300000000000006</v>
      </c>
      <c r="K58" s="43"/>
      <c r="L58" s="14" t="s">
        <v>72</v>
      </c>
    </row>
    <row r="59" spans="1:12" x14ac:dyDescent="0.2">
      <c r="A59" s="40" t="s">
        <v>21</v>
      </c>
      <c r="B59" s="46">
        <v>0.23</v>
      </c>
      <c r="C59" s="46">
        <f>0.01</f>
        <v>0.01</v>
      </c>
      <c r="D59" s="46">
        <f t="shared" si="0"/>
        <v>0.24000000000000002</v>
      </c>
      <c r="E59" s="47">
        <f t="shared" si="1"/>
        <v>0.42400000000000004</v>
      </c>
      <c r="F59" s="40"/>
      <c r="G59" s="46">
        <v>0.23</v>
      </c>
      <c r="H59" s="36">
        <f>0.01</f>
        <v>0.01</v>
      </c>
      <c r="I59" s="46">
        <f t="shared" si="2"/>
        <v>0.24000000000000002</v>
      </c>
      <c r="J59" s="47">
        <f t="shared" si="3"/>
        <v>0.48400000000000004</v>
      </c>
      <c r="K59" s="47"/>
      <c r="L59" s="40" t="s">
        <v>73</v>
      </c>
    </row>
    <row r="60" spans="1:12" x14ac:dyDescent="0.2">
      <c r="A60" s="37" t="s">
        <v>49</v>
      </c>
      <c r="B60" s="48">
        <v>0.35</v>
      </c>
      <c r="C60" s="48"/>
      <c r="D60" s="48">
        <f t="shared" si="0"/>
        <v>0.35</v>
      </c>
      <c r="E60" s="49"/>
      <c r="F60" s="37"/>
      <c r="G60" s="49">
        <v>0.315</v>
      </c>
      <c r="H60" s="49">
        <f>0.035</f>
        <v>3.5000000000000003E-2</v>
      </c>
      <c r="I60" s="48">
        <f t="shared" si="2"/>
        <v>0.35</v>
      </c>
      <c r="J60" s="50"/>
      <c r="K60" s="50"/>
      <c r="L60" s="39" t="s">
        <v>85</v>
      </c>
    </row>
    <row r="61" spans="1:12" x14ac:dyDescent="0.2">
      <c r="A61" s="39" t="s">
        <v>50</v>
      </c>
      <c r="B61" s="42">
        <v>0.11</v>
      </c>
      <c r="C61" s="42">
        <f>0.04</f>
        <v>0.04</v>
      </c>
      <c r="D61" s="42">
        <f t="shared" si="0"/>
        <v>0.15</v>
      </c>
      <c r="E61" s="43"/>
      <c r="F61" s="39"/>
      <c r="G61" s="45">
        <v>0.1</v>
      </c>
      <c r="H61" s="42">
        <f>0.04</f>
        <v>0.04</v>
      </c>
      <c r="I61" s="42">
        <f t="shared" si="2"/>
        <v>0.14000000000000001</v>
      </c>
      <c r="J61" s="44"/>
      <c r="K61" s="44"/>
      <c r="L61" s="14" t="s">
        <v>74</v>
      </c>
    </row>
    <row r="62" spans="1:12" ht="15" customHeight="1" x14ac:dyDescent="0.2">
      <c r="A62" s="39" t="s">
        <v>51</v>
      </c>
      <c r="B62" s="42">
        <v>0.15</v>
      </c>
      <c r="C62" s="42"/>
      <c r="D62" s="42">
        <f t="shared" si="0"/>
        <v>0.15</v>
      </c>
      <c r="E62" s="43"/>
      <c r="F62" s="39"/>
      <c r="G62" s="42">
        <v>0.15</v>
      </c>
      <c r="H62" s="42"/>
      <c r="I62" s="42">
        <f t="shared" si="2"/>
        <v>0.15</v>
      </c>
      <c r="J62" s="44"/>
      <c r="K62" s="44"/>
      <c r="L62" s="14" t="s">
        <v>85</v>
      </c>
    </row>
    <row r="63" spans="1:12" ht="14.25" customHeight="1" x14ac:dyDescent="0.2">
      <c r="A63" s="39" t="s">
        <v>52</v>
      </c>
      <c r="B63" s="42">
        <v>0.16</v>
      </c>
      <c r="C63" s="42"/>
      <c r="D63" s="42">
        <f t="shared" si="0"/>
        <v>0.16</v>
      </c>
      <c r="E63" s="43"/>
      <c r="F63" s="39"/>
      <c r="G63" s="42">
        <v>0.08</v>
      </c>
      <c r="H63" s="42"/>
      <c r="I63" s="42">
        <f t="shared" si="2"/>
        <v>0.08</v>
      </c>
      <c r="J63" s="44"/>
      <c r="K63" s="44"/>
      <c r="L63" s="14" t="s">
        <v>85</v>
      </c>
    </row>
    <row r="64" spans="1:12" ht="16" thickBot="1" x14ac:dyDescent="0.25">
      <c r="A64" s="39" t="s">
        <v>81</v>
      </c>
      <c r="B64" s="42">
        <v>0.14000000000000001</v>
      </c>
      <c r="C64" s="42"/>
      <c r="D64" s="42">
        <f t="shared" si="0"/>
        <v>0.14000000000000001</v>
      </c>
      <c r="E64" s="43"/>
      <c r="F64" s="39"/>
      <c r="G64" s="42">
        <v>0.14000000000000001</v>
      </c>
      <c r="H64" s="42"/>
      <c r="I64" s="42">
        <f t="shared" si="2"/>
        <v>0.14000000000000001</v>
      </c>
      <c r="J64" s="44"/>
      <c r="K64" s="44"/>
      <c r="L64" s="14" t="s">
        <v>85</v>
      </c>
    </row>
    <row r="65" spans="1:12" ht="63" customHeight="1" x14ac:dyDescent="0.2">
      <c r="A65" s="92" t="s">
        <v>293</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1" spans="1:12" x14ac:dyDescent="0.2">
      <c r="A71" s="18" t="s">
        <v>221</v>
      </c>
      <c r="B71"/>
      <c r="C71"/>
      <c r="D71"/>
      <c r="E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E71" r:id="rId1" display="mailto:maureen.klein@eia.gov" xr:uid="{00000000-0004-0000-0F00-000000000000}"/>
  </hyperlinks>
  <pageMargins left="0.17" right="0.17" top="0.4" bottom="0.38" header="0.3" footer="0.3"/>
  <pageSetup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82.6640625" customWidth="1"/>
  </cols>
  <sheetData>
    <row r="1" spans="1:12" ht="16" x14ac:dyDescent="0.2">
      <c r="A1" s="19" t="s">
        <v>80</v>
      </c>
    </row>
    <row r="2" spans="1:12" ht="31.5" customHeight="1" x14ac:dyDescent="0.2">
      <c r="A2" s="41"/>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27" customHeight="1" thickBot="1" x14ac:dyDescent="0.25">
      <c r="A7" s="5"/>
      <c r="B7" s="1" t="s">
        <v>37</v>
      </c>
      <c r="C7" s="1" t="s">
        <v>39</v>
      </c>
      <c r="D7" s="1" t="s">
        <v>246</v>
      </c>
      <c r="E7" s="1" t="s">
        <v>38</v>
      </c>
      <c r="F7" s="2"/>
      <c r="G7" s="1" t="s">
        <v>37</v>
      </c>
      <c r="H7" s="1" t="s">
        <v>39</v>
      </c>
      <c r="I7" s="1" t="s">
        <v>246</v>
      </c>
      <c r="J7" s="1" t="s">
        <v>38</v>
      </c>
      <c r="K7" s="1"/>
      <c r="L7" s="16" t="s">
        <v>76</v>
      </c>
    </row>
    <row r="8" spans="1:12" ht="16" thickTop="1" x14ac:dyDescent="0.2">
      <c r="A8" s="11" t="s">
        <v>34</v>
      </c>
      <c r="B8" s="32">
        <f>AVERAGE(B9:B59)</f>
        <v>0.21735294117647067</v>
      </c>
      <c r="C8" s="32">
        <f>AVERAGE(C9:C59)</f>
        <v>5.1557438636363619E-2</v>
      </c>
      <c r="D8" s="32">
        <f>$B8+$C8</f>
        <v>0.26891037981283428</v>
      </c>
      <c r="E8" s="32">
        <f>$D8+$E$4</f>
        <v>0.45291037981283427</v>
      </c>
      <c r="F8" s="32"/>
      <c r="G8" s="32">
        <f>AVERAGE(G9:G59)</f>
        <v>0.22603921568627452</v>
      </c>
      <c r="H8" s="32">
        <f>AVERAGE(H9:H59)</f>
        <v>5.0751756818181809E-2</v>
      </c>
      <c r="I8" s="32">
        <f>$G8+$H8</f>
        <v>0.27679097250445633</v>
      </c>
      <c r="J8" s="32">
        <f>$I8+$J$4</f>
        <v>0.52079097250445638</v>
      </c>
      <c r="K8" s="32"/>
      <c r="L8" s="11"/>
    </row>
    <row r="9" spans="1:12" ht="38.25" customHeight="1" x14ac:dyDescent="0.2">
      <c r="A9" s="39" t="s">
        <v>33</v>
      </c>
      <c r="B9" s="42">
        <v>0.16</v>
      </c>
      <c r="C9" s="42">
        <f>(0.02+0.01)</f>
        <v>0.03</v>
      </c>
      <c r="D9" s="42">
        <f>$B9+$C9</f>
        <v>0.19</v>
      </c>
      <c r="E9" s="43">
        <f>$D9+$E$4</f>
        <v>0.374</v>
      </c>
      <c r="F9" s="39"/>
      <c r="G9" s="42">
        <v>0.19</v>
      </c>
      <c r="H9" s="44">
        <f>0.0175</f>
        <v>1.7500000000000002E-2</v>
      </c>
      <c r="I9" s="44">
        <f>$G9+$H9</f>
        <v>0.20750000000000002</v>
      </c>
      <c r="J9" s="44">
        <f>$I9+$J$4</f>
        <v>0.45150000000000001</v>
      </c>
      <c r="K9" s="44"/>
      <c r="L9" s="14" t="s">
        <v>232</v>
      </c>
    </row>
    <row r="10" spans="1:12" x14ac:dyDescent="0.2">
      <c r="A10" s="39" t="s">
        <v>171</v>
      </c>
      <c r="B10" s="42">
        <v>0.08</v>
      </c>
      <c r="C10" s="42"/>
      <c r="D10" s="42">
        <f t="shared" ref="D10:D64" si="0">$B10+$C10</f>
        <v>0.08</v>
      </c>
      <c r="E10" s="43">
        <f t="shared" ref="E10:E59" si="1">$D10+$E$4</f>
        <v>0.26400000000000001</v>
      </c>
      <c r="F10" s="39"/>
      <c r="G10" s="42">
        <v>0.08</v>
      </c>
      <c r="H10" s="33"/>
      <c r="I10" s="33">
        <f t="shared" ref="I10:I64" si="2">$G10+$H10</f>
        <v>0.08</v>
      </c>
      <c r="J10" s="43">
        <f t="shared" ref="J10:J59" si="3">$I10+$J$4</f>
        <v>0.32400000000000001</v>
      </c>
      <c r="K10" s="43"/>
      <c r="L10" s="39"/>
    </row>
    <row r="11" spans="1:12" x14ac:dyDescent="0.2">
      <c r="A11" s="39" t="s">
        <v>0</v>
      </c>
      <c r="B11" s="42">
        <v>0.18</v>
      </c>
      <c r="C11" s="42">
        <f>0.01</f>
        <v>0.01</v>
      </c>
      <c r="D11" s="42">
        <f t="shared" si="0"/>
        <v>0.19</v>
      </c>
      <c r="E11" s="43">
        <f t="shared" si="1"/>
        <v>0.374</v>
      </c>
      <c r="F11" s="39"/>
      <c r="G11" s="42">
        <v>0.18</v>
      </c>
      <c r="H11" s="33">
        <f>0.01</f>
        <v>0.01</v>
      </c>
      <c r="I11" s="33">
        <f t="shared" si="2"/>
        <v>0.19</v>
      </c>
      <c r="J11" s="43">
        <f t="shared" si="3"/>
        <v>0.43400000000000005</v>
      </c>
      <c r="K11" s="43"/>
      <c r="L11" s="14" t="s">
        <v>54</v>
      </c>
    </row>
    <row r="12" spans="1:12" ht="26.25" customHeight="1" x14ac:dyDescent="0.2">
      <c r="A12" s="39" t="s">
        <v>247</v>
      </c>
      <c r="B12" s="43">
        <v>0.215</v>
      </c>
      <c r="C12" s="43">
        <f>0.003</f>
        <v>3.0000000000000001E-3</v>
      </c>
      <c r="D12" s="43">
        <f t="shared" si="0"/>
        <v>0.218</v>
      </c>
      <c r="E12" s="43">
        <f t="shared" si="1"/>
        <v>0.40200000000000002</v>
      </c>
      <c r="F12" s="39"/>
      <c r="G12" s="43">
        <v>0.22500000000000001</v>
      </c>
      <c r="H12" s="43">
        <f>0.003</f>
        <v>3.0000000000000001E-3</v>
      </c>
      <c r="I12" s="43">
        <f t="shared" si="2"/>
        <v>0.22800000000000001</v>
      </c>
      <c r="J12" s="43">
        <f t="shared" si="3"/>
        <v>0.47200000000000003</v>
      </c>
      <c r="K12" s="43"/>
      <c r="L12" s="14" t="s">
        <v>55</v>
      </c>
    </row>
    <row r="13" spans="1:12" ht="51.75" customHeight="1" x14ac:dyDescent="0.2">
      <c r="A13" s="39" t="s">
        <v>248</v>
      </c>
      <c r="B13" s="42">
        <v>0.36</v>
      </c>
      <c r="C13" s="44">
        <f>0.065+0.02+0.00155</f>
        <v>8.6550000000000002E-2</v>
      </c>
      <c r="D13" s="44">
        <f t="shared" si="0"/>
        <v>0.44655</v>
      </c>
      <c r="E13" s="44">
        <f t="shared" si="1"/>
        <v>0.63054999999999994</v>
      </c>
      <c r="F13" s="39"/>
      <c r="G13" s="42">
        <v>0.11</v>
      </c>
      <c r="H13" s="44">
        <f>0.27+0.02+0.0015</f>
        <v>0.29150000000000004</v>
      </c>
      <c r="I13" s="44">
        <f t="shared" si="2"/>
        <v>0.40150000000000002</v>
      </c>
      <c r="J13" s="44">
        <f t="shared" si="3"/>
        <v>0.64550000000000007</v>
      </c>
      <c r="K13" s="44"/>
      <c r="L13" s="15" t="s">
        <v>249</v>
      </c>
    </row>
    <row r="14" spans="1:12" x14ac:dyDescent="0.2">
      <c r="A14" s="39" t="s">
        <v>1</v>
      </c>
      <c r="B14" s="42">
        <v>0.22</v>
      </c>
      <c r="C14" s="44">
        <f>0.0125</f>
        <v>1.2500000000000001E-2</v>
      </c>
      <c r="D14" s="44">
        <f t="shared" si="0"/>
        <v>0.23250000000000001</v>
      </c>
      <c r="E14" s="44">
        <f t="shared" si="1"/>
        <v>0.41649999999999998</v>
      </c>
      <c r="F14" s="39"/>
      <c r="G14" s="43">
        <v>0.20499999999999999</v>
      </c>
      <c r="H14" s="44">
        <f>0.0125</f>
        <v>1.2500000000000001E-2</v>
      </c>
      <c r="I14" s="44">
        <f t="shared" si="2"/>
        <v>0.2175</v>
      </c>
      <c r="J14" s="44">
        <f t="shared" si="3"/>
        <v>0.46150000000000002</v>
      </c>
      <c r="K14" s="44"/>
      <c r="L14" s="14" t="s">
        <v>141</v>
      </c>
    </row>
    <row r="15" spans="1:12" ht="24.75" customHeight="1" x14ac:dyDescent="0.2">
      <c r="A15" s="39" t="s">
        <v>250</v>
      </c>
      <c r="B15" s="42">
        <v>0.25</v>
      </c>
      <c r="C15" s="42"/>
      <c r="D15" s="42">
        <f t="shared" si="0"/>
        <v>0.25</v>
      </c>
      <c r="E15" s="43">
        <f t="shared" si="1"/>
        <v>0.434</v>
      </c>
      <c r="F15" s="39"/>
      <c r="G15" s="43">
        <v>0.54500000000000004</v>
      </c>
      <c r="H15" s="44"/>
      <c r="I15" s="43">
        <f t="shared" si="2"/>
        <v>0.54500000000000004</v>
      </c>
      <c r="J15" s="43">
        <f t="shared" si="3"/>
        <v>0.78900000000000003</v>
      </c>
      <c r="K15" s="43"/>
      <c r="L15" s="14" t="s">
        <v>56</v>
      </c>
    </row>
    <row r="16" spans="1:12" ht="14.25" customHeight="1" x14ac:dyDescent="0.2">
      <c r="A16" s="39" t="s">
        <v>4</v>
      </c>
      <c r="B16" s="42">
        <v>0.23</v>
      </c>
      <c r="C16" s="42"/>
      <c r="D16" s="42">
        <f t="shared" si="0"/>
        <v>0.23</v>
      </c>
      <c r="E16" s="43">
        <f t="shared" si="1"/>
        <v>0.41400000000000003</v>
      </c>
      <c r="F16" s="39"/>
      <c r="G16" s="42">
        <v>0.22</v>
      </c>
      <c r="H16" s="44"/>
      <c r="I16" s="42">
        <f t="shared" si="2"/>
        <v>0.22</v>
      </c>
      <c r="J16" s="43">
        <f t="shared" si="3"/>
        <v>0.46400000000000002</v>
      </c>
      <c r="K16" s="43"/>
      <c r="L16" s="14" t="s">
        <v>57</v>
      </c>
    </row>
    <row r="17" spans="1:12" x14ac:dyDescent="0.2">
      <c r="A17" s="39" t="s">
        <v>2</v>
      </c>
      <c r="B17" s="43">
        <v>0.23499999999999999</v>
      </c>
      <c r="C17" s="43"/>
      <c r="D17" s="43">
        <f t="shared" si="0"/>
        <v>0.23499999999999999</v>
      </c>
      <c r="E17" s="43">
        <f t="shared" si="1"/>
        <v>0.41899999999999998</v>
      </c>
      <c r="F17" s="39"/>
      <c r="G17" s="43">
        <v>0.23499999999999999</v>
      </c>
      <c r="H17" s="43"/>
      <c r="I17" s="43">
        <f t="shared" si="2"/>
        <v>0.23499999999999999</v>
      </c>
      <c r="J17" s="43">
        <f t="shared" si="3"/>
        <v>0.47899999999999998</v>
      </c>
      <c r="K17" s="43"/>
      <c r="L17" s="39"/>
    </row>
    <row r="18" spans="1:12" ht="63" customHeight="1" x14ac:dyDescent="0.2">
      <c r="A18" s="39" t="s">
        <v>251</v>
      </c>
      <c r="B18" s="42">
        <v>0.04</v>
      </c>
      <c r="C18" s="44">
        <f>0.133+0.05+0.061+0.02193</f>
        <v>0.26593</v>
      </c>
      <c r="D18" s="44">
        <f t="shared" si="0"/>
        <v>0.30592999999999998</v>
      </c>
      <c r="E18" s="44">
        <f t="shared" si="1"/>
        <v>0.48992999999999998</v>
      </c>
      <c r="F18" s="39"/>
      <c r="G18" s="42">
        <v>0.04</v>
      </c>
      <c r="H18" s="44">
        <f>0.133+0.01+0.06+0.073+0.02068</f>
        <v>0.29668</v>
      </c>
      <c r="I18" s="44">
        <f t="shared" si="2"/>
        <v>0.33667999999999998</v>
      </c>
      <c r="J18" s="44">
        <f t="shared" si="3"/>
        <v>0.58067999999999997</v>
      </c>
      <c r="K18" s="44"/>
      <c r="L18" s="14" t="s">
        <v>207</v>
      </c>
    </row>
    <row r="19" spans="1:12" ht="86.25" customHeight="1" x14ac:dyDescent="0.2">
      <c r="A19" s="39" t="s">
        <v>252</v>
      </c>
      <c r="B19" s="43">
        <v>7.4999999999999997E-2</v>
      </c>
      <c r="C19" s="43">
        <f>0.118+0.005</f>
        <v>0.123</v>
      </c>
      <c r="D19" s="43">
        <f t="shared" si="0"/>
        <v>0.19800000000000001</v>
      </c>
      <c r="E19" s="43">
        <f t="shared" si="1"/>
        <v>0.38200000000000001</v>
      </c>
      <c r="F19" s="39"/>
      <c r="G19" s="43">
        <v>7.4999999999999997E-2</v>
      </c>
      <c r="H19" s="43">
        <f>0.143+0.005</f>
        <v>0.14799999999999999</v>
      </c>
      <c r="I19" s="43">
        <f t="shared" si="2"/>
        <v>0.22299999999999998</v>
      </c>
      <c r="J19" s="43">
        <f t="shared" si="3"/>
        <v>0.46699999999999997</v>
      </c>
      <c r="K19" s="43"/>
      <c r="L19" s="14" t="s">
        <v>253</v>
      </c>
    </row>
    <row r="20" spans="1:12" ht="27" x14ac:dyDescent="0.2">
      <c r="A20" s="39" t="s">
        <v>254</v>
      </c>
      <c r="B20" s="42">
        <v>0.17</v>
      </c>
      <c r="C20" s="43">
        <f>0.025</f>
        <v>2.5000000000000001E-2</v>
      </c>
      <c r="D20" s="43">
        <f t="shared" si="0"/>
        <v>0.19500000000000001</v>
      </c>
      <c r="E20" s="43">
        <f t="shared" si="1"/>
        <v>0.379</v>
      </c>
      <c r="F20" s="39"/>
      <c r="G20" s="42">
        <v>0.17</v>
      </c>
      <c r="H20" s="43">
        <f>0.025</f>
        <v>2.5000000000000001E-2</v>
      </c>
      <c r="I20" s="43">
        <f t="shared" si="2"/>
        <v>0.19500000000000001</v>
      </c>
      <c r="J20" s="43">
        <f t="shared" si="3"/>
        <v>0.43900000000000006</v>
      </c>
      <c r="K20" s="43"/>
      <c r="L20" s="14" t="s">
        <v>234</v>
      </c>
    </row>
    <row r="21" spans="1:12" x14ac:dyDescent="0.2">
      <c r="A21" s="39" t="s">
        <v>3</v>
      </c>
      <c r="B21" s="42">
        <v>0.25</v>
      </c>
      <c r="C21" s="42">
        <f>0.01</f>
        <v>0.01</v>
      </c>
      <c r="D21" s="42">
        <f t="shared" si="0"/>
        <v>0.26</v>
      </c>
      <c r="E21" s="43">
        <f t="shared" si="1"/>
        <v>0.44400000000000001</v>
      </c>
      <c r="F21" s="39"/>
      <c r="G21" s="42">
        <v>0.25</v>
      </c>
      <c r="H21" s="42">
        <f>0.01</f>
        <v>0.01</v>
      </c>
      <c r="I21" s="42">
        <f t="shared" si="2"/>
        <v>0.26</v>
      </c>
      <c r="J21" s="43">
        <f t="shared" si="3"/>
        <v>0.504</v>
      </c>
      <c r="K21" s="43"/>
      <c r="L21" s="14" t="s">
        <v>58</v>
      </c>
    </row>
    <row r="22" spans="1:12" ht="38.25" customHeight="1" x14ac:dyDescent="0.2">
      <c r="A22" s="39" t="s">
        <v>255</v>
      </c>
      <c r="B22" s="42">
        <v>0.19</v>
      </c>
      <c r="C22" s="43">
        <f>0.19+0.003+0.008</f>
        <v>0.20100000000000001</v>
      </c>
      <c r="D22" s="43">
        <f t="shared" si="0"/>
        <v>0.39100000000000001</v>
      </c>
      <c r="E22" s="43">
        <f t="shared" si="1"/>
        <v>0.57499999999999996</v>
      </c>
      <c r="F22" s="39"/>
      <c r="G22" s="43">
        <v>0.215</v>
      </c>
      <c r="H22" s="43">
        <f>0.19+0.003+0.008</f>
        <v>0.20100000000000001</v>
      </c>
      <c r="I22" s="43">
        <f t="shared" si="2"/>
        <v>0.41600000000000004</v>
      </c>
      <c r="J22" s="42">
        <f t="shared" si="3"/>
        <v>0.66</v>
      </c>
      <c r="K22" s="42"/>
      <c r="L22" s="14" t="s">
        <v>256</v>
      </c>
    </row>
    <row r="23" spans="1:12" ht="61.5" customHeight="1" x14ac:dyDescent="0.2">
      <c r="A23" s="39" t="s">
        <v>257</v>
      </c>
      <c r="B23" s="42">
        <v>0.18</v>
      </c>
      <c r="C23" s="43">
        <f>0.152+0.01</f>
        <v>0.16200000000000001</v>
      </c>
      <c r="D23" s="43">
        <f t="shared" si="0"/>
        <v>0.34199999999999997</v>
      </c>
      <c r="E23" s="43">
        <f t="shared" si="1"/>
        <v>0.52600000000000002</v>
      </c>
      <c r="F23" s="39"/>
      <c r="G23" s="42">
        <v>0.16</v>
      </c>
      <c r="H23" s="42">
        <f>0.01</f>
        <v>0.01</v>
      </c>
      <c r="I23" s="42">
        <f t="shared" si="2"/>
        <v>0.17</v>
      </c>
      <c r="J23" s="43">
        <f t="shared" si="3"/>
        <v>0.41400000000000003</v>
      </c>
      <c r="K23" s="43"/>
      <c r="L23" s="14" t="s">
        <v>258</v>
      </c>
    </row>
    <row r="24" spans="1:12" ht="27" x14ac:dyDescent="0.2">
      <c r="A24" s="39" t="s">
        <v>259</v>
      </c>
      <c r="B24" s="42">
        <v>0.21</v>
      </c>
      <c r="C24" s="42">
        <f>0.01</f>
        <v>0.01</v>
      </c>
      <c r="D24" s="42">
        <f t="shared" si="0"/>
        <v>0.22</v>
      </c>
      <c r="E24" s="43">
        <f t="shared" si="1"/>
        <v>0.40400000000000003</v>
      </c>
      <c r="F24" s="39"/>
      <c r="G24" s="43">
        <v>0.22500000000000001</v>
      </c>
      <c r="H24" s="42">
        <f>0.01</f>
        <v>0.01</v>
      </c>
      <c r="I24" s="33">
        <f t="shared" si="2"/>
        <v>0.23500000000000001</v>
      </c>
      <c r="J24" s="33">
        <f t="shared" si="3"/>
        <v>0.47900000000000004</v>
      </c>
      <c r="K24" s="42"/>
      <c r="L24" s="14" t="s">
        <v>260</v>
      </c>
    </row>
    <row r="25" spans="1:12" x14ac:dyDescent="0.2">
      <c r="A25" s="39" t="s">
        <v>5</v>
      </c>
      <c r="B25" s="42">
        <v>0.24</v>
      </c>
      <c r="C25" s="44">
        <f>0.01+0.0003</f>
        <v>1.03E-2</v>
      </c>
      <c r="D25" s="44">
        <f t="shared" si="0"/>
        <v>0.25029999999999997</v>
      </c>
      <c r="E25" s="44">
        <f t="shared" si="1"/>
        <v>0.43429999999999996</v>
      </c>
      <c r="F25" s="39"/>
      <c r="G25" s="42">
        <v>0.26</v>
      </c>
      <c r="H25" s="44">
        <f>0.01+0.0003</f>
        <v>1.03E-2</v>
      </c>
      <c r="I25" s="44">
        <f t="shared" si="2"/>
        <v>0.27029999999999998</v>
      </c>
      <c r="J25" s="44">
        <f t="shared" si="3"/>
        <v>0.51429999999999998</v>
      </c>
      <c r="K25" s="44"/>
      <c r="L25" s="14" t="s">
        <v>211</v>
      </c>
    </row>
    <row r="26" spans="1:12" ht="27" x14ac:dyDescent="0.2">
      <c r="A26" s="39" t="s">
        <v>6</v>
      </c>
      <c r="B26" s="43">
        <v>0.26200000000000001</v>
      </c>
      <c r="C26" s="43">
        <f>0.014</f>
        <v>1.4E-2</v>
      </c>
      <c r="D26" s="43">
        <f t="shared" si="0"/>
        <v>0.27600000000000002</v>
      </c>
      <c r="E26" s="42">
        <f t="shared" si="1"/>
        <v>0.46</v>
      </c>
      <c r="F26" s="39"/>
      <c r="G26" s="43">
        <v>0.23199999999999998</v>
      </c>
      <c r="H26" s="43">
        <f>0.014</f>
        <v>1.4E-2</v>
      </c>
      <c r="I26" s="43">
        <f t="shared" si="2"/>
        <v>0.246</v>
      </c>
      <c r="J26" s="43">
        <f t="shared" si="3"/>
        <v>0.49</v>
      </c>
      <c r="K26" s="43"/>
      <c r="L26" s="14" t="s">
        <v>237</v>
      </c>
    </row>
    <row r="27" spans="1:12" ht="27" x14ac:dyDescent="0.2">
      <c r="A27" s="39" t="s">
        <v>7</v>
      </c>
      <c r="B27" s="45">
        <v>0.2</v>
      </c>
      <c r="C27" s="44">
        <f>0.00125+0.008</f>
        <v>9.2499999999999995E-3</v>
      </c>
      <c r="D27" s="44">
        <f t="shared" si="0"/>
        <v>0.20925000000000002</v>
      </c>
      <c r="E27" s="44">
        <f t="shared" si="1"/>
        <v>0.39324999999999999</v>
      </c>
      <c r="F27" s="39"/>
      <c r="G27" s="45">
        <v>0.2</v>
      </c>
      <c r="H27" s="44">
        <f>0.00125+0.008</f>
        <v>9.2499999999999995E-3</v>
      </c>
      <c r="I27" s="44">
        <f t="shared" si="2"/>
        <v>0.20925000000000002</v>
      </c>
      <c r="J27" s="44">
        <f t="shared" si="3"/>
        <v>0.45325000000000004</v>
      </c>
      <c r="K27" s="44"/>
      <c r="L27" s="14" t="s">
        <v>59</v>
      </c>
    </row>
    <row r="28" spans="1:12" ht="73.5" customHeight="1" x14ac:dyDescent="0.2">
      <c r="A28" s="39" t="s">
        <v>8</v>
      </c>
      <c r="B28" s="45">
        <v>0.3</v>
      </c>
      <c r="C28" s="43">
        <f>0.0007+0.0133</f>
        <v>1.3999999999999999E-2</v>
      </c>
      <c r="D28" s="43">
        <f t="shared" si="0"/>
        <v>0.314</v>
      </c>
      <c r="E28" s="43">
        <f t="shared" si="1"/>
        <v>0.498</v>
      </c>
      <c r="F28" s="39"/>
      <c r="G28" s="43">
        <v>0.312</v>
      </c>
      <c r="H28" s="44">
        <f>0.0007+0.0059</f>
        <v>6.6E-3</v>
      </c>
      <c r="I28" s="44">
        <f t="shared" si="2"/>
        <v>0.31859999999999999</v>
      </c>
      <c r="J28" s="44">
        <f t="shared" si="3"/>
        <v>0.56259999999999999</v>
      </c>
      <c r="K28" s="44"/>
      <c r="L28" s="14" t="s">
        <v>238</v>
      </c>
    </row>
    <row r="29" spans="1:12" ht="26.25" customHeight="1" x14ac:dyDescent="0.2">
      <c r="A29" s="39" t="s">
        <v>9</v>
      </c>
      <c r="B29" s="43">
        <v>0.24299999999999999</v>
      </c>
      <c r="C29" s="44">
        <f>0.06+0.0018</f>
        <v>6.1800000000000001E-2</v>
      </c>
      <c r="D29" s="44">
        <f t="shared" si="0"/>
        <v>0.30480000000000002</v>
      </c>
      <c r="E29" s="44">
        <f t="shared" si="1"/>
        <v>0.48880000000000001</v>
      </c>
      <c r="F29" s="39"/>
      <c r="G29" s="44">
        <v>0.2505</v>
      </c>
      <c r="H29" s="44">
        <f>0.06+0.0018</f>
        <v>6.1800000000000001E-2</v>
      </c>
      <c r="I29" s="44">
        <f t="shared" si="2"/>
        <v>0.31230000000000002</v>
      </c>
      <c r="J29" s="44">
        <f t="shared" si="3"/>
        <v>0.55630000000000002</v>
      </c>
      <c r="K29" s="44"/>
      <c r="L29" s="14" t="s">
        <v>239</v>
      </c>
    </row>
    <row r="30" spans="1:12" ht="27" x14ac:dyDescent="0.2">
      <c r="A30" s="39" t="s">
        <v>36</v>
      </c>
      <c r="B30" s="42">
        <v>0.24</v>
      </c>
      <c r="C30" s="44">
        <f>0.001+0.025395</f>
        <v>2.6395000000000002E-2</v>
      </c>
      <c r="D30" s="44">
        <f t="shared" si="0"/>
        <v>0.26639499999999999</v>
      </c>
      <c r="E30" s="44">
        <f t="shared" si="1"/>
        <v>0.45039499999999999</v>
      </c>
      <c r="F30" s="39"/>
      <c r="G30" s="42">
        <v>0.24</v>
      </c>
      <c r="H30" s="44">
        <f>0.025395+0.001</f>
        <v>2.6395000000000002E-2</v>
      </c>
      <c r="I30" s="44">
        <f t="shared" si="2"/>
        <v>0.26639499999999999</v>
      </c>
      <c r="J30" s="44">
        <f t="shared" si="3"/>
        <v>0.51039500000000004</v>
      </c>
      <c r="K30" s="44"/>
      <c r="L30" s="14" t="s">
        <v>240</v>
      </c>
    </row>
    <row r="31" spans="1:12" ht="39" customHeight="1" x14ac:dyDescent="0.2">
      <c r="A31" s="39" t="s">
        <v>261</v>
      </c>
      <c r="B31" s="42">
        <v>0.19</v>
      </c>
      <c r="C31" s="44">
        <f>0.156+0.00875</f>
        <v>0.16475000000000001</v>
      </c>
      <c r="D31" s="44">
        <f t="shared" si="0"/>
        <v>0.35475000000000001</v>
      </c>
      <c r="E31" s="44">
        <f t="shared" si="1"/>
        <v>0.53875000000000006</v>
      </c>
      <c r="F31" s="39"/>
      <c r="G31" s="42">
        <v>0.15</v>
      </c>
      <c r="H31" s="44">
        <f>0.215+0.00875</f>
        <v>0.22375</v>
      </c>
      <c r="I31" s="44">
        <f t="shared" si="2"/>
        <v>0.37375000000000003</v>
      </c>
      <c r="J31" s="44">
        <f t="shared" si="3"/>
        <v>0.61775000000000002</v>
      </c>
      <c r="K31" s="44"/>
      <c r="L31" s="14" t="s">
        <v>262</v>
      </c>
    </row>
    <row r="32" spans="1:12" ht="26.25" customHeight="1" x14ac:dyDescent="0.2">
      <c r="A32" s="39" t="s">
        <v>10</v>
      </c>
      <c r="B32" s="43">
        <v>0.28499999999999998</v>
      </c>
      <c r="C32" s="43">
        <f>0.001</f>
        <v>1E-3</v>
      </c>
      <c r="D32" s="43">
        <f t="shared" si="0"/>
        <v>0.28599999999999998</v>
      </c>
      <c r="E32" s="42">
        <f t="shared" si="1"/>
        <v>0.47</v>
      </c>
      <c r="F32" s="39"/>
      <c r="G32" s="43">
        <v>0.28499999999999998</v>
      </c>
      <c r="H32" s="43">
        <f>0.001</f>
        <v>1E-3</v>
      </c>
      <c r="I32" s="43">
        <f t="shared" si="2"/>
        <v>0.28599999999999998</v>
      </c>
      <c r="J32" s="42">
        <f t="shared" si="3"/>
        <v>0.53</v>
      </c>
      <c r="K32" s="42"/>
      <c r="L32" s="14" t="s">
        <v>263</v>
      </c>
    </row>
    <row r="33" spans="1:12" ht="27" customHeight="1" x14ac:dyDescent="0.2">
      <c r="A33" s="39" t="s">
        <v>27</v>
      </c>
      <c r="B33" s="42">
        <v>0.18</v>
      </c>
      <c r="C33" s="43">
        <f>0.004</f>
        <v>4.0000000000000001E-3</v>
      </c>
      <c r="D33" s="43">
        <f t="shared" si="0"/>
        <v>0.184</v>
      </c>
      <c r="E33" s="33">
        <f t="shared" si="1"/>
        <v>0.36799999999999999</v>
      </c>
      <c r="F33" s="39"/>
      <c r="G33" s="42">
        <v>0.18</v>
      </c>
      <c r="H33" s="43">
        <f>0.004</f>
        <v>4.0000000000000001E-3</v>
      </c>
      <c r="I33" s="43">
        <f t="shared" si="2"/>
        <v>0.184</v>
      </c>
      <c r="J33" s="33">
        <f t="shared" si="3"/>
        <v>0.42800000000000005</v>
      </c>
      <c r="K33" s="42"/>
      <c r="L33" s="14" t="s">
        <v>60</v>
      </c>
    </row>
    <row r="34" spans="1:12" x14ac:dyDescent="0.2">
      <c r="A34" s="39" t="s">
        <v>28</v>
      </c>
      <c r="B34" s="42">
        <v>0.17</v>
      </c>
      <c r="C34" s="43">
        <f>0.0005+0.0025</f>
        <v>3.0000000000000001E-3</v>
      </c>
      <c r="D34" s="43">
        <f t="shared" si="0"/>
        <v>0.17300000000000001</v>
      </c>
      <c r="E34" s="43">
        <f t="shared" si="1"/>
        <v>0.35699999999999998</v>
      </c>
      <c r="F34" s="39"/>
      <c r="G34" s="42">
        <v>0.17</v>
      </c>
      <c r="H34" s="33">
        <f>0.0005+0.0025</f>
        <v>3.0000000000000001E-3</v>
      </c>
      <c r="I34" s="44">
        <f t="shared" si="2"/>
        <v>0.17300000000000001</v>
      </c>
      <c r="J34" s="43">
        <f t="shared" si="3"/>
        <v>0.41700000000000004</v>
      </c>
      <c r="K34" s="43"/>
      <c r="L34" s="14" t="s">
        <v>200</v>
      </c>
    </row>
    <row r="35" spans="1:12" x14ac:dyDescent="0.2">
      <c r="A35" s="39" t="s">
        <v>29</v>
      </c>
      <c r="B35" s="42">
        <v>0.27</v>
      </c>
      <c r="C35" s="44">
        <f>0.0075</f>
        <v>7.4999999999999997E-3</v>
      </c>
      <c r="D35" s="44">
        <f t="shared" si="0"/>
        <v>0.27750000000000002</v>
      </c>
      <c r="E35" s="44">
        <f t="shared" si="1"/>
        <v>0.46150000000000002</v>
      </c>
      <c r="F35" s="39"/>
      <c r="G35" s="44">
        <v>0.27750000000000002</v>
      </c>
      <c r="H35" s="44">
        <f>0.0075</f>
        <v>7.4999999999999997E-3</v>
      </c>
      <c r="I35" s="43">
        <f t="shared" si="2"/>
        <v>0.28500000000000003</v>
      </c>
      <c r="J35" s="43">
        <f t="shared" si="3"/>
        <v>0.52900000000000003</v>
      </c>
      <c r="K35" s="43"/>
      <c r="L35" s="14" t="s">
        <v>61</v>
      </c>
    </row>
    <row r="36" spans="1:12" ht="27" x14ac:dyDescent="0.2">
      <c r="A36" s="39" t="s">
        <v>15</v>
      </c>
      <c r="B36" s="43">
        <v>0.25600000000000001</v>
      </c>
      <c r="C36" s="43">
        <f>0.009</f>
        <v>8.9999999999999993E-3</v>
      </c>
      <c r="D36" s="43">
        <f t="shared" si="0"/>
        <v>0.26500000000000001</v>
      </c>
      <c r="E36" s="43">
        <f t="shared" si="1"/>
        <v>0.44900000000000001</v>
      </c>
      <c r="F36" s="39"/>
      <c r="G36" s="43">
        <v>0.25600000000000001</v>
      </c>
      <c r="H36" s="43">
        <f>0.003</f>
        <v>3.0000000000000001E-3</v>
      </c>
      <c r="I36" s="43">
        <f t="shared" si="2"/>
        <v>0.25900000000000001</v>
      </c>
      <c r="J36" s="43">
        <f t="shared" si="3"/>
        <v>0.503</v>
      </c>
      <c r="K36" s="43"/>
      <c r="L36" s="14" t="s">
        <v>62</v>
      </c>
    </row>
    <row r="37" spans="1:12" ht="38.25" customHeight="1" x14ac:dyDescent="0.2">
      <c r="A37" s="39" t="s">
        <v>30</v>
      </c>
      <c r="B37" s="42">
        <v>0.23</v>
      </c>
      <c r="C37" s="44">
        <f>0.00055+0.0075</f>
        <v>8.0499999999999999E-3</v>
      </c>
      <c r="D37" s="44">
        <f t="shared" si="0"/>
        <v>0.23805000000000001</v>
      </c>
      <c r="E37" s="44">
        <f t="shared" si="1"/>
        <v>0.42205000000000004</v>
      </c>
      <c r="F37" s="39"/>
      <c r="G37" s="42">
        <v>0.27</v>
      </c>
      <c r="H37" s="44">
        <f>0.0075</f>
        <v>7.4999999999999997E-3</v>
      </c>
      <c r="I37" s="44">
        <f t="shared" si="2"/>
        <v>0.27750000000000002</v>
      </c>
      <c r="J37" s="44">
        <f t="shared" si="3"/>
        <v>0.52150000000000007</v>
      </c>
      <c r="K37" s="44"/>
      <c r="L37" s="14" t="s">
        <v>264</v>
      </c>
    </row>
    <row r="38" spans="1:12" ht="27.75" customHeight="1" x14ac:dyDescent="0.2">
      <c r="A38" s="39" t="s">
        <v>16</v>
      </c>
      <c r="B38" s="43">
        <v>0.222</v>
      </c>
      <c r="C38" s="44">
        <f>0.015+0.00125</f>
        <v>1.6250000000000001E-2</v>
      </c>
      <c r="D38" s="44">
        <f t="shared" si="0"/>
        <v>0.23825000000000002</v>
      </c>
      <c r="E38" s="44">
        <f t="shared" si="1"/>
        <v>0.42225000000000001</v>
      </c>
      <c r="F38" s="39"/>
      <c r="G38" s="43">
        <v>0.222</v>
      </c>
      <c r="H38" s="44">
        <f>0.015+0.00125</f>
        <v>1.6250000000000001E-2</v>
      </c>
      <c r="I38" s="44">
        <f t="shared" si="2"/>
        <v>0.23825000000000002</v>
      </c>
      <c r="J38" s="44">
        <f t="shared" si="3"/>
        <v>0.48225000000000007</v>
      </c>
      <c r="K38" s="44"/>
      <c r="L38" s="14" t="s">
        <v>79</v>
      </c>
    </row>
    <row r="39" spans="1:12" ht="27" customHeight="1" x14ac:dyDescent="0.2">
      <c r="A39" s="39" t="s">
        <v>265</v>
      </c>
      <c r="B39" s="43">
        <v>0.105</v>
      </c>
      <c r="C39" s="44">
        <f>0.04+0.0005</f>
        <v>4.0500000000000001E-2</v>
      </c>
      <c r="D39" s="44">
        <f t="shared" si="0"/>
        <v>0.14549999999999999</v>
      </c>
      <c r="E39" s="44">
        <f t="shared" si="1"/>
        <v>0.32950000000000002</v>
      </c>
      <c r="F39" s="39"/>
      <c r="G39" s="43">
        <v>0.13500000000000001</v>
      </c>
      <c r="H39" s="44">
        <f>0.04+0.0005</f>
        <v>4.0500000000000001E-2</v>
      </c>
      <c r="I39" s="44">
        <f t="shared" si="2"/>
        <v>0.17550000000000002</v>
      </c>
      <c r="J39" s="44">
        <f t="shared" si="3"/>
        <v>0.41950000000000004</v>
      </c>
      <c r="K39" s="44"/>
      <c r="L39" s="14" t="s">
        <v>266</v>
      </c>
    </row>
    <row r="40" spans="1:12" ht="27" x14ac:dyDescent="0.2">
      <c r="A40" s="39" t="s">
        <v>22</v>
      </c>
      <c r="B40" s="42">
        <v>0.17</v>
      </c>
      <c r="C40" s="44">
        <f>0.01875</f>
        <v>1.8749999999999999E-2</v>
      </c>
      <c r="D40" s="44">
        <f t="shared" si="0"/>
        <v>0.18875</v>
      </c>
      <c r="E40" s="44">
        <f t="shared" si="1"/>
        <v>0.37275000000000003</v>
      </c>
      <c r="F40" s="39"/>
      <c r="G40" s="42">
        <v>0.21</v>
      </c>
      <c r="H40" s="44">
        <f>0.01875</f>
        <v>1.8749999999999999E-2</v>
      </c>
      <c r="I40" s="44">
        <f t="shared" si="2"/>
        <v>0.22874999999999998</v>
      </c>
      <c r="J40" s="44">
        <f t="shared" si="3"/>
        <v>0.47275</v>
      </c>
      <c r="K40" s="44"/>
      <c r="L40" s="14" t="s">
        <v>63</v>
      </c>
    </row>
    <row r="41" spans="1:12" ht="86.25" customHeight="1" x14ac:dyDescent="0.2">
      <c r="A41" s="39" t="s">
        <v>267</v>
      </c>
      <c r="B41" s="42">
        <v>0.08</v>
      </c>
      <c r="C41" s="44">
        <f>0.178+0.0005+0.08+0.0029</f>
        <v>0.26140000000000002</v>
      </c>
      <c r="D41" s="44">
        <f t="shared" si="0"/>
        <v>0.34140000000000004</v>
      </c>
      <c r="E41" s="44">
        <f t="shared" si="1"/>
        <v>0.52540000000000009</v>
      </c>
      <c r="F41" s="39"/>
      <c r="G41" s="42">
        <v>0.08</v>
      </c>
      <c r="H41" s="44">
        <f>0.1605+0.08+0.0029</f>
        <v>0.24340000000000001</v>
      </c>
      <c r="I41" s="44">
        <f t="shared" si="2"/>
        <v>0.32340000000000002</v>
      </c>
      <c r="J41" s="44">
        <f t="shared" si="3"/>
        <v>0.56740000000000002</v>
      </c>
      <c r="K41" s="44"/>
      <c r="L41" s="14" t="s">
        <v>268</v>
      </c>
    </row>
    <row r="42" spans="1:12" ht="36.75" customHeight="1" x14ac:dyDescent="0.2">
      <c r="A42" s="39" t="s">
        <v>17</v>
      </c>
      <c r="B42" s="43">
        <v>0.17499999999999999</v>
      </c>
      <c r="C42" s="44">
        <f>0.2+0.0025</f>
        <v>0.20250000000000001</v>
      </c>
      <c r="D42" s="44">
        <f t="shared" si="0"/>
        <v>0.3775</v>
      </c>
      <c r="E42" s="44">
        <f t="shared" si="1"/>
        <v>0.5615</v>
      </c>
      <c r="F42" s="39"/>
      <c r="G42" s="43">
        <v>0.17499999999999999</v>
      </c>
      <c r="H42" s="44">
        <f>0.2+0.0025</f>
        <v>0.20250000000000001</v>
      </c>
      <c r="I42" s="44">
        <f t="shared" si="2"/>
        <v>0.3775</v>
      </c>
      <c r="J42" s="44">
        <f t="shared" si="3"/>
        <v>0.62150000000000005</v>
      </c>
      <c r="K42" s="44"/>
      <c r="L42" s="14" t="s">
        <v>269</v>
      </c>
    </row>
    <row r="43" spans="1:12" ht="15" customHeight="1" x14ac:dyDescent="0.2">
      <c r="A43" s="39" t="s">
        <v>11</v>
      </c>
      <c r="B43" s="42">
        <v>0.23</v>
      </c>
      <c r="C43" s="44">
        <f>0.00025</f>
        <v>2.5000000000000001E-4</v>
      </c>
      <c r="D43" s="44">
        <f t="shared" si="0"/>
        <v>0.23025000000000001</v>
      </c>
      <c r="E43" s="44">
        <f t="shared" si="1"/>
        <v>0.41425000000000001</v>
      </c>
      <c r="F43" s="39"/>
      <c r="G43" s="42">
        <v>0.23</v>
      </c>
      <c r="H43" s="44">
        <f>0.00025</f>
        <v>2.5000000000000001E-4</v>
      </c>
      <c r="I43" s="44">
        <f t="shared" si="2"/>
        <v>0.23025000000000001</v>
      </c>
      <c r="J43" s="44">
        <f t="shared" si="3"/>
        <v>0.47425000000000006</v>
      </c>
      <c r="K43" s="44"/>
      <c r="L43" s="14" t="s">
        <v>64</v>
      </c>
    </row>
    <row r="44" spans="1:12" x14ac:dyDescent="0.2">
      <c r="A44" s="39" t="s">
        <v>23</v>
      </c>
      <c r="B44" s="42">
        <v>0.28000000000000003</v>
      </c>
      <c r="C44" s="42"/>
      <c r="D44" s="42">
        <f t="shared" si="0"/>
        <v>0.28000000000000003</v>
      </c>
      <c r="E44" s="43">
        <f t="shared" si="1"/>
        <v>0.46400000000000002</v>
      </c>
      <c r="F44" s="39"/>
      <c r="G44" s="42">
        <v>0.28000000000000003</v>
      </c>
      <c r="H44" s="42"/>
      <c r="I44" s="42">
        <f t="shared" si="2"/>
        <v>0.28000000000000003</v>
      </c>
      <c r="J44" s="43">
        <f t="shared" si="3"/>
        <v>0.52400000000000002</v>
      </c>
      <c r="K44" s="43"/>
      <c r="L44" s="39"/>
    </row>
    <row r="45" spans="1:12" ht="27" x14ac:dyDescent="0.2">
      <c r="A45" s="39" t="s">
        <v>18</v>
      </c>
      <c r="B45" s="42">
        <v>0.16</v>
      </c>
      <c r="C45" s="42">
        <f>0.01</f>
        <v>0.01</v>
      </c>
      <c r="D45" s="42">
        <f t="shared" si="0"/>
        <v>0.17</v>
      </c>
      <c r="E45" s="43">
        <f t="shared" si="1"/>
        <v>0.35399999999999998</v>
      </c>
      <c r="F45" s="39"/>
      <c r="G45" s="42">
        <v>0.13</v>
      </c>
      <c r="H45" s="33">
        <f>0.01</f>
        <v>0.01</v>
      </c>
      <c r="I45" s="45">
        <f t="shared" si="2"/>
        <v>0.14000000000000001</v>
      </c>
      <c r="J45" s="43">
        <f t="shared" si="3"/>
        <v>0.38400000000000001</v>
      </c>
      <c r="K45" s="43"/>
      <c r="L45" s="14" t="s">
        <v>65</v>
      </c>
    </row>
    <row r="46" spans="1:12" x14ac:dyDescent="0.2">
      <c r="A46" s="39" t="s">
        <v>31</v>
      </c>
      <c r="B46" s="45">
        <v>0.3</v>
      </c>
      <c r="C46" s="42"/>
      <c r="D46" s="45">
        <f t="shared" si="0"/>
        <v>0.3</v>
      </c>
      <c r="E46" s="43">
        <f t="shared" si="1"/>
        <v>0.48399999999999999</v>
      </c>
      <c r="F46" s="39"/>
      <c r="G46" s="45">
        <v>0.3</v>
      </c>
      <c r="H46" s="42"/>
      <c r="I46" s="45">
        <f t="shared" si="2"/>
        <v>0.3</v>
      </c>
      <c r="J46" s="43">
        <f t="shared" si="3"/>
        <v>0.54400000000000004</v>
      </c>
      <c r="K46" s="43"/>
      <c r="L46" s="14" t="s">
        <v>66</v>
      </c>
    </row>
    <row r="47" spans="1:12" ht="37.5" customHeight="1" x14ac:dyDescent="0.2">
      <c r="A47" s="39" t="s">
        <v>12</v>
      </c>
      <c r="B47" s="43">
        <v>0.505</v>
      </c>
      <c r="C47" s="43">
        <f>0.011</f>
        <v>1.0999999999999999E-2</v>
      </c>
      <c r="D47" s="43">
        <f t="shared" si="0"/>
        <v>0.51600000000000001</v>
      </c>
      <c r="E47" s="45">
        <f t="shared" si="1"/>
        <v>0.7</v>
      </c>
      <c r="F47" s="39"/>
      <c r="G47" s="43">
        <v>0.64200000000000002</v>
      </c>
      <c r="H47" s="43">
        <f>0.011</f>
        <v>1.0999999999999999E-2</v>
      </c>
      <c r="I47" s="43">
        <f t="shared" si="2"/>
        <v>0.65300000000000002</v>
      </c>
      <c r="J47" s="43">
        <f t="shared" si="3"/>
        <v>0.89700000000000002</v>
      </c>
      <c r="K47" s="43"/>
      <c r="L47" s="14" t="s">
        <v>270</v>
      </c>
    </row>
    <row r="48" spans="1:12" ht="26.25" customHeight="1" x14ac:dyDescent="0.2">
      <c r="A48" s="39" t="s">
        <v>14</v>
      </c>
      <c r="B48" s="42">
        <v>0.32</v>
      </c>
      <c r="C48" s="44">
        <f>0.01+0.0012</f>
        <v>1.12E-2</v>
      </c>
      <c r="D48" s="44">
        <f t="shared" si="0"/>
        <v>0.33119999999999999</v>
      </c>
      <c r="E48" s="44">
        <f t="shared" si="1"/>
        <v>0.51519999999999999</v>
      </c>
      <c r="F48" s="39"/>
      <c r="G48" s="42">
        <v>0.32</v>
      </c>
      <c r="H48" s="44">
        <f>0.01+0.0012</f>
        <v>1.12E-2</v>
      </c>
      <c r="I48" s="44">
        <f t="shared" si="2"/>
        <v>0.33119999999999999</v>
      </c>
      <c r="J48" s="44">
        <f t="shared" si="3"/>
        <v>0.57520000000000004</v>
      </c>
      <c r="K48" s="44"/>
      <c r="L48" s="14" t="s">
        <v>271</v>
      </c>
    </row>
    <row r="49" spans="1:12" x14ac:dyDescent="0.2">
      <c r="A49" s="39" t="s">
        <v>119</v>
      </c>
      <c r="B49" s="42">
        <v>0.16</v>
      </c>
      <c r="C49" s="44">
        <f>0.0025+0.005</f>
        <v>7.4999999999999997E-3</v>
      </c>
      <c r="D49" s="44">
        <f t="shared" si="0"/>
        <v>0.16750000000000001</v>
      </c>
      <c r="E49" s="44">
        <f t="shared" si="1"/>
        <v>0.35150000000000003</v>
      </c>
      <c r="F49" s="39"/>
      <c r="G49" s="42">
        <v>0.16</v>
      </c>
      <c r="H49" s="44">
        <f>0.0025+0.005</f>
        <v>7.4999999999999997E-3</v>
      </c>
      <c r="I49" s="44">
        <f t="shared" si="2"/>
        <v>0.16750000000000001</v>
      </c>
      <c r="J49" s="44">
        <f t="shared" si="3"/>
        <v>0.41150000000000003</v>
      </c>
      <c r="K49" s="44"/>
      <c r="L49" s="14" t="s">
        <v>67</v>
      </c>
    </row>
    <row r="50" spans="1:12" x14ac:dyDescent="0.2">
      <c r="A50" s="39" t="s">
        <v>13</v>
      </c>
      <c r="B50" s="42">
        <v>0.22</v>
      </c>
      <c r="C50" s="42">
        <f>0.02</f>
        <v>0.02</v>
      </c>
      <c r="D50" s="42">
        <f t="shared" si="0"/>
        <v>0.24</v>
      </c>
      <c r="E50" s="43">
        <f t="shared" si="1"/>
        <v>0.42399999999999999</v>
      </c>
      <c r="F50" s="39"/>
      <c r="G50" s="42">
        <v>0.22</v>
      </c>
      <c r="H50" s="42">
        <f>0.02</f>
        <v>0.02</v>
      </c>
      <c r="I50" s="42">
        <f t="shared" si="2"/>
        <v>0.24</v>
      </c>
      <c r="J50" s="43">
        <f t="shared" si="3"/>
        <v>0.48399999999999999</v>
      </c>
      <c r="K50" s="43"/>
      <c r="L50" s="14" t="s">
        <v>68</v>
      </c>
    </row>
    <row r="51" spans="1:12" x14ac:dyDescent="0.2">
      <c r="A51" s="39" t="s">
        <v>19</v>
      </c>
      <c r="B51" s="45">
        <v>0.2</v>
      </c>
      <c r="C51" s="43">
        <f>0.01+0.004</f>
        <v>1.4E-2</v>
      </c>
      <c r="D51" s="43">
        <f t="shared" si="0"/>
        <v>0.21400000000000002</v>
      </c>
      <c r="E51" s="43">
        <f t="shared" si="1"/>
        <v>0.39800000000000002</v>
      </c>
      <c r="F51" s="39"/>
      <c r="G51" s="42">
        <v>0.17</v>
      </c>
      <c r="H51" s="43">
        <f>0.01+0.004</f>
        <v>1.4E-2</v>
      </c>
      <c r="I51" s="43">
        <f t="shared" si="2"/>
        <v>0.18400000000000002</v>
      </c>
      <c r="J51" s="43">
        <f t="shared" si="3"/>
        <v>0.42800000000000005</v>
      </c>
      <c r="K51" s="43"/>
      <c r="L51" s="14" t="s">
        <v>69</v>
      </c>
    </row>
    <row r="52" spans="1:12" x14ac:dyDescent="0.2">
      <c r="A52" s="39" t="s">
        <v>24</v>
      </c>
      <c r="B52" s="45">
        <v>0.2</v>
      </c>
      <c r="C52" s="43"/>
      <c r="D52" s="45">
        <f t="shared" si="0"/>
        <v>0.2</v>
      </c>
      <c r="E52" s="43">
        <f t="shared" si="1"/>
        <v>0.38400000000000001</v>
      </c>
      <c r="F52" s="39"/>
      <c r="G52" s="45">
        <v>0.2</v>
      </c>
      <c r="H52" s="43"/>
      <c r="I52" s="45">
        <f t="shared" si="2"/>
        <v>0.2</v>
      </c>
      <c r="J52" s="43">
        <f t="shared" si="3"/>
        <v>0.44400000000000006</v>
      </c>
      <c r="K52" s="43"/>
      <c r="L52" s="14" t="s">
        <v>70</v>
      </c>
    </row>
    <row r="53" spans="1:12" x14ac:dyDescent="0.2">
      <c r="A53" s="39" t="s">
        <v>25</v>
      </c>
      <c r="B53" s="43">
        <v>0.245</v>
      </c>
      <c r="C53" s="44">
        <f>0.0065</f>
        <v>6.4999999999999997E-3</v>
      </c>
      <c r="D53" s="44">
        <f t="shared" si="0"/>
        <v>0.2515</v>
      </c>
      <c r="E53" s="44">
        <f t="shared" si="1"/>
        <v>0.4355</v>
      </c>
      <c r="F53" s="39"/>
      <c r="G53" s="43">
        <v>0.245</v>
      </c>
      <c r="H53" s="44">
        <f>0.0065</f>
        <v>6.4999999999999997E-3</v>
      </c>
      <c r="I53" s="44">
        <f t="shared" si="2"/>
        <v>0.2515</v>
      </c>
      <c r="J53" s="44">
        <f t="shared" si="3"/>
        <v>0.49550000000000005</v>
      </c>
      <c r="K53" s="44"/>
      <c r="L53" s="14" t="s">
        <v>71</v>
      </c>
    </row>
    <row r="54" spans="1:12" ht="27" x14ac:dyDescent="0.2">
      <c r="A54" s="39" t="s">
        <v>75</v>
      </c>
      <c r="B54" s="43">
        <v>0.121</v>
      </c>
      <c r="C54" s="44">
        <f>0.01+0.0547+0.134</f>
        <v>0.19869999999999999</v>
      </c>
      <c r="D54" s="44">
        <f t="shared" si="0"/>
        <v>0.31969999999999998</v>
      </c>
      <c r="E54" s="44">
        <f t="shared" si="1"/>
        <v>0.50370000000000004</v>
      </c>
      <c r="F54" s="39"/>
      <c r="G54" s="42">
        <v>0.28000000000000003</v>
      </c>
      <c r="H54" s="42">
        <f>0.01+0.03</f>
        <v>0.04</v>
      </c>
      <c r="I54" s="42">
        <f t="shared" si="2"/>
        <v>0.32</v>
      </c>
      <c r="J54" s="43">
        <f t="shared" si="3"/>
        <v>0.56400000000000006</v>
      </c>
      <c r="K54" s="43"/>
      <c r="L54" s="14" t="s">
        <v>272</v>
      </c>
    </row>
    <row r="55" spans="1:12" x14ac:dyDescent="0.2">
      <c r="A55" s="39" t="s">
        <v>273</v>
      </c>
      <c r="B55" s="43">
        <v>0.16200000000000001</v>
      </c>
      <c r="C55" s="43">
        <f>0.006</f>
        <v>6.0000000000000001E-3</v>
      </c>
      <c r="D55" s="43">
        <f t="shared" si="0"/>
        <v>0.16800000000000001</v>
      </c>
      <c r="E55" s="43">
        <f t="shared" si="1"/>
        <v>0.35199999999999998</v>
      </c>
      <c r="F55" s="39"/>
      <c r="G55" s="43">
        <v>0.20199999999999999</v>
      </c>
      <c r="H55" s="43">
        <f>0.006</f>
        <v>6.0000000000000001E-3</v>
      </c>
      <c r="I55" s="43">
        <f t="shared" si="2"/>
        <v>0.20799999999999999</v>
      </c>
      <c r="J55" s="43">
        <f t="shared" si="3"/>
        <v>0.45200000000000001</v>
      </c>
      <c r="K55" s="43"/>
      <c r="L55" s="14" t="s">
        <v>274</v>
      </c>
    </row>
    <row r="56" spans="1:12" ht="25.5" customHeight="1" x14ac:dyDescent="0.2">
      <c r="A56" s="39" t="s">
        <v>32</v>
      </c>
      <c r="B56" s="43">
        <v>0.375</v>
      </c>
      <c r="C56" s="43">
        <f>0.0009523</f>
        <v>9.523E-4</v>
      </c>
      <c r="D56" s="43">
        <f t="shared" si="0"/>
        <v>0.37595230000000002</v>
      </c>
      <c r="E56" s="42">
        <f t="shared" si="1"/>
        <v>0.55995229999999996</v>
      </c>
      <c r="F56" s="39"/>
      <c r="G56" s="43">
        <v>0.375</v>
      </c>
      <c r="H56" s="43">
        <f>0.0009523</f>
        <v>9.523E-4</v>
      </c>
      <c r="I56" s="43">
        <f t="shared" si="2"/>
        <v>0.37595230000000002</v>
      </c>
      <c r="J56" s="42">
        <f t="shared" si="3"/>
        <v>0.61995230000000001</v>
      </c>
      <c r="K56" s="42"/>
      <c r="L56" s="14" t="s">
        <v>244</v>
      </c>
    </row>
    <row r="57" spans="1:12" x14ac:dyDescent="0.2">
      <c r="A57" s="39" t="s">
        <v>26</v>
      </c>
      <c r="B57" s="43">
        <v>0.20499999999999999</v>
      </c>
      <c r="C57" s="43">
        <f>0.141</f>
        <v>0.14099999999999999</v>
      </c>
      <c r="D57" s="43">
        <f t="shared" si="0"/>
        <v>0.34599999999999997</v>
      </c>
      <c r="E57" s="42">
        <f t="shared" si="1"/>
        <v>0.53</v>
      </c>
      <c r="F57" s="39"/>
      <c r="G57" s="43">
        <v>0.20499999999999999</v>
      </c>
      <c r="H57" s="33">
        <f>0.141</f>
        <v>0.14099999999999999</v>
      </c>
      <c r="I57" s="43">
        <f t="shared" si="2"/>
        <v>0.34599999999999997</v>
      </c>
      <c r="J57" s="42">
        <f t="shared" si="3"/>
        <v>0.59</v>
      </c>
      <c r="K57" s="42"/>
      <c r="L57" s="14" t="s">
        <v>245</v>
      </c>
    </row>
    <row r="58" spans="1:12" x14ac:dyDescent="0.2">
      <c r="A58" s="39" t="s">
        <v>20</v>
      </c>
      <c r="B58" s="43">
        <v>0.309</v>
      </c>
      <c r="C58" s="42">
        <f>0.02</f>
        <v>0.02</v>
      </c>
      <c r="D58" s="43">
        <f t="shared" si="0"/>
        <v>0.32900000000000001</v>
      </c>
      <c r="E58" s="43">
        <f t="shared" si="1"/>
        <v>0.51300000000000001</v>
      </c>
      <c r="F58" s="39"/>
      <c r="G58" s="43">
        <v>0.309</v>
      </c>
      <c r="H58" s="33">
        <f>0.02</f>
        <v>0.02</v>
      </c>
      <c r="I58" s="43">
        <f t="shared" si="2"/>
        <v>0.32900000000000001</v>
      </c>
      <c r="J58" s="43">
        <f t="shared" si="3"/>
        <v>0.57300000000000006</v>
      </c>
      <c r="K58" s="43"/>
      <c r="L58" s="14" t="s">
        <v>72</v>
      </c>
    </row>
    <row r="59" spans="1:12" x14ac:dyDescent="0.2">
      <c r="A59" s="40" t="s">
        <v>21</v>
      </c>
      <c r="B59" s="46">
        <v>0.23</v>
      </c>
      <c r="C59" s="46">
        <f>0.01</f>
        <v>0.01</v>
      </c>
      <c r="D59" s="46">
        <f t="shared" si="0"/>
        <v>0.24000000000000002</v>
      </c>
      <c r="E59" s="47">
        <f t="shared" si="1"/>
        <v>0.42400000000000004</v>
      </c>
      <c r="F59" s="40"/>
      <c r="G59" s="46">
        <v>0.23</v>
      </c>
      <c r="H59" s="36">
        <f>0.01</f>
        <v>0.01</v>
      </c>
      <c r="I59" s="46">
        <f t="shared" si="2"/>
        <v>0.24000000000000002</v>
      </c>
      <c r="J59" s="47">
        <f t="shared" si="3"/>
        <v>0.48400000000000004</v>
      </c>
      <c r="K59" s="47"/>
      <c r="L59" s="40" t="s">
        <v>73</v>
      </c>
    </row>
    <row r="60" spans="1:12" x14ac:dyDescent="0.2">
      <c r="A60" s="37" t="s">
        <v>49</v>
      </c>
      <c r="B60" s="48">
        <v>0.35</v>
      </c>
      <c r="C60" s="48"/>
      <c r="D60" s="48">
        <f t="shared" si="0"/>
        <v>0.35</v>
      </c>
      <c r="E60" s="49"/>
      <c r="F60" s="37"/>
      <c r="G60" s="49">
        <v>0.315</v>
      </c>
      <c r="H60" s="49">
        <f>0.035</f>
        <v>3.5000000000000003E-2</v>
      </c>
      <c r="I60" s="48">
        <f t="shared" si="2"/>
        <v>0.35</v>
      </c>
      <c r="J60" s="50"/>
      <c r="K60" s="50"/>
      <c r="L60" s="39" t="s">
        <v>275</v>
      </c>
    </row>
    <row r="61" spans="1:12" x14ac:dyDescent="0.2">
      <c r="A61" s="39" t="s">
        <v>50</v>
      </c>
      <c r="B61" s="42">
        <v>0.11</v>
      </c>
      <c r="C61" s="42">
        <f>0.04</f>
        <v>0.04</v>
      </c>
      <c r="D61" s="42">
        <f t="shared" si="0"/>
        <v>0.15</v>
      </c>
      <c r="E61" s="43"/>
      <c r="F61" s="39"/>
      <c r="G61" s="45">
        <v>0.1</v>
      </c>
      <c r="H61" s="42">
        <f>0.04</f>
        <v>0.04</v>
      </c>
      <c r="I61" s="42">
        <f t="shared" si="2"/>
        <v>0.14000000000000001</v>
      </c>
      <c r="J61" s="44"/>
      <c r="K61" s="44"/>
      <c r="L61" s="14" t="s">
        <v>74</v>
      </c>
    </row>
    <row r="62" spans="1:12" ht="15" customHeight="1" x14ac:dyDescent="0.2">
      <c r="A62" s="39" t="s">
        <v>51</v>
      </c>
      <c r="B62" s="42">
        <v>0.15</v>
      </c>
      <c r="C62" s="42"/>
      <c r="D62" s="42">
        <f t="shared" si="0"/>
        <v>0.15</v>
      </c>
      <c r="E62" s="43"/>
      <c r="F62" s="39"/>
      <c r="G62" s="42">
        <v>0.15</v>
      </c>
      <c r="H62" s="42"/>
      <c r="I62" s="42">
        <f t="shared" si="2"/>
        <v>0.15</v>
      </c>
      <c r="J62" s="44"/>
      <c r="K62" s="44"/>
      <c r="L62" s="14" t="s">
        <v>276</v>
      </c>
    </row>
    <row r="63" spans="1:12" ht="14.25" customHeight="1" x14ac:dyDescent="0.2">
      <c r="A63" s="39" t="s">
        <v>52</v>
      </c>
      <c r="B63" s="42">
        <v>0.16</v>
      </c>
      <c r="C63" s="42"/>
      <c r="D63" s="42">
        <f t="shared" si="0"/>
        <v>0.16</v>
      </c>
      <c r="E63" s="43"/>
      <c r="F63" s="39"/>
      <c r="G63" s="42">
        <v>0.08</v>
      </c>
      <c r="H63" s="42"/>
      <c r="I63" s="42">
        <f t="shared" si="2"/>
        <v>0.08</v>
      </c>
      <c r="J63" s="44"/>
      <c r="K63" s="44"/>
      <c r="L63" s="14" t="s">
        <v>276</v>
      </c>
    </row>
    <row r="64" spans="1:12" ht="16" thickBot="1" x14ac:dyDescent="0.25">
      <c r="A64" s="39" t="s">
        <v>81</v>
      </c>
      <c r="B64" s="42">
        <v>0.14000000000000001</v>
      </c>
      <c r="C64" s="42"/>
      <c r="D64" s="42">
        <f t="shared" si="0"/>
        <v>0.14000000000000001</v>
      </c>
      <c r="E64" s="43"/>
      <c r="F64" s="39"/>
      <c r="G64" s="42">
        <v>0.14000000000000001</v>
      </c>
      <c r="H64" s="42"/>
      <c r="I64" s="42">
        <f t="shared" si="2"/>
        <v>0.14000000000000001</v>
      </c>
      <c r="J64" s="44"/>
      <c r="K64" s="44"/>
      <c r="L64" s="14" t="s">
        <v>277</v>
      </c>
    </row>
    <row r="65" spans="1:12" ht="63" customHeight="1" x14ac:dyDescent="0.2">
      <c r="A65" s="92" t="s">
        <v>294</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278</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1" spans="1:12" x14ac:dyDescent="0.2">
      <c r="A71" s="18" t="s">
        <v>221</v>
      </c>
      <c r="B71"/>
      <c r="C71"/>
      <c r="D71"/>
      <c r="E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E71" r:id="rId1" display="mailto:maureen.klein@eia.gov" xr:uid="{00000000-0004-0000-1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C5718-EFD4-4E03-AE66-0F105062FEE3}">
  <dimension ref="A1:L71"/>
  <sheetViews>
    <sheetView showGridLines="0" zoomScale="90" zoomScaleNormal="90" workbookViewId="0">
      <pane ySplit="8" topLeftCell="A9" activePane="bottomLeft" state="frozen"/>
      <selection pane="bottomLeft" activeCell="A3" sqref="A3"/>
    </sheetView>
  </sheetViews>
  <sheetFormatPr baseColWidth="10" defaultColWidth="8.832031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8.6640625" style="4"/>
    <col min="10" max="10" width="8.6640625" style="4" customWidth="1"/>
    <col min="11" max="11" width="2.83203125" style="4" customWidth="1"/>
    <col min="12" max="12" width="70.5" customWidth="1"/>
  </cols>
  <sheetData>
    <row r="1" spans="1:12" ht="16" x14ac:dyDescent="0.2">
      <c r="A1" s="56" t="s">
        <v>80</v>
      </c>
    </row>
    <row r="2" spans="1:12" ht="31.5" customHeight="1" x14ac:dyDescent="0.2">
      <c r="A2" s="57" t="s">
        <v>462</v>
      </c>
      <c r="B2" s="90" t="s">
        <v>42</v>
      </c>
      <c r="C2" s="91"/>
      <c r="D2" s="91"/>
      <c r="E2" s="91"/>
      <c r="G2" s="90" t="s">
        <v>48</v>
      </c>
      <c r="H2" s="91"/>
      <c r="I2" s="91"/>
      <c r="J2" s="91"/>
      <c r="K2" s="12"/>
    </row>
    <row r="3" spans="1:12" ht="15.75" customHeight="1" thickBot="1" x14ac:dyDescent="0.25">
      <c r="A3" s="61"/>
      <c r="B3" s="62" t="s">
        <v>43</v>
      </c>
      <c r="C3" s="96" t="s">
        <v>44</v>
      </c>
      <c r="D3" s="97"/>
      <c r="E3" s="63" t="s">
        <v>45</v>
      </c>
      <c r="F3" s="64"/>
      <c r="G3" s="62" t="s">
        <v>46</v>
      </c>
      <c r="H3" s="96" t="s">
        <v>44</v>
      </c>
      <c r="I3" s="97"/>
      <c r="J3" s="63" t="s">
        <v>47</v>
      </c>
      <c r="K3" s="63"/>
      <c r="L3" s="65" t="s">
        <v>76</v>
      </c>
    </row>
    <row r="4" spans="1:12" ht="16" thickTop="1" x14ac:dyDescent="0.2">
      <c r="A4" s="66" t="s">
        <v>78</v>
      </c>
      <c r="B4" s="67">
        <v>0.183</v>
      </c>
      <c r="C4" s="98">
        <f>0.001</f>
        <v>1E-3</v>
      </c>
      <c r="D4" s="98"/>
      <c r="E4" s="67">
        <f>B4+C4</f>
        <v>0.184</v>
      </c>
      <c r="F4" s="68"/>
      <c r="G4" s="67">
        <v>0.24299999999999999</v>
      </c>
      <c r="H4" s="98">
        <f>0.001</f>
        <v>1E-3</v>
      </c>
      <c r="I4" s="98"/>
      <c r="J4" s="67">
        <v>0.24400000000000002</v>
      </c>
      <c r="K4" s="67"/>
      <c r="L4" s="14" t="s">
        <v>53</v>
      </c>
    </row>
    <row r="5" spans="1:12" ht="27" customHeight="1" x14ac:dyDescent="0.2">
      <c r="A5" s="29"/>
      <c r="B5" s="29"/>
      <c r="C5" s="29"/>
      <c r="D5" s="29"/>
      <c r="E5" s="29"/>
      <c r="F5" s="29"/>
      <c r="G5" s="29"/>
      <c r="H5" s="69"/>
      <c r="I5" s="69"/>
      <c r="J5" s="8"/>
      <c r="K5" s="8"/>
      <c r="L5" s="29"/>
    </row>
    <row r="6" spans="1:12" ht="17.25" customHeight="1" x14ac:dyDescent="0.2">
      <c r="A6" s="70"/>
      <c r="B6" s="99" t="s">
        <v>42</v>
      </c>
      <c r="C6" s="100"/>
      <c r="D6" s="100"/>
      <c r="E6" s="100"/>
      <c r="F6" s="29"/>
      <c r="G6" s="99" t="s">
        <v>48</v>
      </c>
      <c r="H6" s="100"/>
      <c r="I6" s="100"/>
      <c r="J6" s="100"/>
      <c r="K6" s="71"/>
      <c r="L6" s="29"/>
    </row>
    <row r="7" spans="1:12" ht="45.75" customHeight="1" thickBot="1" x14ac:dyDescent="0.25">
      <c r="A7" s="72"/>
      <c r="B7" s="73" t="s">
        <v>37</v>
      </c>
      <c r="C7" s="73" t="s">
        <v>39</v>
      </c>
      <c r="D7" s="73" t="s">
        <v>89</v>
      </c>
      <c r="E7" s="73" t="s">
        <v>38</v>
      </c>
      <c r="F7" s="74"/>
      <c r="G7" s="73" t="s">
        <v>37</v>
      </c>
      <c r="H7" s="73" t="s">
        <v>39</v>
      </c>
      <c r="I7" s="73" t="s">
        <v>89</v>
      </c>
      <c r="J7" s="73" t="s">
        <v>38</v>
      </c>
      <c r="K7" s="73"/>
      <c r="L7" s="75" t="s">
        <v>76</v>
      </c>
    </row>
    <row r="8" spans="1:12" ht="16" thickTop="1" x14ac:dyDescent="0.2">
      <c r="A8" s="76" t="s">
        <v>34</v>
      </c>
      <c r="B8" s="77">
        <f>AVERAGE(B9:B59)</f>
        <v>0.27096078431372544</v>
      </c>
      <c r="C8" s="77">
        <f>AVERAGE(C9:C59)</f>
        <v>6.0264353333333312E-2</v>
      </c>
      <c r="D8" s="77">
        <f>AVERAGE(D9:D59)</f>
        <v>0.32256658627450979</v>
      </c>
      <c r="E8" s="77">
        <f>AVERAGE(E9:E59)</f>
        <v>0.50656658627450979</v>
      </c>
      <c r="F8" s="78"/>
      <c r="G8" s="77">
        <f>AVERAGE(G9:G59)</f>
        <v>0.28699999999999992</v>
      </c>
      <c r="H8" s="77">
        <f>AVERAGE(H9:H59)</f>
        <v>6.4134406666666643E-2</v>
      </c>
      <c r="I8" s="77">
        <f>AVERAGE(I9:I59)</f>
        <v>0.34202055490196076</v>
      </c>
      <c r="J8" s="79">
        <f>AVERAGE(J9:J59)</f>
        <v>0.58602055490196081</v>
      </c>
      <c r="K8" s="77"/>
      <c r="L8" s="76"/>
    </row>
    <row r="9" spans="1:12" ht="40" x14ac:dyDescent="0.2">
      <c r="A9" s="14" t="s">
        <v>33</v>
      </c>
      <c r="B9" s="26">
        <v>0.28000000000000003</v>
      </c>
      <c r="C9" s="26">
        <v>1.2E-2</v>
      </c>
      <c r="D9" s="26">
        <f t="shared" ref="D9:D40" si="0">$B9+$C9</f>
        <v>0.29200000000000004</v>
      </c>
      <c r="E9" s="26">
        <f t="shared" ref="E9:E59" si="1">$D9+$E$4</f>
        <v>0.47600000000000003</v>
      </c>
      <c r="F9" s="26"/>
      <c r="G9" s="26">
        <v>0.28999999999999998</v>
      </c>
      <c r="H9" s="26">
        <f>0.0075+0.012</f>
        <v>1.95E-2</v>
      </c>
      <c r="I9" s="26">
        <f t="shared" ref="I9:I40" si="2">$G9+$H9</f>
        <v>0.3095</v>
      </c>
      <c r="J9" s="26">
        <f t="shared" ref="J9:J59" si="3">$I9+$J$4</f>
        <v>0.55349999999999999</v>
      </c>
      <c r="K9" s="26"/>
      <c r="L9" s="14" t="s">
        <v>373</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0.246</v>
      </c>
      <c r="C12" s="26">
        <f>0.003</f>
        <v>3.0000000000000001E-3</v>
      </c>
      <c r="D12" s="26">
        <f t="shared" si="0"/>
        <v>0.249</v>
      </c>
      <c r="E12" s="26">
        <f t="shared" si="1"/>
        <v>0.433</v>
      </c>
      <c r="F12" s="26"/>
      <c r="G12" s="26">
        <v>0.28399999999999997</v>
      </c>
      <c r="H12" s="26">
        <f>0.003</f>
        <v>3.0000000000000001E-3</v>
      </c>
      <c r="I12" s="26">
        <f t="shared" si="2"/>
        <v>0.28699999999999998</v>
      </c>
      <c r="J12" s="26">
        <f t="shared" si="3"/>
        <v>0.53100000000000003</v>
      </c>
      <c r="K12" s="26"/>
      <c r="L12" s="14" t="s">
        <v>55</v>
      </c>
    </row>
    <row r="13" spans="1:12" ht="52" customHeight="1" x14ac:dyDescent="0.2">
      <c r="A13" s="35" t="s">
        <v>117</v>
      </c>
      <c r="B13" s="34">
        <v>0.57899999999999996</v>
      </c>
      <c r="C13" s="34">
        <f>0.08+0.02+0.0022</f>
        <v>0.1022</v>
      </c>
      <c r="D13" s="26">
        <f t="shared" si="0"/>
        <v>0.68119999999999992</v>
      </c>
      <c r="E13" s="26">
        <f t="shared" si="1"/>
        <v>0.86519999999999997</v>
      </c>
      <c r="F13" s="26"/>
      <c r="G13" s="34">
        <v>0.441</v>
      </c>
      <c r="H13" s="34">
        <f>0.345+0.02+0.0022</f>
        <v>0.36719999999999997</v>
      </c>
      <c r="I13" s="26">
        <f t="shared" si="2"/>
        <v>0.80820000000000003</v>
      </c>
      <c r="J13" s="26">
        <f t="shared" si="3"/>
        <v>1.0522</v>
      </c>
      <c r="K13" s="26"/>
      <c r="L13" s="80" t="s">
        <v>440</v>
      </c>
    </row>
    <row r="14" spans="1:12" ht="51" customHeight="1" x14ac:dyDescent="0.2">
      <c r="A14" s="35" t="s">
        <v>1</v>
      </c>
      <c r="B14" s="26">
        <v>0.22</v>
      </c>
      <c r="C14" s="34">
        <f>0.03+0.00625+0.003125</f>
        <v>3.9375E-2</v>
      </c>
      <c r="D14" s="26">
        <f t="shared" si="0"/>
        <v>0.25937500000000002</v>
      </c>
      <c r="E14" s="26">
        <f t="shared" si="1"/>
        <v>0.44337500000000002</v>
      </c>
      <c r="F14" s="26"/>
      <c r="G14" s="26">
        <v>0.20499999999999999</v>
      </c>
      <c r="H14" s="34">
        <f>0.03+0.03+0.00625+0.003125</f>
        <v>6.9375000000000006E-2</v>
      </c>
      <c r="I14" s="26">
        <f t="shared" si="2"/>
        <v>0.27437499999999998</v>
      </c>
      <c r="J14" s="26">
        <f t="shared" si="3"/>
        <v>0.51837500000000003</v>
      </c>
      <c r="K14" s="26"/>
      <c r="L14" s="14" t="s">
        <v>441</v>
      </c>
    </row>
    <row r="15" spans="1:12" ht="66" x14ac:dyDescent="0.2">
      <c r="A15" s="35" t="s">
        <v>91</v>
      </c>
      <c r="B15" s="26">
        <v>0.25</v>
      </c>
      <c r="C15" s="26"/>
      <c r="D15" s="26">
        <f t="shared" si="0"/>
        <v>0.25</v>
      </c>
      <c r="E15" s="26">
        <f t="shared" si="1"/>
        <v>0.434</v>
      </c>
      <c r="F15" s="26"/>
      <c r="G15" s="26">
        <v>0.28999999999999998</v>
      </c>
      <c r="H15" s="34">
        <v>0.20200000000000001</v>
      </c>
      <c r="I15" s="26">
        <f t="shared" si="2"/>
        <v>0.49199999999999999</v>
      </c>
      <c r="J15" s="26">
        <f t="shared" si="3"/>
        <v>0.73599999999999999</v>
      </c>
      <c r="K15" s="26"/>
      <c r="L15" s="14" t="s">
        <v>442</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v>0.107</v>
      </c>
      <c r="D17" s="26">
        <f t="shared" si="0"/>
        <v>0.34199999999999997</v>
      </c>
      <c r="E17" s="26">
        <f t="shared" si="1"/>
        <v>0.52600000000000002</v>
      </c>
      <c r="F17" s="26"/>
      <c r="G17" s="26">
        <v>0.23499999999999999</v>
      </c>
      <c r="H17" s="26">
        <v>0.107</v>
      </c>
      <c r="I17" s="26">
        <f t="shared" si="2"/>
        <v>0.34199999999999997</v>
      </c>
      <c r="J17" s="26">
        <f t="shared" si="3"/>
        <v>0.58599999999999997</v>
      </c>
      <c r="K17" s="26"/>
      <c r="L17" s="14" t="s">
        <v>443</v>
      </c>
    </row>
    <row r="18" spans="1:12" ht="87" customHeight="1" x14ac:dyDescent="0.2">
      <c r="A18" s="14" t="s">
        <v>87</v>
      </c>
      <c r="B18" s="26">
        <v>0.04</v>
      </c>
      <c r="C18" s="26">
        <f>0.162+0.00125+0.06+0.089+0.00048+0.00119+0.01904</f>
        <v>0.33296000000000003</v>
      </c>
      <c r="D18" s="26">
        <f t="shared" si="0"/>
        <v>0.37296000000000001</v>
      </c>
      <c r="E18" s="26">
        <f t="shared" si="1"/>
        <v>0.55696000000000001</v>
      </c>
      <c r="F18" s="26"/>
      <c r="G18" s="26">
        <v>0.04</v>
      </c>
      <c r="H18" s="26">
        <f>0.162+0.01+0.06+0.089+0.00048+0.00119+0.01904</f>
        <v>0.34171000000000001</v>
      </c>
      <c r="I18" s="26">
        <f t="shared" si="2"/>
        <v>0.38170999999999999</v>
      </c>
      <c r="J18" s="26">
        <f t="shared" si="3"/>
        <v>0.62570999999999999</v>
      </c>
      <c r="K18" s="26"/>
      <c r="L18" s="14" t="s">
        <v>444</v>
      </c>
    </row>
    <row r="19" spans="1:12" ht="53" x14ac:dyDescent="0.2">
      <c r="A19" s="14" t="s">
        <v>88</v>
      </c>
      <c r="B19" s="26">
        <v>0.312</v>
      </c>
      <c r="C19" s="26">
        <f>0.0075</f>
        <v>7.4999999999999997E-3</v>
      </c>
      <c r="D19" s="26">
        <f t="shared" si="0"/>
        <v>0.31950000000000001</v>
      </c>
      <c r="E19" s="26">
        <f t="shared" si="1"/>
        <v>0.50350000000000006</v>
      </c>
      <c r="F19" s="26"/>
      <c r="G19" s="26">
        <v>0.35</v>
      </c>
      <c r="H19" s="26">
        <f>0.0075</f>
        <v>7.4999999999999997E-3</v>
      </c>
      <c r="I19" s="26">
        <f t="shared" si="2"/>
        <v>0.35749999999999998</v>
      </c>
      <c r="J19" s="26">
        <f t="shared" si="3"/>
        <v>0.60150000000000003</v>
      </c>
      <c r="K19" s="26"/>
      <c r="L19" s="14" t="s">
        <v>445</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361</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34">
        <v>0.45400000000000001</v>
      </c>
      <c r="C22" s="34">
        <f>0.2+0.003+0.008</f>
        <v>0.21100000000000002</v>
      </c>
      <c r="D22" s="26">
        <f t="shared" si="0"/>
        <v>0.66500000000000004</v>
      </c>
      <c r="E22" s="26">
        <f t="shared" si="1"/>
        <v>0.84899999999999998</v>
      </c>
      <c r="F22" s="26"/>
      <c r="G22" s="34">
        <v>0.52900000000000003</v>
      </c>
      <c r="H22" s="34">
        <f>0.2+0.003+0.008</f>
        <v>0.21100000000000002</v>
      </c>
      <c r="I22" s="26">
        <f t="shared" si="2"/>
        <v>0.74</v>
      </c>
      <c r="J22" s="26">
        <f t="shared" si="3"/>
        <v>0.98399999999999999</v>
      </c>
      <c r="K22" s="26"/>
      <c r="L22" s="14" t="s">
        <v>446</v>
      </c>
    </row>
    <row r="23" spans="1:12" ht="66" x14ac:dyDescent="0.2">
      <c r="A23" s="35" t="s">
        <v>93</v>
      </c>
      <c r="B23" s="34">
        <v>0.34</v>
      </c>
      <c r="C23" s="34">
        <f>0.205+0.01</f>
        <v>0.215</v>
      </c>
      <c r="D23" s="26">
        <f t="shared" si="0"/>
        <v>0.55500000000000005</v>
      </c>
      <c r="E23" s="26">
        <f t="shared" si="1"/>
        <v>0.7390000000000001</v>
      </c>
      <c r="F23" s="26"/>
      <c r="G23" s="34">
        <v>0.56999999999999995</v>
      </c>
      <c r="H23" s="26">
        <f>0.01</f>
        <v>0.01</v>
      </c>
      <c r="I23" s="26">
        <f t="shared" si="2"/>
        <v>0.57999999999999996</v>
      </c>
      <c r="J23" s="26">
        <f t="shared" si="3"/>
        <v>0.82399999999999995</v>
      </c>
      <c r="K23" s="26"/>
      <c r="L23" s="14" t="s">
        <v>447</v>
      </c>
    </row>
    <row r="24" spans="1:12" ht="40"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335</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32" customHeight="1" x14ac:dyDescent="0.2">
      <c r="A26" s="35" t="s">
        <v>6</v>
      </c>
      <c r="B26" s="34">
        <v>0.28699999999999998</v>
      </c>
      <c r="C26" s="26">
        <f>0.014</f>
        <v>1.4E-2</v>
      </c>
      <c r="D26" s="26">
        <f t="shared" si="0"/>
        <v>0.30099999999999999</v>
      </c>
      <c r="E26" s="26">
        <f t="shared" si="1"/>
        <v>0.48499999999999999</v>
      </c>
      <c r="F26" s="26"/>
      <c r="G26" s="34">
        <v>0.25700000000000001</v>
      </c>
      <c r="H26" s="26">
        <f>0.014</f>
        <v>1.4E-2</v>
      </c>
      <c r="I26" s="26">
        <f t="shared" si="2"/>
        <v>0.27100000000000002</v>
      </c>
      <c r="J26" s="26">
        <f t="shared" si="3"/>
        <v>0.51500000000000001</v>
      </c>
      <c r="K26" s="26"/>
      <c r="L26" s="20" t="s">
        <v>448</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89" customHeight="1"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38.5" customHeight="1" x14ac:dyDescent="0.2">
      <c r="A29" s="35" t="s">
        <v>9</v>
      </c>
      <c r="B29" s="34">
        <v>0.31</v>
      </c>
      <c r="C29" s="34">
        <f>0.16+0.0019</f>
        <v>0.16190000000000002</v>
      </c>
      <c r="D29" s="26">
        <f t="shared" si="0"/>
        <v>0.47189999999999999</v>
      </c>
      <c r="E29" s="26">
        <f t="shared" si="1"/>
        <v>0.65589999999999993</v>
      </c>
      <c r="F29" s="26"/>
      <c r="G29" s="34">
        <v>0.3175</v>
      </c>
      <c r="H29" s="34">
        <f>0.16+0.0019</f>
        <v>0.16190000000000002</v>
      </c>
      <c r="I29" s="26">
        <f t="shared" si="2"/>
        <v>0.47940000000000005</v>
      </c>
      <c r="J29" s="26">
        <f t="shared" si="3"/>
        <v>0.72340000000000004</v>
      </c>
      <c r="K29" s="26"/>
      <c r="L29" s="14" t="s">
        <v>449</v>
      </c>
    </row>
    <row r="30" spans="1:12" ht="40" x14ac:dyDescent="0.2">
      <c r="A30" s="14" t="s">
        <v>36</v>
      </c>
      <c r="B30" s="26">
        <v>0.24</v>
      </c>
      <c r="C30" s="26">
        <f>0.030799+0.0012</f>
        <v>3.1999E-2</v>
      </c>
      <c r="D30" s="26">
        <f t="shared" si="0"/>
        <v>0.27199899999999999</v>
      </c>
      <c r="E30" s="26">
        <f t="shared" si="1"/>
        <v>0.45599899999999999</v>
      </c>
      <c r="F30" s="26"/>
      <c r="G30" s="26">
        <v>0.24</v>
      </c>
      <c r="H30" s="26">
        <f>0.030799+0.0012</f>
        <v>3.1999E-2</v>
      </c>
      <c r="I30" s="26">
        <f t="shared" si="2"/>
        <v>0.27199899999999999</v>
      </c>
      <c r="J30" s="26">
        <f t="shared" si="3"/>
        <v>0.51599899999999999</v>
      </c>
      <c r="K30" s="26"/>
      <c r="L30" s="14" t="s">
        <v>450</v>
      </c>
    </row>
    <row r="31" spans="1:12" ht="40" x14ac:dyDescent="0.2">
      <c r="A31" s="35" t="s">
        <v>95</v>
      </c>
      <c r="B31" s="26">
        <v>0.28599999999999998</v>
      </c>
      <c r="C31" s="34">
        <f>0.181+0.01</f>
        <v>0.191</v>
      </c>
      <c r="D31" s="26">
        <f t="shared" si="0"/>
        <v>0.47699999999999998</v>
      </c>
      <c r="E31" s="26">
        <f t="shared" si="1"/>
        <v>0.66100000000000003</v>
      </c>
      <c r="F31" s="26"/>
      <c r="G31" s="26">
        <v>0.28599999999999998</v>
      </c>
      <c r="H31" s="34">
        <f>0.213+0.01</f>
        <v>0.223</v>
      </c>
      <c r="I31" s="26">
        <f t="shared" si="2"/>
        <v>0.50900000000000001</v>
      </c>
      <c r="J31" s="26">
        <f t="shared" si="3"/>
        <v>0.753</v>
      </c>
      <c r="K31" s="26"/>
      <c r="L31" s="14" t="s">
        <v>451</v>
      </c>
    </row>
    <row r="32" spans="1:12" ht="27" x14ac:dyDescent="0.2">
      <c r="A32" s="35" t="s">
        <v>10</v>
      </c>
      <c r="B32" s="26">
        <v>0.28499999999999998</v>
      </c>
      <c r="C32" s="34">
        <f>0.02+0.001</f>
        <v>2.1000000000000001E-2</v>
      </c>
      <c r="D32" s="26">
        <f t="shared" si="0"/>
        <v>0.30599999999999999</v>
      </c>
      <c r="E32" s="26">
        <f t="shared" si="1"/>
        <v>0.49</v>
      </c>
      <c r="F32" s="26"/>
      <c r="G32" s="26">
        <v>0.28499999999999998</v>
      </c>
      <c r="H32" s="34">
        <f>0.02+0.001</f>
        <v>2.1000000000000001E-2</v>
      </c>
      <c r="I32" s="26">
        <f t="shared" si="2"/>
        <v>0.30599999999999999</v>
      </c>
      <c r="J32" s="26">
        <f t="shared" si="3"/>
        <v>0.55000000000000004</v>
      </c>
      <c r="K32" s="26"/>
      <c r="L32" s="14" t="s">
        <v>452</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35" t="s">
        <v>28</v>
      </c>
      <c r="B34" s="34">
        <v>0.245</v>
      </c>
      <c r="C34" s="26">
        <f>0.0007+0.004</f>
        <v>4.7000000000000002E-3</v>
      </c>
      <c r="D34" s="26">
        <f t="shared" si="0"/>
        <v>0.24970000000000001</v>
      </c>
      <c r="E34" s="26">
        <f t="shared" si="1"/>
        <v>0.43369999999999997</v>
      </c>
      <c r="F34" s="26"/>
      <c r="G34" s="34">
        <v>0.245</v>
      </c>
      <c r="H34" s="26">
        <f>0.0007+0.004</f>
        <v>4.7000000000000002E-3</v>
      </c>
      <c r="I34" s="26">
        <f t="shared" si="2"/>
        <v>0.24970000000000001</v>
      </c>
      <c r="J34" s="26">
        <f t="shared" si="3"/>
        <v>0.49370000000000003</v>
      </c>
      <c r="K34" s="26"/>
      <c r="L34" s="14" t="s">
        <v>453</v>
      </c>
    </row>
    <row r="35" spans="1:12" ht="27" x14ac:dyDescent="0.2">
      <c r="A35" s="14" t="s">
        <v>29</v>
      </c>
      <c r="B35" s="26">
        <v>0.33</v>
      </c>
      <c r="C35" s="26">
        <f>0.0075</f>
        <v>7.4999999999999997E-3</v>
      </c>
      <c r="D35" s="26">
        <f t="shared" si="0"/>
        <v>0.33750000000000002</v>
      </c>
      <c r="E35" s="26">
        <f t="shared" si="1"/>
        <v>0.52150000000000007</v>
      </c>
      <c r="F35" s="26"/>
      <c r="G35" s="26">
        <v>0.29749999999999999</v>
      </c>
      <c r="H35" s="26">
        <f>0.0075</f>
        <v>7.4999999999999997E-3</v>
      </c>
      <c r="I35" s="26">
        <f t="shared" si="2"/>
        <v>0.30499999999999999</v>
      </c>
      <c r="J35" s="26">
        <f t="shared" si="3"/>
        <v>0.54900000000000004</v>
      </c>
      <c r="K35" s="26"/>
      <c r="L35" s="14" t="s">
        <v>61</v>
      </c>
    </row>
    <row r="36" spans="1:12" ht="27" x14ac:dyDescent="0.2">
      <c r="A36" s="14" t="s">
        <v>15</v>
      </c>
      <c r="B36" s="26">
        <v>0.28999999999999998</v>
      </c>
      <c r="C36" s="26">
        <f>0.009</f>
        <v>8.9999999999999993E-3</v>
      </c>
      <c r="D36" s="26">
        <f t="shared" si="0"/>
        <v>0.29899999999999999</v>
      </c>
      <c r="E36" s="26">
        <f t="shared" si="1"/>
        <v>0.48299999999999998</v>
      </c>
      <c r="F36" s="26"/>
      <c r="G36" s="26">
        <v>0.28999999999999998</v>
      </c>
      <c r="H36" s="26">
        <f>0.003</f>
        <v>3.0000000000000001E-3</v>
      </c>
      <c r="I36" s="26">
        <f t="shared" si="2"/>
        <v>0.29299999999999998</v>
      </c>
      <c r="J36" s="26">
        <f t="shared" si="3"/>
        <v>0.53700000000000003</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0.309+0.0005</f>
        <v>0.3095</v>
      </c>
      <c r="D39" s="26">
        <f t="shared" si="0"/>
        <v>0.41449999999999998</v>
      </c>
      <c r="E39" s="26">
        <f t="shared" si="1"/>
        <v>0.59850000000000003</v>
      </c>
      <c r="F39" s="26"/>
      <c r="G39" s="26">
        <v>0.13500000000000001</v>
      </c>
      <c r="H39" s="26">
        <f>0.349+0.0005</f>
        <v>0.34949999999999998</v>
      </c>
      <c r="I39" s="26">
        <f t="shared" si="2"/>
        <v>0.48449999999999999</v>
      </c>
      <c r="J39" s="26">
        <f t="shared" si="3"/>
        <v>0.72850000000000004</v>
      </c>
      <c r="K39" s="26"/>
      <c r="L39" s="14" t="s">
        <v>454</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131" x14ac:dyDescent="0.2">
      <c r="A41" s="14" t="s">
        <v>97</v>
      </c>
      <c r="B41" s="26">
        <v>0.08</v>
      </c>
      <c r="C41" s="26">
        <f>0.181+0.0005+0.003274</f>
        <v>0.18477399999999999</v>
      </c>
      <c r="D41" s="26">
        <f>$C41</f>
        <v>0.18477399999999999</v>
      </c>
      <c r="E41" s="26">
        <f t="shared" si="1"/>
        <v>0.36877399999999999</v>
      </c>
      <c r="F41" s="26"/>
      <c r="G41" s="26">
        <v>0.08</v>
      </c>
      <c r="H41" s="26">
        <f>0.1635+0.003274</f>
        <v>0.16677400000000001</v>
      </c>
      <c r="I41" s="26">
        <f>$H41</f>
        <v>0.16677400000000001</v>
      </c>
      <c r="J41" s="26">
        <f t="shared" si="3"/>
        <v>0.41077400000000003</v>
      </c>
      <c r="K41" s="26"/>
      <c r="L41" s="14" t="s">
        <v>455</v>
      </c>
    </row>
    <row r="42" spans="1:12" x14ac:dyDescent="0.2">
      <c r="A42" s="14" t="s">
        <v>17</v>
      </c>
      <c r="B42" s="26">
        <v>0.40500000000000003</v>
      </c>
      <c r="C42" s="26">
        <f>0.0025</f>
        <v>2.5000000000000001E-3</v>
      </c>
      <c r="D42" s="26">
        <f t="shared" ref="D42:D64" si="4">$B42+$C42</f>
        <v>0.40750000000000003</v>
      </c>
      <c r="E42" s="26">
        <f t="shared" si="1"/>
        <v>0.59150000000000003</v>
      </c>
      <c r="F42" s="26"/>
      <c r="G42" s="26">
        <v>0.40500000000000003</v>
      </c>
      <c r="H42" s="26">
        <f>0.0025</f>
        <v>2.5000000000000001E-3</v>
      </c>
      <c r="I42" s="26">
        <f t="shared" ref="I42:I64" si="5">$G42+$H42</f>
        <v>0.40750000000000003</v>
      </c>
      <c r="J42" s="26">
        <f t="shared" si="3"/>
        <v>0.65150000000000008</v>
      </c>
      <c r="K42" s="26"/>
      <c r="L42" s="14" t="s">
        <v>82</v>
      </c>
    </row>
    <row r="43" spans="1:12" x14ac:dyDescent="0.2">
      <c r="A43" s="14" t="s">
        <v>11</v>
      </c>
      <c r="B43" s="26">
        <v>0.23</v>
      </c>
      <c r="C43" s="26">
        <f>0.00025</f>
        <v>2.5000000000000001E-4</v>
      </c>
      <c r="D43" s="26">
        <f t="shared" si="4"/>
        <v>0.23025000000000001</v>
      </c>
      <c r="E43" s="26">
        <f t="shared" si="1"/>
        <v>0.41425000000000001</v>
      </c>
      <c r="F43" s="26"/>
      <c r="G43" s="26">
        <v>0.23</v>
      </c>
      <c r="H43" s="26">
        <f>0.00025</f>
        <v>2.5000000000000001E-4</v>
      </c>
      <c r="I43" s="26">
        <f t="shared" si="5"/>
        <v>0.23025000000000001</v>
      </c>
      <c r="J43" s="26">
        <f t="shared" si="3"/>
        <v>0.47425000000000006</v>
      </c>
      <c r="K43" s="26"/>
      <c r="L43" s="14" t="s">
        <v>64</v>
      </c>
    </row>
    <row r="44" spans="1:12" ht="27" x14ac:dyDescent="0.2">
      <c r="A44" s="14" t="s">
        <v>23</v>
      </c>
      <c r="B44" s="26">
        <v>0.38500000000000001</v>
      </c>
      <c r="C44" s="26"/>
      <c r="D44" s="26">
        <f t="shared" si="4"/>
        <v>0.38500000000000001</v>
      </c>
      <c r="E44" s="26">
        <f t="shared" si="1"/>
        <v>0.56899999999999995</v>
      </c>
      <c r="F44" s="26"/>
      <c r="G44" s="26">
        <v>0.47</v>
      </c>
      <c r="H44" s="26"/>
      <c r="I44" s="26">
        <f t="shared" si="5"/>
        <v>0.47</v>
      </c>
      <c r="J44" s="26">
        <f t="shared" si="3"/>
        <v>0.71399999999999997</v>
      </c>
      <c r="K44" s="26"/>
      <c r="L44" s="14" t="s">
        <v>348</v>
      </c>
    </row>
    <row r="45" spans="1:12" ht="27" x14ac:dyDescent="0.2">
      <c r="A45" s="14" t="s">
        <v>18</v>
      </c>
      <c r="B45" s="26">
        <v>0.19</v>
      </c>
      <c r="C45" s="26">
        <f>0.01</f>
        <v>0.01</v>
      </c>
      <c r="D45" s="26">
        <f t="shared" si="4"/>
        <v>0.2</v>
      </c>
      <c r="E45" s="26">
        <f t="shared" si="1"/>
        <v>0.38400000000000001</v>
      </c>
      <c r="F45" s="26"/>
      <c r="G45" s="26">
        <v>0.19</v>
      </c>
      <c r="H45" s="26">
        <f>0.01</f>
        <v>0.01</v>
      </c>
      <c r="I45" s="26">
        <f t="shared" si="5"/>
        <v>0.2</v>
      </c>
      <c r="J45" s="26">
        <f t="shared" si="3"/>
        <v>0.44400000000000006</v>
      </c>
      <c r="K45" s="26"/>
      <c r="L45" s="14" t="s">
        <v>65</v>
      </c>
    </row>
    <row r="46" spans="1:12" ht="27" x14ac:dyDescent="0.2">
      <c r="A46" s="14" t="s">
        <v>31</v>
      </c>
      <c r="B46" s="26">
        <v>0.38</v>
      </c>
      <c r="C46" s="26"/>
      <c r="D46" s="26">
        <f t="shared" si="4"/>
        <v>0.38</v>
      </c>
      <c r="E46" s="26">
        <f t="shared" si="1"/>
        <v>0.56400000000000006</v>
      </c>
      <c r="F46" s="26"/>
      <c r="G46" s="26">
        <v>0.38</v>
      </c>
      <c r="H46" s="26"/>
      <c r="I46" s="26">
        <f t="shared" si="5"/>
        <v>0.38</v>
      </c>
      <c r="J46" s="26">
        <f t="shared" si="3"/>
        <v>0.624</v>
      </c>
      <c r="K46" s="26"/>
      <c r="L46" s="14" t="s">
        <v>344</v>
      </c>
    </row>
    <row r="47" spans="1:12" ht="53" x14ac:dyDescent="0.2">
      <c r="A47" s="14" t="s">
        <v>12</v>
      </c>
      <c r="B47" s="26">
        <v>0.61099999999999999</v>
      </c>
      <c r="C47" s="26">
        <f>0.011</f>
        <v>1.0999999999999999E-2</v>
      </c>
      <c r="D47" s="26">
        <f t="shared" si="4"/>
        <v>0.622</v>
      </c>
      <c r="E47" s="26">
        <f t="shared" si="1"/>
        <v>0.80600000000000005</v>
      </c>
      <c r="F47" s="26"/>
      <c r="G47" s="26">
        <v>0.78500000000000003</v>
      </c>
      <c r="H47" s="26"/>
      <c r="I47" s="26">
        <f t="shared" si="5"/>
        <v>0.78500000000000003</v>
      </c>
      <c r="J47" s="26">
        <f t="shared" si="3"/>
        <v>1.0290000000000001</v>
      </c>
      <c r="K47" s="26"/>
      <c r="L47" s="14" t="s">
        <v>456</v>
      </c>
    </row>
    <row r="48" spans="1:12" ht="26.25" customHeight="1" x14ac:dyDescent="0.2">
      <c r="A48" s="35" t="s">
        <v>14</v>
      </c>
      <c r="B48" s="34">
        <v>0.37</v>
      </c>
      <c r="C48" s="26">
        <f>0.01+0.0012</f>
        <v>1.12E-2</v>
      </c>
      <c r="D48" s="26">
        <f t="shared" si="4"/>
        <v>0.38119999999999998</v>
      </c>
      <c r="E48" s="26">
        <f t="shared" si="1"/>
        <v>0.56519999999999992</v>
      </c>
      <c r="F48" s="26"/>
      <c r="G48" s="34">
        <v>0.37</v>
      </c>
      <c r="H48" s="26">
        <f>0.01+0.0012</f>
        <v>1.12E-2</v>
      </c>
      <c r="I48" s="26">
        <f t="shared" si="5"/>
        <v>0.38119999999999998</v>
      </c>
      <c r="J48" s="26">
        <f t="shared" si="3"/>
        <v>0.62519999999999998</v>
      </c>
      <c r="K48" s="26"/>
      <c r="L48" s="14" t="s">
        <v>426</v>
      </c>
    </row>
    <row r="49" spans="1:12" s="29" customFormat="1" x14ac:dyDescent="0.2">
      <c r="A49" s="14" t="s">
        <v>119</v>
      </c>
      <c r="B49" s="26">
        <v>0.28000000000000003</v>
      </c>
      <c r="C49" s="26">
        <f>0.0025+0.005</f>
        <v>7.4999999999999997E-3</v>
      </c>
      <c r="D49" s="26">
        <f t="shared" si="4"/>
        <v>0.28750000000000003</v>
      </c>
      <c r="E49" s="26">
        <f t="shared" si="1"/>
        <v>0.47150000000000003</v>
      </c>
      <c r="F49" s="26"/>
      <c r="G49" s="26">
        <v>0.28000000000000003</v>
      </c>
      <c r="H49" s="26">
        <f>0.0025+0.005</f>
        <v>7.4999999999999997E-3</v>
      </c>
      <c r="I49" s="26">
        <f t="shared" si="5"/>
        <v>0.28750000000000003</v>
      </c>
      <c r="J49" s="26">
        <f t="shared" si="3"/>
        <v>0.53150000000000008</v>
      </c>
      <c r="K49" s="26"/>
      <c r="L49" s="14" t="s">
        <v>67</v>
      </c>
    </row>
    <row r="50" spans="1:12" x14ac:dyDescent="0.2">
      <c r="A50" s="14" t="s">
        <v>13</v>
      </c>
      <c r="B50" s="26">
        <v>0.28000000000000003</v>
      </c>
      <c r="C50" s="26">
        <f>0.02</f>
        <v>0.02</v>
      </c>
      <c r="D50" s="26">
        <f t="shared" si="4"/>
        <v>0.30000000000000004</v>
      </c>
      <c r="E50" s="26">
        <f t="shared" si="1"/>
        <v>0.48400000000000004</v>
      </c>
      <c r="F50" s="26"/>
      <c r="G50" s="26">
        <v>0.28000000000000003</v>
      </c>
      <c r="H50" s="26">
        <f>0.02</f>
        <v>0.02</v>
      </c>
      <c r="I50" s="26">
        <f t="shared" si="5"/>
        <v>0.30000000000000004</v>
      </c>
      <c r="J50" s="26">
        <f t="shared" si="3"/>
        <v>0.54400000000000004</v>
      </c>
      <c r="K50" s="26"/>
      <c r="L50" s="14" t="s">
        <v>68</v>
      </c>
    </row>
    <row r="51" spans="1:12" x14ac:dyDescent="0.2">
      <c r="A51" s="14" t="s">
        <v>19</v>
      </c>
      <c r="B51" s="26">
        <v>0.26</v>
      </c>
      <c r="C51" s="26">
        <f>0.01+0.004</f>
        <v>1.4E-2</v>
      </c>
      <c r="D51" s="26">
        <f t="shared" si="4"/>
        <v>0.27400000000000002</v>
      </c>
      <c r="E51" s="26">
        <f t="shared" si="1"/>
        <v>0.45800000000000002</v>
      </c>
      <c r="F51" s="26"/>
      <c r="G51" s="26">
        <v>0.27</v>
      </c>
      <c r="H51" s="26">
        <f>0.01+0.004</f>
        <v>1.4E-2</v>
      </c>
      <c r="I51" s="26">
        <f t="shared" si="5"/>
        <v>0.28400000000000003</v>
      </c>
      <c r="J51" s="26">
        <f t="shared" si="3"/>
        <v>0.52800000000000002</v>
      </c>
      <c r="K51" s="26"/>
      <c r="L51" s="14" t="s">
        <v>69</v>
      </c>
    </row>
    <row r="52" spans="1:12" x14ac:dyDescent="0.2">
      <c r="A52" s="14" t="s">
        <v>24</v>
      </c>
      <c r="B52" s="26">
        <v>0.2</v>
      </c>
      <c r="C52" s="26"/>
      <c r="D52" s="26">
        <f t="shared" si="4"/>
        <v>0.2</v>
      </c>
      <c r="E52" s="26">
        <f t="shared" si="1"/>
        <v>0.38400000000000001</v>
      </c>
      <c r="F52" s="26"/>
      <c r="G52" s="26">
        <v>0.2</v>
      </c>
      <c r="H52" s="26"/>
      <c r="I52" s="26">
        <f t="shared" si="5"/>
        <v>0.2</v>
      </c>
      <c r="J52" s="26">
        <f t="shared" si="3"/>
        <v>0.44400000000000006</v>
      </c>
      <c r="K52" s="26"/>
      <c r="L52" s="14" t="s">
        <v>70</v>
      </c>
    </row>
    <row r="53" spans="1:12" x14ac:dyDescent="0.2">
      <c r="A53" s="35" t="s">
        <v>25</v>
      </c>
      <c r="B53" s="34">
        <v>0.34499999999999997</v>
      </c>
      <c r="C53" s="26">
        <f>0.0065</f>
        <v>6.4999999999999997E-3</v>
      </c>
      <c r="D53" s="26">
        <f t="shared" si="4"/>
        <v>0.35149999999999998</v>
      </c>
      <c r="E53" s="26">
        <f t="shared" si="1"/>
        <v>0.53549999999999998</v>
      </c>
      <c r="F53" s="26"/>
      <c r="G53" s="34">
        <v>0.34499999999999997</v>
      </c>
      <c r="H53" s="26">
        <f>0.0065</f>
        <v>6.4999999999999997E-3</v>
      </c>
      <c r="I53" s="26">
        <f t="shared" si="5"/>
        <v>0.35149999999999998</v>
      </c>
      <c r="J53" s="26">
        <f t="shared" si="3"/>
        <v>0.59550000000000003</v>
      </c>
      <c r="K53" s="26"/>
      <c r="L53" s="14" t="s">
        <v>71</v>
      </c>
    </row>
    <row r="54" spans="1:12" ht="40" x14ac:dyDescent="0.2">
      <c r="A54" s="35" t="s">
        <v>75</v>
      </c>
      <c r="B54" s="26">
        <v>0.121</v>
      </c>
      <c r="C54" s="34">
        <f>0.0602+0.134+0.01</f>
        <v>0.20420000000000002</v>
      </c>
      <c r="D54" s="26">
        <f t="shared" si="4"/>
        <v>0.32520000000000004</v>
      </c>
      <c r="E54" s="26">
        <f t="shared" si="1"/>
        <v>0.5092000000000001</v>
      </c>
      <c r="F54" s="26"/>
      <c r="G54" s="26">
        <v>0.28000000000000003</v>
      </c>
      <c r="H54" s="26">
        <f>0.01+0.03</f>
        <v>0.04</v>
      </c>
      <c r="I54" s="26">
        <f t="shared" si="5"/>
        <v>0.32</v>
      </c>
      <c r="J54" s="26">
        <f t="shared" si="3"/>
        <v>0.56400000000000006</v>
      </c>
      <c r="K54" s="26"/>
      <c r="L54" s="14" t="s">
        <v>457</v>
      </c>
    </row>
    <row r="55" spans="1:12" ht="27" x14ac:dyDescent="0.2">
      <c r="A55" s="35" t="s">
        <v>98</v>
      </c>
      <c r="B55" s="34">
        <v>0.29799999999999999</v>
      </c>
      <c r="C55" s="34">
        <f>0.006+0.087</f>
        <v>9.2999999999999999E-2</v>
      </c>
      <c r="D55" s="26">
        <f t="shared" si="4"/>
        <v>0.39100000000000001</v>
      </c>
      <c r="E55" s="26">
        <f t="shared" si="1"/>
        <v>0.57499999999999996</v>
      </c>
      <c r="F55" s="26"/>
      <c r="G55" s="34">
        <v>0.308</v>
      </c>
      <c r="H55" s="34">
        <f>0.006+0.088</f>
        <v>9.4E-2</v>
      </c>
      <c r="I55" s="26">
        <f t="shared" si="5"/>
        <v>0.40200000000000002</v>
      </c>
      <c r="J55" s="26">
        <f t="shared" si="3"/>
        <v>0.64600000000000002</v>
      </c>
      <c r="K55" s="26"/>
      <c r="L55" s="14" t="s">
        <v>458</v>
      </c>
    </row>
    <row r="56" spans="1:12" ht="66" x14ac:dyDescent="0.2">
      <c r="A56" s="35" t="s">
        <v>32</v>
      </c>
      <c r="B56" s="26">
        <v>0.49399999999999999</v>
      </c>
      <c r="C56" s="34">
        <f>0.0009523+0.000238+0.033</f>
        <v>3.41903E-2</v>
      </c>
      <c r="D56" s="26">
        <f t="shared" si="4"/>
        <v>0.5281903</v>
      </c>
      <c r="E56" s="26">
        <f t="shared" si="1"/>
        <v>0.71219030000000005</v>
      </c>
      <c r="F56" s="26"/>
      <c r="G56" s="26">
        <v>0.49399999999999999</v>
      </c>
      <c r="H56" s="34">
        <f>0.0009523+0.000238+0.033</f>
        <v>3.41903E-2</v>
      </c>
      <c r="I56" s="26">
        <f t="shared" si="5"/>
        <v>0.5281903</v>
      </c>
      <c r="J56" s="26">
        <f t="shared" si="3"/>
        <v>0.7721903</v>
      </c>
      <c r="K56" s="26"/>
      <c r="L56" s="14" t="s">
        <v>459</v>
      </c>
    </row>
    <row r="57" spans="1:12" x14ac:dyDescent="0.2">
      <c r="A57" s="14" t="s">
        <v>26</v>
      </c>
      <c r="B57" s="26">
        <v>0.20499999999999999</v>
      </c>
      <c r="C57" s="26">
        <v>0.16700000000000001</v>
      </c>
      <c r="D57" s="26">
        <f t="shared" si="4"/>
        <v>0.372</v>
      </c>
      <c r="E57" s="26">
        <f t="shared" si="1"/>
        <v>0.55600000000000005</v>
      </c>
      <c r="F57" s="26"/>
      <c r="G57" s="26">
        <v>0.20499999999999999</v>
      </c>
      <c r="H57" s="26">
        <v>0.16700000000000001</v>
      </c>
      <c r="I57" s="26">
        <f t="shared" si="5"/>
        <v>0.372</v>
      </c>
      <c r="J57" s="26">
        <f t="shared" si="3"/>
        <v>0.61599999999999999</v>
      </c>
      <c r="K57" s="26"/>
      <c r="L57" s="14" t="s">
        <v>460</v>
      </c>
    </row>
    <row r="58" spans="1:12" x14ac:dyDescent="0.2">
      <c r="A58" s="14" t="s">
        <v>20</v>
      </c>
      <c r="B58" s="26">
        <v>0.309</v>
      </c>
      <c r="C58" s="26">
        <f>0.02</f>
        <v>0.02</v>
      </c>
      <c r="D58" s="26">
        <f t="shared" si="4"/>
        <v>0.32900000000000001</v>
      </c>
      <c r="E58" s="26">
        <f t="shared" si="1"/>
        <v>0.51300000000000001</v>
      </c>
      <c r="F58" s="26"/>
      <c r="G58" s="26">
        <v>0.309</v>
      </c>
      <c r="H58" s="26">
        <f>0.02</f>
        <v>0.02</v>
      </c>
      <c r="I58" s="26">
        <f t="shared" si="5"/>
        <v>0.32900000000000001</v>
      </c>
      <c r="J58" s="26">
        <f t="shared" si="3"/>
        <v>0.57300000000000006</v>
      </c>
      <c r="K58" s="26"/>
      <c r="L58" s="14" t="s">
        <v>72</v>
      </c>
    </row>
    <row r="59" spans="1:12" x14ac:dyDescent="0.2">
      <c r="A59" s="27" t="s">
        <v>21</v>
      </c>
      <c r="B59" s="28">
        <v>0.23</v>
      </c>
      <c r="C59" s="28">
        <f>0.01</f>
        <v>0.01</v>
      </c>
      <c r="D59" s="28">
        <f t="shared" si="4"/>
        <v>0.24000000000000002</v>
      </c>
      <c r="E59" s="28">
        <f t="shared" si="1"/>
        <v>0.42400000000000004</v>
      </c>
      <c r="F59" s="28"/>
      <c r="G59" s="28">
        <v>0.23</v>
      </c>
      <c r="H59" s="28">
        <f>0.01</f>
        <v>0.01</v>
      </c>
      <c r="I59" s="28">
        <f t="shared" si="5"/>
        <v>0.24000000000000002</v>
      </c>
      <c r="J59" s="28">
        <f t="shared" si="3"/>
        <v>0.48400000000000004</v>
      </c>
      <c r="K59" s="28"/>
      <c r="L59" s="27" t="s">
        <v>73</v>
      </c>
    </row>
    <row r="60" spans="1:12" x14ac:dyDescent="0.2">
      <c r="A60" s="14" t="s">
        <v>49</v>
      </c>
      <c r="B60" s="26">
        <v>0.35</v>
      </c>
      <c r="C60" s="26"/>
      <c r="D60" s="26">
        <f t="shared" si="4"/>
        <v>0.35</v>
      </c>
      <c r="E60" s="26"/>
      <c r="F60" s="26"/>
      <c r="G60" s="26">
        <v>0.315</v>
      </c>
      <c r="H60" s="26">
        <f>0.035</f>
        <v>3.5000000000000003E-2</v>
      </c>
      <c r="I60" s="26">
        <f t="shared" si="5"/>
        <v>0.35</v>
      </c>
      <c r="J60" s="26"/>
      <c r="K60" s="26"/>
      <c r="L60" s="14" t="s">
        <v>85</v>
      </c>
    </row>
    <row r="61" spans="1:12" ht="40" x14ac:dyDescent="0.2">
      <c r="A61" s="14" t="s">
        <v>50</v>
      </c>
      <c r="B61" s="26">
        <v>0.15</v>
      </c>
      <c r="C61" s="26">
        <f>0.04</f>
        <v>0.04</v>
      </c>
      <c r="D61" s="26">
        <f t="shared" si="4"/>
        <v>0.19</v>
      </c>
      <c r="E61" s="26"/>
      <c r="F61" s="26"/>
      <c r="G61" s="26">
        <v>0.14000000000000001</v>
      </c>
      <c r="H61" s="26">
        <f>0.04</f>
        <v>0.04</v>
      </c>
      <c r="I61" s="26">
        <f t="shared" si="5"/>
        <v>0.18000000000000002</v>
      </c>
      <c r="J61" s="26"/>
      <c r="K61" s="26"/>
      <c r="L61" s="14" t="s">
        <v>431</v>
      </c>
    </row>
    <row r="62" spans="1:12" ht="15" customHeight="1" x14ac:dyDescent="0.2">
      <c r="A62" s="14" t="s">
        <v>51</v>
      </c>
      <c r="B62" s="26">
        <v>0.15</v>
      </c>
      <c r="C62" s="26"/>
      <c r="D62" s="26">
        <f t="shared" si="4"/>
        <v>0.15</v>
      </c>
      <c r="E62" s="26"/>
      <c r="F62" s="26"/>
      <c r="G62" s="26">
        <v>0.15</v>
      </c>
      <c r="H62" s="26"/>
      <c r="I62" s="26">
        <f t="shared" si="5"/>
        <v>0.15</v>
      </c>
      <c r="J62" s="26"/>
      <c r="K62" s="26"/>
      <c r="L62" s="14" t="s">
        <v>85</v>
      </c>
    </row>
    <row r="63" spans="1:12" ht="53" x14ac:dyDescent="0.2">
      <c r="A63" s="14" t="s">
        <v>52</v>
      </c>
      <c r="B63" s="26">
        <v>0.16</v>
      </c>
      <c r="C63" s="26">
        <v>0.36899999999999999</v>
      </c>
      <c r="D63" s="26">
        <f t="shared" si="4"/>
        <v>0.52900000000000003</v>
      </c>
      <c r="E63" s="26"/>
      <c r="F63" s="26"/>
      <c r="G63" s="26">
        <v>0.04</v>
      </c>
      <c r="H63" s="26">
        <v>0.22</v>
      </c>
      <c r="I63" s="26">
        <f t="shared" si="5"/>
        <v>0.26</v>
      </c>
      <c r="J63" s="26"/>
      <c r="K63" s="26"/>
      <c r="L63" s="14" t="s">
        <v>432</v>
      </c>
    </row>
    <row r="64" spans="1:12" ht="16" thickBot="1" x14ac:dyDescent="0.25">
      <c r="A64" s="81" t="s">
        <v>81</v>
      </c>
      <c r="B64" s="82">
        <v>0.14000000000000001</v>
      </c>
      <c r="C64" s="82"/>
      <c r="D64" s="82">
        <f t="shared" si="4"/>
        <v>0.14000000000000001</v>
      </c>
      <c r="E64" s="82"/>
      <c r="F64" s="82"/>
      <c r="G64" s="82">
        <v>0.14000000000000001</v>
      </c>
      <c r="H64" s="82"/>
      <c r="I64" s="82">
        <f t="shared" si="5"/>
        <v>0.14000000000000001</v>
      </c>
      <c r="J64" s="82"/>
      <c r="K64" s="82"/>
      <c r="L64" s="81" t="s">
        <v>85</v>
      </c>
    </row>
    <row r="65" spans="1:12" ht="63" customHeight="1" x14ac:dyDescent="0.2">
      <c r="A65" s="101" t="s">
        <v>461</v>
      </c>
      <c r="B65" s="101"/>
      <c r="C65" s="101"/>
      <c r="D65" s="101"/>
      <c r="E65" s="101"/>
      <c r="F65" s="101"/>
      <c r="G65" s="101"/>
      <c r="H65" s="101"/>
      <c r="I65" s="101"/>
      <c r="J65" s="101"/>
      <c r="K65" s="83"/>
      <c r="L65" s="84"/>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372</v>
      </c>
    </row>
    <row r="71" spans="1:12" x14ac:dyDescent="0.2">
      <c r="A71" s="18" t="s">
        <v>106</v>
      </c>
      <c r="B71"/>
      <c r="C71"/>
      <c r="D71"/>
      <c r="F71" s="52"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F71" r:id="rId1" display="mailto:maureen.klein@eia.gov" xr:uid="{039D0EA8-5D59-403C-A139-A80C867F5C2B}"/>
  </hyperlinks>
  <pageMargins left="0.17" right="0.17" top="0.4" bottom="0.38" header="0.3" footer="0.3"/>
  <pageSetup paperSize="5"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1"/>
  <sheetViews>
    <sheetView showGridLines="0" zoomScale="90" zoomScaleNormal="90" workbookViewId="0">
      <pane ySplit="8" topLeftCell="A18" activePane="bottomLeft" state="frozen"/>
      <selection pane="bottomLeft" activeCell="L29" sqref="L29"/>
    </sheetView>
  </sheetViews>
  <sheetFormatPr baseColWidth="10" defaultColWidth="9.332031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33203125" style="4"/>
    <col min="10" max="10" width="8.6640625" style="4" customWidth="1"/>
    <col min="11" max="11" width="2.83203125" style="4" customWidth="1"/>
    <col min="12" max="12" width="70.5" customWidth="1"/>
  </cols>
  <sheetData>
    <row r="1" spans="1:12" ht="16" x14ac:dyDescent="0.2">
      <c r="A1" s="56" t="s">
        <v>80</v>
      </c>
    </row>
    <row r="2" spans="1:12" ht="31.5" customHeight="1" x14ac:dyDescent="0.2">
      <c r="A2" s="57" t="s">
        <v>410</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53" t="s">
        <v>34</v>
      </c>
      <c r="B8" s="24">
        <f>AVERAGE(B9:B59)</f>
        <v>0.26317647058823529</v>
      </c>
      <c r="C8" s="24">
        <f>AVERAGE(C9:C59)</f>
        <v>6.0160464444444429E-2</v>
      </c>
      <c r="D8" s="24">
        <f>AVERAGE(D9:D59)</f>
        <v>0.31469060588235298</v>
      </c>
      <c r="E8" s="24">
        <f>AVERAGE(E9:E59)</f>
        <v>0.49869060588235298</v>
      </c>
      <c r="F8" s="54"/>
      <c r="G8" s="24">
        <f>AVERAGE(G9:G59)</f>
        <v>0.28309803921568627</v>
      </c>
      <c r="H8" s="24">
        <f>AVERAGE(H9:H59)</f>
        <v>6.3101628888888872E-2</v>
      </c>
      <c r="I8" s="24">
        <f>AVERAGE(I9:I59)</f>
        <v>0.33720731960784317</v>
      </c>
      <c r="J8" s="55">
        <f>AVERAGE(J9:J59)</f>
        <v>0.58120731960784322</v>
      </c>
      <c r="K8" s="24"/>
      <c r="L8" s="53"/>
    </row>
    <row r="9" spans="1:12" ht="40" x14ac:dyDescent="0.2">
      <c r="A9" s="14" t="s">
        <v>33</v>
      </c>
      <c r="B9" s="26">
        <v>0.28000000000000003</v>
      </c>
      <c r="C9" s="26">
        <v>1.2E-2</v>
      </c>
      <c r="D9" s="26">
        <f t="shared" ref="D9:D40" si="0">$B9+$C9</f>
        <v>0.29200000000000004</v>
      </c>
      <c r="E9" s="26">
        <f t="shared" ref="E9:E59" si="1">$D9+$E$4</f>
        <v>0.47600000000000003</v>
      </c>
      <c r="F9" s="26"/>
      <c r="G9" s="26">
        <v>0.28999999999999998</v>
      </c>
      <c r="H9" s="26">
        <f>0.0075+0.012</f>
        <v>1.95E-2</v>
      </c>
      <c r="I9" s="26">
        <f t="shared" ref="I9:I40" si="2">$G9+$H9</f>
        <v>0.3095</v>
      </c>
      <c r="J9" s="26">
        <f t="shared" ref="J9:J59" si="3">$I9+$J$4</f>
        <v>0.55349999999999999</v>
      </c>
      <c r="K9" s="26"/>
      <c r="L9" s="14" t="s">
        <v>373</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35" t="s">
        <v>86</v>
      </c>
      <c r="B12" s="34">
        <v>0.246</v>
      </c>
      <c r="C12" s="26">
        <f>0.003</f>
        <v>3.0000000000000001E-3</v>
      </c>
      <c r="D12" s="26">
        <f t="shared" si="0"/>
        <v>0.249</v>
      </c>
      <c r="E12" s="26">
        <f t="shared" si="1"/>
        <v>0.433</v>
      </c>
      <c r="F12" s="26"/>
      <c r="G12" s="34">
        <v>0.28399999999999997</v>
      </c>
      <c r="H12" s="26">
        <f>0.003</f>
        <v>3.0000000000000001E-3</v>
      </c>
      <c r="I12" s="26">
        <f t="shared" si="2"/>
        <v>0.28699999999999998</v>
      </c>
      <c r="J12" s="26">
        <f t="shared" si="3"/>
        <v>0.53100000000000003</v>
      </c>
      <c r="K12" s="26"/>
      <c r="L12" s="14" t="s">
        <v>55</v>
      </c>
    </row>
    <row r="13" spans="1:12" ht="52" x14ac:dyDescent="0.2">
      <c r="A13" s="35" t="s">
        <v>117</v>
      </c>
      <c r="B13" s="26">
        <v>0.53900000000000003</v>
      </c>
      <c r="C13" s="26">
        <f>0.09+0.02+0.002</f>
        <v>0.112</v>
      </c>
      <c r="D13" s="26">
        <f t="shared" si="0"/>
        <v>0.65100000000000002</v>
      </c>
      <c r="E13" s="26">
        <f t="shared" si="1"/>
        <v>0.83499999999999996</v>
      </c>
      <c r="F13" s="26"/>
      <c r="G13" s="26">
        <v>0.41</v>
      </c>
      <c r="H13" s="34">
        <f>0.33+0.02+0.002</f>
        <v>0.35200000000000004</v>
      </c>
      <c r="I13" s="26">
        <f t="shared" si="2"/>
        <v>0.76200000000000001</v>
      </c>
      <c r="J13" s="26">
        <f t="shared" si="3"/>
        <v>1.006</v>
      </c>
      <c r="K13" s="26"/>
      <c r="L13" s="15" t="s">
        <v>411</v>
      </c>
    </row>
    <row r="14" spans="1:12" ht="53" x14ac:dyDescent="0.2">
      <c r="A14" s="35" t="s">
        <v>1</v>
      </c>
      <c r="B14" s="26">
        <v>0.22</v>
      </c>
      <c r="C14" s="34">
        <f>0.009375+0.003125</f>
        <v>1.2500000000000001E-2</v>
      </c>
      <c r="D14" s="26">
        <f t="shared" si="0"/>
        <v>0.23250000000000001</v>
      </c>
      <c r="E14" s="26">
        <f t="shared" si="1"/>
        <v>0.41649999999999998</v>
      </c>
      <c r="F14" s="26"/>
      <c r="G14" s="26">
        <v>0.20499999999999999</v>
      </c>
      <c r="H14" s="34">
        <f>0.02+0.009375+0.003125</f>
        <v>3.2500000000000001E-2</v>
      </c>
      <c r="I14" s="26">
        <f t="shared" si="2"/>
        <v>0.23749999999999999</v>
      </c>
      <c r="J14" s="26">
        <f t="shared" si="3"/>
        <v>0.48150000000000004</v>
      </c>
      <c r="K14" s="26"/>
      <c r="L14" s="14" t="s">
        <v>412</v>
      </c>
    </row>
    <row r="15" spans="1:12" ht="79" x14ac:dyDescent="0.2">
      <c r="A15" s="35" t="s">
        <v>91</v>
      </c>
      <c r="B15" s="34">
        <f>0.05</f>
        <v>0.05</v>
      </c>
      <c r="C15" s="26"/>
      <c r="D15" s="26">
        <f t="shared" si="0"/>
        <v>0.05</v>
      </c>
      <c r="E15" s="26">
        <f t="shared" si="1"/>
        <v>0.23399999999999999</v>
      </c>
      <c r="F15" s="26"/>
      <c r="G15" s="26">
        <v>0.28999999999999998</v>
      </c>
      <c r="H15" s="26">
        <v>0.13900000000000001</v>
      </c>
      <c r="I15" s="26">
        <f t="shared" si="2"/>
        <v>0.42899999999999999</v>
      </c>
      <c r="J15" s="26">
        <f t="shared" si="3"/>
        <v>0.67300000000000004</v>
      </c>
      <c r="K15" s="26"/>
      <c r="L15" s="14" t="s">
        <v>435</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35" t="s">
        <v>2</v>
      </c>
      <c r="B17" s="26">
        <v>0.23499999999999999</v>
      </c>
      <c r="C17" s="34">
        <v>0.107</v>
      </c>
      <c r="D17" s="26">
        <f t="shared" si="0"/>
        <v>0.34199999999999997</v>
      </c>
      <c r="E17" s="26">
        <f t="shared" si="1"/>
        <v>0.52600000000000002</v>
      </c>
      <c r="F17" s="26"/>
      <c r="G17" s="26">
        <v>0.23499999999999999</v>
      </c>
      <c r="H17" s="34">
        <v>0.107</v>
      </c>
      <c r="I17" s="26">
        <f t="shared" si="2"/>
        <v>0.34199999999999997</v>
      </c>
      <c r="J17" s="26">
        <f t="shared" si="3"/>
        <v>0.58599999999999997</v>
      </c>
      <c r="K17" s="26"/>
      <c r="L17" s="14" t="s">
        <v>413</v>
      </c>
    </row>
    <row r="18" spans="1:12" ht="87" customHeight="1" x14ac:dyDescent="0.2">
      <c r="A18" s="35" t="s">
        <v>87</v>
      </c>
      <c r="B18" s="26">
        <v>0.04</v>
      </c>
      <c r="C18" s="34">
        <f>0.162+0.00125+0.06+0.089+0.00048+0.00119+0.01904</f>
        <v>0.33296000000000003</v>
      </c>
      <c r="D18" s="26">
        <f t="shared" si="0"/>
        <v>0.37296000000000001</v>
      </c>
      <c r="E18" s="26">
        <f t="shared" si="1"/>
        <v>0.55696000000000001</v>
      </c>
      <c r="F18" s="26"/>
      <c r="G18" s="26">
        <v>0.04</v>
      </c>
      <c r="H18" s="34">
        <f>0.162+0.01+0.06+0.089+0.00048+0.00119+0.01904</f>
        <v>0.34171000000000001</v>
      </c>
      <c r="I18" s="26">
        <f t="shared" si="2"/>
        <v>0.38170999999999999</v>
      </c>
      <c r="J18" s="26">
        <f t="shared" si="3"/>
        <v>0.62570999999999999</v>
      </c>
      <c r="K18" s="26"/>
      <c r="L18" s="14" t="s">
        <v>414</v>
      </c>
    </row>
    <row r="19" spans="1:12" ht="66" x14ac:dyDescent="0.2">
      <c r="A19" s="35" t="s">
        <v>88</v>
      </c>
      <c r="B19" s="34">
        <v>0.312</v>
      </c>
      <c r="C19" s="26">
        <f>0.0075</f>
        <v>7.4999999999999997E-3</v>
      </c>
      <c r="D19" s="26">
        <f t="shared" si="0"/>
        <v>0.31950000000000001</v>
      </c>
      <c r="E19" s="26">
        <f t="shared" si="1"/>
        <v>0.50350000000000006</v>
      </c>
      <c r="F19" s="26"/>
      <c r="G19" s="34">
        <v>0.35</v>
      </c>
      <c r="H19" s="26">
        <f>0.0075</f>
        <v>7.4999999999999997E-3</v>
      </c>
      <c r="I19" s="26">
        <f t="shared" si="2"/>
        <v>0.35749999999999998</v>
      </c>
      <c r="J19" s="26">
        <f t="shared" si="3"/>
        <v>0.60150000000000003</v>
      </c>
      <c r="K19" s="26"/>
      <c r="L19" s="14" t="s">
        <v>434</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361</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34">
        <v>0.42299999999999999</v>
      </c>
      <c r="C22" s="34">
        <f>0.24+0.003+0.008</f>
        <v>0.251</v>
      </c>
      <c r="D22" s="26">
        <f t="shared" si="0"/>
        <v>0.67399999999999993</v>
      </c>
      <c r="E22" s="26">
        <f t="shared" si="1"/>
        <v>0.85799999999999987</v>
      </c>
      <c r="F22" s="26"/>
      <c r="G22" s="34">
        <v>0.498</v>
      </c>
      <c r="H22" s="34">
        <f>0.24+0.003+0.008</f>
        <v>0.251</v>
      </c>
      <c r="I22" s="26">
        <f t="shared" si="2"/>
        <v>0.749</v>
      </c>
      <c r="J22" s="26">
        <f t="shared" si="3"/>
        <v>0.99299999999999999</v>
      </c>
      <c r="K22" s="26"/>
      <c r="L22" s="14" t="s">
        <v>415</v>
      </c>
    </row>
    <row r="23" spans="1:12" ht="66" x14ac:dyDescent="0.2">
      <c r="A23" s="35" t="s">
        <v>93</v>
      </c>
      <c r="B23" s="26">
        <v>0.33</v>
      </c>
      <c r="C23" s="34">
        <f>0.199+0.01</f>
        <v>0.20900000000000002</v>
      </c>
      <c r="D23" s="26">
        <f t="shared" si="0"/>
        <v>0.53900000000000003</v>
      </c>
      <c r="E23" s="26">
        <f t="shared" si="1"/>
        <v>0.72300000000000009</v>
      </c>
      <c r="F23" s="26"/>
      <c r="G23" s="26">
        <v>0.55000000000000004</v>
      </c>
      <c r="H23" s="26">
        <f>0.01</f>
        <v>0.01</v>
      </c>
      <c r="I23" s="26">
        <f t="shared" si="2"/>
        <v>0.56000000000000005</v>
      </c>
      <c r="J23" s="26">
        <f t="shared" si="3"/>
        <v>0.80400000000000005</v>
      </c>
      <c r="K23" s="26"/>
      <c r="L23" s="14" t="s">
        <v>416</v>
      </c>
    </row>
    <row r="24" spans="1:12" ht="40"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335</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40"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417</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40" x14ac:dyDescent="0.2">
      <c r="A29" s="14" t="s">
        <v>9</v>
      </c>
      <c r="B29" s="26">
        <v>0.28899999999999998</v>
      </c>
      <c r="C29" s="26">
        <f>0.138+0.0019</f>
        <v>0.13990000000000002</v>
      </c>
      <c r="D29" s="26">
        <f t="shared" si="0"/>
        <v>0.4289</v>
      </c>
      <c r="E29" s="26">
        <f t="shared" si="1"/>
        <v>0.6129</v>
      </c>
      <c r="F29" s="26"/>
      <c r="G29" s="26">
        <v>0.29649999999999999</v>
      </c>
      <c r="H29" s="26">
        <f>0.138+0.0019</f>
        <v>0.13990000000000002</v>
      </c>
      <c r="I29" s="26">
        <f t="shared" si="2"/>
        <v>0.43640000000000001</v>
      </c>
      <c r="J29" s="26">
        <f t="shared" si="3"/>
        <v>0.6804</v>
      </c>
      <c r="K29" s="26"/>
      <c r="L29" s="14" t="s">
        <v>418</v>
      </c>
    </row>
    <row r="30" spans="1:12" ht="40" x14ac:dyDescent="0.2">
      <c r="A30" s="35" t="s">
        <v>36</v>
      </c>
      <c r="B30" s="26">
        <v>0.24</v>
      </c>
      <c r="C30" s="34">
        <f>0.030799+0.0012</f>
        <v>3.1999E-2</v>
      </c>
      <c r="D30" s="26">
        <f t="shared" si="0"/>
        <v>0.27199899999999999</v>
      </c>
      <c r="E30" s="26">
        <f t="shared" si="1"/>
        <v>0.45599899999999999</v>
      </c>
      <c r="F30" s="26"/>
      <c r="G30" s="26">
        <v>0.24</v>
      </c>
      <c r="H30" s="34">
        <f>0.030799+0.0012</f>
        <v>3.1999E-2</v>
      </c>
      <c r="I30" s="26">
        <f t="shared" si="2"/>
        <v>0.27199899999999999</v>
      </c>
      <c r="J30" s="26">
        <f t="shared" si="3"/>
        <v>0.51599899999999999</v>
      </c>
      <c r="K30" s="26"/>
      <c r="L30" s="14" t="s">
        <v>419</v>
      </c>
    </row>
    <row r="31" spans="1:12" ht="40" x14ac:dyDescent="0.2">
      <c r="A31" s="35" t="s">
        <v>95</v>
      </c>
      <c r="B31" s="34">
        <v>0.28599999999999998</v>
      </c>
      <c r="C31" s="34">
        <f>0.206+0.01</f>
        <v>0.216</v>
      </c>
      <c r="D31" s="26">
        <f t="shared" si="0"/>
        <v>0.502</v>
      </c>
      <c r="E31" s="26">
        <f t="shared" si="1"/>
        <v>0.68599999999999994</v>
      </c>
      <c r="F31" s="26"/>
      <c r="G31" s="34">
        <v>0.28599999999999998</v>
      </c>
      <c r="H31" s="34">
        <f>0.293+0.01</f>
        <v>0.30299999999999999</v>
      </c>
      <c r="I31" s="26">
        <f t="shared" si="2"/>
        <v>0.58899999999999997</v>
      </c>
      <c r="J31" s="26">
        <f t="shared" si="3"/>
        <v>0.83299999999999996</v>
      </c>
      <c r="K31" s="26"/>
      <c r="L31" s="14" t="s">
        <v>420</v>
      </c>
    </row>
    <row r="32" spans="1:12" ht="27" x14ac:dyDescent="0.2">
      <c r="A32" s="14"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421</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35" t="s">
        <v>28</v>
      </c>
      <c r="B34" s="26">
        <v>0.22</v>
      </c>
      <c r="C34" s="34">
        <f>0.0007+0.004</f>
        <v>4.7000000000000002E-3</v>
      </c>
      <c r="D34" s="26">
        <f t="shared" si="0"/>
        <v>0.22470000000000001</v>
      </c>
      <c r="E34" s="26">
        <f t="shared" si="1"/>
        <v>0.40870000000000001</v>
      </c>
      <c r="F34" s="26"/>
      <c r="G34" s="26">
        <v>0.22</v>
      </c>
      <c r="H34" s="34">
        <f>0.0007+0.004</f>
        <v>4.7000000000000002E-3</v>
      </c>
      <c r="I34" s="26">
        <f t="shared" si="2"/>
        <v>0.22470000000000001</v>
      </c>
      <c r="J34" s="26">
        <f t="shared" si="3"/>
        <v>0.46870000000000001</v>
      </c>
      <c r="K34" s="26"/>
      <c r="L34" s="14" t="s">
        <v>422</v>
      </c>
    </row>
    <row r="35" spans="1:12" ht="27" x14ac:dyDescent="0.2">
      <c r="A35" s="14" t="s">
        <v>29</v>
      </c>
      <c r="B35" s="26">
        <v>0.33</v>
      </c>
      <c r="C35" s="26">
        <f>0.0075</f>
        <v>7.4999999999999997E-3</v>
      </c>
      <c r="D35" s="26">
        <f t="shared" si="0"/>
        <v>0.33750000000000002</v>
      </c>
      <c r="E35" s="26">
        <f t="shared" si="1"/>
        <v>0.52150000000000007</v>
      </c>
      <c r="F35" s="26"/>
      <c r="G35" s="26">
        <v>0.29749999999999999</v>
      </c>
      <c r="H35" s="26">
        <f>0.0075</f>
        <v>7.4999999999999997E-3</v>
      </c>
      <c r="I35" s="26">
        <f t="shared" si="2"/>
        <v>0.30499999999999999</v>
      </c>
      <c r="J35" s="26">
        <f t="shared" si="3"/>
        <v>0.54900000000000004</v>
      </c>
      <c r="K35" s="26"/>
      <c r="L35" s="14" t="s">
        <v>61</v>
      </c>
    </row>
    <row r="36" spans="1:12" ht="27" x14ac:dyDescent="0.2">
      <c r="A36" s="35" t="s">
        <v>15</v>
      </c>
      <c r="B36" s="34">
        <v>0.28999999999999998</v>
      </c>
      <c r="C36" s="26">
        <f>0.009</f>
        <v>8.9999999999999993E-3</v>
      </c>
      <c r="D36" s="26">
        <f t="shared" si="0"/>
        <v>0.29899999999999999</v>
      </c>
      <c r="E36" s="26">
        <f t="shared" si="1"/>
        <v>0.48299999999999998</v>
      </c>
      <c r="F36" s="26"/>
      <c r="G36" s="34">
        <v>0.28999999999999998</v>
      </c>
      <c r="H36" s="26">
        <f>0.003</f>
        <v>3.0000000000000001E-3</v>
      </c>
      <c r="I36" s="26">
        <f t="shared" si="2"/>
        <v>0.29299999999999998</v>
      </c>
      <c r="J36" s="26">
        <f t="shared" si="3"/>
        <v>0.53700000000000003</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35" t="s">
        <v>96</v>
      </c>
      <c r="B39" s="26">
        <v>0.105</v>
      </c>
      <c r="C39" s="34">
        <f>0.309+0.0005</f>
        <v>0.3095</v>
      </c>
      <c r="D39" s="26">
        <f t="shared" si="0"/>
        <v>0.41449999999999998</v>
      </c>
      <c r="E39" s="26">
        <f t="shared" si="1"/>
        <v>0.59850000000000003</v>
      </c>
      <c r="F39" s="26"/>
      <c r="G39" s="26">
        <v>0.13500000000000001</v>
      </c>
      <c r="H39" s="34">
        <f>0.349+0.0005</f>
        <v>0.34949999999999998</v>
      </c>
      <c r="I39" s="26">
        <f t="shared" si="2"/>
        <v>0.48449999999999999</v>
      </c>
      <c r="J39" s="26">
        <f t="shared" si="3"/>
        <v>0.72850000000000004</v>
      </c>
      <c r="K39" s="26"/>
      <c r="L39" s="14" t="s">
        <v>423</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131" x14ac:dyDescent="0.2">
      <c r="A41" s="35" t="s">
        <v>97</v>
      </c>
      <c r="B41" s="26">
        <v>0.08</v>
      </c>
      <c r="C41" s="34">
        <f>0.181+0.0005+0.003274</f>
        <v>0.18477399999999999</v>
      </c>
      <c r="D41" s="26">
        <f>$C41</f>
        <v>0.18477399999999999</v>
      </c>
      <c r="E41" s="26">
        <f t="shared" si="1"/>
        <v>0.36877399999999999</v>
      </c>
      <c r="F41" s="26"/>
      <c r="G41" s="26">
        <v>0.08</v>
      </c>
      <c r="H41" s="34">
        <f>0.1635+0.003274</f>
        <v>0.16677400000000001</v>
      </c>
      <c r="I41" s="26">
        <f>$H41</f>
        <v>0.16677400000000001</v>
      </c>
      <c r="J41" s="26">
        <f t="shared" si="3"/>
        <v>0.41077400000000003</v>
      </c>
      <c r="K41" s="26"/>
      <c r="L41" s="14" t="s">
        <v>424</v>
      </c>
    </row>
    <row r="42" spans="1:12" x14ac:dyDescent="0.2">
      <c r="A42" s="35" t="s">
        <v>17</v>
      </c>
      <c r="B42" s="34">
        <v>0.40500000000000003</v>
      </c>
      <c r="C42" s="26">
        <f>0.0025</f>
        <v>2.5000000000000001E-3</v>
      </c>
      <c r="D42" s="26">
        <f t="shared" ref="D42:D64" si="4">$B42+$C42</f>
        <v>0.40750000000000003</v>
      </c>
      <c r="E42" s="26">
        <f t="shared" si="1"/>
        <v>0.59150000000000003</v>
      </c>
      <c r="F42" s="26"/>
      <c r="G42" s="34">
        <v>0.40500000000000003</v>
      </c>
      <c r="H42" s="26">
        <f>0.0025</f>
        <v>2.5000000000000001E-3</v>
      </c>
      <c r="I42" s="26">
        <f t="shared" ref="I42:I64" si="5">$G42+$H42</f>
        <v>0.40750000000000003</v>
      </c>
      <c r="J42" s="26">
        <f t="shared" si="3"/>
        <v>0.65150000000000008</v>
      </c>
      <c r="K42" s="26"/>
      <c r="L42" s="14" t="s">
        <v>82</v>
      </c>
    </row>
    <row r="43" spans="1:12" x14ac:dyDescent="0.2">
      <c r="A43" s="14" t="s">
        <v>11</v>
      </c>
      <c r="B43" s="26">
        <v>0.23</v>
      </c>
      <c r="C43" s="26">
        <f>0.00025</f>
        <v>2.5000000000000001E-4</v>
      </c>
      <c r="D43" s="26">
        <f t="shared" si="4"/>
        <v>0.23025000000000001</v>
      </c>
      <c r="E43" s="26">
        <f t="shared" si="1"/>
        <v>0.41425000000000001</v>
      </c>
      <c r="F43" s="26"/>
      <c r="G43" s="26">
        <v>0.23</v>
      </c>
      <c r="H43" s="26">
        <f>0.00025</f>
        <v>2.5000000000000001E-4</v>
      </c>
      <c r="I43" s="26">
        <f t="shared" si="5"/>
        <v>0.23025000000000001</v>
      </c>
      <c r="J43" s="26">
        <f t="shared" si="3"/>
        <v>0.47425000000000006</v>
      </c>
      <c r="K43" s="26"/>
      <c r="L43" s="14" t="s">
        <v>64</v>
      </c>
    </row>
    <row r="44" spans="1:12" ht="27" x14ac:dyDescent="0.2">
      <c r="A44" s="14" t="s">
        <v>23</v>
      </c>
      <c r="B44" s="26">
        <v>0.38500000000000001</v>
      </c>
      <c r="C44" s="26"/>
      <c r="D44" s="26">
        <f t="shared" si="4"/>
        <v>0.38500000000000001</v>
      </c>
      <c r="E44" s="26">
        <f t="shared" si="1"/>
        <v>0.56899999999999995</v>
      </c>
      <c r="F44" s="26"/>
      <c r="G44" s="26">
        <v>0.47</v>
      </c>
      <c r="H44" s="26"/>
      <c r="I44" s="26">
        <f t="shared" si="5"/>
        <v>0.47</v>
      </c>
      <c r="J44" s="26">
        <f t="shared" si="3"/>
        <v>0.71399999999999997</v>
      </c>
      <c r="K44" s="26"/>
      <c r="L44" s="14" t="s">
        <v>348</v>
      </c>
    </row>
    <row r="45" spans="1:12" ht="27" x14ac:dyDescent="0.2">
      <c r="A45" s="14" t="s">
        <v>18</v>
      </c>
      <c r="B45" s="26">
        <v>0.19</v>
      </c>
      <c r="C45" s="26">
        <f>0.01</f>
        <v>0.01</v>
      </c>
      <c r="D45" s="26">
        <f t="shared" si="4"/>
        <v>0.2</v>
      </c>
      <c r="E45" s="26">
        <f t="shared" si="1"/>
        <v>0.38400000000000001</v>
      </c>
      <c r="F45" s="26"/>
      <c r="G45" s="26">
        <v>0.19</v>
      </c>
      <c r="H45" s="26">
        <f>0.01</f>
        <v>0.01</v>
      </c>
      <c r="I45" s="26">
        <f t="shared" si="5"/>
        <v>0.2</v>
      </c>
      <c r="J45" s="26">
        <f t="shared" si="3"/>
        <v>0.44400000000000006</v>
      </c>
      <c r="K45" s="26"/>
      <c r="L45" s="14" t="s">
        <v>65</v>
      </c>
    </row>
    <row r="46" spans="1:12" ht="27" x14ac:dyDescent="0.2">
      <c r="A46" s="14" t="s">
        <v>31</v>
      </c>
      <c r="B46" s="26">
        <v>0.38</v>
      </c>
      <c r="C46" s="26"/>
      <c r="D46" s="26">
        <f t="shared" si="4"/>
        <v>0.38</v>
      </c>
      <c r="E46" s="26">
        <f t="shared" si="1"/>
        <v>0.56400000000000006</v>
      </c>
      <c r="F46" s="26"/>
      <c r="G46" s="26">
        <v>0.38</v>
      </c>
      <c r="H46" s="26"/>
      <c r="I46" s="26">
        <f t="shared" si="5"/>
        <v>0.38</v>
      </c>
      <c r="J46" s="26">
        <f t="shared" si="3"/>
        <v>0.624</v>
      </c>
      <c r="K46" s="26"/>
      <c r="L46" s="14" t="s">
        <v>344</v>
      </c>
    </row>
    <row r="47" spans="1:12" ht="53" x14ac:dyDescent="0.2">
      <c r="A47" s="35" t="s">
        <v>12</v>
      </c>
      <c r="B47" s="34">
        <v>0.61099999999999999</v>
      </c>
      <c r="C47" s="26">
        <f>0.011</f>
        <v>1.0999999999999999E-2</v>
      </c>
      <c r="D47" s="26">
        <f t="shared" si="4"/>
        <v>0.622</v>
      </c>
      <c r="E47" s="26">
        <f t="shared" si="1"/>
        <v>0.80600000000000005</v>
      </c>
      <c r="F47" s="26"/>
      <c r="G47" s="34">
        <v>0.78500000000000003</v>
      </c>
      <c r="H47" s="26"/>
      <c r="I47" s="26">
        <f t="shared" si="5"/>
        <v>0.78500000000000003</v>
      </c>
      <c r="J47" s="26">
        <f t="shared" si="3"/>
        <v>1.0290000000000001</v>
      </c>
      <c r="K47" s="26"/>
      <c r="L47" s="14" t="s">
        <v>425</v>
      </c>
    </row>
    <row r="48" spans="1:12" ht="26.25" customHeight="1" x14ac:dyDescent="0.2">
      <c r="A48" s="14" t="s">
        <v>14</v>
      </c>
      <c r="B48" s="26">
        <v>0.34</v>
      </c>
      <c r="C48" s="26">
        <f>0.01+0.0012</f>
        <v>1.12E-2</v>
      </c>
      <c r="D48" s="26">
        <f t="shared" si="4"/>
        <v>0.35120000000000001</v>
      </c>
      <c r="E48" s="26">
        <f t="shared" si="1"/>
        <v>0.53520000000000001</v>
      </c>
      <c r="F48" s="26"/>
      <c r="G48" s="26">
        <v>0.34</v>
      </c>
      <c r="H48" s="26">
        <f>0.01+0.0012</f>
        <v>1.12E-2</v>
      </c>
      <c r="I48" s="26">
        <f t="shared" si="5"/>
        <v>0.35120000000000001</v>
      </c>
      <c r="J48" s="26">
        <f t="shared" si="3"/>
        <v>0.59520000000000006</v>
      </c>
      <c r="K48" s="26"/>
      <c r="L48" s="14" t="s">
        <v>426</v>
      </c>
    </row>
    <row r="49" spans="1:12" s="29" customFormat="1" x14ac:dyDescent="0.2">
      <c r="A49" s="14" t="s">
        <v>119</v>
      </c>
      <c r="B49" s="26">
        <v>0.28000000000000003</v>
      </c>
      <c r="C49" s="26">
        <f>0.0025+0.005</f>
        <v>7.4999999999999997E-3</v>
      </c>
      <c r="D49" s="26">
        <f t="shared" si="4"/>
        <v>0.28750000000000003</v>
      </c>
      <c r="E49" s="26">
        <f t="shared" si="1"/>
        <v>0.47150000000000003</v>
      </c>
      <c r="F49" s="26"/>
      <c r="G49" s="26">
        <v>0.28000000000000003</v>
      </c>
      <c r="H49" s="26">
        <f>0.0025+0.005</f>
        <v>7.4999999999999997E-3</v>
      </c>
      <c r="I49" s="26">
        <f t="shared" si="5"/>
        <v>0.28750000000000003</v>
      </c>
      <c r="J49" s="26">
        <f t="shared" si="3"/>
        <v>0.53150000000000008</v>
      </c>
      <c r="K49" s="26"/>
      <c r="L49" s="14" t="s">
        <v>67</v>
      </c>
    </row>
    <row r="50" spans="1:12" x14ac:dyDescent="0.2">
      <c r="A50" s="14" t="s">
        <v>13</v>
      </c>
      <c r="B50" s="26">
        <v>0.28000000000000003</v>
      </c>
      <c r="C50" s="26">
        <f>0.02</f>
        <v>0.02</v>
      </c>
      <c r="D50" s="26">
        <f t="shared" si="4"/>
        <v>0.30000000000000004</v>
      </c>
      <c r="E50" s="26">
        <f t="shared" si="1"/>
        <v>0.48400000000000004</v>
      </c>
      <c r="F50" s="26"/>
      <c r="G50" s="26">
        <v>0.28000000000000003</v>
      </c>
      <c r="H50" s="26">
        <f>0.02</f>
        <v>0.02</v>
      </c>
      <c r="I50" s="26">
        <f t="shared" si="5"/>
        <v>0.30000000000000004</v>
      </c>
      <c r="J50" s="26">
        <f t="shared" si="3"/>
        <v>0.54400000000000004</v>
      </c>
      <c r="K50" s="26"/>
      <c r="L50" s="14" t="s">
        <v>68</v>
      </c>
    </row>
    <row r="51" spans="1:12" x14ac:dyDescent="0.2">
      <c r="A51" s="14" t="s">
        <v>19</v>
      </c>
      <c r="B51" s="26">
        <v>0.26</v>
      </c>
      <c r="C51" s="26">
        <f>0.01+0.004</f>
        <v>1.4E-2</v>
      </c>
      <c r="D51" s="26">
        <f t="shared" si="4"/>
        <v>0.27400000000000002</v>
      </c>
      <c r="E51" s="26">
        <f t="shared" si="1"/>
        <v>0.45800000000000002</v>
      </c>
      <c r="F51" s="26"/>
      <c r="G51" s="26">
        <v>0.27</v>
      </c>
      <c r="H51" s="26">
        <f>0.01+0.004</f>
        <v>1.4E-2</v>
      </c>
      <c r="I51" s="26">
        <f t="shared" si="5"/>
        <v>0.28400000000000003</v>
      </c>
      <c r="J51" s="26">
        <f t="shared" si="3"/>
        <v>0.52800000000000002</v>
      </c>
      <c r="K51" s="26"/>
      <c r="L51" s="14" t="s">
        <v>69</v>
      </c>
    </row>
    <row r="52" spans="1:12" x14ac:dyDescent="0.2">
      <c r="A52" s="14" t="s">
        <v>24</v>
      </c>
      <c r="B52" s="26">
        <v>0.2</v>
      </c>
      <c r="C52" s="26"/>
      <c r="D52" s="26">
        <f t="shared" si="4"/>
        <v>0.2</v>
      </c>
      <c r="E52" s="26">
        <f t="shared" si="1"/>
        <v>0.38400000000000001</v>
      </c>
      <c r="F52" s="26"/>
      <c r="G52" s="26">
        <v>0.2</v>
      </c>
      <c r="H52" s="26"/>
      <c r="I52" s="26">
        <f t="shared" si="5"/>
        <v>0.2</v>
      </c>
      <c r="J52" s="26">
        <f t="shared" si="3"/>
        <v>0.44400000000000006</v>
      </c>
      <c r="K52" s="26"/>
      <c r="L52" s="14" t="s">
        <v>70</v>
      </c>
    </row>
    <row r="53" spans="1:12" x14ac:dyDescent="0.2">
      <c r="A53" s="35" t="s">
        <v>25</v>
      </c>
      <c r="B53" s="34">
        <v>0.36399999999999999</v>
      </c>
      <c r="C53" s="26">
        <f>0.0065</f>
        <v>6.4999999999999997E-3</v>
      </c>
      <c r="D53" s="26">
        <f t="shared" si="4"/>
        <v>0.3705</v>
      </c>
      <c r="E53" s="26">
        <f t="shared" si="1"/>
        <v>0.55449999999999999</v>
      </c>
      <c r="F53" s="26"/>
      <c r="G53" s="34">
        <v>0.36399999999999999</v>
      </c>
      <c r="H53" s="26">
        <f>0.0065</f>
        <v>6.4999999999999997E-3</v>
      </c>
      <c r="I53" s="26">
        <f t="shared" si="5"/>
        <v>0.3705</v>
      </c>
      <c r="J53" s="26">
        <f t="shared" si="3"/>
        <v>0.61450000000000005</v>
      </c>
      <c r="K53" s="26"/>
      <c r="L53" s="14" t="s">
        <v>71</v>
      </c>
    </row>
    <row r="54" spans="1:12" ht="40" x14ac:dyDescent="0.2">
      <c r="A54" s="35" t="s">
        <v>75</v>
      </c>
      <c r="B54" s="26">
        <v>0.121</v>
      </c>
      <c r="C54" s="34">
        <f>0.065+0.134+0.01</f>
        <v>0.20900000000000002</v>
      </c>
      <c r="D54" s="26">
        <f t="shared" si="4"/>
        <v>0.33</v>
      </c>
      <c r="E54" s="26">
        <f t="shared" si="1"/>
        <v>0.51400000000000001</v>
      </c>
      <c r="F54" s="26"/>
      <c r="G54" s="26">
        <v>0.28000000000000003</v>
      </c>
      <c r="H54" s="26">
        <f>0.01+0.03</f>
        <v>0.04</v>
      </c>
      <c r="I54" s="26">
        <f t="shared" si="5"/>
        <v>0.32</v>
      </c>
      <c r="J54" s="26">
        <f t="shared" si="3"/>
        <v>0.56400000000000006</v>
      </c>
      <c r="K54" s="26"/>
      <c r="L54" s="14" t="s">
        <v>427</v>
      </c>
    </row>
    <row r="55" spans="1:12" ht="27" x14ac:dyDescent="0.2">
      <c r="A55" s="14" t="s">
        <v>98</v>
      </c>
      <c r="B55" s="26">
        <v>0.28000000000000003</v>
      </c>
      <c r="C55" s="26">
        <f>0.006+0.082</f>
        <v>8.8000000000000009E-2</v>
      </c>
      <c r="D55" s="26">
        <f t="shared" si="4"/>
        <v>0.36800000000000005</v>
      </c>
      <c r="E55" s="26">
        <f t="shared" si="1"/>
        <v>0.55200000000000005</v>
      </c>
      <c r="F55" s="26"/>
      <c r="G55" s="26">
        <v>0.28899999999999998</v>
      </c>
      <c r="H55" s="26">
        <f>0.006+0.083</f>
        <v>8.900000000000001E-2</v>
      </c>
      <c r="I55" s="26">
        <f t="shared" si="5"/>
        <v>0.378</v>
      </c>
      <c r="J55" s="26">
        <f t="shared" si="3"/>
        <v>0.622</v>
      </c>
      <c r="K55" s="26"/>
      <c r="L55" s="14" t="s">
        <v>428</v>
      </c>
    </row>
    <row r="56" spans="1:12" ht="66" x14ac:dyDescent="0.2">
      <c r="A56" s="14" t="s">
        <v>32</v>
      </c>
      <c r="B56" s="26">
        <v>0.49399999999999999</v>
      </c>
      <c r="C56" s="26">
        <f>0.0009523+0.000238+0.0286</f>
        <v>2.9790299999999999E-2</v>
      </c>
      <c r="D56" s="26">
        <f t="shared" si="4"/>
        <v>0.52379030000000004</v>
      </c>
      <c r="E56" s="26">
        <f t="shared" si="1"/>
        <v>0.70779030000000009</v>
      </c>
      <c r="F56" s="26"/>
      <c r="G56" s="26">
        <v>0.49399999999999999</v>
      </c>
      <c r="H56" s="26">
        <f>0.0009523+0.000238+0.0286</f>
        <v>2.9790299999999999E-2</v>
      </c>
      <c r="I56" s="26">
        <f t="shared" si="5"/>
        <v>0.52379030000000004</v>
      </c>
      <c r="J56" s="26">
        <f t="shared" si="3"/>
        <v>0.76779030000000004</v>
      </c>
      <c r="K56" s="26"/>
      <c r="L56" s="14" t="s">
        <v>429</v>
      </c>
    </row>
    <row r="57" spans="1:12" x14ac:dyDescent="0.2">
      <c r="A57" s="35" t="s">
        <v>26</v>
      </c>
      <c r="B57" s="26">
        <v>0.20499999999999999</v>
      </c>
      <c r="C57" s="34">
        <v>0.16700000000000001</v>
      </c>
      <c r="D57" s="26">
        <f t="shared" si="4"/>
        <v>0.372</v>
      </c>
      <c r="E57" s="26">
        <f t="shared" si="1"/>
        <v>0.55600000000000005</v>
      </c>
      <c r="F57" s="26"/>
      <c r="G57" s="26">
        <v>0.20499999999999999</v>
      </c>
      <c r="H57" s="34">
        <v>0.16700000000000001</v>
      </c>
      <c r="I57" s="26">
        <f t="shared" si="5"/>
        <v>0.372</v>
      </c>
      <c r="J57" s="26">
        <f t="shared" si="3"/>
        <v>0.61599999999999999</v>
      </c>
      <c r="K57" s="26"/>
      <c r="L57" s="14" t="s">
        <v>430</v>
      </c>
    </row>
    <row r="58" spans="1:12" x14ac:dyDescent="0.2">
      <c r="A58" s="14" t="s">
        <v>20</v>
      </c>
      <c r="B58" s="26">
        <v>0.309</v>
      </c>
      <c r="C58" s="26">
        <f>0.02</f>
        <v>0.02</v>
      </c>
      <c r="D58" s="26">
        <f t="shared" si="4"/>
        <v>0.32900000000000001</v>
      </c>
      <c r="E58" s="26">
        <f t="shared" si="1"/>
        <v>0.51300000000000001</v>
      </c>
      <c r="F58" s="26"/>
      <c r="G58" s="26">
        <v>0.309</v>
      </c>
      <c r="H58" s="26">
        <f>0.02</f>
        <v>0.02</v>
      </c>
      <c r="I58" s="26">
        <f t="shared" si="5"/>
        <v>0.32900000000000001</v>
      </c>
      <c r="J58" s="26">
        <f t="shared" si="3"/>
        <v>0.57300000000000006</v>
      </c>
      <c r="K58" s="26"/>
      <c r="L58" s="14" t="s">
        <v>72</v>
      </c>
    </row>
    <row r="59" spans="1:12" x14ac:dyDescent="0.2">
      <c r="A59" s="27" t="s">
        <v>21</v>
      </c>
      <c r="B59" s="28">
        <v>0.23</v>
      </c>
      <c r="C59" s="28">
        <f>0.01</f>
        <v>0.01</v>
      </c>
      <c r="D59" s="28">
        <f t="shared" si="4"/>
        <v>0.24000000000000002</v>
      </c>
      <c r="E59" s="28">
        <f t="shared" si="1"/>
        <v>0.42400000000000004</v>
      </c>
      <c r="F59" s="28"/>
      <c r="G59" s="28">
        <v>0.23</v>
      </c>
      <c r="H59" s="28">
        <f>0.01</f>
        <v>0.01</v>
      </c>
      <c r="I59" s="28">
        <f t="shared" si="5"/>
        <v>0.24000000000000002</v>
      </c>
      <c r="J59" s="28">
        <f t="shared" si="3"/>
        <v>0.48400000000000004</v>
      </c>
      <c r="K59" s="28"/>
      <c r="L59" s="27" t="s">
        <v>73</v>
      </c>
    </row>
    <row r="60" spans="1:12" x14ac:dyDescent="0.2">
      <c r="A60" s="14" t="s">
        <v>49</v>
      </c>
      <c r="B60" s="26">
        <v>0.35</v>
      </c>
      <c r="C60" s="26"/>
      <c r="D60" s="26">
        <f t="shared" si="4"/>
        <v>0.35</v>
      </c>
      <c r="E60" s="26"/>
      <c r="F60" s="26"/>
      <c r="G60" s="26">
        <v>0.315</v>
      </c>
      <c r="H60" s="26">
        <f>0.035</f>
        <v>3.5000000000000003E-2</v>
      </c>
      <c r="I60" s="26">
        <f t="shared" si="5"/>
        <v>0.35</v>
      </c>
      <c r="J60" s="26"/>
      <c r="K60" s="26"/>
      <c r="L60" s="14" t="s">
        <v>85</v>
      </c>
    </row>
    <row r="61" spans="1:12" ht="40" x14ac:dyDescent="0.2">
      <c r="A61" s="14" t="s">
        <v>50</v>
      </c>
      <c r="B61" s="26">
        <v>0.15</v>
      </c>
      <c r="C61" s="26">
        <f>0.04</f>
        <v>0.04</v>
      </c>
      <c r="D61" s="26">
        <f t="shared" si="4"/>
        <v>0.19</v>
      </c>
      <c r="E61" s="26"/>
      <c r="F61" s="26"/>
      <c r="G61" s="26">
        <v>0.14000000000000001</v>
      </c>
      <c r="H61" s="26">
        <f>0.04</f>
        <v>0.04</v>
      </c>
      <c r="I61" s="26">
        <f t="shared" si="5"/>
        <v>0.18000000000000002</v>
      </c>
      <c r="J61" s="26"/>
      <c r="K61" s="26"/>
      <c r="L61" s="14" t="s">
        <v>431</v>
      </c>
    </row>
    <row r="62" spans="1:12" ht="15" customHeight="1" x14ac:dyDescent="0.2">
      <c r="A62" s="14" t="s">
        <v>51</v>
      </c>
      <c r="B62" s="26">
        <v>0.15</v>
      </c>
      <c r="C62" s="26"/>
      <c r="D62" s="26">
        <f t="shared" si="4"/>
        <v>0.15</v>
      </c>
      <c r="E62" s="26"/>
      <c r="F62" s="26"/>
      <c r="G62" s="26">
        <v>0.15</v>
      </c>
      <c r="H62" s="26"/>
      <c r="I62" s="26">
        <f t="shared" si="5"/>
        <v>0.15</v>
      </c>
      <c r="J62" s="26"/>
      <c r="K62" s="26"/>
      <c r="L62" s="14" t="s">
        <v>85</v>
      </c>
    </row>
    <row r="63" spans="1:12" ht="53" x14ac:dyDescent="0.2">
      <c r="A63" s="14" t="s">
        <v>52</v>
      </c>
      <c r="B63" s="26">
        <v>0.16</v>
      </c>
      <c r="C63" s="26">
        <v>0.36899999999999999</v>
      </c>
      <c r="D63" s="26">
        <f t="shared" si="4"/>
        <v>0.52900000000000003</v>
      </c>
      <c r="E63" s="26"/>
      <c r="F63" s="26"/>
      <c r="G63" s="26">
        <v>0.04</v>
      </c>
      <c r="H63" s="26">
        <v>0.22</v>
      </c>
      <c r="I63" s="26">
        <f t="shared" si="5"/>
        <v>0.26</v>
      </c>
      <c r="J63" s="26"/>
      <c r="K63" s="26"/>
      <c r="L63" s="14" t="s">
        <v>432</v>
      </c>
    </row>
    <row r="64" spans="1:12" ht="16" thickBot="1" x14ac:dyDescent="0.25">
      <c r="A64" s="14" t="s">
        <v>81</v>
      </c>
      <c r="B64" s="26">
        <v>0.14000000000000001</v>
      </c>
      <c r="C64" s="26"/>
      <c r="D64" s="26">
        <f t="shared" si="4"/>
        <v>0.14000000000000001</v>
      </c>
      <c r="E64" s="26"/>
      <c r="F64" s="26"/>
      <c r="G64" s="26">
        <v>0.14000000000000001</v>
      </c>
      <c r="H64" s="26"/>
      <c r="I64" s="26">
        <f t="shared" si="5"/>
        <v>0.14000000000000001</v>
      </c>
      <c r="J64" s="26"/>
      <c r="K64" s="26"/>
      <c r="L64" s="14" t="s">
        <v>85</v>
      </c>
    </row>
    <row r="65" spans="1:12" ht="63" customHeight="1" x14ac:dyDescent="0.2">
      <c r="A65" s="92" t="s">
        <v>433</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372</v>
      </c>
    </row>
    <row r="71" spans="1:12" x14ac:dyDescent="0.2">
      <c r="A71" s="18" t="s">
        <v>106</v>
      </c>
      <c r="B71"/>
      <c r="C71"/>
      <c r="D71"/>
      <c r="F71" s="52"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000-000000000000}"/>
  </hyperlinks>
  <pageMargins left="0.17" right="0.17" top="0.4" bottom="0.38" header="0.3" footer="0.3"/>
  <pageSetup paperSize="5"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showGridLines="0" zoomScale="90" zoomScaleNormal="90" workbookViewId="0">
      <pane ySplit="8" topLeftCell="A9" activePane="bottomLeft" state="frozen"/>
      <selection pane="bottomLeft" activeCell="A7" sqref="A7"/>
    </sheetView>
  </sheetViews>
  <sheetFormatPr baseColWidth="10" defaultColWidth="9.332031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33203125" style="4"/>
    <col min="10" max="10" width="8.6640625" style="4" customWidth="1"/>
    <col min="11" max="11" width="2.83203125" style="4" customWidth="1"/>
    <col min="12" max="12" width="70.5" customWidth="1"/>
  </cols>
  <sheetData>
    <row r="1" spans="1:12" ht="16" x14ac:dyDescent="0.2">
      <c r="A1" s="56" t="s">
        <v>80</v>
      </c>
    </row>
    <row r="2" spans="1:12" ht="31.5" customHeight="1" x14ac:dyDescent="0.2">
      <c r="A2" s="57" t="s">
        <v>438</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53" t="s">
        <v>34</v>
      </c>
      <c r="B8" s="59">
        <f>AVERAGE(B9:B59)</f>
        <v>0.26650000000000001</v>
      </c>
      <c r="C8" s="24">
        <f>AVERAGE(C9:C59)</f>
        <v>5.8824953333333319E-2</v>
      </c>
      <c r="D8" s="59">
        <f>AVERAGE(D9:D59)</f>
        <v>0.30878245799999998</v>
      </c>
      <c r="E8" s="59">
        <f>AVERAGE(E9:E59)</f>
        <v>0.48672790000000005</v>
      </c>
      <c r="F8" s="54"/>
      <c r="G8" s="59">
        <f>AVERAGE(G9:G59)</f>
        <v>0.28189795918367344</v>
      </c>
      <c r="H8" s="24">
        <f>AVERAGE(H9:H59)</f>
        <v>6.1408339999999985E-2</v>
      </c>
      <c r="I8" s="24">
        <f>AVERAGE(I9:I59)</f>
        <v>0.32502696666666664</v>
      </c>
      <c r="J8" s="55">
        <f>AVERAGE(J9:J59)</f>
        <v>0.56902696666666674</v>
      </c>
      <c r="K8" s="24"/>
      <c r="L8" s="53"/>
    </row>
    <row r="9" spans="1:12" ht="40" x14ac:dyDescent="0.2">
      <c r="A9" s="14" t="s">
        <v>33</v>
      </c>
      <c r="B9" s="26">
        <v>0.28000000000000003</v>
      </c>
      <c r="C9" s="26">
        <v>1.2E-2</v>
      </c>
      <c r="D9" s="26">
        <f t="shared" ref="D9:D40" si="0">$B9+$C9</f>
        <v>0.29200000000000004</v>
      </c>
      <c r="E9" s="26">
        <f t="shared" ref="E9:E59" si="1">$D9+$E$4</f>
        <v>0.47600000000000003</v>
      </c>
      <c r="F9" s="26"/>
      <c r="G9" s="26">
        <v>0.28999999999999998</v>
      </c>
      <c r="H9" s="26">
        <f>0.0075+0.012</f>
        <v>1.95E-2</v>
      </c>
      <c r="I9" s="26">
        <f t="shared" ref="I9:I40" si="2">$G9+$H9</f>
        <v>0.3095</v>
      </c>
      <c r="J9" s="26">
        <f t="shared" ref="J9:J59" si="3">$I9+$J$4</f>
        <v>0.55349999999999999</v>
      </c>
      <c r="K9" s="26"/>
      <c r="L9" s="14" t="s">
        <v>373</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0.245</v>
      </c>
      <c r="C12" s="26">
        <f>0.003</f>
        <v>3.0000000000000001E-3</v>
      </c>
      <c r="D12" s="26">
        <f t="shared" si="0"/>
        <v>0.248</v>
      </c>
      <c r="E12" s="26">
        <f t="shared" si="1"/>
        <v>0.432</v>
      </c>
      <c r="F12" s="26"/>
      <c r="G12" s="26">
        <v>0.28499999999999998</v>
      </c>
      <c r="H12" s="26">
        <f>0.003</f>
        <v>3.0000000000000001E-3</v>
      </c>
      <c r="I12" s="26">
        <f t="shared" si="2"/>
        <v>0.28799999999999998</v>
      </c>
      <c r="J12" s="26">
        <f t="shared" si="3"/>
        <v>0.53200000000000003</v>
      </c>
      <c r="K12" s="26"/>
      <c r="L12" s="14" t="s">
        <v>55</v>
      </c>
    </row>
    <row r="13" spans="1:12" ht="52" x14ac:dyDescent="0.2">
      <c r="A13" s="35" t="s">
        <v>117</v>
      </c>
      <c r="B13" s="34">
        <v>0.53900000000000003</v>
      </c>
      <c r="C13" s="34">
        <f>0.09+0.02+0.002</f>
        <v>0.112</v>
      </c>
      <c r="D13" s="26">
        <f t="shared" si="0"/>
        <v>0.65100000000000002</v>
      </c>
      <c r="E13" s="26">
        <f t="shared" si="1"/>
        <v>0.83499999999999996</v>
      </c>
      <c r="F13" s="26"/>
      <c r="G13" s="34">
        <v>0.41</v>
      </c>
      <c r="H13" s="34">
        <f>0.47+0.02+0.002</f>
        <v>0.49199999999999999</v>
      </c>
      <c r="I13" s="26">
        <f t="shared" si="2"/>
        <v>0.90199999999999991</v>
      </c>
      <c r="J13" s="26">
        <f t="shared" si="3"/>
        <v>1.1459999999999999</v>
      </c>
      <c r="K13" s="26"/>
      <c r="L13" s="15" t="s">
        <v>393</v>
      </c>
    </row>
    <row r="14" spans="1:12" ht="27" x14ac:dyDescent="0.2">
      <c r="A14" s="35" t="s">
        <v>1</v>
      </c>
      <c r="B14" s="26">
        <v>0.22</v>
      </c>
      <c r="C14" s="34">
        <f>0.0125</f>
        <v>1.2500000000000001E-2</v>
      </c>
      <c r="D14" s="26">
        <f t="shared" si="0"/>
        <v>0.23250000000000001</v>
      </c>
      <c r="E14" s="26">
        <f t="shared" si="1"/>
        <v>0.41649999999999998</v>
      </c>
      <c r="F14" s="26"/>
      <c r="G14" s="26">
        <v>0.20499999999999999</v>
      </c>
      <c r="H14" s="34">
        <f>0.02+0.0125</f>
        <v>3.2500000000000001E-2</v>
      </c>
      <c r="I14" s="26">
        <f t="shared" si="2"/>
        <v>0.23749999999999999</v>
      </c>
      <c r="J14" s="26">
        <f t="shared" si="3"/>
        <v>0.48150000000000004</v>
      </c>
      <c r="K14" s="26"/>
      <c r="L14" s="14" t="s">
        <v>394</v>
      </c>
    </row>
    <row r="15" spans="1:12" ht="55.25" customHeight="1" x14ac:dyDescent="0.2">
      <c r="A15" s="35" t="s">
        <v>91</v>
      </c>
      <c r="B15" s="26"/>
      <c r="C15" s="26"/>
      <c r="D15" s="26"/>
      <c r="E15" s="26">
        <f t="shared" si="1"/>
        <v>0.184</v>
      </c>
      <c r="F15" s="26"/>
      <c r="G15" s="26">
        <v>0.28999999999999998</v>
      </c>
      <c r="H15" s="34">
        <v>0.13900000000000001</v>
      </c>
      <c r="I15" s="26">
        <f t="shared" si="2"/>
        <v>0.42899999999999999</v>
      </c>
      <c r="J15" s="26">
        <f t="shared" si="3"/>
        <v>0.67300000000000004</v>
      </c>
      <c r="K15" s="26"/>
      <c r="L15" s="14" t="s">
        <v>436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v>0.10299999999999999</v>
      </c>
      <c r="D17" s="26">
        <f t="shared" si="0"/>
        <v>0.33799999999999997</v>
      </c>
      <c r="E17" s="26">
        <f t="shared" si="1"/>
        <v>0.52200000000000002</v>
      </c>
      <c r="F17" s="26"/>
      <c r="G17" s="26">
        <v>0.23499999999999999</v>
      </c>
      <c r="H17" s="26">
        <v>0.10299999999999999</v>
      </c>
      <c r="I17" s="26">
        <f t="shared" si="2"/>
        <v>0.33799999999999997</v>
      </c>
      <c r="J17" s="26">
        <f t="shared" si="3"/>
        <v>0.58199999999999996</v>
      </c>
      <c r="K17" s="26"/>
      <c r="L17" s="14" t="s">
        <v>395</v>
      </c>
    </row>
    <row r="18" spans="1:12" ht="87" customHeight="1" x14ac:dyDescent="0.2">
      <c r="A18" s="35" t="s">
        <v>87</v>
      </c>
      <c r="B18" s="26">
        <v>0.04</v>
      </c>
      <c r="C18" s="26">
        <f>0.15+0.00125+0.06+0.083+0.00048+0.00119+0.01904</f>
        <v>0.31496000000000002</v>
      </c>
      <c r="D18" s="26">
        <f t="shared" si="0"/>
        <v>0.35496</v>
      </c>
      <c r="E18" s="26">
        <f t="shared" si="1"/>
        <v>0.53895999999999999</v>
      </c>
      <c r="F18" s="26"/>
      <c r="G18" s="26">
        <v>0.04</v>
      </c>
      <c r="H18" s="26">
        <f>0.15+0.01+0.06+0.083+0.00048+0.00119+0.01904</f>
        <v>0.32371</v>
      </c>
      <c r="I18" s="26">
        <f t="shared" si="2"/>
        <v>0.36370999999999998</v>
      </c>
      <c r="J18" s="26">
        <f t="shared" si="3"/>
        <v>0.60770999999999997</v>
      </c>
      <c r="K18" s="26"/>
      <c r="L18" s="14" t="s">
        <v>396</v>
      </c>
    </row>
    <row r="19" spans="1:12" ht="66" x14ac:dyDescent="0.2">
      <c r="A19" s="35" t="s">
        <v>88</v>
      </c>
      <c r="B19" s="34"/>
      <c r="C19" s="26">
        <f>0.0075</f>
        <v>7.4999999999999997E-3</v>
      </c>
      <c r="D19" s="26">
        <f t="shared" si="0"/>
        <v>7.4999999999999997E-3</v>
      </c>
      <c r="E19" s="26">
        <f t="shared" si="1"/>
        <v>0.1915</v>
      </c>
      <c r="F19" s="26"/>
      <c r="G19" s="34"/>
      <c r="H19" s="26">
        <f>0.0075</f>
        <v>7.4999999999999997E-3</v>
      </c>
      <c r="I19" s="26">
        <f t="shared" si="2"/>
        <v>7.4999999999999997E-3</v>
      </c>
      <c r="J19" s="26">
        <f t="shared" si="3"/>
        <v>0.2515</v>
      </c>
      <c r="K19" s="26"/>
      <c r="L19" s="14" t="s">
        <v>437</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361</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26">
        <v>0.39200000000000002</v>
      </c>
      <c r="C22" s="34">
        <f>0.23+0.003+0.008</f>
        <v>0.24100000000000002</v>
      </c>
      <c r="D22" s="26">
        <f t="shared" si="0"/>
        <v>0.63300000000000001</v>
      </c>
      <c r="E22" s="26">
        <f t="shared" si="1"/>
        <v>0.81699999999999995</v>
      </c>
      <c r="F22" s="26"/>
      <c r="G22" s="26">
        <v>0.46700000000000003</v>
      </c>
      <c r="H22" s="34">
        <f>0.23+0.003+0.008</f>
        <v>0.24100000000000002</v>
      </c>
      <c r="I22" s="26">
        <f t="shared" si="2"/>
        <v>0.70800000000000007</v>
      </c>
      <c r="J22" s="26">
        <f t="shared" si="3"/>
        <v>0.95200000000000007</v>
      </c>
      <c r="K22" s="26"/>
      <c r="L22" s="14" t="s">
        <v>397</v>
      </c>
    </row>
    <row r="23" spans="1:12" ht="66" x14ac:dyDescent="0.2">
      <c r="A23" s="35" t="s">
        <v>93</v>
      </c>
      <c r="B23" s="34">
        <v>0.33</v>
      </c>
      <c r="C23" s="34">
        <f>0.291+0.01</f>
        <v>0.30099999999999999</v>
      </c>
      <c r="D23" s="26">
        <f t="shared" si="0"/>
        <v>0.63100000000000001</v>
      </c>
      <c r="E23" s="26">
        <f t="shared" si="1"/>
        <v>0.81499999999999995</v>
      </c>
      <c r="F23" s="26"/>
      <c r="G23" s="34">
        <v>0.55000000000000004</v>
      </c>
      <c r="H23" s="26">
        <f>0.01</f>
        <v>0.01</v>
      </c>
      <c r="I23" s="26">
        <f t="shared" si="2"/>
        <v>0.56000000000000005</v>
      </c>
      <c r="J23" s="26">
        <f t="shared" si="3"/>
        <v>0.80400000000000005</v>
      </c>
      <c r="K23" s="26"/>
      <c r="L23" s="14" t="s">
        <v>398</v>
      </c>
    </row>
    <row r="24" spans="1:12" ht="40"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335</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40" x14ac:dyDescent="0.2">
      <c r="A29" s="35" t="s">
        <v>9</v>
      </c>
      <c r="B29" s="34">
        <v>0.28899999999999998</v>
      </c>
      <c r="C29" s="34">
        <f>0.138+0.0019</f>
        <v>0.13990000000000002</v>
      </c>
      <c r="D29" s="26">
        <f t="shared" si="0"/>
        <v>0.4289</v>
      </c>
      <c r="E29" s="26">
        <f t="shared" si="1"/>
        <v>0.6129</v>
      </c>
      <c r="F29" s="26"/>
      <c r="G29" s="34">
        <v>0.29649999999999999</v>
      </c>
      <c r="H29" s="34">
        <f>0.138+0.0019</f>
        <v>0.13990000000000002</v>
      </c>
      <c r="I29" s="26">
        <f t="shared" si="2"/>
        <v>0.43640000000000001</v>
      </c>
      <c r="J29" s="26">
        <f t="shared" si="3"/>
        <v>0.6804</v>
      </c>
      <c r="K29" s="26"/>
      <c r="L29" s="14" t="s">
        <v>399</v>
      </c>
    </row>
    <row r="30" spans="1:12" ht="40" x14ac:dyDescent="0.2">
      <c r="A30" s="14" t="s">
        <v>36</v>
      </c>
      <c r="B30" s="26">
        <v>0.24</v>
      </c>
      <c r="C30" s="26">
        <f>0.028601+0.0012</f>
        <v>2.9801000000000001E-2</v>
      </c>
      <c r="D30" s="26">
        <f t="shared" si="0"/>
        <v>0.26980100000000001</v>
      </c>
      <c r="E30" s="26">
        <f t="shared" si="1"/>
        <v>0.45380100000000001</v>
      </c>
      <c r="F30" s="26"/>
      <c r="G30" s="26">
        <v>0.24</v>
      </c>
      <c r="H30" s="26">
        <f>0.028601+0.0012</f>
        <v>2.9801000000000001E-2</v>
      </c>
      <c r="I30" s="26">
        <f t="shared" si="2"/>
        <v>0.26980100000000001</v>
      </c>
      <c r="J30" s="26">
        <f t="shared" si="3"/>
        <v>0.51380100000000006</v>
      </c>
      <c r="K30" s="26"/>
      <c r="L30" s="14" t="s">
        <v>400</v>
      </c>
    </row>
    <row r="31" spans="1:12" ht="40" x14ac:dyDescent="0.2">
      <c r="A31" s="35" t="s">
        <v>95</v>
      </c>
      <c r="B31" s="26">
        <v>0.27200000000000002</v>
      </c>
      <c r="C31" s="34">
        <f>0.235+0.01</f>
        <v>0.245</v>
      </c>
      <c r="D31" s="26">
        <f t="shared" si="0"/>
        <v>0.51700000000000002</v>
      </c>
      <c r="E31" s="26">
        <f t="shared" si="1"/>
        <v>0.70100000000000007</v>
      </c>
      <c r="F31" s="26"/>
      <c r="G31" s="26">
        <v>0.27200000000000002</v>
      </c>
      <c r="H31" s="34">
        <f>0.28+0.01</f>
        <v>0.29000000000000004</v>
      </c>
      <c r="I31" s="26">
        <f t="shared" si="2"/>
        <v>0.56200000000000006</v>
      </c>
      <c r="J31" s="26">
        <f t="shared" si="3"/>
        <v>0.80600000000000005</v>
      </c>
      <c r="K31" s="26"/>
      <c r="L31" s="14" t="s">
        <v>401</v>
      </c>
    </row>
    <row r="32" spans="1:12" ht="27" x14ac:dyDescent="0.2">
      <c r="A32" s="14"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402</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35" t="s">
        <v>28</v>
      </c>
      <c r="B34" s="34">
        <v>0.22</v>
      </c>
      <c r="C34" s="26">
        <f>0.0007+0.0035</f>
        <v>4.1999999999999997E-3</v>
      </c>
      <c r="D34" s="26">
        <f t="shared" si="0"/>
        <v>0.22420000000000001</v>
      </c>
      <c r="E34" s="26">
        <f t="shared" si="1"/>
        <v>0.40820000000000001</v>
      </c>
      <c r="F34" s="26"/>
      <c r="G34" s="34">
        <v>0.22</v>
      </c>
      <c r="H34" s="26">
        <f>0.0007+0.0035</f>
        <v>4.1999999999999997E-3</v>
      </c>
      <c r="I34" s="26">
        <f t="shared" si="2"/>
        <v>0.22420000000000001</v>
      </c>
      <c r="J34" s="26">
        <f t="shared" si="3"/>
        <v>0.46820000000000006</v>
      </c>
      <c r="K34" s="26"/>
      <c r="L34" s="14" t="s">
        <v>135</v>
      </c>
    </row>
    <row r="35" spans="1:12" ht="27" x14ac:dyDescent="0.2">
      <c r="A35" s="35" t="s">
        <v>29</v>
      </c>
      <c r="B35" s="34">
        <v>0.33</v>
      </c>
      <c r="C35" s="26">
        <f>0.0075</f>
        <v>7.4999999999999997E-3</v>
      </c>
      <c r="D35" s="26">
        <f t="shared" si="0"/>
        <v>0.33750000000000002</v>
      </c>
      <c r="E35" s="26">
        <f t="shared" si="1"/>
        <v>0.52150000000000007</v>
      </c>
      <c r="F35" s="26"/>
      <c r="G35" s="34">
        <v>0.29749999999999999</v>
      </c>
      <c r="H35" s="26">
        <f>0.0075</f>
        <v>7.4999999999999997E-3</v>
      </c>
      <c r="I35" s="26">
        <f t="shared" si="2"/>
        <v>0.30499999999999999</v>
      </c>
      <c r="J35" s="26">
        <f t="shared" si="3"/>
        <v>0.54900000000000004</v>
      </c>
      <c r="K35" s="26"/>
      <c r="L35" s="14" t="s">
        <v>61</v>
      </c>
    </row>
    <row r="36" spans="1:12" ht="27" x14ac:dyDescent="0.2">
      <c r="A36" s="14" t="s">
        <v>15</v>
      </c>
      <c r="B36" s="26">
        <v>0.248</v>
      </c>
      <c r="C36" s="26">
        <f>0.009</f>
        <v>8.9999999999999993E-3</v>
      </c>
      <c r="D36" s="26">
        <f t="shared" si="0"/>
        <v>0.25700000000000001</v>
      </c>
      <c r="E36" s="26">
        <f t="shared" si="1"/>
        <v>0.441</v>
      </c>
      <c r="F36" s="26"/>
      <c r="G36" s="26">
        <v>0.248</v>
      </c>
      <c r="H36" s="26">
        <f>0.003</f>
        <v>3.0000000000000001E-3</v>
      </c>
      <c r="I36" s="26">
        <f t="shared" si="2"/>
        <v>0.251</v>
      </c>
      <c r="J36" s="26">
        <f t="shared" si="3"/>
        <v>0.495</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0.319+0.0005</f>
        <v>0.31950000000000001</v>
      </c>
      <c r="D39" s="26">
        <f t="shared" si="0"/>
        <v>0.42449999999999999</v>
      </c>
      <c r="E39" s="26">
        <f t="shared" si="1"/>
        <v>0.60850000000000004</v>
      </c>
      <c r="F39" s="26"/>
      <c r="G39" s="26">
        <v>0.13500000000000001</v>
      </c>
      <c r="H39" s="26">
        <f>0.359+0.0005</f>
        <v>0.35949999999999999</v>
      </c>
      <c r="I39" s="26">
        <f t="shared" si="2"/>
        <v>0.4945</v>
      </c>
      <c r="J39" s="26">
        <f t="shared" si="3"/>
        <v>0.73850000000000005</v>
      </c>
      <c r="K39" s="26"/>
      <c r="L39" s="14" t="s">
        <v>403</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131" x14ac:dyDescent="0.2">
      <c r="A41" s="60" t="s">
        <v>97</v>
      </c>
      <c r="B41" s="58"/>
      <c r="C41" s="34">
        <f>0.0005+0.003274</f>
        <v>3.774E-3</v>
      </c>
      <c r="D41" s="26">
        <f>$C41</f>
        <v>3.774E-3</v>
      </c>
      <c r="E41" s="26">
        <f t="shared" si="1"/>
        <v>0.187774</v>
      </c>
      <c r="F41" s="26"/>
      <c r="G41" s="58"/>
      <c r="H41" s="34">
        <f>0.003274</f>
        <v>3.274E-3</v>
      </c>
      <c r="I41" s="26">
        <f>$H41</f>
        <v>3.274E-3</v>
      </c>
      <c r="J41" s="26">
        <f t="shared" si="3"/>
        <v>0.24727400000000002</v>
      </c>
      <c r="K41" s="26"/>
      <c r="L41" s="14" t="s">
        <v>439</v>
      </c>
    </row>
    <row r="42" spans="1:12" x14ac:dyDescent="0.2">
      <c r="A42" s="14" t="s">
        <v>17</v>
      </c>
      <c r="B42" s="26">
        <v>0.38500000000000001</v>
      </c>
      <c r="C42" s="26">
        <f>0.0025</f>
        <v>2.5000000000000001E-3</v>
      </c>
      <c r="D42" s="26">
        <f t="shared" ref="D42:D64" si="4">$B42+$C42</f>
        <v>0.38750000000000001</v>
      </c>
      <c r="E42" s="26">
        <f t="shared" si="1"/>
        <v>0.57150000000000001</v>
      </c>
      <c r="F42" s="26"/>
      <c r="G42" s="26">
        <v>0.38500000000000001</v>
      </c>
      <c r="H42" s="26">
        <f>0.0025</f>
        <v>2.5000000000000001E-3</v>
      </c>
      <c r="I42" s="26">
        <f t="shared" ref="I42:I64" si="5">$G42+$H42</f>
        <v>0.38750000000000001</v>
      </c>
      <c r="J42" s="26">
        <f t="shared" si="3"/>
        <v>0.63150000000000006</v>
      </c>
      <c r="K42" s="26"/>
      <c r="L42" s="14" t="s">
        <v>82</v>
      </c>
    </row>
    <row r="43" spans="1:12" x14ac:dyDescent="0.2">
      <c r="A43" s="14" t="s">
        <v>11</v>
      </c>
      <c r="B43" s="26">
        <v>0.23</v>
      </c>
      <c r="C43" s="26">
        <f>0.00025</f>
        <v>2.5000000000000001E-4</v>
      </c>
      <c r="D43" s="26">
        <f t="shared" si="4"/>
        <v>0.23025000000000001</v>
      </c>
      <c r="E43" s="26">
        <f t="shared" si="1"/>
        <v>0.41425000000000001</v>
      </c>
      <c r="F43" s="26"/>
      <c r="G43" s="26">
        <v>0.23</v>
      </c>
      <c r="H43" s="26">
        <f>0.00025</f>
        <v>2.5000000000000001E-4</v>
      </c>
      <c r="I43" s="26">
        <f t="shared" si="5"/>
        <v>0.23025000000000001</v>
      </c>
      <c r="J43" s="26">
        <f t="shared" si="3"/>
        <v>0.47425000000000006</v>
      </c>
      <c r="K43" s="26"/>
      <c r="L43" s="14" t="s">
        <v>64</v>
      </c>
    </row>
    <row r="44" spans="1:12" ht="27" x14ac:dyDescent="0.2">
      <c r="A44" s="14" t="s">
        <v>23</v>
      </c>
      <c r="B44" s="26">
        <v>0.38500000000000001</v>
      </c>
      <c r="C44" s="26"/>
      <c r="D44" s="26">
        <f t="shared" si="4"/>
        <v>0.38500000000000001</v>
      </c>
      <c r="E44" s="26">
        <f t="shared" si="1"/>
        <v>0.56899999999999995</v>
      </c>
      <c r="F44" s="26"/>
      <c r="G44" s="26">
        <v>0.47</v>
      </c>
      <c r="H44" s="26"/>
      <c r="I44" s="26">
        <f t="shared" si="5"/>
        <v>0.47</v>
      </c>
      <c r="J44" s="26">
        <f t="shared" si="3"/>
        <v>0.71399999999999997</v>
      </c>
      <c r="K44" s="26"/>
      <c r="L44" s="14" t="s">
        <v>348</v>
      </c>
    </row>
    <row r="45" spans="1:12" ht="27" x14ac:dyDescent="0.2">
      <c r="A45" s="14" t="s">
        <v>18</v>
      </c>
      <c r="B45" s="26">
        <v>0.19</v>
      </c>
      <c r="C45" s="26">
        <f>0.01</f>
        <v>0.01</v>
      </c>
      <c r="D45" s="26">
        <f t="shared" si="4"/>
        <v>0.2</v>
      </c>
      <c r="E45" s="26">
        <f t="shared" si="1"/>
        <v>0.38400000000000001</v>
      </c>
      <c r="F45" s="26"/>
      <c r="G45" s="26">
        <v>0.19</v>
      </c>
      <c r="H45" s="26">
        <f>0.01</f>
        <v>0.01</v>
      </c>
      <c r="I45" s="26">
        <f t="shared" si="5"/>
        <v>0.2</v>
      </c>
      <c r="J45" s="26">
        <f t="shared" si="3"/>
        <v>0.44400000000000006</v>
      </c>
      <c r="K45" s="26"/>
      <c r="L45" s="14" t="s">
        <v>65</v>
      </c>
    </row>
    <row r="46" spans="1:12" ht="27" x14ac:dyDescent="0.2">
      <c r="A46" s="14" t="s">
        <v>31</v>
      </c>
      <c r="B46" s="26">
        <v>0.38</v>
      </c>
      <c r="C46" s="26"/>
      <c r="D46" s="26">
        <f t="shared" si="4"/>
        <v>0.38</v>
      </c>
      <c r="E46" s="26">
        <f t="shared" si="1"/>
        <v>0.56400000000000006</v>
      </c>
      <c r="F46" s="26"/>
      <c r="G46" s="26">
        <v>0.38</v>
      </c>
      <c r="H46" s="26"/>
      <c r="I46" s="26">
        <f t="shared" si="5"/>
        <v>0.38</v>
      </c>
      <c r="J46" s="26">
        <f t="shared" si="3"/>
        <v>0.624</v>
      </c>
      <c r="K46" s="26"/>
      <c r="L46" s="14" t="s">
        <v>344</v>
      </c>
    </row>
    <row r="47" spans="1:12" ht="37.5" customHeight="1" x14ac:dyDescent="0.2">
      <c r="A47" s="35" t="s">
        <v>12</v>
      </c>
      <c r="B47" s="26">
        <v>0.57599999999999996</v>
      </c>
      <c r="C47" s="26">
        <f>0.011</f>
        <v>1.0999999999999999E-2</v>
      </c>
      <c r="D47" s="26">
        <f t="shared" si="4"/>
        <v>0.58699999999999997</v>
      </c>
      <c r="E47" s="26">
        <f t="shared" si="1"/>
        <v>0.77099999999999991</v>
      </c>
      <c r="F47" s="26"/>
      <c r="G47" s="26">
        <v>0.74099999999999999</v>
      </c>
      <c r="H47" s="26"/>
      <c r="I47" s="26">
        <f t="shared" si="5"/>
        <v>0.74099999999999999</v>
      </c>
      <c r="J47" s="26">
        <f t="shared" si="3"/>
        <v>0.98499999999999999</v>
      </c>
      <c r="K47" s="26"/>
      <c r="L47" s="14" t="s">
        <v>404</v>
      </c>
    </row>
    <row r="48" spans="1:12" ht="26.25" customHeight="1" x14ac:dyDescent="0.2">
      <c r="A48" s="14" t="s">
        <v>14</v>
      </c>
      <c r="B48" s="26">
        <v>0.34</v>
      </c>
      <c r="C48" s="26">
        <f>0.01+0.0012</f>
        <v>1.12E-2</v>
      </c>
      <c r="D48" s="26">
        <f t="shared" si="4"/>
        <v>0.35120000000000001</v>
      </c>
      <c r="E48" s="26">
        <f t="shared" si="1"/>
        <v>0.53520000000000001</v>
      </c>
      <c r="F48" s="26"/>
      <c r="G48" s="26">
        <v>0.34</v>
      </c>
      <c r="H48" s="26">
        <f>0.01+0.0012</f>
        <v>1.12E-2</v>
      </c>
      <c r="I48" s="26">
        <f t="shared" si="5"/>
        <v>0.35120000000000001</v>
      </c>
      <c r="J48" s="26">
        <f t="shared" si="3"/>
        <v>0.59520000000000006</v>
      </c>
      <c r="K48" s="26"/>
      <c r="L48" s="14" t="s">
        <v>83</v>
      </c>
    </row>
    <row r="49" spans="1:12" s="29" customFormat="1" x14ac:dyDescent="0.2">
      <c r="A49" s="35" t="s">
        <v>119</v>
      </c>
      <c r="B49" s="34">
        <v>0.28000000000000003</v>
      </c>
      <c r="C49" s="26">
        <f>0.0025+0.005</f>
        <v>7.4999999999999997E-3</v>
      </c>
      <c r="D49" s="26">
        <f t="shared" si="4"/>
        <v>0.28750000000000003</v>
      </c>
      <c r="E49" s="26">
        <f t="shared" si="1"/>
        <v>0.47150000000000003</v>
      </c>
      <c r="F49" s="26"/>
      <c r="G49" s="34">
        <v>0.28000000000000003</v>
      </c>
      <c r="H49" s="26">
        <f>0.0025+0.005</f>
        <v>7.4999999999999997E-3</v>
      </c>
      <c r="I49" s="26">
        <f t="shared" si="5"/>
        <v>0.28750000000000003</v>
      </c>
      <c r="J49" s="26">
        <f t="shared" si="3"/>
        <v>0.53150000000000008</v>
      </c>
      <c r="K49" s="26"/>
      <c r="L49" s="14" t="s">
        <v>67</v>
      </c>
    </row>
    <row r="50" spans="1:12" x14ac:dyDescent="0.2">
      <c r="A50" s="14" t="s">
        <v>13</v>
      </c>
      <c r="B50" s="26">
        <v>0.28000000000000003</v>
      </c>
      <c r="C50" s="26">
        <f>0.02</f>
        <v>0.02</v>
      </c>
      <c r="D50" s="26">
        <f t="shared" si="4"/>
        <v>0.30000000000000004</v>
      </c>
      <c r="E50" s="26">
        <f t="shared" si="1"/>
        <v>0.48400000000000004</v>
      </c>
      <c r="F50" s="26"/>
      <c r="G50" s="26">
        <v>0.28000000000000003</v>
      </c>
      <c r="H50" s="26">
        <f>0.02</f>
        <v>0.02</v>
      </c>
      <c r="I50" s="26">
        <f t="shared" si="5"/>
        <v>0.30000000000000004</v>
      </c>
      <c r="J50" s="26">
        <f t="shared" si="3"/>
        <v>0.54400000000000004</v>
      </c>
      <c r="K50" s="26"/>
      <c r="L50" s="14" t="s">
        <v>68</v>
      </c>
    </row>
    <row r="51" spans="1:12" x14ac:dyDescent="0.2">
      <c r="A51" s="14" t="s">
        <v>19</v>
      </c>
      <c r="B51" s="26">
        <v>0.26</v>
      </c>
      <c r="C51" s="26">
        <f>0.01+0.004</f>
        <v>1.4E-2</v>
      </c>
      <c r="D51" s="26">
        <f t="shared" si="4"/>
        <v>0.27400000000000002</v>
      </c>
      <c r="E51" s="26">
        <f t="shared" si="1"/>
        <v>0.45800000000000002</v>
      </c>
      <c r="F51" s="26"/>
      <c r="G51" s="26">
        <v>0.27</v>
      </c>
      <c r="H51" s="26">
        <f>0.01+0.004</f>
        <v>1.4E-2</v>
      </c>
      <c r="I51" s="26">
        <f t="shared" si="5"/>
        <v>0.28400000000000003</v>
      </c>
      <c r="J51" s="26">
        <f t="shared" si="3"/>
        <v>0.52800000000000002</v>
      </c>
      <c r="K51" s="26"/>
      <c r="L51" s="14" t="s">
        <v>69</v>
      </c>
    </row>
    <row r="52" spans="1:12" x14ac:dyDescent="0.2">
      <c r="A52" s="14" t="s">
        <v>24</v>
      </c>
      <c r="B52" s="26">
        <v>0.2</v>
      </c>
      <c r="C52" s="26"/>
      <c r="D52" s="26">
        <f t="shared" si="4"/>
        <v>0.2</v>
      </c>
      <c r="E52" s="26">
        <f t="shared" si="1"/>
        <v>0.38400000000000001</v>
      </c>
      <c r="F52" s="26"/>
      <c r="G52" s="26">
        <v>0.2</v>
      </c>
      <c r="H52" s="26"/>
      <c r="I52" s="26">
        <f t="shared" si="5"/>
        <v>0.2</v>
      </c>
      <c r="J52" s="26">
        <f t="shared" si="3"/>
        <v>0.44400000000000006</v>
      </c>
      <c r="K52" s="26"/>
      <c r="L52" s="14" t="s">
        <v>70</v>
      </c>
    </row>
    <row r="53" spans="1:12" x14ac:dyDescent="0.2">
      <c r="A53" s="14" t="s">
        <v>25</v>
      </c>
      <c r="B53" s="26">
        <v>0.31900000000000001</v>
      </c>
      <c r="C53" s="26">
        <f>0.0065</f>
        <v>6.4999999999999997E-3</v>
      </c>
      <c r="D53" s="26">
        <f t="shared" si="4"/>
        <v>0.32550000000000001</v>
      </c>
      <c r="E53" s="26">
        <f t="shared" si="1"/>
        <v>0.50950000000000006</v>
      </c>
      <c r="F53" s="26"/>
      <c r="G53" s="26">
        <v>0.31900000000000001</v>
      </c>
      <c r="H53" s="26">
        <f>0.0065</f>
        <v>6.4999999999999997E-3</v>
      </c>
      <c r="I53" s="26">
        <f t="shared" si="5"/>
        <v>0.32550000000000001</v>
      </c>
      <c r="J53" s="26">
        <f t="shared" si="3"/>
        <v>0.56950000000000001</v>
      </c>
      <c r="K53" s="26"/>
      <c r="L53" s="14" t="s">
        <v>71</v>
      </c>
    </row>
    <row r="54" spans="1:12" ht="40" x14ac:dyDescent="0.2">
      <c r="A54" s="35" t="s">
        <v>75</v>
      </c>
      <c r="B54" s="26">
        <v>0.121</v>
      </c>
      <c r="C54" s="34">
        <f>0.0795+0.1591+0.01</f>
        <v>0.24859999999999999</v>
      </c>
      <c r="D54" s="26">
        <f t="shared" si="4"/>
        <v>0.36959999999999998</v>
      </c>
      <c r="E54" s="26">
        <f t="shared" si="1"/>
        <v>0.55359999999999998</v>
      </c>
      <c r="F54" s="26"/>
      <c r="G54" s="26">
        <v>0.28000000000000003</v>
      </c>
      <c r="H54" s="26">
        <f>0.01+0.03</f>
        <v>0.04</v>
      </c>
      <c r="I54" s="26">
        <f t="shared" si="5"/>
        <v>0.32</v>
      </c>
      <c r="J54" s="26">
        <f t="shared" si="3"/>
        <v>0.56400000000000006</v>
      </c>
      <c r="K54" s="26"/>
      <c r="L54" s="14" t="s">
        <v>405</v>
      </c>
    </row>
    <row r="55" spans="1:12" ht="27" x14ac:dyDescent="0.2">
      <c r="A55" s="35" t="s">
        <v>98</v>
      </c>
      <c r="B55" s="34">
        <v>0.28000000000000003</v>
      </c>
      <c r="C55" s="34">
        <f>0.006+0.082</f>
        <v>8.8000000000000009E-2</v>
      </c>
      <c r="D55" s="26">
        <f t="shared" si="4"/>
        <v>0.36800000000000005</v>
      </c>
      <c r="E55" s="26">
        <f t="shared" si="1"/>
        <v>0.55200000000000005</v>
      </c>
      <c r="F55" s="26"/>
      <c r="G55" s="34">
        <v>0.28899999999999998</v>
      </c>
      <c r="H55" s="34">
        <f>0.006+0.083</f>
        <v>8.900000000000001E-2</v>
      </c>
      <c r="I55" s="26">
        <f t="shared" si="5"/>
        <v>0.378</v>
      </c>
      <c r="J55" s="26">
        <f t="shared" si="3"/>
        <v>0.622</v>
      </c>
      <c r="K55" s="26"/>
      <c r="L55" s="14" t="s">
        <v>406</v>
      </c>
    </row>
    <row r="56" spans="1:12" ht="66" x14ac:dyDescent="0.2">
      <c r="A56" s="35" t="s">
        <v>32</v>
      </c>
      <c r="B56" s="26">
        <v>0.49399999999999999</v>
      </c>
      <c r="C56" s="34">
        <f>0.0009523+0.000238+0.0286</f>
        <v>2.9790299999999999E-2</v>
      </c>
      <c r="D56" s="26">
        <f t="shared" si="4"/>
        <v>0.52379030000000004</v>
      </c>
      <c r="E56" s="26">
        <f t="shared" si="1"/>
        <v>0.70779030000000009</v>
      </c>
      <c r="F56" s="26"/>
      <c r="G56" s="26">
        <v>0.49399999999999999</v>
      </c>
      <c r="H56" s="34">
        <f>0.0009523+0.000238+0.0286</f>
        <v>2.9790299999999999E-2</v>
      </c>
      <c r="I56" s="26">
        <f t="shared" si="5"/>
        <v>0.52379030000000004</v>
      </c>
      <c r="J56" s="26">
        <f t="shared" si="3"/>
        <v>0.76779030000000004</v>
      </c>
      <c r="K56" s="26"/>
      <c r="L56" s="14" t="s">
        <v>407</v>
      </c>
    </row>
    <row r="57" spans="1:12" x14ac:dyDescent="0.2">
      <c r="A57" s="14" t="s">
        <v>26</v>
      </c>
      <c r="B57" s="26">
        <v>0.20499999999999999</v>
      </c>
      <c r="C57" s="26">
        <v>0.152</v>
      </c>
      <c r="D57" s="26">
        <f t="shared" si="4"/>
        <v>0.35699999999999998</v>
      </c>
      <c r="E57" s="26">
        <f t="shared" si="1"/>
        <v>0.54099999999999993</v>
      </c>
      <c r="F57" s="26"/>
      <c r="G57" s="26">
        <v>0.20499999999999999</v>
      </c>
      <c r="H57" s="26">
        <v>0.152</v>
      </c>
      <c r="I57" s="26">
        <f t="shared" si="5"/>
        <v>0.35699999999999998</v>
      </c>
      <c r="J57" s="26">
        <f t="shared" si="3"/>
        <v>0.60099999999999998</v>
      </c>
      <c r="K57" s="26"/>
      <c r="L57" s="14" t="s">
        <v>110</v>
      </c>
    </row>
    <row r="58" spans="1:12" x14ac:dyDescent="0.2">
      <c r="A58" s="14" t="s">
        <v>20</v>
      </c>
      <c r="B58" s="26">
        <v>0.309</v>
      </c>
      <c r="C58" s="26">
        <f>0.02</f>
        <v>0.02</v>
      </c>
      <c r="D58" s="26">
        <f t="shared" si="4"/>
        <v>0.32900000000000001</v>
      </c>
      <c r="E58" s="26">
        <f t="shared" si="1"/>
        <v>0.51300000000000001</v>
      </c>
      <c r="F58" s="26"/>
      <c r="G58" s="26">
        <v>0.309</v>
      </c>
      <c r="H58" s="26">
        <f>0.02</f>
        <v>0.02</v>
      </c>
      <c r="I58" s="26">
        <f t="shared" si="5"/>
        <v>0.32900000000000001</v>
      </c>
      <c r="J58" s="26">
        <f t="shared" si="3"/>
        <v>0.57300000000000006</v>
      </c>
      <c r="K58" s="26"/>
      <c r="L58" s="14" t="s">
        <v>72</v>
      </c>
    </row>
    <row r="59" spans="1:12" x14ac:dyDescent="0.2">
      <c r="A59" s="27" t="s">
        <v>21</v>
      </c>
      <c r="B59" s="28">
        <v>0.23</v>
      </c>
      <c r="C59" s="28">
        <f>0.01</f>
        <v>0.01</v>
      </c>
      <c r="D59" s="28">
        <f t="shared" si="4"/>
        <v>0.24000000000000002</v>
      </c>
      <c r="E59" s="28">
        <f t="shared" si="1"/>
        <v>0.42400000000000004</v>
      </c>
      <c r="F59" s="28"/>
      <c r="G59" s="28">
        <v>0.23</v>
      </c>
      <c r="H59" s="28">
        <f>0.01</f>
        <v>0.01</v>
      </c>
      <c r="I59" s="28">
        <f t="shared" si="5"/>
        <v>0.24000000000000002</v>
      </c>
      <c r="J59" s="28">
        <f t="shared" si="3"/>
        <v>0.48400000000000004</v>
      </c>
      <c r="K59" s="28"/>
      <c r="L59" s="27" t="s">
        <v>73</v>
      </c>
    </row>
    <row r="60" spans="1:12" x14ac:dyDescent="0.2">
      <c r="A60" s="14" t="s">
        <v>49</v>
      </c>
      <c r="B60" s="26">
        <v>0.35</v>
      </c>
      <c r="C60" s="26"/>
      <c r="D60" s="26">
        <f t="shared" si="4"/>
        <v>0.35</v>
      </c>
      <c r="E60" s="26"/>
      <c r="F60" s="26"/>
      <c r="G60" s="26">
        <v>0.315</v>
      </c>
      <c r="H60" s="26">
        <f>0.035</f>
        <v>3.5000000000000003E-2</v>
      </c>
      <c r="I60" s="26">
        <f t="shared" si="5"/>
        <v>0.35</v>
      </c>
      <c r="J60" s="26"/>
      <c r="K60" s="26"/>
      <c r="L60" s="14" t="s">
        <v>85</v>
      </c>
    </row>
    <row r="61" spans="1:12" ht="40" x14ac:dyDescent="0.2">
      <c r="A61" s="35" t="s">
        <v>50</v>
      </c>
      <c r="B61" s="26"/>
      <c r="C61" s="26"/>
      <c r="D61" s="26">
        <f t="shared" si="4"/>
        <v>0</v>
      </c>
      <c r="E61" s="26"/>
      <c r="F61" s="26"/>
      <c r="G61" s="26"/>
      <c r="H61" s="26"/>
      <c r="I61" s="26">
        <f t="shared" si="5"/>
        <v>0</v>
      </c>
      <c r="J61" s="26"/>
      <c r="K61" s="26"/>
      <c r="L61" s="14" t="s">
        <v>408</v>
      </c>
    </row>
    <row r="62" spans="1:12" ht="15" customHeight="1" x14ac:dyDescent="0.2">
      <c r="A62" s="14" t="s">
        <v>51</v>
      </c>
      <c r="B62" s="26">
        <v>0.15</v>
      </c>
      <c r="C62" s="26"/>
      <c r="D62" s="26">
        <f t="shared" si="4"/>
        <v>0.15</v>
      </c>
      <c r="E62" s="26"/>
      <c r="F62" s="26"/>
      <c r="G62" s="26">
        <v>0.15</v>
      </c>
      <c r="H62" s="26"/>
      <c r="I62" s="26">
        <f t="shared" si="5"/>
        <v>0.15</v>
      </c>
      <c r="J62" s="26"/>
      <c r="K62" s="26"/>
      <c r="L62" s="14" t="s">
        <v>85</v>
      </c>
    </row>
    <row r="63" spans="1:12" ht="53" x14ac:dyDescent="0.2">
      <c r="A63" s="35" t="s">
        <v>52</v>
      </c>
      <c r="B63" s="26">
        <v>0.16</v>
      </c>
      <c r="C63" s="26">
        <v>0.36899999999999999</v>
      </c>
      <c r="D63" s="26">
        <f t="shared" si="4"/>
        <v>0.52900000000000003</v>
      </c>
      <c r="E63" s="26"/>
      <c r="F63" s="26"/>
      <c r="G63" s="34">
        <v>0.04</v>
      </c>
      <c r="H63" s="26">
        <v>0.22</v>
      </c>
      <c r="I63" s="26">
        <f t="shared" si="5"/>
        <v>0.26</v>
      </c>
      <c r="J63" s="26"/>
      <c r="K63" s="26"/>
      <c r="L63" s="14" t="s">
        <v>392</v>
      </c>
    </row>
    <row r="64" spans="1:12" ht="16" thickBot="1" x14ac:dyDescent="0.25">
      <c r="A64" s="14" t="s">
        <v>81</v>
      </c>
      <c r="B64" s="26">
        <v>0.14000000000000001</v>
      </c>
      <c r="C64" s="26"/>
      <c r="D64" s="26">
        <f t="shared" si="4"/>
        <v>0.14000000000000001</v>
      </c>
      <c r="E64" s="26"/>
      <c r="F64" s="26"/>
      <c r="G64" s="26">
        <v>0.14000000000000001</v>
      </c>
      <c r="H64" s="26"/>
      <c r="I64" s="26">
        <f t="shared" si="5"/>
        <v>0.14000000000000001</v>
      </c>
      <c r="J64" s="26"/>
      <c r="K64" s="26"/>
      <c r="L64" s="14" t="s">
        <v>85</v>
      </c>
    </row>
    <row r="65" spans="1:12" ht="63" customHeight="1" x14ac:dyDescent="0.2">
      <c r="A65" s="92" t="s">
        <v>409</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372</v>
      </c>
    </row>
    <row r="71" spans="1:12" x14ac:dyDescent="0.2">
      <c r="A71" s="18" t="s">
        <v>106</v>
      </c>
      <c r="B71"/>
      <c r="C71"/>
      <c r="D71"/>
      <c r="F71" s="52" t="s">
        <v>41</v>
      </c>
      <c r="G71"/>
      <c r="H71"/>
    </row>
  </sheetData>
  <autoFilter ref="A6:J71" xr:uid="{00000000-0009-0000-0000-000001000000}">
    <filterColumn colId="1" showButton="0"/>
    <filterColumn colId="2" showButton="0"/>
    <filterColumn colId="3" showButton="0"/>
    <filterColumn colId="6" showButton="0"/>
    <filterColumn colId="7" showButton="0"/>
    <filterColumn colId="8" showButton="0"/>
  </autoFilter>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100-000000000000}"/>
  </hyperlinks>
  <pageMargins left="0.17" right="0.17" top="0.4" bottom="0.38" header="0.3" footer="0.3"/>
  <pageSetup paperSize="5"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1"/>
  <sheetViews>
    <sheetView showGridLines="0" zoomScale="90" zoomScaleNormal="90" workbookViewId="0">
      <pane ySplit="8" topLeftCell="A15" activePane="bottomLeft" state="frozen"/>
      <selection pane="bottomLeft"/>
    </sheetView>
  </sheetViews>
  <sheetFormatPr baseColWidth="10" defaultColWidth="9.332031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332031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51" t="s">
        <v>387</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53" t="s">
        <v>34</v>
      </c>
      <c r="B8" s="24">
        <f>AVERAGE(B9:B59)</f>
        <v>0.26056862745098042</v>
      </c>
      <c r="C8" s="24">
        <f>AVERAGE(C9:C59)</f>
        <v>5.6298286666666662E-2</v>
      </c>
      <c r="D8" s="24">
        <f>AVERAGE(D9:D59)</f>
        <v>0.31024358627450982</v>
      </c>
      <c r="E8" s="24">
        <f>AVERAGE(E9:E59)</f>
        <v>0.49424358627450987</v>
      </c>
      <c r="F8" s="54"/>
      <c r="G8" s="24">
        <f>AVERAGE(G9:G59)</f>
        <v>0.27635294117647058</v>
      </c>
      <c r="H8" s="24">
        <f>AVERAGE(H9:H59)</f>
        <v>5.5682071739130423E-2</v>
      </c>
      <c r="I8" s="24">
        <f>AVERAGE(I9:I59)</f>
        <v>0.32657598627450979</v>
      </c>
      <c r="J8" s="55">
        <f>AVERAGE(J9:J59)</f>
        <v>0.57057598627450989</v>
      </c>
      <c r="K8" s="24"/>
      <c r="L8" s="53"/>
    </row>
    <row r="9" spans="1:12" ht="40" x14ac:dyDescent="0.2">
      <c r="A9" s="35" t="s">
        <v>33</v>
      </c>
      <c r="B9" s="34">
        <v>0.28000000000000003</v>
      </c>
      <c r="C9" s="26">
        <v>1.2E-2</v>
      </c>
      <c r="D9" s="26">
        <f t="shared" ref="D9:D64" si="0">$B9+$C9</f>
        <v>0.29200000000000004</v>
      </c>
      <c r="E9" s="26">
        <f t="shared" ref="E9:E59" si="1">$D9+$E$4</f>
        <v>0.47600000000000003</v>
      </c>
      <c r="F9" s="26"/>
      <c r="G9" s="34">
        <v>0.28999999999999998</v>
      </c>
      <c r="H9" s="26">
        <f>0.0075+0.012</f>
        <v>1.95E-2</v>
      </c>
      <c r="I9" s="26">
        <f t="shared" ref="I9:I64" si="2">$G9+$H9</f>
        <v>0.3095</v>
      </c>
      <c r="J9" s="26">
        <f t="shared" ref="J9:J59" si="3">$I9+$J$4</f>
        <v>0.55349999999999999</v>
      </c>
      <c r="K9" s="26"/>
      <c r="L9" s="14" t="s">
        <v>373</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0.245</v>
      </c>
      <c r="C12" s="26">
        <f>0.003</f>
        <v>3.0000000000000001E-3</v>
      </c>
      <c r="D12" s="26">
        <f t="shared" si="0"/>
        <v>0.248</v>
      </c>
      <c r="E12" s="26">
        <f t="shared" si="1"/>
        <v>0.432</v>
      </c>
      <c r="F12" s="26"/>
      <c r="G12" s="26">
        <v>0.28499999999999998</v>
      </c>
      <c r="H12" s="26">
        <f>0.003</f>
        <v>3.0000000000000001E-3</v>
      </c>
      <c r="I12" s="26">
        <f t="shared" si="2"/>
        <v>0.28799999999999998</v>
      </c>
      <c r="J12" s="26">
        <f t="shared" si="3"/>
        <v>0.53200000000000003</v>
      </c>
      <c r="K12" s="26"/>
      <c r="L12" s="14" t="s">
        <v>55</v>
      </c>
    </row>
    <row r="13" spans="1:12" ht="52" x14ac:dyDescent="0.2">
      <c r="A13" s="35" t="s">
        <v>117</v>
      </c>
      <c r="B13" s="26">
        <v>0.51100000000000001</v>
      </c>
      <c r="C13" s="34">
        <f>0.055+0.02+0.002</f>
        <v>7.6999999999999999E-2</v>
      </c>
      <c r="D13" s="26">
        <f t="shared" si="0"/>
        <v>0.58799999999999997</v>
      </c>
      <c r="E13" s="26">
        <f t="shared" si="1"/>
        <v>0.77200000000000002</v>
      </c>
      <c r="F13" s="26"/>
      <c r="G13" s="26">
        <v>0.38900000000000001</v>
      </c>
      <c r="H13" s="34">
        <f>0.27+0.02+0.002</f>
        <v>0.29200000000000004</v>
      </c>
      <c r="I13" s="26">
        <f t="shared" si="2"/>
        <v>0.68100000000000005</v>
      </c>
      <c r="J13" s="26">
        <f t="shared" si="3"/>
        <v>0.92500000000000004</v>
      </c>
      <c r="K13" s="26"/>
      <c r="L13" s="15" t="s">
        <v>374</v>
      </c>
    </row>
    <row r="14" spans="1:12" ht="27" x14ac:dyDescent="0.2">
      <c r="A14" s="14" t="s">
        <v>1</v>
      </c>
      <c r="B14" s="26">
        <v>0.22</v>
      </c>
      <c r="C14" s="26">
        <f>0.0156</f>
        <v>1.5599999999999999E-2</v>
      </c>
      <c r="D14" s="26">
        <f t="shared" si="0"/>
        <v>0.2356</v>
      </c>
      <c r="E14" s="26">
        <f t="shared" si="1"/>
        <v>0.41959999999999997</v>
      </c>
      <c r="F14" s="26"/>
      <c r="G14" s="26">
        <v>0.20499999999999999</v>
      </c>
      <c r="H14" s="26">
        <v>1.5599999999999999E-2</v>
      </c>
      <c r="I14" s="26">
        <f t="shared" si="2"/>
        <v>0.22059999999999999</v>
      </c>
      <c r="J14" s="26">
        <f t="shared" si="3"/>
        <v>0.46460000000000001</v>
      </c>
      <c r="K14" s="26"/>
      <c r="L14" s="14" t="s">
        <v>358</v>
      </c>
    </row>
    <row r="15" spans="1:12" ht="53" x14ac:dyDescent="0.2">
      <c r="A15" s="14" t="s">
        <v>91</v>
      </c>
      <c r="B15" s="26">
        <v>0.25</v>
      </c>
      <c r="C15" s="26"/>
      <c r="D15" s="26">
        <f t="shared" si="0"/>
        <v>0.25</v>
      </c>
      <c r="E15" s="26">
        <f t="shared" si="1"/>
        <v>0.434</v>
      </c>
      <c r="F15" s="26"/>
      <c r="G15" s="26">
        <v>0.28999999999999998</v>
      </c>
      <c r="H15" s="26">
        <v>0.111</v>
      </c>
      <c r="I15" s="26">
        <f t="shared" si="2"/>
        <v>0.40099999999999997</v>
      </c>
      <c r="J15" s="26">
        <f t="shared" si="3"/>
        <v>0.64500000000000002</v>
      </c>
      <c r="K15" s="26"/>
      <c r="L15" s="14" t="s">
        <v>386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35" t="s">
        <v>2</v>
      </c>
      <c r="B17" s="26">
        <v>0.23499999999999999</v>
      </c>
      <c r="C17" s="34">
        <v>0.10299999999999999</v>
      </c>
      <c r="D17" s="26">
        <f t="shared" si="0"/>
        <v>0.33799999999999997</v>
      </c>
      <c r="E17" s="26">
        <f t="shared" si="1"/>
        <v>0.52200000000000002</v>
      </c>
      <c r="F17" s="26"/>
      <c r="G17" s="26">
        <v>0.23499999999999999</v>
      </c>
      <c r="H17" s="34">
        <v>0.10299999999999999</v>
      </c>
      <c r="I17" s="26">
        <f t="shared" si="2"/>
        <v>0.33799999999999997</v>
      </c>
      <c r="J17" s="26">
        <f t="shared" si="3"/>
        <v>0.58199999999999996</v>
      </c>
      <c r="K17" s="26"/>
      <c r="L17" s="14" t="s">
        <v>375</v>
      </c>
    </row>
    <row r="18" spans="1:12" ht="66" x14ac:dyDescent="0.2">
      <c r="A18" s="35" t="s">
        <v>87</v>
      </c>
      <c r="B18" s="26">
        <v>0.04</v>
      </c>
      <c r="C18" s="34">
        <f>0.15+0.00125+0.06+0.083+0.00048+0.00119+0.01904</f>
        <v>0.31496000000000002</v>
      </c>
      <c r="D18" s="26">
        <f t="shared" si="0"/>
        <v>0.35496</v>
      </c>
      <c r="E18" s="26">
        <f t="shared" si="1"/>
        <v>0.53895999999999999</v>
      </c>
      <c r="F18" s="26"/>
      <c r="G18" s="26">
        <v>0.04</v>
      </c>
      <c r="H18" s="34">
        <f>0.15+0.01+0.06+0.083+0.00048+0.00119+0.01904</f>
        <v>0.32371</v>
      </c>
      <c r="I18" s="26">
        <f t="shared" si="2"/>
        <v>0.36370999999999998</v>
      </c>
      <c r="J18" s="26">
        <f t="shared" si="3"/>
        <v>0.60770999999999997</v>
      </c>
      <c r="K18" s="26"/>
      <c r="L18" s="14" t="s">
        <v>360</v>
      </c>
    </row>
    <row r="19" spans="1:12" ht="53" x14ac:dyDescent="0.2">
      <c r="A19" s="35" t="s">
        <v>88</v>
      </c>
      <c r="B19" s="34">
        <v>0.29099999999999998</v>
      </c>
      <c r="C19" s="26">
        <f>0.0075</f>
        <v>7.4999999999999997E-3</v>
      </c>
      <c r="D19" s="26">
        <f t="shared" si="0"/>
        <v>0.29849999999999999</v>
      </c>
      <c r="E19" s="26">
        <f t="shared" si="1"/>
        <v>0.48249999999999998</v>
      </c>
      <c r="F19" s="26"/>
      <c r="G19" s="34">
        <v>0.32600000000000001</v>
      </c>
      <c r="H19" s="26">
        <f>0.0075</f>
        <v>7.4999999999999997E-3</v>
      </c>
      <c r="I19" s="26">
        <f t="shared" si="2"/>
        <v>0.33350000000000002</v>
      </c>
      <c r="J19" s="26">
        <f t="shared" si="3"/>
        <v>0.57750000000000001</v>
      </c>
      <c r="K19" s="26"/>
      <c r="L19" s="14" t="s">
        <v>388</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361</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26">
        <v>0.39200000000000002</v>
      </c>
      <c r="C22" s="34">
        <f>0.18+0.003+0.008</f>
        <v>0.191</v>
      </c>
      <c r="D22" s="26">
        <f t="shared" si="0"/>
        <v>0.58299999999999996</v>
      </c>
      <c r="E22" s="26">
        <f t="shared" si="1"/>
        <v>0.7669999999999999</v>
      </c>
      <c r="F22" s="26"/>
      <c r="G22" s="26">
        <v>0.46700000000000003</v>
      </c>
      <c r="H22" s="34">
        <f>0.18+0.003+0.008</f>
        <v>0.191</v>
      </c>
      <c r="I22" s="26">
        <f t="shared" si="2"/>
        <v>0.65800000000000003</v>
      </c>
      <c r="J22" s="26">
        <f t="shared" si="3"/>
        <v>0.90200000000000002</v>
      </c>
      <c r="K22" s="26"/>
      <c r="L22" s="14" t="s">
        <v>376</v>
      </c>
    </row>
    <row r="23" spans="1:12" ht="72.75" customHeight="1" x14ac:dyDescent="0.2">
      <c r="A23" s="35" t="s">
        <v>93</v>
      </c>
      <c r="B23" s="26">
        <v>0.32</v>
      </c>
      <c r="C23" s="34">
        <f>0.173+0.01</f>
        <v>0.183</v>
      </c>
      <c r="D23" s="26">
        <f t="shared" si="0"/>
        <v>0.503</v>
      </c>
      <c r="E23" s="26">
        <f t="shared" si="1"/>
        <v>0.68700000000000006</v>
      </c>
      <c r="F23" s="26"/>
      <c r="G23" s="26">
        <v>0.53</v>
      </c>
      <c r="H23" s="26">
        <f>0.01</f>
        <v>0.01</v>
      </c>
      <c r="I23" s="26">
        <f t="shared" si="2"/>
        <v>0.54</v>
      </c>
      <c r="J23" s="26">
        <f t="shared" si="3"/>
        <v>0.78400000000000003</v>
      </c>
      <c r="K23" s="26"/>
      <c r="L23" s="14" t="s">
        <v>377</v>
      </c>
    </row>
    <row r="24" spans="1:12" ht="40"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335</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40" x14ac:dyDescent="0.2">
      <c r="A29" s="14" t="s">
        <v>9</v>
      </c>
      <c r="B29" s="26">
        <v>0.27100000000000002</v>
      </c>
      <c r="C29" s="26">
        <f>0.09+0.0019</f>
        <v>9.1899999999999996E-2</v>
      </c>
      <c r="D29" s="26">
        <f t="shared" si="0"/>
        <v>0.3629</v>
      </c>
      <c r="E29" s="26">
        <f t="shared" si="1"/>
        <v>0.54689999999999994</v>
      </c>
      <c r="F29" s="26"/>
      <c r="G29" s="26">
        <v>0.27850000000000003</v>
      </c>
      <c r="H29" s="26">
        <f>0.09+0.0019</f>
        <v>9.1899999999999996E-2</v>
      </c>
      <c r="I29" s="26">
        <f t="shared" si="2"/>
        <v>0.37040000000000001</v>
      </c>
      <c r="J29" s="26">
        <f t="shared" si="3"/>
        <v>0.61440000000000006</v>
      </c>
      <c r="K29" s="26"/>
      <c r="L29" s="14" t="s">
        <v>389</v>
      </c>
    </row>
    <row r="30" spans="1:12" ht="40" x14ac:dyDescent="0.2">
      <c r="A30" s="35" t="s">
        <v>36</v>
      </c>
      <c r="B30" s="26">
        <v>0.24</v>
      </c>
      <c r="C30" s="34">
        <f>0.028601+0.0012</f>
        <v>2.9801000000000001E-2</v>
      </c>
      <c r="D30" s="26">
        <f t="shared" si="0"/>
        <v>0.26980100000000001</v>
      </c>
      <c r="E30" s="26">
        <f t="shared" si="1"/>
        <v>0.45380100000000001</v>
      </c>
      <c r="F30" s="26"/>
      <c r="G30" s="26">
        <v>0.24</v>
      </c>
      <c r="H30" s="34">
        <f>0.028601+0.0012</f>
        <v>2.9801000000000001E-2</v>
      </c>
      <c r="I30" s="26">
        <f t="shared" si="2"/>
        <v>0.26980100000000001</v>
      </c>
      <c r="J30" s="26">
        <f t="shared" si="3"/>
        <v>0.51380100000000006</v>
      </c>
      <c r="K30" s="26"/>
      <c r="L30" s="14" t="s">
        <v>378</v>
      </c>
    </row>
    <row r="31" spans="1:12" ht="40" x14ac:dyDescent="0.2">
      <c r="A31" s="35" t="s">
        <v>95</v>
      </c>
      <c r="B31" s="34">
        <v>0.27200000000000002</v>
      </c>
      <c r="C31" s="34">
        <f>0.175+0.01</f>
        <v>0.185</v>
      </c>
      <c r="D31" s="26">
        <f t="shared" si="0"/>
        <v>0.45700000000000002</v>
      </c>
      <c r="E31" s="26">
        <f t="shared" si="1"/>
        <v>0.64100000000000001</v>
      </c>
      <c r="F31" s="26"/>
      <c r="G31" s="34">
        <v>0.27200000000000002</v>
      </c>
      <c r="H31" s="34">
        <f>0.185+0.01</f>
        <v>0.19500000000000001</v>
      </c>
      <c r="I31" s="26">
        <f t="shared" si="2"/>
        <v>0.46700000000000003</v>
      </c>
      <c r="J31" s="26">
        <f t="shared" si="3"/>
        <v>0.71100000000000008</v>
      </c>
      <c r="K31" s="26"/>
      <c r="L31" s="14" t="s">
        <v>379</v>
      </c>
    </row>
    <row r="32" spans="1:12" ht="27" x14ac:dyDescent="0.2">
      <c r="A32" s="35"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380</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35" t="s">
        <v>28</v>
      </c>
      <c r="B34" s="34">
        <v>0.19500000000000001</v>
      </c>
      <c r="C34" s="26">
        <f>0.0007+0.0035</f>
        <v>4.1999999999999997E-3</v>
      </c>
      <c r="D34" s="26">
        <f t="shared" si="0"/>
        <v>0.19920000000000002</v>
      </c>
      <c r="E34" s="26">
        <f t="shared" si="1"/>
        <v>0.38319999999999999</v>
      </c>
      <c r="F34" s="26"/>
      <c r="G34" s="34">
        <v>0.19500000000000001</v>
      </c>
      <c r="H34" s="26">
        <f>0.0007+0.0035</f>
        <v>4.1999999999999997E-3</v>
      </c>
      <c r="I34" s="26">
        <f t="shared" si="2"/>
        <v>0.19920000000000002</v>
      </c>
      <c r="J34" s="26">
        <f t="shared" si="3"/>
        <v>0.44320000000000004</v>
      </c>
      <c r="K34" s="26"/>
      <c r="L34" s="14" t="s">
        <v>135</v>
      </c>
    </row>
    <row r="35" spans="1:12" ht="27" x14ac:dyDescent="0.2">
      <c r="A35" s="14" t="s">
        <v>29</v>
      </c>
      <c r="B35" s="26">
        <v>0.32500000000000001</v>
      </c>
      <c r="C35" s="26">
        <f>0.0075</f>
        <v>7.4999999999999997E-3</v>
      </c>
      <c r="D35" s="26">
        <f t="shared" si="0"/>
        <v>0.33250000000000002</v>
      </c>
      <c r="E35" s="26">
        <f t="shared" si="1"/>
        <v>0.51649999999999996</v>
      </c>
      <c r="F35" s="26"/>
      <c r="G35" s="26">
        <v>0.29549999999999998</v>
      </c>
      <c r="H35" s="26">
        <f>0.0075</f>
        <v>7.4999999999999997E-3</v>
      </c>
      <c r="I35" s="26">
        <f t="shared" si="2"/>
        <v>0.30299999999999999</v>
      </c>
      <c r="J35" s="26">
        <f t="shared" si="3"/>
        <v>0.54700000000000004</v>
      </c>
      <c r="K35" s="26"/>
      <c r="L35" s="14" t="s">
        <v>61</v>
      </c>
    </row>
    <row r="36" spans="1:12" ht="27" x14ac:dyDescent="0.2">
      <c r="A36" s="35" t="s">
        <v>15</v>
      </c>
      <c r="B36" s="34">
        <v>0.248</v>
      </c>
      <c r="C36" s="26">
        <f>0.009</f>
        <v>8.9999999999999993E-3</v>
      </c>
      <c r="D36" s="26">
        <f t="shared" si="0"/>
        <v>0.25700000000000001</v>
      </c>
      <c r="E36" s="26">
        <f t="shared" si="1"/>
        <v>0.441</v>
      </c>
      <c r="F36" s="26"/>
      <c r="G36" s="34">
        <v>0.248</v>
      </c>
      <c r="H36" s="26">
        <f>0.003</f>
        <v>3.0000000000000001E-3</v>
      </c>
      <c r="I36" s="26">
        <f t="shared" si="2"/>
        <v>0.251</v>
      </c>
      <c r="J36" s="26">
        <f t="shared" si="3"/>
        <v>0.495</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35" t="s">
        <v>96</v>
      </c>
      <c r="B39" s="26">
        <v>0.105</v>
      </c>
      <c r="C39" s="34">
        <f>0.319+0.0005</f>
        <v>0.31950000000000001</v>
      </c>
      <c r="D39" s="26">
        <f t="shared" si="0"/>
        <v>0.42449999999999999</v>
      </c>
      <c r="E39" s="26">
        <f t="shared" si="1"/>
        <v>0.60850000000000004</v>
      </c>
      <c r="F39" s="26"/>
      <c r="G39" s="26">
        <v>0.13500000000000001</v>
      </c>
      <c r="H39" s="34">
        <f>0.359+0.0005</f>
        <v>0.35949999999999999</v>
      </c>
      <c r="I39" s="26">
        <f t="shared" si="2"/>
        <v>0.4945</v>
      </c>
      <c r="J39" s="26">
        <f t="shared" si="3"/>
        <v>0.73850000000000005</v>
      </c>
      <c r="K39" s="26"/>
      <c r="L39" s="14" t="s">
        <v>381</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131" x14ac:dyDescent="0.2">
      <c r="A41" s="35" t="s">
        <v>97</v>
      </c>
      <c r="B41" s="26">
        <v>0.08</v>
      </c>
      <c r="C41" s="34">
        <f>0.173+0.0005+0.08+0.003274</f>
        <v>0.256774</v>
      </c>
      <c r="D41" s="26">
        <f t="shared" si="0"/>
        <v>0.33677400000000002</v>
      </c>
      <c r="E41" s="26">
        <f t="shared" si="1"/>
        <v>0.52077400000000007</v>
      </c>
      <c r="F41" s="26"/>
      <c r="G41" s="26">
        <v>0.08</v>
      </c>
      <c r="H41" s="34">
        <f>0.1555+0.08+0.003274</f>
        <v>0.23877399999999999</v>
      </c>
      <c r="I41" s="26">
        <f t="shared" si="2"/>
        <v>0.318774</v>
      </c>
      <c r="J41" s="26">
        <f t="shared" si="3"/>
        <v>0.562774</v>
      </c>
      <c r="K41" s="26"/>
      <c r="L41" s="14" t="s">
        <v>390</v>
      </c>
    </row>
    <row r="42" spans="1:12" x14ac:dyDescent="0.2">
      <c r="A42" s="35" t="s">
        <v>17</v>
      </c>
      <c r="B42" s="34">
        <v>0.38500000000000001</v>
      </c>
      <c r="C42" s="26">
        <f>0.0025</f>
        <v>2.5000000000000001E-3</v>
      </c>
      <c r="D42" s="26">
        <f t="shared" si="0"/>
        <v>0.38750000000000001</v>
      </c>
      <c r="E42" s="26">
        <f t="shared" si="1"/>
        <v>0.57150000000000001</v>
      </c>
      <c r="F42" s="26"/>
      <c r="G42" s="34">
        <v>0.38500000000000001</v>
      </c>
      <c r="H42" s="26">
        <f>0.0025</f>
        <v>2.5000000000000001E-3</v>
      </c>
      <c r="I42" s="26">
        <f t="shared" si="2"/>
        <v>0.38750000000000001</v>
      </c>
      <c r="J42" s="26">
        <f t="shared" si="3"/>
        <v>0.63150000000000006</v>
      </c>
      <c r="K42" s="26"/>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26"/>
      <c r="L43" s="14" t="s">
        <v>64</v>
      </c>
    </row>
    <row r="44" spans="1:12" ht="27" x14ac:dyDescent="0.2">
      <c r="A44" s="14" t="s">
        <v>23</v>
      </c>
      <c r="B44" s="26">
        <v>0.38500000000000001</v>
      </c>
      <c r="C44" s="26"/>
      <c r="D44" s="26">
        <f t="shared" si="0"/>
        <v>0.38500000000000001</v>
      </c>
      <c r="E44" s="26">
        <f t="shared" si="1"/>
        <v>0.56899999999999995</v>
      </c>
      <c r="F44" s="26"/>
      <c r="G44" s="26">
        <v>0.47</v>
      </c>
      <c r="H44" s="26"/>
      <c r="I44" s="26">
        <f t="shared" si="2"/>
        <v>0.47</v>
      </c>
      <c r="J44" s="26">
        <f t="shared" si="3"/>
        <v>0.71399999999999997</v>
      </c>
      <c r="K44" s="26"/>
      <c r="L44" s="14" t="s">
        <v>348</v>
      </c>
    </row>
    <row r="45" spans="1:12" ht="27" x14ac:dyDescent="0.2">
      <c r="A45" s="14" t="s">
        <v>18</v>
      </c>
      <c r="B45" s="26">
        <v>0.19</v>
      </c>
      <c r="C45" s="26">
        <f>0.01</f>
        <v>0.01</v>
      </c>
      <c r="D45" s="26">
        <f t="shared" si="0"/>
        <v>0.2</v>
      </c>
      <c r="E45" s="26">
        <f t="shared" si="1"/>
        <v>0.38400000000000001</v>
      </c>
      <c r="F45" s="26"/>
      <c r="G45" s="26">
        <v>0.19</v>
      </c>
      <c r="H45" s="26">
        <f>0.01</f>
        <v>0.01</v>
      </c>
      <c r="I45" s="26">
        <f t="shared" si="2"/>
        <v>0.2</v>
      </c>
      <c r="J45" s="26">
        <f t="shared" si="3"/>
        <v>0.44400000000000006</v>
      </c>
      <c r="K45" s="26"/>
      <c r="L45" s="14" t="s">
        <v>65</v>
      </c>
    </row>
    <row r="46" spans="1:12" ht="27" x14ac:dyDescent="0.2">
      <c r="A46" s="35" t="s">
        <v>31</v>
      </c>
      <c r="B46" s="34">
        <v>0.38</v>
      </c>
      <c r="C46" s="26"/>
      <c r="D46" s="26">
        <f t="shared" si="0"/>
        <v>0.38</v>
      </c>
      <c r="E46" s="26">
        <f t="shared" si="1"/>
        <v>0.56400000000000006</v>
      </c>
      <c r="F46" s="26"/>
      <c r="G46" s="34">
        <v>0.38</v>
      </c>
      <c r="H46" s="26"/>
      <c r="I46" s="26">
        <f t="shared" si="2"/>
        <v>0.38</v>
      </c>
      <c r="J46" s="26">
        <f t="shared" si="3"/>
        <v>0.624</v>
      </c>
      <c r="K46" s="26"/>
      <c r="L46" s="14" t="s">
        <v>344</v>
      </c>
    </row>
    <row r="47" spans="1:12" ht="37.5" customHeight="1" x14ac:dyDescent="0.2">
      <c r="A47" s="14" t="s">
        <v>12</v>
      </c>
      <c r="B47" s="26">
        <v>0.57599999999999996</v>
      </c>
      <c r="C47" s="26">
        <f>0.011</f>
        <v>1.0999999999999999E-2</v>
      </c>
      <c r="D47" s="26">
        <f t="shared" si="0"/>
        <v>0.58699999999999997</v>
      </c>
      <c r="E47" s="26">
        <f t="shared" si="1"/>
        <v>0.77099999999999991</v>
      </c>
      <c r="F47" s="26"/>
      <c r="G47" s="26">
        <v>0.74099999999999999</v>
      </c>
      <c r="H47" s="26">
        <f>0.011</f>
        <v>1.0999999999999999E-2</v>
      </c>
      <c r="I47" s="26">
        <f t="shared" si="2"/>
        <v>0.752</v>
      </c>
      <c r="J47" s="26">
        <f t="shared" si="3"/>
        <v>0.996</v>
      </c>
      <c r="K47" s="26"/>
      <c r="L47" s="14" t="s">
        <v>103</v>
      </c>
    </row>
    <row r="48" spans="1:12" ht="26.25" customHeight="1" x14ac:dyDescent="0.2">
      <c r="A48" s="14" t="s">
        <v>14</v>
      </c>
      <c r="B48" s="26">
        <v>0.34</v>
      </c>
      <c r="C48" s="26">
        <f>0.01+0.0012</f>
        <v>1.12E-2</v>
      </c>
      <c r="D48" s="26">
        <f t="shared" si="0"/>
        <v>0.35120000000000001</v>
      </c>
      <c r="E48" s="26">
        <f t="shared" si="1"/>
        <v>0.53520000000000001</v>
      </c>
      <c r="F48" s="26"/>
      <c r="G48" s="26">
        <v>0.34</v>
      </c>
      <c r="H48" s="26">
        <f>0.01+0.0012</f>
        <v>1.12E-2</v>
      </c>
      <c r="I48" s="26">
        <f t="shared" si="2"/>
        <v>0.35120000000000001</v>
      </c>
      <c r="J48" s="26">
        <f t="shared" si="3"/>
        <v>0.59520000000000006</v>
      </c>
      <c r="K48" s="26"/>
      <c r="L48" s="14" t="s">
        <v>83</v>
      </c>
    </row>
    <row r="49" spans="1:12" s="29" customFormat="1" x14ac:dyDescent="0.2">
      <c r="A49" s="14" t="s">
        <v>119</v>
      </c>
      <c r="B49" s="26">
        <v>0.26</v>
      </c>
      <c r="C49" s="26">
        <f>0.0025+0.005</f>
        <v>7.4999999999999997E-3</v>
      </c>
      <c r="D49" s="26">
        <f t="shared" si="0"/>
        <v>0.26750000000000002</v>
      </c>
      <c r="E49" s="26">
        <f t="shared" si="1"/>
        <v>0.45150000000000001</v>
      </c>
      <c r="F49" s="26"/>
      <c r="G49" s="26">
        <v>0.26</v>
      </c>
      <c r="H49" s="26">
        <f>0.0025+0.005</f>
        <v>7.4999999999999997E-3</v>
      </c>
      <c r="I49" s="26">
        <f t="shared" si="2"/>
        <v>0.26750000000000002</v>
      </c>
      <c r="J49" s="26">
        <f t="shared" si="3"/>
        <v>0.51150000000000007</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26"/>
      <c r="L50" s="14" t="s">
        <v>68</v>
      </c>
    </row>
    <row r="51" spans="1:12" x14ac:dyDescent="0.2">
      <c r="A51" s="14" t="s">
        <v>19</v>
      </c>
      <c r="B51" s="26">
        <v>0.26</v>
      </c>
      <c r="C51" s="26">
        <f>0.01+0.004</f>
        <v>1.4E-2</v>
      </c>
      <c r="D51" s="26">
        <f t="shared" si="0"/>
        <v>0.27400000000000002</v>
      </c>
      <c r="E51" s="26">
        <f t="shared" si="1"/>
        <v>0.45800000000000002</v>
      </c>
      <c r="F51" s="26"/>
      <c r="G51" s="26">
        <v>0.27</v>
      </c>
      <c r="H51" s="26">
        <f>0.01+0.004</f>
        <v>1.4E-2</v>
      </c>
      <c r="I51" s="26">
        <f t="shared" si="2"/>
        <v>0.28400000000000003</v>
      </c>
      <c r="J51" s="26">
        <f t="shared" si="3"/>
        <v>0.52800000000000002</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26"/>
      <c r="L52" s="14" t="s">
        <v>70</v>
      </c>
    </row>
    <row r="53" spans="1:12" x14ac:dyDescent="0.2">
      <c r="A53" s="35" t="s">
        <v>25</v>
      </c>
      <c r="B53" s="34">
        <v>0.31900000000000001</v>
      </c>
      <c r="C53" s="26">
        <f>0.0065</f>
        <v>6.4999999999999997E-3</v>
      </c>
      <c r="D53" s="26">
        <f t="shared" si="0"/>
        <v>0.32550000000000001</v>
      </c>
      <c r="E53" s="26">
        <f t="shared" si="1"/>
        <v>0.50950000000000006</v>
      </c>
      <c r="F53" s="26"/>
      <c r="G53" s="34">
        <v>0.31900000000000001</v>
      </c>
      <c r="H53" s="26">
        <f>0.0065</f>
        <v>6.4999999999999997E-3</v>
      </c>
      <c r="I53" s="26">
        <f t="shared" si="2"/>
        <v>0.32550000000000001</v>
      </c>
      <c r="J53" s="26">
        <f t="shared" si="3"/>
        <v>0.56950000000000001</v>
      </c>
      <c r="K53" s="26"/>
      <c r="L53" s="14" t="s">
        <v>71</v>
      </c>
    </row>
    <row r="54" spans="1:12" ht="40" x14ac:dyDescent="0.2">
      <c r="A54" s="35" t="s">
        <v>75</v>
      </c>
      <c r="B54" s="26">
        <v>0.121</v>
      </c>
      <c r="C54" s="34">
        <f>0.0564+0.134+0.01</f>
        <v>0.20040000000000002</v>
      </c>
      <c r="D54" s="26">
        <f t="shared" si="0"/>
        <v>0.32140000000000002</v>
      </c>
      <c r="E54" s="26">
        <f t="shared" si="1"/>
        <v>0.50540000000000007</v>
      </c>
      <c r="F54" s="26"/>
      <c r="G54" s="26">
        <v>0.28000000000000003</v>
      </c>
      <c r="H54" s="26">
        <f>0.01+0.03</f>
        <v>0.04</v>
      </c>
      <c r="I54" s="26">
        <f t="shared" si="2"/>
        <v>0.32</v>
      </c>
      <c r="J54" s="26">
        <f t="shared" si="3"/>
        <v>0.56400000000000006</v>
      </c>
      <c r="K54" s="26"/>
      <c r="L54" s="14" t="s">
        <v>382</v>
      </c>
    </row>
    <row r="55" spans="1:12" ht="27" x14ac:dyDescent="0.2">
      <c r="A55" s="35" t="s">
        <v>98</v>
      </c>
      <c r="B55" s="26">
        <v>0.26200000000000001</v>
      </c>
      <c r="C55" s="34">
        <f>0.002+0.077</f>
        <v>7.9000000000000001E-2</v>
      </c>
      <c r="D55" s="26">
        <f t="shared" si="0"/>
        <v>0.34100000000000003</v>
      </c>
      <c r="E55" s="26">
        <f t="shared" si="1"/>
        <v>0.52500000000000002</v>
      </c>
      <c r="F55" s="26"/>
      <c r="G55" s="26">
        <v>0.27</v>
      </c>
      <c r="H55" s="34">
        <f>0.002+0.078</f>
        <v>0.08</v>
      </c>
      <c r="I55" s="26">
        <f t="shared" si="2"/>
        <v>0.35000000000000003</v>
      </c>
      <c r="J55" s="26">
        <f t="shared" si="3"/>
        <v>0.59400000000000008</v>
      </c>
      <c r="K55" s="26"/>
      <c r="L55" s="35" t="s">
        <v>383</v>
      </c>
    </row>
    <row r="56" spans="1:12" ht="66" x14ac:dyDescent="0.2">
      <c r="A56" s="35" t="s">
        <v>32</v>
      </c>
      <c r="B56" s="26">
        <v>0.49399999999999999</v>
      </c>
      <c r="C56" s="34">
        <f>0.0009523+0.000238+0.027</f>
        <v>2.8190300000000001E-2</v>
      </c>
      <c r="D56" s="26">
        <f t="shared" si="0"/>
        <v>0.5221903</v>
      </c>
      <c r="E56" s="26">
        <f t="shared" si="1"/>
        <v>0.70619030000000005</v>
      </c>
      <c r="F56" s="26"/>
      <c r="G56" s="26">
        <v>0.49399999999999999</v>
      </c>
      <c r="H56" s="34">
        <f>0.0009523+0.000238+0.027</f>
        <v>2.8190300000000001E-2</v>
      </c>
      <c r="I56" s="26">
        <f t="shared" si="2"/>
        <v>0.5221903</v>
      </c>
      <c r="J56" s="26">
        <f t="shared" si="3"/>
        <v>0.76619029999999999</v>
      </c>
      <c r="K56" s="26"/>
      <c r="L56" s="14" t="s">
        <v>384</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26"/>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26"/>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28"/>
      <c r="L59" s="27" t="s">
        <v>73</v>
      </c>
    </row>
    <row r="60" spans="1:12" x14ac:dyDescent="0.2">
      <c r="A60" s="14" t="s">
        <v>49</v>
      </c>
      <c r="B60" s="26">
        <v>0.35</v>
      </c>
      <c r="C60" s="26"/>
      <c r="D60" s="26">
        <f t="shared" si="0"/>
        <v>0.35</v>
      </c>
      <c r="E60" s="26"/>
      <c r="F60" s="26"/>
      <c r="G60" s="26">
        <v>0.315</v>
      </c>
      <c r="H60" s="26">
        <f>0.035</f>
        <v>3.5000000000000003E-2</v>
      </c>
      <c r="I60" s="26">
        <f t="shared" si="2"/>
        <v>0.35</v>
      </c>
      <c r="J60" s="26"/>
      <c r="K60" s="26"/>
      <c r="L60" s="14" t="s">
        <v>85</v>
      </c>
    </row>
    <row r="61" spans="1:12" ht="40" x14ac:dyDescent="0.2">
      <c r="A61" s="14" t="s">
        <v>50</v>
      </c>
      <c r="B61" s="26">
        <v>0.15</v>
      </c>
      <c r="C61" s="26">
        <f>0.04</f>
        <v>0.04</v>
      </c>
      <c r="D61" s="26">
        <f t="shared" si="0"/>
        <v>0.19</v>
      </c>
      <c r="E61" s="26"/>
      <c r="F61" s="26"/>
      <c r="G61" s="26">
        <v>0.14000000000000001</v>
      </c>
      <c r="H61" s="26">
        <f>0.04</f>
        <v>0.04</v>
      </c>
      <c r="I61" s="26">
        <f t="shared" si="2"/>
        <v>0.18000000000000002</v>
      </c>
      <c r="J61" s="26"/>
      <c r="K61" s="26"/>
      <c r="L61" s="14" t="s">
        <v>391</v>
      </c>
    </row>
    <row r="62" spans="1:12" ht="15" customHeight="1" x14ac:dyDescent="0.2">
      <c r="A62" s="14" t="s">
        <v>51</v>
      </c>
      <c r="B62" s="26">
        <v>0.15</v>
      </c>
      <c r="C62" s="26"/>
      <c r="D62" s="26">
        <f t="shared" si="0"/>
        <v>0.15</v>
      </c>
      <c r="E62" s="26"/>
      <c r="F62" s="26"/>
      <c r="G62" s="26">
        <v>0.15</v>
      </c>
      <c r="H62" s="26"/>
      <c r="I62" s="26">
        <f t="shared" si="2"/>
        <v>0.15</v>
      </c>
      <c r="J62" s="26"/>
      <c r="K62" s="26"/>
      <c r="L62" s="14" t="s">
        <v>85</v>
      </c>
    </row>
    <row r="63" spans="1:12" ht="53" x14ac:dyDescent="0.2">
      <c r="A63" s="14" t="s">
        <v>52</v>
      </c>
      <c r="B63" s="26">
        <v>0.16</v>
      </c>
      <c r="C63" s="26">
        <v>0.36899999999999999</v>
      </c>
      <c r="D63" s="26">
        <f t="shared" si="0"/>
        <v>0.52900000000000003</v>
      </c>
      <c r="E63" s="26"/>
      <c r="F63" s="26"/>
      <c r="G63" s="26">
        <v>0.08</v>
      </c>
      <c r="H63" s="26">
        <v>0.22</v>
      </c>
      <c r="I63" s="26">
        <f t="shared" si="2"/>
        <v>0.3</v>
      </c>
      <c r="J63" s="26"/>
      <c r="K63" s="26"/>
      <c r="L63" s="14" t="s">
        <v>392</v>
      </c>
    </row>
    <row r="64" spans="1:12" ht="16" thickBot="1" x14ac:dyDescent="0.25">
      <c r="A64" s="14" t="s">
        <v>81</v>
      </c>
      <c r="B64" s="26">
        <v>0.14000000000000001</v>
      </c>
      <c r="C64" s="26"/>
      <c r="D64" s="26">
        <f t="shared" si="0"/>
        <v>0.14000000000000001</v>
      </c>
      <c r="E64" s="26"/>
      <c r="F64" s="26"/>
      <c r="G64" s="26">
        <v>0.14000000000000001</v>
      </c>
      <c r="H64" s="26"/>
      <c r="I64" s="26">
        <f t="shared" si="2"/>
        <v>0.14000000000000001</v>
      </c>
      <c r="J64" s="26"/>
      <c r="K64" s="26"/>
      <c r="L64" s="14" t="s">
        <v>85</v>
      </c>
    </row>
    <row r="65" spans="1:12" ht="63" customHeight="1" x14ac:dyDescent="0.2">
      <c r="A65" s="92" t="s">
        <v>385</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372</v>
      </c>
    </row>
    <row r="71" spans="1:12" x14ac:dyDescent="0.2">
      <c r="A71" s="18" t="s">
        <v>106</v>
      </c>
      <c r="B71"/>
      <c r="C71"/>
      <c r="D71"/>
      <c r="F71" s="52"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200-000000000000}"/>
  </hyperlinks>
  <pageMargins left="0.17" right="0.17" top="0.4" bottom="0.38" header="0.3" footer="0.3"/>
  <pageSetup paperSize="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51" t="s">
        <v>355</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0.25903921568627453</v>
      </c>
      <c r="C8" s="24">
        <f>AVERAGE(C9:C59)</f>
        <v>5.3521131111111113E-2</v>
      </c>
      <c r="D8" s="32">
        <f>AVERAGE(D9:D59)</f>
        <v>0.30626374313725491</v>
      </c>
      <c r="E8" s="32">
        <f>AVERAGE(E9:E59)</f>
        <v>0.49026374313725496</v>
      </c>
      <c r="F8" s="3"/>
      <c r="G8" s="32">
        <f>AVERAGE(G9:G59)</f>
        <v>0.27482352941176469</v>
      </c>
      <c r="H8" s="32">
        <f>AVERAGE(H9:H59)</f>
        <v>5.3282680434782591E-2</v>
      </c>
      <c r="I8" s="32">
        <f>AVERAGE(I9:I59)</f>
        <v>0.32288241764705877</v>
      </c>
      <c r="J8" s="21">
        <f>AVERAGE(J9:J59)</f>
        <v>0.56688241764705893</v>
      </c>
      <c r="K8" s="32"/>
      <c r="L8" s="11"/>
    </row>
    <row r="9" spans="1:12" ht="40" x14ac:dyDescent="0.2">
      <c r="A9" s="35" t="s">
        <v>33</v>
      </c>
      <c r="B9" s="26">
        <v>0.26</v>
      </c>
      <c r="C9" s="34">
        <v>1.2E-2</v>
      </c>
      <c r="D9" s="26">
        <f t="shared" ref="D9:D64" si="0">$B9+$C9</f>
        <v>0.27200000000000002</v>
      </c>
      <c r="E9" s="26">
        <f t="shared" ref="E9:E59" si="1">$D9+$E$4</f>
        <v>0.45600000000000002</v>
      </c>
      <c r="F9" s="26"/>
      <c r="G9" s="26">
        <v>0.27</v>
      </c>
      <c r="H9" s="34">
        <f>0.0075+0.012</f>
        <v>1.95E-2</v>
      </c>
      <c r="I9" s="26">
        <f t="shared" ref="I9:I64" si="2">$G9+$H9</f>
        <v>0.28950000000000004</v>
      </c>
      <c r="J9" s="26">
        <f t="shared" ref="J9:J59" si="3">$I9+$J$4</f>
        <v>0.53350000000000009</v>
      </c>
      <c r="K9" s="26"/>
      <c r="L9" s="14" t="s">
        <v>356</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0.245</v>
      </c>
      <c r="C12" s="26">
        <f>0.003</f>
        <v>3.0000000000000001E-3</v>
      </c>
      <c r="D12" s="26">
        <f t="shared" si="0"/>
        <v>0.248</v>
      </c>
      <c r="E12" s="26">
        <f t="shared" si="1"/>
        <v>0.432</v>
      </c>
      <c r="F12" s="26"/>
      <c r="G12" s="26">
        <v>0.28499999999999998</v>
      </c>
      <c r="H12" s="26">
        <f>0.003</f>
        <v>3.0000000000000001E-3</v>
      </c>
      <c r="I12" s="26">
        <f t="shared" si="2"/>
        <v>0.28799999999999998</v>
      </c>
      <c r="J12" s="26">
        <f t="shared" si="3"/>
        <v>0.53200000000000003</v>
      </c>
      <c r="K12" s="26"/>
      <c r="L12" s="14" t="s">
        <v>55</v>
      </c>
    </row>
    <row r="13" spans="1:12" ht="52" x14ac:dyDescent="0.2">
      <c r="A13" s="35" t="s">
        <v>117</v>
      </c>
      <c r="B13" s="34">
        <v>0.51100000000000001</v>
      </c>
      <c r="C13" s="34">
        <f>0.055+0.02+0.00155</f>
        <v>7.6549999999999993E-2</v>
      </c>
      <c r="D13" s="26">
        <f t="shared" si="0"/>
        <v>0.58755000000000002</v>
      </c>
      <c r="E13" s="26">
        <f t="shared" si="1"/>
        <v>0.77154999999999996</v>
      </c>
      <c r="F13" s="26"/>
      <c r="G13" s="34">
        <v>0.38900000000000001</v>
      </c>
      <c r="H13" s="34">
        <f>0.27+0.02+0.00155</f>
        <v>0.29155000000000003</v>
      </c>
      <c r="I13" s="26">
        <f t="shared" si="2"/>
        <v>0.68054999999999999</v>
      </c>
      <c r="J13" s="26">
        <f t="shared" si="3"/>
        <v>0.92454999999999998</v>
      </c>
      <c r="K13" s="26"/>
      <c r="L13" s="15" t="s">
        <v>357</v>
      </c>
    </row>
    <row r="14" spans="1:12" ht="27" x14ac:dyDescent="0.2">
      <c r="A14" s="14" t="s">
        <v>1</v>
      </c>
      <c r="B14" s="26">
        <v>0.22</v>
      </c>
      <c r="C14" s="26">
        <f>0.0156</f>
        <v>1.5599999999999999E-2</v>
      </c>
      <c r="D14" s="26">
        <f t="shared" si="0"/>
        <v>0.2356</v>
      </c>
      <c r="E14" s="26">
        <f t="shared" si="1"/>
        <v>0.41959999999999997</v>
      </c>
      <c r="F14" s="26"/>
      <c r="G14" s="26">
        <v>0.20499999999999999</v>
      </c>
      <c r="H14" s="26">
        <v>1.5599999999999999E-2</v>
      </c>
      <c r="I14" s="26">
        <f t="shared" si="2"/>
        <v>0.22059999999999999</v>
      </c>
      <c r="J14" s="26">
        <f t="shared" si="3"/>
        <v>0.46460000000000001</v>
      </c>
      <c r="K14" s="26"/>
      <c r="L14" s="14" t="s">
        <v>358</v>
      </c>
    </row>
    <row r="15" spans="1:12" ht="53" x14ac:dyDescent="0.2">
      <c r="A15" s="35" t="s">
        <v>91</v>
      </c>
      <c r="B15" s="26">
        <v>0.25</v>
      </c>
      <c r="C15" s="26"/>
      <c r="D15" s="26">
        <f t="shared" si="0"/>
        <v>0.25</v>
      </c>
      <c r="E15" s="26">
        <f t="shared" si="1"/>
        <v>0.434</v>
      </c>
      <c r="F15" s="26"/>
      <c r="G15" s="26">
        <v>0.28999999999999998</v>
      </c>
      <c r="H15" s="34">
        <v>0.111</v>
      </c>
      <c r="I15" s="26">
        <f t="shared" si="2"/>
        <v>0.40099999999999997</v>
      </c>
      <c r="J15" s="26">
        <f t="shared" si="3"/>
        <v>0.64500000000000002</v>
      </c>
      <c r="K15" s="26"/>
      <c r="L15" s="14" t="s">
        <v>359</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v>5.2999999999999999E-2</v>
      </c>
      <c r="D17" s="26">
        <f t="shared" si="0"/>
        <v>0.28799999999999998</v>
      </c>
      <c r="E17" s="26">
        <f t="shared" si="1"/>
        <v>0.47199999999999998</v>
      </c>
      <c r="F17" s="26"/>
      <c r="G17" s="26">
        <v>0.23499999999999999</v>
      </c>
      <c r="H17" s="26">
        <v>5.2999999999999999E-2</v>
      </c>
      <c r="I17" s="26">
        <f t="shared" si="2"/>
        <v>0.28799999999999998</v>
      </c>
      <c r="J17" s="26">
        <f t="shared" si="3"/>
        <v>0.53200000000000003</v>
      </c>
      <c r="K17" s="26"/>
      <c r="L17" s="14" t="s">
        <v>350</v>
      </c>
    </row>
    <row r="18" spans="1:12" ht="66" x14ac:dyDescent="0.2">
      <c r="A18" s="14" t="s">
        <v>87</v>
      </c>
      <c r="B18" s="26">
        <v>0.04</v>
      </c>
      <c r="C18" s="26">
        <f>0.145+0.00125+0.06+0.08+0.00048+0.00119+0.01904</f>
        <v>0.30696000000000001</v>
      </c>
      <c r="D18" s="26">
        <f t="shared" si="0"/>
        <v>0.34695999999999999</v>
      </c>
      <c r="E18" s="26">
        <f t="shared" si="1"/>
        <v>0.53095999999999999</v>
      </c>
      <c r="F18" s="26"/>
      <c r="G18" s="26">
        <v>0.04</v>
      </c>
      <c r="H18" s="26">
        <f>0.145+0.01+0.06+0.08+0.00048+0.00119+0.01904</f>
        <v>0.31570999999999999</v>
      </c>
      <c r="I18" s="26">
        <f t="shared" si="2"/>
        <v>0.35570999999999997</v>
      </c>
      <c r="J18" s="26">
        <f t="shared" si="3"/>
        <v>0.59970999999999997</v>
      </c>
      <c r="K18" s="26"/>
      <c r="L18" s="14" t="s">
        <v>360</v>
      </c>
    </row>
    <row r="19" spans="1:12" ht="40" x14ac:dyDescent="0.2">
      <c r="A19" s="14" t="s">
        <v>88</v>
      </c>
      <c r="B19" s="26">
        <v>0.28699999999999998</v>
      </c>
      <c r="C19" s="26">
        <f>0.0075</f>
        <v>7.4999999999999997E-3</v>
      </c>
      <c r="D19" s="26">
        <f t="shared" si="0"/>
        <v>0.29449999999999998</v>
      </c>
      <c r="E19" s="26">
        <f t="shared" si="1"/>
        <v>0.47849999999999998</v>
      </c>
      <c r="F19" s="26"/>
      <c r="G19" s="26">
        <v>0.32200000000000001</v>
      </c>
      <c r="H19" s="26">
        <f>0.0075</f>
        <v>7.4999999999999997E-3</v>
      </c>
      <c r="I19" s="26">
        <f t="shared" si="2"/>
        <v>0.32950000000000002</v>
      </c>
      <c r="J19" s="26">
        <f t="shared" si="3"/>
        <v>0.57350000000000001</v>
      </c>
      <c r="K19" s="26"/>
      <c r="L19" s="14" t="s">
        <v>313</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361</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34">
        <v>0.39200000000000002</v>
      </c>
      <c r="C22" s="34">
        <f>0.15+0.003+0.008</f>
        <v>0.161</v>
      </c>
      <c r="D22" s="26">
        <f t="shared" si="0"/>
        <v>0.55300000000000005</v>
      </c>
      <c r="E22" s="26">
        <f t="shared" si="1"/>
        <v>0.7370000000000001</v>
      </c>
      <c r="F22" s="26"/>
      <c r="G22" s="34">
        <v>0.46700000000000003</v>
      </c>
      <c r="H22" s="34">
        <f>0.15+0.003+0.008</f>
        <v>0.161</v>
      </c>
      <c r="I22" s="26">
        <f t="shared" si="2"/>
        <v>0.628</v>
      </c>
      <c r="J22" s="26">
        <f t="shared" si="3"/>
        <v>0.872</v>
      </c>
      <c r="K22" s="26"/>
      <c r="L22" s="14" t="s">
        <v>362</v>
      </c>
    </row>
    <row r="23" spans="1:12" ht="72.75" customHeight="1" x14ac:dyDescent="0.2">
      <c r="A23" s="35" t="s">
        <v>93</v>
      </c>
      <c r="B23" s="34">
        <v>0.32</v>
      </c>
      <c r="C23" s="34">
        <f>0.168+0.01</f>
        <v>0.17800000000000002</v>
      </c>
      <c r="D23" s="26">
        <f t="shared" si="0"/>
        <v>0.498</v>
      </c>
      <c r="E23" s="26">
        <f t="shared" si="1"/>
        <v>0.68199999999999994</v>
      </c>
      <c r="F23" s="26"/>
      <c r="G23" s="34">
        <v>0.53</v>
      </c>
      <c r="H23" s="26">
        <f>0.01</f>
        <v>0.01</v>
      </c>
      <c r="I23" s="26">
        <f t="shared" si="2"/>
        <v>0.54</v>
      </c>
      <c r="J23" s="26">
        <f t="shared" si="3"/>
        <v>0.78400000000000003</v>
      </c>
      <c r="K23" s="26"/>
      <c r="L23" s="14" t="s">
        <v>363</v>
      </c>
    </row>
    <row r="24" spans="1:12" ht="40"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335</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35" t="s">
        <v>9</v>
      </c>
      <c r="B29" s="34">
        <v>0.27100000000000002</v>
      </c>
      <c r="C29" s="34">
        <f>0.09+0.0019</f>
        <v>9.1899999999999996E-2</v>
      </c>
      <c r="D29" s="26">
        <f t="shared" si="0"/>
        <v>0.3629</v>
      </c>
      <c r="E29" s="26">
        <f t="shared" si="1"/>
        <v>0.54689999999999994</v>
      </c>
      <c r="F29" s="26"/>
      <c r="G29" s="34">
        <v>0.27850000000000003</v>
      </c>
      <c r="H29" s="34">
        <f>0.09+0.0019</f>
        <v>9.1899999999999996E-2</v>
      </c>
      <c r="I29" s="26">
        <f t="shared" si="2"/>
        <v>0.37040000000000001</v>
      </c>
      <c r="J29" s="26">
        <f t="shared" si="3"/>
        <v>0.61440000000000006</v>
      </c>
      <c r="K29" s="26"/>
      <c r="L29" s="14" t="s">
        <v>364</v>
      </c>
    </row>
    <row r="30" spans="1:12" ht="40" x14ac:dyDescent="0.2">
      <c r="A30" s="14" t="s">
        <v>36</v>
      </c>
      <c r="B30" s="26">
        <v>0.24</v>
      </c>
      <c r="C30" s="26">
        <f>0.027769+0.0012</f>
        <v>2.8968999999999998E-2</v>
      </c>
      <c r="D30" s="26">
        <f t="shared" si="0"/>
        <v>0.26896900000000001</v>
      </c>
      <c r="E30" s="26">
        <f t="shared" si="1"/>
        <v>0.45296900000000001</v>
      </c>
      <c r="F30" s="26"/>
      <c r="G30" s="26">
        <v>0.24</v>
      </c>
      <c r="H30" s="26">
        <f>0.027769+0.0012</f>
        <v>2.8968999999999998E-2</v>
      </c>
      <c r="I30" s="26">
        <f t="shared" si="2"/>
        <v>0.26896900000000001</v>
      </c>
      <c r="J30" s="26">
        <f t="shared" si="3"/>
        <v>0.51296900000000001</v>
      </c>
      <c r="K30" s="26"/>
      <c r="L30" s="14" t="s">
        <v>365</v>
      </c>
    </row>
    <row r="31" spans="1:12" ht="40" x14ac:dyDescent="0.2">
      <c r="A31" s="35" t="s">
        <v>95</v>
      </c>
      <c r="B31" s="26">
        <v>0.26300000000000001</v>
      </c>
      <c r="C31" s="34">
        <f>0.15+0.01</f>
        <v>0.16</v>
      </c>
      <c r="D31" s="26">
        <f t="shared" si="0"/>
        <v>0.42300000000000004</v>
      </c>
      <c r="E31" s="26">
        <f t="shared" si="1"/>
        <v>0.60699999999999998</v>
      </c>
      <c r="F31" s="26"/>
      <c r="G31" s="26">
        <v>0.26300000000000001</v>
      </c>
      <c r="H31" s="34">
        <f>0.162+0.01</f>
        <v>0.17200000000000001</v>
      </c>
      <c r="I31" s="26">
        <f t="shared" si="2"/>
        <v>0.43500000000000005</v>
      </c>
      <c r="J31" s="26">
        <f t="shared" si="3"/>
        <v>0.67900000000000005</v>
      </c>
      <c r="K31" s="26"/>
      <c r="L31" s="14" t="s">
        <v>366</v>
      </c>
    </row>
    <row r="32" spans="1:12" ht="27" x14ac:dyDescent="0.2">
      <c r="A32" s="35" t="s">
        <v>10</v>
      </c>
      <c r="B32" s="26">
        <v>0.28499999999999998</v>
      </c>
      <c r="C32" s="34">
        <f>0.001</f>
        <v>1E-3</v>
      </c>
      <c r="D32" s="26">
        <f t="shared" si="0"/>
        <v>0.28599999999999998</v>
      </c>
      <c r="E32" s="26">
        <f t="shared" si="1"/>
        <v>0.47</v>
      </c>
      <c r="F32" s="26"/>
      <c r="G32" s="26">
        <v>0.28499999999999998</v>
      </c>
      <c r="H32" s="34">
        <f>0.001</f>
        <v>1E-3</v>
      </c>
      <c r="I32" s="26">
        <f t="shared" si="2"/>
        <v>0.28599999999999998</v>
      </c>
      <c r="J32" s="26">
        <f t="shared" si="3"/>
        <v>0.53</v>
      </c>
      <c r="K32" s="26"/>
      <c r="L32" s="14" t="s">
        <v>367</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0.17</v>
      </c>
      <c r="C34" s="26">
        <v>4.1999999999999997E-3</v>
      </c>
      <c r="D34" s="26">
        <f t="shared" si="0"/>
        <v>0.17420000000000002</v>
      </c>
      <c r="E34" s="26">
        <f t="shared" si="1"/>
        <v>0.35820000000000002</v>
      </c>
      <c r="F34" s="26"/>
      <c r="G34" s="26">
        <v>0.17</v>
      </c>
      <c r="H34" s="26">
        <f>0.0007+0.0035</f>
        <v>4.1999999999999997E-3</v>
      </c>
      <c r="I34" s="26">
        <f t="shared" si="2"/>
        <v>0.17420000000000002</v>
      </c>
      <c r="J34" s="26">
        <f t="shared" si="3"/>
        <v>0.41820000000000002</v>
      </c>
      <c r="K34" s="26"/>
      <c r="L34" s="14" t="s">
        <v>135</v>
      </c>
    </row>
    <row r="35" spans="1:12" ht="27" x14ac:dyDescent="0.2">
      <c r="A35" s="35" t="s">
        <v>29</v>
      </c>
      <c r="B35" s="34">
        <v>0.32500000000000001</v>
      </c>
      <c r="C35" s="26">
        <f>0.0075</f>
        <v>7.4999999999999997E-3</v>
      </c>
      <c r="D35" s="26">
        <f t="shared" si="0"/>
        <v>0.33250000000000002</v>
      </c>
      <c r="E35" s="26">
        <f t="shared" si="1"/>
        <v>0.51649999999999996</v>
      </c>
      <c r="F35" s="26"/>
      <c r="G35" s="34">
        <v>0.29549999999999998</v>
      </c>
      <c r="H35" s="26">
        <f>0.0075</f>
        <v>7.4999999999999997E-3</v>
      </c>
      <c r="I35" s="26">
        <f t="shared" si="2"/>
        <v>0.30299999999999999</v>
      </c>
      <c r="J35" s="26">
        <f t="shared" si="3"/>
        <v>0.54700000000000004</v>
      </c>
      <c r="K35" s="26"/>
      <c r="L35" s="14" t="s">
        <v>61</v>
      </c>
    </row>
    <row r="36" spans="1:12" ht="27" x14ac:dyDescent="0.2">
      <c r="A36" s="35" t="s">
        <v>15</v>
      </c>
      <c r="B36" s="34">
        <v>0.27700000000000002</v>
      </c>
      <c r="C36" s="26">
        <f>0.009</f>
        <v>8.9999999999999993E-3</v>
      </c>
      <c r="D36" s="26">
        <f t="shared" si="0"/>
        <v>0.28600000000000003</v>
      </c>
      <c r="E36" s="26">
        <f t="shared" si="1"/>
        <v>0.47000000000000003</v>
      </c>
      <c r="F36" s="26"/>
      <c r="G36" s="34">
        <v>0.27700000000000002</v>
      </c>
      <c r="H36" s="26">
        <f>0.003</f>
        <v>3.0000000000000001E-3</v>
      </c>
      <c r="I36" s="26">
        <f t="shared" si="2"/>
        <v>0.28000000000000003</v>
      </c>
      <c r="J36" s="26">
        <f t="shared" si="3"/>
        <v>0.52400000000000002</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0.402+0.0005</f>
        <v>0.40250000000000002</v>
      </c>
      <c r="D39" s="26">
        <f t="shared" si="0"/>
        <v>0.50750000000000006</v>
      </c>
      <c r="E39" s="26">
        <f t="shared" si="1"/>
        <v>0.6915</v>
      </c>
      <c r="F39" s="26"/>
      <c r="G39" s="26">
        <v>0.13500000000000001</v>
      </c>
      <c r="H39" s="26">
        <f>0.442+0.0005</f>
        <v>0.4425</v>
      </c>
      <c r="I39" s="26">
        <f t="shared" si="2"/>
        <v>0.57750000000000001</v>
      </c>
      <c r="J39" s="26">
        <f t="shared" si="3"/>
        <v>0.82150000000000001</v>
      </c>
      <c r="K39" s="26"/>
      <c r="L39" s="14" t="s">
        <v>368</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14" t="s">
        <v>97</v>
      </c>
      <c r="B41" s="26">
        <v>0.08</v>
      </c>
      <c r="C41" s="26">
        <f>0.166+0.0005+0.08+0.003274</f>
        <v>0.249774</v>
      </c>
      <c r="D41" s="26">
        <f t="shared" si="0"/>
        <v>0.32977400000000001</v>
      </c>
      <c r="E41" s="26">
        <f t="shared" si="1"/>
        <v>0.51377399999999995</v>
      </c>
      <c r="F41" s="26"/>
      <c r="G41" s="26">
        <v>0.08</v>
      </c>
      <c r="H41" s="26">
        <f>0.1485+0.08+0.003274</f>
        <v>0.23177399999999998</v>
      </c>
      <c r="I41" s="26">
        <f t="shared" si="2"/>
        <v>0.311774</v>
      </c>
      <c r="J41" s="26">
        <f t="shared" si="3"/>
        <v>0.55577399999999999</v>
      </c>
      <c r="K41" s="26"/>
      <c r="L41" s="14" t="s">
        <v>369</v>
      </c>
    </row>
    <row r="42" spans="1:12" x14ac:dyDescent="0.2">
      <c r="A42" s="14" t="s">
        <v>17</v>
      </c>
      <c r="B42" s="26">
        <v>0.36099999999999999</v>
      </c>
      <c r="C42" s="26">
        <f>0.0025</f>
        <v>2.5000000000000001E-3</v>
      </c>
      <c r="D42" s="26">
        <f t="shared" si="0"/>
        <v>0.36349999999999999</v>
      </c>
      <c r="E42" s="26">
        <f t="shared" si="1"/>
        <v>0.54749999999999999</v>
      </c>
      <c r="F42" s="26"/>
      <c r="G42" s="26">
        <v>0.36099999999999999</v>
      </c>
      <c r="H42" s="26">
        <f>0.0025</f>
        <v>2.5000000000000001E-3</v>
      </c>
      <c r="I42" s="26">
        <f t="shared" si="2"/>
        <v>0.36349999999999999</v>
      </c>
      <c r="J42" s="26">
        <f t="shared" si="3"/>
        <v>0.60750000000000004</v>
      </c>
      <c r="K42" s="26"/>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26"/>
      <c r="L43" s="14" t="s">
        <v>64</v>
      </c>
    </row>
    <row r="44" spans="1:12" ht="27" x14ac:dyDescent="0.2">
      <c r="A44" s="14" t="s">
        <v>23</v>
      </c>
      <c r="B44" s="26">
        <v>0.38500000000000001</v>
      </c>
      <c r="C44" s="26"/>
      <c r="D44" s="26">
        <f t="shared" si="0"/>
        <v>0.38500000000000001</v>
      </c>
      <c r="E44" s="26">
        <f t="shared" si="1"/>
        <v>0.56899999999999995</v>
      </c>
      <c r="F44" s="26"/>
      <c r="G44" s="26">
        <v>0.47</v>
      </c>
      <c r="H44" s="26"/>
      <c r="I44" s="26">
        <f t="shared" si="2"/>
        <v>0.47</v>
      </c>
      <c r="J44" s="26">
        <f t="shared" si="3"/>
        <v>0.71399999999999997</v>
      </c>
      <c r="K44" s="26"/>
      <c r="L44" s="14" t="s">
        <v>348</v>
      </c>
    </row>
    <row r="45" spans="1:12" ht="27" x14ac:dyDescent="0.2">
      <c r="A45" s="14" t="s">
        <v>18</v>
      </c>
      <c r="B45" s="26">
        <v>0.19</v>
      </c>
      <c r="C45" s="26">
        <f>0.01</f>
        <v>0.01</v>
      </c>
      <c r="D45" s="26">
        <f t="shared" si="0"/>
        <v>0.2</v>
      </c>
      <c r="E45" s="26">
        <f t="shared" si="1"/>
        <v>0.38400000000000001</v>
      </c>
      <c r="F45" s="26"/>
      <c r="G45" s="26">
        <v>0.19</v>
      </c>
      <c r="H45" s="26">
        <f>0.01</f>
        <v>0.01</v>
      </c>
      <c r="I45" s="26">
        <f t="shared" si="2"/>
        <v>0.2</v>
      </c>
      <c r="J45" s="26">
        <f t="shared" si="3"/>
        <v>0.44400000000000006</v>
      </c>
      <c r="K45" s="26"/>
      <c r="L45" s="14" t="s">
        <v>65</v>
      </c>
    </row>
    <row r="46" spans="1:12" ht="27" x14ac:dyDescent="0.2">
      <c r="A46" s="14" t="s">
        <v>31</v>
      </c>
      <c r="B46" s="26">
        <v>0.36</v>
      </c>
      <c r="C46" s="26"/>
      <c r="D46" s="26">
        <f t="shared" si="0"/>
        <v>0.36</v>
      </c>
      <c r="E46" s="26">
        <f t="shared" si="1"/>
        <v>0.54400000000000004</v>
      </c>
      <c r="F46" s="26"/>
      <c r="G46" s="26">
        <v>0.36</v>
      </c>
      <c r="H46" s="26"/>
      <c r="I46" s="26">
        <f t="shared" si="2"/>
        <v>0.36</v>
      </c>
      <c r="J46" s="26">
        <f t="shared" si="3"/>
        <v>0.60399999999999998</v>
      </c>
      <c r="K46" s="26"/>
      <c r="L46" s="14" t="s">
        <v>344</v>
      </c>
    </row>
    <row r="47" spans="1:12" ht="37.5" customHeight="1" x14ac:dyDescent="0.2">
      <c r="A47" s="14" t="s">
        <v>12</v>
      </c>
      <c r="B47" s="26">
        <v>0.57599999999999996</v>
      </c>
      <c r="C47" s="26">
        <f>0.011</f>
        <v>1.0999999999999999E-2</v>
      </c>
      <c r="D47" s="26">
        <f t="shared" si="0"/>
        <v>0.58699999999999997</v>
      </c>
      <c r="E47" s="26">
        <f t="shared" si="1"/>
        <v>0.77099999999999991</v>
      </c>
      <c r="F47" s="26"/>
      <c r="G47" s="26">
        <v>0.74099999999999999</v>
      </c>
      <c r="H47" s="26">
        <f>0.011</f>
        <v>1.0999999999999999E-2</v>
      </c>
      <c r="I47" s="26">
        <f t="shared" si="2"/>
        <v>0.752</v>
      </c>
      <c r="J47" s="26">
        <f t="shared" si="3"/>
        <v>0.996</v>
      </c>
      <c r="K47" s="26"/>
      <c r="L47" s="14" t="s">
        <v>103</v>
      </c>
    </row>
    <row r="48" spans="1:12" ht="26.25" customHeight="1" x14ac:dyDescent="0.2">
      <c r="A48" s="14" t="s">
        <v>14</v>
      </c>
      <c r="B48" s="26">
        <v>0.34</v>
      </c>
      <c r="C48" s="26">
        <f>0.01+0.0012</f>
        <v>1.12E-2</v>
      </c>
      <c r="D48" s="26">
        <f t="shared" si="0"/>
        <v>0.35120000000000001</v>
      </c>
      <c r="E48" s="26">
        <f t="shared" si="1"/>
        <v>0.53520000000000001</v>
      </c>
      <c r="F48" s="26"/>
      <c r="G48" s="26">
        <v>0.34</v>
      </c>
      <c r="H48" s="26">
        <f>0.01+0.0012</f>
        <v>1.12E-2</v>
      </c>
      <c r="I48" s="26">
        <f t="shared" si="2"/>
        <v>0.35120000000000001</v>
      </c>
      <c r="J48" s="26">
        <f t="shared" si="3"/>
        <v>0.59520000000000006</v>
      </c>
      <c r="K48" s="26"/>
      <c r="L48" s="14" t="s">
        <v>83</v>
      </c>
    </row>
    <row r="49" spans="1:12" s="29" customFormat="1" x14ac:dyDescent="0.2">
      <c r="A49" s="35" t="s">
        <v>119</v>
      </c>
      <c r="B49" s="34">
        <v>0.26</v>
      </c>
      <c r="C49" s="26">
        <f>0.0025+0.005</f>
        <v>7.4999999999999997E-3</v>
      </c>
      <c r="D49" s="26">
        <f t="shared" si="0"/>
        <v>0.26750000000000002</v>
      </c>
      <c r="E49" s="26">
        <f t="shared" si="1"/>
        <v>0.45150000000000001</v>
      </c>
      <c r="F49" s="26"/>
      <c r="G49" s="34">
        <v>0.26</v>
      </c>
      <c r="H49" s="26">
        <f>0.0025+0.005</f>
        <v>7.4999999999999997E-3</v>
      </c>
      <c r="I49" s="26">
        <f t="shared" si="2"/>
        <v>0.26750000000000002</v>
      </c>
      <c r="J49" s="26">
        <f t="shared" si="3"/>
        <v>0.51150000000000007</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26"/>
      <c r="L50" s="14" t="s">
        <v>68</v>
      </c>
    </row>
    <row r="51" spans="1:12" x14ac:dyDescent="0.2">
      <c r="A51" s="14" t="s">
        <v>19</v>
      </c>
      <c r="B51" s="26">
        <v>0.26</v>
      </c>
      <c r="C51" s="26">
        <f>0.01+0.004</f>
        <v>1.4E-2</v>
      </c>
      <c r="D51" s="26">
        <f t="shared" si="0"/>
        <v>0.27400000000000002</v>
      </c>
      <c r="E51" s="26">
        <f t="shared" si="1"/>
        <v>0.45800000000000002</v>
      </c>
      <c r="F51" s="26"/>
      <c r="G51" s="26">
        <v>0.27</v>
      </c>
      <c r="H51" s="26">
        <f>0.01+0.004</f>
        <v>1.4E-2</v>
      </c>
      <c r="I51" s="26">
        <f t="shared" si="2"/>
        <v>0.28400000000000003</v>
      </c>
      <c r="J51" s="26">
        <f t="shared" si="3"/>
        <v>0.52800000000000002</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26"/>
      <c r="L52" s="14" t="s">
        <v>70</v>
      </c>
    </row>
    <row r="53" spans="1:12" x14ac:dyDescent="0.2">
      <c r="A53" s="14" t="s">
        <v>25</v>
      </c>
      <c r="B53" s="26">
        <v>0.314</v>
      </c>
      <c r="C53" s="26">
        <f>0.0065</f>
        <v>6.4999999999999997E-3</v>
      </c>
      <c r="D53" s="26">
        <f t="shared" si="0"/>
        <v>0.32050000000000001</v>
      </c>
      <c r="E53" s="26">
        <f t="shared" si="1"/>
        <v>0.50449999999999995</v>
      </c>
      <c r="F53" s="26"/>
      <c r="G53" s="26">
        <v>0.314</v>
      </c>
      <c r="H53" s="26">
        <f>0.0065</f>
        <v>6.4999999999999997E-3</v>
      </c>
      <c r="I53" s="26">
        <f t="shared" si="2"/>
        <v>0.32050000000000001</v>
      </c>
      <c r="J53" s="26">
        <f t="shared" si="3"/>
        <v>0.5645</v>
      </c>
      <c r="K53" s="26"/>
      <c r="L53" s="14" t="s">
        <v>71</v>
      </c>
    </row>
    <row r="54" spans="1:12" ht="40" x14ac:dyDescent="0.2">
      <c r="A54" s="35" t="s">
        <v>75</v>
      </c>
      <c r="B54" s="26">
        <v>0.121</v>
      </c>
      <c r="C54" s="34">
        <f>0.0478+0.134+0.01</f>
        <v>0.19180000000000003</v>
      </c>
      <c r="D54" s="26">
        <f t="shared" si="0"/>
        <v>0.31280000000000002</v>
      </c>
      <c r="E54" s="26">
        <f t="shared" si="1"/>
        <v>0.49680000000000002</v>
      </c>
      <c r="F54" s="26"/>
      <c r="G54" s="26">
        <v>0.28000000000000003</v>
      </c>
      <c r="H54" s="26">
        <f>0.01+0.03</f>
        <v>0.04</v>
      </c>
      <c r="I54" s="26">
        <f t="shared" si="2"/>
        <v>0.32</v>
      </c>
      <c r="J54" s="26">
        <f t="shared" si="3"/>
        <v>0.56400000000000006</v>
      </c>
      <c r="K54" s="26"/>
      <c r="L54" s="14" t="s">
        <v>370</v>
      </c>
    </row>
    <row r="55" spans="1:12" ht="27" x14ac:dyDescent="0.2">
      <c r="A55" s="35" t="s">
        <v>98</v>
      </c>
      <c r="B55" s="34">
        <v>0.26200000000000001</v>
      </c>
      <c r="C55" s="26">
        <f>0.006</f>
        <v>6.0000000000000001E-3</v>
      </c>
      <c r="D55" s="26">
        <f t="shared" si="0"/>
        <v>0.26800000000000002</v>
      </c>
      <c r="E55" s="26">
        <f t="shared" si="1"/>
        <v>0.45200000000000001</v>
      </c>
      <c r="F55" s="26"/>
      <c r="G55" s="34">
        <v>0.27</v>
      </c>
      <c r="H55" s="26">
        <f>0.006</f>
        <v>6.0000000000000001E-3</v>
      </c>
      <c r="I55" s="26">
        <f t="shared" si="2"/>
        <v>0.27600000000000002</v>
      </c>
      <c r="J55" s="26">
        <f t="shared" si="3"/>
        <v>0.52</v>
      </c>
      <c r="K55" s="26"/>
      <c r="L55" s="14" t="s">
        <v>84</v>
      </c>
    </row>
    <row r="56" spans="1:12" ht="66" x14ac:dyDescent="0.2">
      <c r="A56" s="14" t="s">
        <v>32</v>
      </c>
      <c r="B56" s="26">
        <v>0.49399999999999999</v>
      </c>
      <c r="C56" s="26">
        <f>0.0009523+0.000238+0.02691</f>
        <v>2.8100300000000002E-2</v>
      </c>
      <c r="D56" s="26">
        <f t="shared" si="0"/>
        <v>0.52210029999999996</v>
      </c>
      <c r="E56" s="26">
        <f t="shared" si="1"/>
        <v>0.7061002999999999</v>
      </c>
      <c r="F56" s="26"/>
      <c r="G56" s="26">
        <v>0.49399999999999999</v>
      </c>
      <c r="H56" s="26">
        <f>0.0009523+0.000238+0.02691</f>
        <v>2.8100300000000002E-2</v>
      </c>
      <c r="I56" s="26">
        <f t="shared" si="2"/>
        <v>0.52210029999999996</v>
      </c>
      <c r="J56" s="26">
        <f t="shared" si="3"/>
        <v>0.76610029999999996</v>
      </c>
      <c r="K56" s="26"/>
      <c r="L56" s="14" t="s">
        <v>346</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26"/>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26"/>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28"/>
      <c r="L59" s="27" t="s">
        <v>73</v>
      </c>
    </row>
    <row r="60" spans="1:12" x14ac:dyDescent="0.2">
      <c r="A60" s="14" t="s">
        <v>49</v>
      </c>
      <c r="B60" s="26">
        <v>0.35</v>
      </c>
      <c r="C60" s="26"/>
      <c r="D60" s="26">
        <f t="shared" si="0"/>
        <v>0.35</v>
      </c>
      <c r="E60" s="26"/>
      <c r="F60" s="26"/>
      <c r="G60" s="26">
        <v>0.315</v>
      </c>
      <c r="H60" s="26">
        <f>0.035</f>
        <v>3.5000000000000003E-2</v>
      </c>
      <c r="I60" s="26">
        <f t="shared" si="2"/>
        <v>0.35</v>
      </c>
      <c r="J60" s="26"/>
      <c r="K60" s="26"/>
      <c r="L60" s="14" t="s">
        <v>85</v>
      </c>
    </row>
    <row r="61" spans="1:12" ht="27" x14ac:dyDescent="0.2">
      <c r="A61" s="14" t="s">
        <v>50</v>
      </c>
      <c r="B61" s="26">
        <v>0.15</v>
      </c>
      <c r="C61" s="26">
        <f>0.04</f>
        <v>0.04</v>
      </c>
      <c r="D61" s="26">
        <f t="shared" si="0"/>
        <v>0.19</v>
      </c>
      <c r="E61" s="26"/>
      <c r="F61" s="26"/>
      <c r="G61" s="26">
        <v>0.14000000000000001</v>
      </c>
      <c r="H61" s="26">
        <f>0.04</f>
        <v>0.04</v>
      </c>
      <c r="I61" s="26">
        <f t="shared" si="2"/>
        <v>0.18000000000000002</v>
      </c>
      <c r="J61" s="26"/>
      <c r="K61" s="26"/>
      <c r="L61" s="14" t="s">
        <v>74</v>
      </c>
    </row>
    <row r="62" spans="1:12" ht="15" customHeight="1" x14ac:dyDescent="0.2">
      <c r="A62" s="14" t="s">
        <v>51</v>
      </c>
      <c r="B62" s="26">
        <v>0.15</v>
      </c>
      <c r="C62" s="26"/>
      <c r="D62" s="26">
        <f t="shared" si="0"/>
        <v>0.15</v>
      </c>
      <c r="E62" s="26"/>
      <c r="F62" s="26"/>
      <c r="G62" s="26">
        <v>0.15</v>
      </c>
      <c r="H62" s="26"/>
      <c r="I62" s="26">
        <f t="shared" si="2"/>
        <v>0.15</v>
      </c>
      <c r="J62" s="26"/>
      <c r="K62" s="26"/>
      <c r="L62" s="14" t="s">
        <v>85</v>
      </c>
    </row>
    <row r="63" spans="1:12" ht="40" x14ac:dyDescent="0.2">
      <c r="A63" s="14" t="s">
        <v>52</v>
      </c>
      <c r="B63" s="26">
        <v>0.16</v>
      </c>
      <c r="C63" s="26">
        <v>0.36899999999999999</v>
      </c>
      <c r="D63" s="26">
        <f t="shared" si="0"/>
        <v>0.52900000000000003</v>
      </c>
      <c r="E63" s="26"/>
      <c r="F63" s="26"/>
      <c r="G63" s="26">
        <v>0.08</v>
      </c>
      <c r="H63" s="26">
        <v>0.22</v>
      </c>
      <c r="I63" s="26">
        <f t="shared" si="2"/>
        <v>0.3</v>
      </c>
      <c r="J63" s="26"/>
      <c r="K63" s="26"/>
      <c r="L63" s="14" t="s">
        <v>290</v>
      </c>
    </row>
    <row r="64" spans="1:12" ht="16" thickBot="1" x14ac:dyDescent="0.25">
      <c r="A64" s="14" t="s">
        <v>81</v>
      </c>
      <c r="B64" s="26">
        <v>0.14000000000000001</v>
      </c>
      <c r="C64" s="26"/>
      <c r="D64" s="26">
        <f t="shared" si="0"/>
        <v>0.14000000000000001</v>
      </c>
      <c r="E64" s="26"/>
      <c r="F64" s="26"/>
      <c r="G64" s="26">
        <v>0.14000000000000001</v>
      </c>
      <c r="H64" s="26"/>
      <c r="I64" s="26">
        <f t="shared" si="2"/>
        <v>0.14000000000000001</v>
      </c>
      <c r="J64" s="26"/>
      <c r="K64" s="26"/>
      <c r="L64" s="14" t="s">
        <v>85</v>
      </c>
    </row>
    <row r="65" spans="1:12" ht="63" customHeight="1" x14ac:dyDescent="0.2">
      <c r="A65" s="92" t="s">
        <v>371</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372</v>
      </c>
    </row>
    <row r="71" spans="1:12" x14ac:dyDescent="0.2">
      <c r="A71" s="18" t="s">
        <v>106</v>
      </c>
      <c r="B71"/>
      <c r="C71"/>
      <c r="D71"/>
      <c r="F71" s="52"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300-000000000000}"/>
  </hyperlinks>
  <pageMargins left="0.17" right="0.17" top="0.4" bottom="0.38" header="0.3" footer="0.3"/>
  <pageSetup paperSize="5"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1"/>
  <sheetViews>
    <sheetView showGridLines="0" zoomScaleNormal="100" workbookViewId="0">
      <pane ySplit="8" topLeftCell="A9" activePane="bottomLeft" state="frozen"/>
      <selection pane="bottomLeft"/>
    </sheetView>
  </sheetViews>
  <sheetFormatPr baseColWidth="10" defaultColWidth="9.1640625" defaultRowHeight="15"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51" t="s">
        <v>354</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0.25727450980392158</v>
      </c>
      <c r="C8" s="24">
        <f>AVERAGE(C9:C59)</f>
        <v>5.0272242222222228E-2</v>
      </c>
      <c r="D8" s="32">
        <f>AVERAGE(D9:D59)</f>
        <v>0.30163237058823528</v>
      </c>
      <c r="E8" s="32">
        <f>AVERAGE(E9:E59)</f>
        <v>0.48563237058823544</v>
      </c>
      <c r="F8" s="3"/>
      <c r="G8" s="32">
        <f>AVERAGE(G9:G59)</f>
        <v>0.27262745098039209</v>
      </c>
      <c r="H8" s="32">
        <f>AVERAGE(H9:H59)</f>
        <v>5.2782680434782597E-2</v>
      </c>
      <c r="I8" s="32">
        <f>AVERAGE(I9:I59)</f>
        <v>0.32023535882352944</v>
      </c>
      <c r="J8" s="21">
        <f>AVERAGE(J9:J59)</f>
        <v>0.56423535882352949</v>
      </c>
      <c r="K8" s="32"/>
      <c r="L8" s="11"/>
    </row>
    <row r="9" spans="1:12" ht="40" x14ac:dyDescent="0.2">
      <c r="A9" s="35" t="s">
        <v>33</v>
      </c>
      <c r="B9" s="34">
        <v>0.26</v>
      </c>
      <c r="C9" s="26">
        <v>0.01</v>
      </c>
      <c r="D9" s="26">
        <f t="shared" ref="D9:D40" si="0">$B9+$C9</f>
        <v>0.27</v>
      </c>
      <c r="E9" s="26">
        <f t="shared" ref="E9:E40" si="1">$D9+$E$4</f>
        <v>0.45400000000000001</v>
      </c>
      <c r="F9" s="26"/>
      <c r="G9" s="34">
        <v>0.27</v>
      </c>
      <c r="H9" s="26">
        <f>0.0075+0.01</f>
        <v>1.7500000000000002E-2</v>
      </c>
      <c r="I9" s="26">
        <f t="shared" ref="I9:I40" si="2">$G9+$H9</f>
        <v>0.28750000000000003</v>
      </c>
      <c r="J9" s="26">
        <f t="shared" ref="J9:J40" si="3">$I9+$J$4</f>
        <v>0.53150000000000008</v>
      </c>
      <c r="K9" s="26"/>
      <c r="L9" s="14" t="s">
        <v>114</v>
      </c>
    </row>
    <row r="10" spans="1:12" x14ac:dyDescent="0.2">
      <c r="A10" s="14" t="s">
        <v>111</v>
      </c>
      <c r="B10" s="26">
        <v>0.08</v>
      </c>
      <c r="C10" s="26">
        <f>0.0095</f>
        <v>9.4999999999999998E-3</v>
      </c>
      <c r="D10" s="26">
        <f t="shared" si="0"/>
        <v>8.9499999999999996E-2</v>
      </c>
      <c r="E10" s="26">
        <f t="shared" si="1"/>
        <v>0.27349999999999997</v>
      </c>
      <c r="F10" s="26"/>
      <c r="G10" s="26">
        <v>0.08</v>
      </c>
      <c r="H10" s="26">
        <f>0.0095</f>
        <v>9.4999999999999998E-3</v>
      </c>
      <c r="I10" s="26">
        <f t="shared" si="2"/>
        <v>8.9499999999999996E-2</v>
      </c>
      <c r="J10" s="26">
        <f t="shared" si="3"/>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0.245</v>
      </c>
      <c r="C12" s="26">
        <f>0.003</f>
        <v>3.0000000000000001E-3</v>
      </c>
      <c r="D12" s="26">
        <f t="shared" si="0"/>
        <v>0.248</v>
      </c>
      <c r="E12" s="26">
        <f t="shared" si="1"/>
        <v>0.432</v>
      </c>
      <c r="F12" s="26"/>
      <c r="G12" s="26">
        <v>0.28499999999999998</v>
      </c>
      <c r="H12" s="26">
        <f>0.003</f>
        <v>3.0000000000000001E-3</v>
      </c>
      <c r="I12" s="26">
        <f t="shared" si="2"/>
        <v>0.28799999999999998</v>
      </c>
      <c r="J12" s="26">
        <f t="shared" si="3"/>
        <v>0.53200000000000003</v>
      </c>
      <c r="K12" s="26"/>
      <c r="L12" s="14" t="s">
        <v>55</v>
      </c>
    </row>
    <row r="13" spans="1:12" ht="52" x14ac:dyDescent="0.2">
      <c r="A13" s="14" t="s">
        <v>117</v>
      </c>
      <c r="B13" s="26">
        <v>0.505</v>
      </c>
      <c r="C13" s="26">
        <f>0.05+0.02+0.00155</f>
        <v>7.1550000000000002E-2</v>
      </c>
      <c r="D13" s="26">
        <f t="shared" si="0"/>
        <v>0.57655000000000001</v>
      </c>
      <c r="E13" s="26">
        <f t="shared" si="1"/>
        <v>0.76055000000000006</v>
      </c>
      <c r="F13" s="26"/>
      <c r="G13" s="26">
        <v>0.38500000000000001</v>
      </c>
      <c r="H13" s="26">
        <f>0.26+0.02+0.00155</f>
        <v>0.28155000000000002</v>
      </c>
      <c r="I13" s="26">
        <f t="shared" si="2"/>
        <v>0.66654999999999998</v>
      </c>
      <c r="J13" s="26">
        <f t="shared" si="3"/>
        <v>0.91054999999999997</v>
      </c>
      <c r="K13" s="26"/>
      <c r="L13" s="15" t="s">
        <v>329</v>
      </c>
    </row>
    <row r="14" spans="1:12" ht="27" x14ac:dyDescent="0.2">
      <c r="A14" s="35" t="s">
        <v>1</v>
      </c>
      <c r="B14" s="26">
        <v>0.22</v>
      </c>
      <c r="C14" s="34">
        <f>0.0156</f>
        <v>1.5599999999999999E-2</v>
      </c>
      <c r="D14" s="26">
        <f t="shared" si="0"/>
        <v>0.2356</v>
      </c>
      <c r="E14" s="26">
        <f t="shared" si="1"/>
        <v>0.41959999999999997</v>
      </c>
      <c r="F14" s="26"/>
      <c r="G14" s="26">
        <v>0.20499999999999999</v>
      </c>
      <c r="H14" s="34">
        <v>1.5599999999999999E-2</v>
      </c>
      <c r="I14" s="26">
        <f t="shared" si="2"/>
        <v>0.22059999999999999</v>
      </c>
      <c r="J14" s="26">
        <f t="shared" si="3"/>
        <v>0.46460000000000001</v>
      </c>
      <c r="K14" s="26"/>
      <c r="L14" s="14" t="s">
        <v>330</v>
      </c>
    </row>
    <row r="15" spans="1:12" ht="53" x14ac:dyDescent="0.2">
      <c r="A15" s="35" t="s">
        <v>353</v>
      </c>
      <c r="B15" s="26">
        <v>0.25</v>
      </c>
      <c r="C15" s="26"/>
      <c r="D15" s="26">
        <f t="shared" si="0"/>
        <v>0.25</v>
      </c>
      <c r="E15" s="26">
        <f t="shared" si="1"/>
        <v>0.434</v>
      </c>
      <c r="F15" s="26"/>
      <c r="G15" s="26">
        <v>0.28999999999999998</v>
      </c>
      <c r="H15" s="26">
        <v>0.156</v>
      </c>
      <c r="I15" s="26">
        <f t="shared" si="2"/>
        <v>0.44599999999999995</v>
      </c>
      <c r="J15" s="26">
        <f t="shared" si="3"/>
        <v>0.69</v>
      </c>
      <c r="K15" s="26"/>
      <c r="L15" s="14" t="s">
        <v>352</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35" t="s">
        <v>351</v>
      </c>
      <c r="B17" s="26">
        <v>0.23499999999999999</v>
      </c>
      <c r="C17" s="34">
        <v>5.2999999999999999E-2</v>
      </c>
      <c r="D17" s="34">
        <f t="shared" si="0"/>
        <v>0.28799999999999998</v>
      </c>
      <c r="E17" s="26">
        <f t="shared" si="1"/>
        <v>0.47199999999999998</v>
      </c>
      <c r="F17" s="26"/>
      <c r="G17" s="26">
        <v>0.23499999999999999</v>
      </c>
      <c r="H17" s="34">
        <v>5.2999999999999999E-2</v>
      </c>
      <c r="I17" s="34">
        <f t="shared" si="2"/>
        <v>0.28799999999999998</v>
      </c>
      <c r="J17" s="26">
        <f t="shared" si="3"/>
        <v>0.53200000000000003</v>
      </c>
      <c r="K17" s="26"/>
      <c r="L17" s="35" t="s">
        <v>350</v>
      </c>
    </row>
    <row r="18" spans="1:12" ht="66" x14ac:dyDescent="0.2">
      <c r="A18" s="35" t="s">
        <v>87</v>
      </c>
      <c r="B18" s="26">
        <v>0.04</v>
      </c>
      <c r="C18" s="34">
        <f>0.145+0.00125+0.06+0.08+0.00048+0.00119+0.01904</f>
        <v>0.30696000000000001</v>
      </c>
      <c r="D18" s="26">
        <f t="shared" si="0"/>
        <v>0.34695999999999999</v>
      </c>
      <c r="E18" s="26">
        <f t="shared" si="1"/>
        <v>0.53095999999999999</v>
      </c>
      <c r="F18" s="26"/>
      <c r="G18" s="26">
        <v>0.04</v>
      </c>
      <c r="H18" s="34">
        <f>0.145+0.01+0.06+0.08+0.00048+0.00119+0.01904</f>
        <v>0.31570999999999999</v>
      </c>
      <c r="I18" s="26">
        <f t="shared" si="2"/>
        <v>0.35570999999999997</v>
      </c>
      <c r="J18" s="26">
        <f t="shared" si="3"/>
        <v>0.59970999999999997</v>
      </c>
      <c r="K18" s="26"/>
      <c r="L18" s="14" t="s">
        <v>331</v>
      </c>
    </row>
    <row r="19" spans="1:12" ht="40" x14ac:dyDescent="0.2">
      <c r="A19" s="35" t="s">
        <v>88</v>
      </c>
      <c r="B19" s="34">
        <v>0.28699999999999998</v>
      </c>
      <c r="C19" s="26">
        <f>0.0075</f>
        <v>7.4999999999999997E-3</v>
      </c>
      <c r="D19" s="26">
        <f t="shared" si="0"/>
        <v>0.29449999999999998</v>
      </c>
      <c r="E19" s="26">
        <f t="shared" si="1"/>
        <v>0.47849999999999998</v>
      </c>
      <c r="F19" s="26"/>
      <c r="G19" s="34">
        <v>0.32200000000000001</v>
      </c>
      <c r="H19" s="26">
        <f>0.0075</f>
        <v>7.4999999999999997E-3</v>
      </c>
      <c r="I19" s="26">
        <f t="shared" si="2"/>
        <v>0.32950000000000002</v>
      </c>
      <c r="J19" s="26">
        <f t="shared" si="3"/>
        <v>0.57350000000000001</v>
      </c>
      <c r="K19" s="26"/>
      <c r="L19" s="14" t="s">
        <v>313</v>
      </c>
    </row>
    <row r="20" spans="1:12" ht="27" x14ac:dyDescent="0.2">
      <c r="A20" s="35"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332</v>
      </c>
    </row>
    <row r="21" spans="1:12" x14ac:dyDescent="0.2">
      <c r="A21" s="14" t="s">
        <v>3</v>
      </c>
      <c r="B21" s="26">
        <v>0.32</v>
      </c>
      <c r="C21" s="26">
        <f>0.01</f>
        <v>0.01</v>
      </c>
      <c r="D21" s="26">
        <f t="shared" si="0"/>
        <v>0.33</v>
      </c>
      <c r="E21" s="26">
        <f t="shared" si="1"/>
        <v>0.51400000000000001</v>
      </c>
      <c r="F21" s="26"/>
      <c r="G21" s="26">
        <v>0.32</v>
      </c>
      <c r="H21" s="26">
        <f>0.01</f>
        <v>0.01</v>
      </c>
      <c r="I21" s="26">
        <f t="shared" si="2"/>
        <v>0.33</v>
      </c>
      <c r="J21" s="26">
        <f t="shared" si="3"/>
        <v>0.57400000000000007</v>
      </c>
      <c r="K21" s="26"/>
      <c r="L21" s="14" t="s">
        <v>58</v>
      </c>
    </row>
    <row r="22" spans="1:12" ht="40" x14ac:dyDescent="0.2">
      <c r="A22" s="35" t="s">
        <v>92</v>
      </c>
      <c r="B22" s="26">
        <v>0.38700000000000001</v>
      </c>
      <c r="C22" s="34">
        <f>0.11+0.003+0.008</f>
        <v>0.121</v>
      </c>
      <c r="D22" s="26">
        <f t="shared" si="0"/>
        <v>0.50800000000000001</v>
      </c>
      <c r="E22" s="26">
        <f t="shared" si="1"/>
        <v>0.69199999999999995</v>
      </c>
      <c r="F22" s="26"/>
      <c r="G22" s="26">
        <v>0.46200000000000002</v>
      </c>
      <c r="H22" s="34">
        <f>0.11+0.003+0.008</f>
        <v>0.121</v>
      </c>
      <c r="I22" s="26">
        <f t="shared" si="2"/>
        <v>0.58299999999999996</v>
      </c>
      <c r="J22" s="26">
        <f t="shared" si="3"/>
        <v>0.82699999999999996</v>
      </c>
      <c r="K22" s="26"/>
      <c r="L22" s="14" t="s">
        <v>333</v>
      </c>
    </row>
    <row r="23" spans="1:12" ht="72.75" customHeight="1" x14ac:dyDescent="0.2">
      <c r="A23" s="35" t="s">
        <v>93</v>
      </c>
      <c r="B23" s="26">
        <v>0.31</v>
      </c>
      <c r="C23" s="34">
        <f>0.102+0.01</f>
        <v>0.11199999999999999</v>
      </c>
      <c r="D23" s="26">
        <f t="shared" si="0"/>
        <v>0.42199999999999999</v>
      </c>
      <c r="E23" s="26">
        <f t="shared" si="1"/>
        <v>0.60599999999999998</v>
      </c>
      <c r="F23" s="26"/>
      <c r="G23" s="26">
        <v>0.51</v>
      </c>
      <c r="H23" s="26">
        <f>0.01</f>
        <v>0.01</v>
      </c>
      <c r="I23" s="26">
        <f t="shared" si="2"/>
        <v>0.52</v>
      </c>
      <c r="J23" s="26">
        <f t="shared" si="3"/>
        <v>0.76400000000000001</v>
      </c>
      <c r="K23" s="26"/>
      <c r="L23" s="14" t="s">
        <v>334</v>
      </c>
    </row>
    <row r="24" spans="1:12" ht="40" x14ac:dyDescent="0.2">
      <c r="A24" s="14" t="s">
        <v>94</v>
      </c>
      <c r="B24" s="26">
        <v>0.3</v>
      </c>
      <c r="C24" s="26"/>
      <c r="D24" s="26">
        <f t="shared" si="0"/>
        <v>0.3</v>
      </c>
      <c r="E24" s="26">
        <f t="shared" si="1"/>
        <v>0.48399999999999999</v>
      </c>
      <c r="F24" s="26"/>
      <c r="G24" s="26">
        <v>0.32500000000000001</v>
      </c>
      <c r="H24" s="26"/>
      <c r="I24" s="26">
        <f t="shared" si="2"/>
        <v>0.32500000000000001</v>
      </c>
      <c r="J24" s="26">
        <f t="shared" si="3"/>
        <v>0.56900000000000006</v>
      </c>
      <c r="K24" s="26"/>
      <c r="L24" s="14" t="s">
        <v>335</v>
      </c>
    </row>
    <row r="25" spans="1:12" ht="27" x14ac:dyDescent="0.2">
      <c r="A25" s="14" t="s">
        <v>5</v>
      </c>
      <c r="B25" s="26">
        <v>0.24</v>
      </c>
      <c r="C25" s="26">
        <f>0.0003+0.01</f>
        <v>1.03E-2</v>
      </c>
      <c r="D25" s="26">
        <f t="shared" si="0"/>
        <v>0.25029999999999997</v>
      </c>
      <c r="E25" s="26">
        <f t="shared" si="1"/>
        <v>0.43429999999999996</v>
      </c>
      <c r="F25" s="26"/>
      <c r="G25" s="26">
        <v>0.26</v>
      </c>
      <c r="H25" s="26">
        <f>0.0003+0.01</f>
        <v>1.03E-2</v>
      </c>
      <c r="I25" s="26">
        <f t="shared" si="2"/>
        <v>0.27029999999999998</v>
      </c>
      <c r="J25" s="26">
        <f t="shared" si="3"/>
        <v>0.51429999999999998</v>
      </c>
      <c r="K25" s="26"/>
      <c r="L25" s="14" t="s">
        <v>336</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14" t="s">
        <v>9</v>
      </c>
      <c r="B29" s="26">
        <v>0.26700000000000002</v>
      </c>
      <c r="C29" s="26">
        <f>0.096+0.0019</f>
        <v>9.7900000000000001E-2</v>
      </c>
      <c r="D29" s="26">
        <f t="shared" si="0"/>
        <v>0.3649</v>
      </c>
      <c r="E29" s="26">
        <f t="shared" si="1"/>
        <v>0.54889999999999994</v>
      </c>
      <c r="F29" s="26"/>
      <c r="G29" s="26">
        <v>0.27450000000000002</v>
      </c>
      <c r="H29" s="26">
        <f>0.096+0.0019</f>
        <v>9.7900000000000001E-2</v>
      </c>
      <c r="I29" s="26">
        <f t="shared" si="2"/>
        <v>0.37240000000000001</v>
      </c>
      <c r="J29" s="26">
        <f t="shared" si="3"/>
        <v>0.61640000000000006</v>
      </c>
      <c r="K29" s="26"/>
      <c r="L29" s="14" t="s">
        <v>337</v>
      </c>
    </row>
    <row r="30" spans="1:12" ht="40" x14ac:dyDescent="0.2">
      <c r="A30" s="35" t="s">
        <v>36</v>
      </c>
      <c r="B30" s="26">
        <v>0.24</v>
      </c>
      <c r="C30" s="34">
        <f>0.027769+0.0012</f>
        <v>2.8968999999999998E-2</v>
      </c>
      <c r="D30" s="26">
        <f t="shared" si="0"/>
        <v>0.26896900000000001</v>
      </c>
      <c r="E30" s="26">
        <f t="shared" si="1"/>
        <v>0.45296900000000001</v>
      </c>
      <c r="F30" s="26"/>
      <c r="G30" s="26">
        <v>0.24</v>
      </c>
      <c r="H30" s="34">
        <f>0.027769+0.0012</f>
        <v>2.8968999999999998E-2</v>
      </c>
      <c r="I30" s="26">
        <f t="shared" si="2"/>
        <v>0.26896900000000001</v>
      </c>
      <c r="J30" s="26">
        <f t="shared" si="3"/>
        <v>0.51296900000000001</v>
      </c>
      <c r="K30" s="26"/>
      <c r="L30" s="14" t="s">
        <v>338</v>
      </c>
    </row>
    <row r="31" spans="1:12" ht="40" x14ac:dyDescent="0.2">
      <c r="A31" s="35" t="s">
        <v>95</v>
      </c>
      <c r="B31" s="26">
        <v>0.26300000000000001</v>
      </c>
      <c r="C31" s="34">
        <f>0.099+0.01</f>
        <v>0.109</v>
      </c>
      <c r="D31" s="26">
        <f t="shared" si="0"/>
        <v>0.372</v>
      </c>
      <c r="E31" s="26">
        <f t="shared" si="1"/>
        <v>0.55600000000000005</v>
      </c>
      <c r="F31" s="26"/>
      <c r="G31" s="26">
        <v>0.26300000000000001</v>
      </c>
      <c r="H31" s="34">
        <f>0.12+0.01</f>
        <v>0.13</v>
      </c>
      <c r="I31" s="26">
        <f t="shared" si="2"/>
        <v>0.39300000000000002</v>
      </c>
      <c r="J31" s="26">
        <f t="shared" si="3"/>
        <v>0.63700000000000001</v>
      </c>
      <c r="K31" s="26"/>
      <c r="L31" s="14" t="s">
        <v>339</v>
      </c>
    </row>
    <row r="32" spans="1:12" ht="27" x14ac:dyDescent="0.2">
      <c r="A32" s="35" t="s">
        <v>10</v>
      </c>
      <c r="B32" s="26">
        <v>0.28499999999999998</v>
      </c>
      <c r="C32" s="34">
        <f>0.001+0.02</f>
        <v>2.1000000000000001E-2</v>
      </c>
      <c r="D32" s="26">
        <f t="shared" si="0"/>
        <v>0.30599999999999999</v>
      </c>
      <c r="E32" s="26">
        <f t="shared" si="1"/>
        <v>0.49</v>
      </c>
      <c r="F32" s="26"/>
      <c r="G32" s="26">
        <v>0.28499999999999998</v>
      </c>
      <c r="H32" s="34">
        <f>0.001+0.02</f>
        <v>2.1000000000000001E-2</v>
      </c>
      <c r="I32" s="26">
        <f t="shared" si="2"/>
        <v>0.30599999999999999</v>
      </c>
      <c r="J32" s="26">
        <f t="shared" si="3"/>
        <v>0.55000000000000004</v>
      </c>
      <c r="K32" s="26"/>
      <c r="L32" s="14" t="s">
        <v>340</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0.17</v>
      </c>
      <c r="C34" s="26">
        <v>4.1999999999999997E-3</v>
      </c>
      <c r="D34" s="26">
        <f t="shared" si="0"/>
        <v>0.17420000000000002</v>
      </c>
      <c r="E34" s="26">
        <f t="shared" si="1"/>
        <v>0.35820000000000002</v>
      </c>
      <c r="F34" s="26"/>
      <c r="G34" s="26">
        <v>0.17</v>
      </c>
      <c r="H34" s="26">
        <f>0.0007+0.0035</f>
        <v>4.1999999999999997E-3</v>
      </c>
      <c r="I34" s="26">
        <f t="shared" si="2"/>
        <v>0.17420000000000002</v>
      </c>
      <c r="J34" s="26">
        <f t="shared" si="3"/>
        <v>0.41820000000000002</v>
      </c>
      <c r="K34" s="26"/>
      <c r="L34" s="14" t="s">
        <v>135</v>
      </c>
    </row>
    <row r="35" spans="1:12" ht="27" x14ac:dyDescent="0.2">
      <c r="A35" s="14" t="s">
        <v>29</v>
      </c>
      <c r="B35" s="26">
        <v>0.32</v>
      </c>
      <c r="C35" s="26">
        <f>0.0075</f>
        <v>7.4999999999999997E-3</v>
      </c>
      <c r="D35" s="26">
        <f t="shared" si="0"/>
        <v>0.32750000000000001</v>
      </c>
      <c r="E35" s="26">
        <f t="shared" si="1"/>
        <v>0.51150000000000007</v>
      </c>
      <c r="F35" s="26"/>
      <c r="G35" s="26">
        <v>0.29449999999999998</v>
      </c>
      <c r="H35" s="26">
        <f>0.0075</f>
        <v>7.4999999999999997E-3</v>
      </c>
      <c r="I35" s="26">
        <f t="shared" si="2"/>
        <v>0.30199999999999999</v>
      </c>
      <c r="J35" s="26">
        <f t="shared" si="3"/>
        <v>0.54600000000000004</v>
      </c>
      <c r="K35" s="26"/>
      <c r="L35" s="14" t="s">
        <v>61</v>
      </c>
    </row>
    <row r="36" spans="1:12" ht="27" x14ac:dyDescent="0.2">
      <c r="A36" s="35" t="s">
        <v>15</v>
      </c>
      <c r="B36" s="34">
        <v>0.28699999999999998</v>
      </c>
      <c r="C36" s="26">
        <f>0.009</f>
        <v>8.9999999999999993E-3</v>
      </c>
      <c r="D36" s="26">
        <f t="shared" si="0"/>
        <v>0.29599999999999999</v>
      </c>
      <c r="E36" s="26">
        <f t="shared" si="1"/>
        <v>0.48</v>
      </c>
      <c r="F36" s="26"/>
      <c r="G36" s="34">
        <v>0.28699999999999998</v>
      </c>
      <c r="H36" s="26">
        <f>0.003</f>
        <v>3.0000000000000001E-3</v>
      </c>
      <c r="I36" s="26">
        <f t="shared" si="2"/>
        <v>0.28999999999999998</v>
      </c>
      <c r="J36" s="26">
        <f t="shared" si="3"/>
        <v>0.53400000000000003</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341</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35" t="s">
        <v>96</v>
      </c>
      <c r="B39" s="26">
        <v>0.105</v>
      </c>
      <c r="C39" s="34">
        <f>0.402+0.0005</f>
        <v>0.40250000000000002</v>
      </c>
      <c r="D39" s="26">
        <f t="shared" si="0"/>
        <v>0.50750000000000006</v>
      </c>
      <c r="E39" s="26">
        <f t="shared" si="1"/>
        <v>0.6915</v>
      </c>
      <c r="F39" s="26"/>
      <c r="G39" s="26">
        <v>0.13500000000000001</v>
      </c>
      <c r="H39" s="34">
        <f>0.442+0.0005</f>
        <v>0.4425</v>
      </c>
      <c r="I39" s="26">
        <f t="shared" si="2"/>
        <v>0.57750000000000001</v>
      </c>
      <c r="J39" s="26">
        <f t="shared" si="3"/>
        <v>0.82150000000000001</v>
      </c>
      <c r="K39" s="26"/>
      <c r="L39" s="14" t="s">
        <v>342</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35" t="s">
        <v>97</v>
      </c>
      <c r="B41" s="26">
        <v>0.08</v>
      </c>
      <c r="C41" s="34">
        <f>0.166+0.0005+0.08+0.003274</f>
        <v>0.249774</v>
      </c>
      <c r="D41" s="26">
        <f t="shared" ref="D41:D64" si="4">$B41+$C41</f>
        <v>0.32977400000000001</v>
      </c>
      <c r="E41" s="26">
        <f t="shared" ref="E41:E59" si="5">$D41+$E$4</f>
        <v>0.51377399999999995</v>
      </c>
      <c r="F41" s="26"/>
      <c r="G41" s="26">
        <v>0.08</v>
      </c>
      <c r="H41" s="34">
        <f>0.1485+0.08+0.003274</f>
        <v>0.23177399999999998</v>
      </c>
      <c r="I41" s="26">
        <f t="shared" ref="I41:I64" si="6">$G41+$H41</f>
        <v>0.311774</v>
      </c>
      <c r="J41" s="26">
        <f t="shared" ref="J41:J59" si="7">$I41+$J$4</f>
        <v>0.55577399999999999</v>
      </c>
      <c r="K41" s="26"/>
      <c r="L41" s="14" t="s">
        <v>343</v>
      </c>
    </row>
    <row r="42" spans="1:12" x14ac:dyDescent="0.2">
      <c r="A42" s="14" t="s">
        <v>17</v>
      </c>
      <c r="B42" s="26">
        <v>0.36099999999999999</v>
      </c>
      <c r="C42" s="26">
        <f>0.0025</f>
        <v>2.5000000000000001E-3</v>
      </c>
      <c r="D42" s="26">
        <f t="shared" si="4"/>
        <v>0.36349999999999999</v>
      </c>
      <c r="E42" s="26">
        <f t="shared" si="5"/>
        <v>0.54749999999999999</v>
      </c>
      <c r="F42" s="26"/>
      <c r="G42" s="26">
        <v>0.36099999999999999</v>
      </c>
      <c r="H42" s="26">
        <f>0.0025</f>
        <v>2.5000000000000001E-3</v>
      </c>
      <c r="I42" s="26">
        <f t="shared" si="6"/>
        <v>0.36349999999999999</v>
      </c>
      <c r="J42" s="26">
        <f t="shared" si="7"/>
        <v>0.60750000000000004</v>
      </c>
      <c r="K42" s="26"/>
      <c r="L42" s="14" t="s">
        <v>82</v>
      </c>
    </row>
    <row r="43" spans="1:12" x14ac:dyDescent="0.2">
      <c r="A43" s="14" t="s">
        <v>11</v>
      </c>
      <c r="B43" s="26">
        <v>0.23</v>
      </c>
      <c r="C43" s="26">
        <f>0.00025</f>
        <v>2.5000000000000001E-4</v>
      </c>
      <c r="D43" s="26">
        <f t="shared" si="4"/>
        <v>0.23025000000000001</v>
      </c>
      <c r="E43" s="26">
        <f t="shared" si="5"/>
        <v>0.41425000000000001</v>
      </c>
      <c r="F43" s="26"/>
      <c r="G43" s="26">
        <v>0.23</v>
      </c>
      <c r="H43" s="26">
        <f>0.00025</f>
        <v>2.5000000000000001E-4</v>
      </c>
      <c r="I43" s="26">
        <f t="shared" si="6"/>
        <v>0.23025000000000001</v>
      </c>
      <c r="J43" s="26">
        <f t="shared" si="7"/>
        <v>0.47425000000000006</v>
      </c>
      <c r="K43" s="26"/>
      <c r="L43" s="14" t="s">
        <v>64</v>
      </c>
    </row>
    <row r="44" spans="1:12" ht="27" x14ac:dyDescent="0.2">
      <c r="A44" s="22" t="s">
        <v>349</v>
      </c>
      <c r="B44" s="26">
        <v>0.38500000000000001</v>
      </c>
      <c r="C44" s="26"/>
      <c r="D44" s="26">
        <f t="shared" si="4"/>
        <v>0.38500000000000001</v>
      </c>
      <c r="E44" s="26">
        <f t="shared" si="5"/>
        <v>0.56899999999999995</v>
      </c>
      <c r="F44" s="26"/>
      <c r="G44" s="26">
        <v>0.47</v>
      </c>
      <c r="H44" s="26"/>
      <c r="I44" s="26">
        <f t="shared" si="6"/>
        <v>0.47</v>
      </c>
      <c r="J44" s="26">
        <f t="shared" si="7"/>
        <v>0.71399999999999997</v>
      </c>
      <c r="K44" s="26"/>
      <c r="L44" s="22" t="s">
        <v>348</v>
      </c>
    </row>
    <row r="45" spans="1:12" ht="27" x14ac:dyDescent="0.2">
      <c r="A45" s="14" t="s">
        <v>18</v>
      </c>
      <c r="B45" s="26">
        <v>0.19</v>
      </c>
      <c r="C45" s="26">
        <f>0.01</f>
        <v>0.01</v>
      </c>
      <c r="D45" s="26">
        <f t="shared" si="4"/>
        <v>0.2</v>
      </c>
      <c r="E45" s="26">
        <f t="shared" si="5"/>
        <v>0.38400000000000001</v>
      </c>
      <c r="F45" s="26"/>
      <c r="G45" s="26">
        <v>0.19</v>
      </c>
      <c r="H45" s="26">
        <f>0.01</f>
        <v>0.01</v>
      </c>
      <c r="I45" s="26">
        <f t="shared" si="6"/>
        <v>0.2</v>
      </c>
      <c r="J45" s="26">
        <f t="shared" si="7"/>
        <v>0.44400000000000006</v>
      </c>
      <c r="K45" s="26"/>
      <c r="L45" s="14" t="s">
        <v>65</v>
      </c>
    </row>
    <row r="46" spans="1:12" ht="27" x14ac:dyDescent="0.2">
      <c r="A46" s="14" t="s">
        <v>31</v>
      </c>
      <c r="B46" s="26">
        <v>0.36</v>
      </c>
      <c r="C46" s="26"/>
      <c r="D46" s="26">
        <f t="shared" si="4"/>
        <v>0.36</v>
      </c>
      <c r="E46" s="26">
        <f t="shared" si="5"/>
        <v>0.54400000000000004</v>
      </c>
      <c r="F46" s="26"/>
      <c r="G46" s="26">
        <v>0.36</v>
      </c>
      <c r="H46" s="26"/>
      <c r="I46" s="26">
        <f t="shared" si="6"/>
        <v>0.36</v>
      </c>
      <c r="J46" s="26">
        <f t="shared" si="7"/>
        <v>0.60399999999999998</v>
      </c>
      <c r="K46" s="26"/>
      <c r="L46" s="14" t="s">
        <v>344</v>
      </c>
    </row>
    <row r="47" spans="1:12" ht="37.5" customHeight="1" x14ac:dyDescent="0.2">
      <c r="A47" s="14" t="s">
        <v>12</v>
      </c>
      <c r="B47" s="26">
        <v>0.57599999999999996</v>
      </c>
      <c r="C47" s="26">
        <f>0.011</f>
        <v>1.0999999999999999E-2</v>
      </c>
      <c r="D47" s="26">
        <f t="shared" si="4"/>
        <v>0.58699999999999997</v>
      </c>
      <c r="E47" s="26">
        <f t="shared" si="5"/>
        <v>0.77099999999999991</v>
      </c>
      <c r="F47" s="26"/>
      <c r="G47" s="26">
        <v>0.74099999999999999</v>
      </c>
      <c r="H47" s="26">
        <f>0.011</f>
        <v>1.0999999999999999E-2</v>
      </c>
      <c r="I47" s="26">
        <f t="shared" si="6"/>
        <v>0.752</v>
      </c>
      <c r="J47" s="26">
        <f t="shared" si="7"/>
        <v>0.996</v>
      </c>
      <c r="K47" s="26"/>
      <c r="L47" s="14" t="s">
        <v>103</v>
      </c>
    </row>
    <row r="48" spans="1:12" ht="26.25" customHeight="1" x14ac:dyDescent="0.2">
      <c r="A48" s="14" t="s">
        <v>14</v>
      </c>
      <c r="B48" s="26">
        <v>0.34</v>
      </c>
      <c r="C48" s="26">
        <f>0.01+0.0012</f>
        <v>1.12E-2</v>
      </c>
      <c r="D48" s="26">
        <f t="shared" si="4"/>
        <v>0.35120000000000001</v>
      </c>
      <c r="E48" s="26">
        <f t="shared" si="5"/>
        <v>0.53520000000000001</v>
      </c>
      <c r="F48" s="26"/>
      <c r="G48" s="26">
        <v>0.34</v>
      </c>
      <c r="H48" s="26">
        <f>0.01+0.0012</f>
        <v>1.12E-2</v>
      </c>
      <c r="I48" s="26">
        <f t="shared" si="6"/>
        <v>0.35120000000000001</v>
      </c>
      <c r="J48" s="26">
        <f t="shared" si="7"/>
        <v>0.59520000000000006</v>
      </c>
      <c r="K48" s="26"/>
      <c r="L48" s="14" t="s">
        <v>83</v>
      </c>
    </row>
    <row r="49" spans="1:12" s="29" customFormat="1" x14ac:dyDescent="0.2">
      <c r="A49" s="14" t="s">
        <v>119</v>
      </c>
      <c r="B49" s="26">
        <v>0.24</v>
      </c>
      <c r="C49" s="26">
        <f>0.0025+0.005</f>
        <v>7.4999999999999997E-3</v>
      </c>
      <c r="D49" s="26">
        <f t="shared" si="4"/>
        <v>0.2475</v>
      </c>
      <c r="E49" s="26">
        <f t="shared" si="5"/>
        <v>0.43149999999999999</v>
      </c>
      <c r="F49" s="26"/>
      <c r="G49" s="26">
        <v>0.24</v>
      </c>
      <c r="H49" s="26">
        <f>0.0025+0.005</f>
        <v>7.4999999999999997E-3</v>
      </c>
      <c r="I49" s="26">
        <f t="shared" si="6"/>
        <v>0.2475</v>
      </c>
      <c r="J49" s="26">
        <f t="shared" si="7"/>
        <v>0.49150000000000005</v>
      </c>
      <c r="K49" s="26"/>
      <c r="L49" s="14" t="s">
        <v>67</v>
      </c>
    </row>
    <row r="50" spans="1:12" x14ac:dyDescent="0.2">
      <c r="A50" s="14" t="s">
        <v>13</v>
      </c>
      <c r="B50" s="26">
        <v>0.28000000000000003</v>
      </c>
      <c r="C50" s="26">
        <f>0.02</f>
        <v>0.02</v>
      </c>
      <c r="D50" s="26">
        <f t="shared" si="4"/>
        <v>0.30000000000000004</v>
      </c>
      <c r="E50" s="26">
        <f t="shared" si="5"/>
        <v>0.48400000000000004</v>
      </c>
      <c r="F50" s="26"/>
      <c r="G50" s="26">
        <v>0.28000000000000003</v>
      </c>
      <c r="H50" s="26">
        <f>0.02</f>
        <v>0.02</v>
      </c>
      <c r="I50" s="26">
        <f t="shared" si="6"/>
        <v>0.30000000000000004</v>
      </c>
      <c r="J50" s="26">
        <f t="shared" si="7"/>
        <v>0.54400000000000004</v>
      </c>
      <c r="K50" s="26"/>
      <c r="L50" s="14" t="s">
        <v>68</v>
      </c>
    </row>
    <row r="51" spans="1:12" x14ac:dyDescent="0.2">
      <c r="A51" s="14" t="s">
        <v>19</v>
      </c>
      <c r="B51" s="26">
        <v>0.26</v>
      </c>
      <c r="C51" s="26">
        <f>0.01+0.004</f>
        <v>1.4E-2</v>
      </c>
      <c r="D51" s="26">
        <f t="shared" si="4"/>
        <v>0.27400000000000002</v>
      </c>
      <c r="E51" s="26">
        <f t="shared" si="5"/>
        <v>0.45800000000000002</v>
      </c>
      <c r="F51" s="26"/>
      <c r="G51" s="26">
        <v>0.27</v>
      </c>
      <c r="H51" s="26">
        <f>0.01+0.004</f>
        <v>1.4E-2</v>
      </c>
      <c r="I51" s="26">
        <f t="shared" si="6"/>
        <v>0.28400000000000003</v>
      </c>
      <c r="J51" s="26">
        <f t="shared" si="7"/>
        <v>0.52800000000000002</v>
      </c>
      <c r="K51" s="26"/>
      <c r="L51" s="14" t="s">
        <v>69</v>
      </c>
    </row>
    <row r="52" spans="1:12" x14ac:dyDescent="0.2">
      <c r="A52" s="14" t="s">
        <v>24</v>
      </c>
      <c r="B52" s="26">
        <v>0.2</v>
      </c>
      <c r="C52" s="26"/>
      <c r="D52" s="26">
        <f t="shared" si="4"/>
        <v>0.2</v>
      </c>
      <c r="E52" s="26">
        <f t="shared" si="5"/>
        <v>0.38400000000000001</v>
      </c>
      <c r="F52" s="26"/>
      <c r="G52" s="26">
        <v>0.2</v>
      </c>
      <c r="H52" s="26"/>
      <c r="I52" s="26">
        <f t="shared" si="6"/>
        <v>0.2</v>
      </c>
      <c r="J52" s="26">
        <f t="shared" si="7"/>
        <v>0.44400000000000006</v>
      </c>
      <c r="K52" s="26"/>
      <c r="L52" s="14" t="s">
        <v>70</v>
      </c>
    </row>
    <row r="53" spans="1:12" x14ac:dyDescent="0.2">
      <c r="A53" s="35" t="s">
        <v>25</v>
      </c>
      <c r="B53" s="34">
        <v>0.314</v>
      </c>
      <c r="C53" s="26">
        <f>0.0065</f>
        <v>6.4999999999999997E-3</v>
      </c>
      <c r="D53" s="26">
        <f t="shared" si="4"/>
        <v>0.32050000000000001</v>
      </c>
      <c r="E53" s="26">
        <f t="shared" si="5"/>
        <v>0.50449999999999995</v>
      </c>
      <c r="F53" s="26"/>
      <c r="G53" s="34">
        <v>0.314</v>
      </c>
      <c r="H53" s="26">
        <f>0.0065</f>
        <v>6.4999999999999997E-3</v>
      </c>
      <c r="I53" s="26">
        <f t="shared" si="6"/>
        <v>0.32050000000000001</v>
      </c>
      <c r="J53" s="26">
        <f t="shared" si="7"/>
        <v>0.5645</v>
      </c>
      <c r="K53" s="26"/>
      <c r="L53" s="14" t="s">
        <v>71</v>
      </c>
    </row>
    <row r="54" spans="1:12" ht="40" x14ac:dyDescent="0.2">
      <c r="A54" s="35" t="s">
        <v>75</v>
      </c>
      <c r="B54" s="26">
        <v>0.121</v>
      </c>
      <c r="C54" s="34">
        <f>0.0396+0.134+0.01</f>
        <v>0.18360000000000001</v>
      </c>
      <c r="D54" s="26">
        <f t="shared" si="4"/>
        <v>0.30459999999999998</v>
      </c>
      <c r="E54" s="26">
        <f t="shared" si="5"/>
        <v>0.48859999999999998</v>
      </c>
      <c r="F54" s="26"/>
      <c r="G54" s="26">
        <v>0.28000000000000003</v>
      </c>
      <c r="H54" s="26">
        <f>0.01+0.03</f>
        <v>0.04</v>
      </c>
      <c r="I54" s="26">
        <f t="shared" si="6"/>
        <v>0.32</v>
      </c>
      <c r="J54" s="26">
        <f t="shared" si="7"/>
        <v>0.56400000000000006</v>
      </c>
      <c r="K54" s="26"/>
      <c r="L54" s="14" t="s">
        <v>345</v>
      </c>
    </row>
    <row r="55" spans="1:12" ht="27" x14ac:dyDescent="0.2">
      <c r="A55" s="14" t="s">
        <v>98</v>
      </c>
      <c r="B55" s="26">
        <v>0.21199999999999999</v>
      </c>
      <c r="C55" s="26">
        <f>0.006</f>
        <v>6.0000000000000001E-3</v>
      </c>
      <c r="D55" s="26">
        <f t="shared" si="4"/>
        <v>0.218</v>
      </c>
      <c r="E55" s="26">
        <f t="shared" si="5"/>
        <v>0.40200000000000002</v>
      </c>
      <c r="F55" s="26"/>
      <c r="G55" s="26">
        <v>0.20199999999999999</v>
      </c>
      <c r="H55" s="26">
        <f>0.006</f>
        <v>6.0000000000000001E-3</v>
      </c>
      <c r="I55" s="26">
        <f t="shared" si="6"/>
        <v>0.20799999999999999</v>
      </c>
      <c r="J55" s="26">
        <f t="shared" si="7"/>
        <v>0.45200000000000001</v>
      </c>
      <c r="K55" s="26"/>
      <c r="L55" s="14" t="s">
        <v>84</v>
      </c>
    </row>
    <row r="56" spans="1:12" ht="66" x14ac:dyDescent="0.2">
      <c r="A56" s="14" t="s">
        <v>32</v>
      </c>
      <c r="B56" s="26">
        <v>0.49399999999999999</v>
      </c>
      <c r="C56" s="26">
        <f>0.0009523+0.000238+0.02691</f>
        <v>2.8100300000000002E-2</v>
      </c>
      <c r="D56" s="26">
        <f t="shared" si="4"/>
        <v>0.52210029999999996</v>
      </c>
      <c r="E56" s="26">
        <f t="shared" si="5"/>
        <v>0.7061002999999999</v>
      </c>
      <c r="F56" s="26"/>
      <c r="G56" s="26">
        <v>0.49399999999999999</v>
      </c>
      <c r="H56" s="26">
        <f>0.0009523+0.000238+0.02691</f>
        <v>2.8100300000000002E-2</v>
      </c>
      <c r="I56" s="26">
        <f t="shared" si="6"/>
        <v>0.52210029999999996</v>
      </c>
      <c r="J56" s="26">
        <f t="shared" si="7"/>
        <v>0.76610029999999996</v>
      </c>
      <c r="K56" s="26"/>
      <c r="L56" s="14" t="s">
        <v>346</v>
      </c>
    </row>
    <row r="57" spans="1:12" x14ac:dyDescent="0.2">
      <c r="A57" s="14" t="s">
        <v>26</v>
      </c>
      <c r="B57" s="26">
        <v>0.20499999999999999</v>
      </c>
      <c r="C57" s="26">
        <v>0.152</v>
      </c>
      <c r="D57" s="26">
        <f t="shared" si="4"/>
        <v>0.35699999999999998</v>
      </c>
      <c r="E57" s="26">
        <f t="shared" si="5"/>
        <v>0.54099999999999993</v>
      </c>
      <c r="F57" s="26"/>
      <c r="G57" s="26">
        <v>0.20499999999999999</v>
      </c>
      <c r="H57" s="26">
        <v>0.152</v>
      </c>
      <c r="I57" s="26">
        <f t="shared" si="6"/>
        <v>0.35699999999999998</v>
      </c>
      <c r="J57" s="26">
        <f t="shared" si="7"/>
        <v>0.60099999999999998</v>
      </c>
      <c r="K57" s="26"/>
      <c r="L57" s="14" t="s">
        <v>110</v>
      </c>
    </row>
    <row r="58" spans="1:12" x14ac:dyDescent="0.2">
      <c r="A58" s="14" t="s">
        <v>20</v>
      </c>
      <c r="B58" s="26">
        <v>0.309</v>
      </c>
      <c r="C58" s="26">
        <f>0.02</f>
        <v>0.02</v>
      </c>
      <c r="D58" s="26">
        <f t="shared" si="4"/>
        <v>0.32900000000000001</v>
      </c>
      <c r="E58" s="26">
        <f t="shared" si="5"/>
        <v>0.51300000000000001</v>
      </c>
      <c r="F58" s="26"/>
      <c r="G58" s="26">
        <v>0.309</v>
      </c>
      <c r="H58" s="26">
        <f>0.02</f>
        <v>0.02</v>
      </c>
      <c r="I58" s="26">
        <f t="shared" si="6"/>
        <v>0.32900000000000001</v>
      </c>
      <c r="J58" s="26">
        <f t="shared" si="7"/>
        <v>0.57300000000000006</v>
      </c>
      <c r="K58" s="26"/>
      <c r="L58" s="14" t="s">
        <v>72</v>
      </c>
    </row>
    <row r="59" spans="1:12" x14ac:dyDescent="0.2">
      <c r="A59" s="27" t="s">
        <v>21</v>
      </c>
      <c r="B59" s="28">
        <v>0.23</v>
      </c>
      <c r="C59" s="28">
        <f>0.01</f>
        <v>0.01</v>
      </c>
      <c r="D59" s="28">
        <f t="shared" si="4"/>
        <v>0.24000000000000002</v>
      </c>
      <c r="E59" s="28">
        <f t="shared" si="5"/>
        <v>0.42400000000000004</v>
      </c>
      <c r="F59" s="28"/>
      <c r="G59" s="28">
        <v>0.23</v>
      </c>
      <c r="H59" s="28">
        <f>0.01</f>
        <v>0.01</v>
      </c>
      <c r="I59" s="28">
        <f t="shared" si="6"/>
        <v>0.24000000000000002</v>
      </c>
      <c r="J59" s="28">
        <f t="shared" si="7"/>
        <v>0.48400000000000004</v>
      </c>
      <c r="K59" s="28"/>
      <c r="L59" s="27" t="s">
        <v>73</v>
      </c>
    </row>
    <row r="60" spans="1:12" x14ac:dyDescent="0.2">
      <c r="A60" s="14" t="s">
        <v>49</v>
      </c>
      <c r="B60" s="26">
        <v>0.35</v>
      </c>
      <c r="C60" s="26"/>
      <c r="D60" s="26">
        <f t="shared" si="4"/>
        <v>0.35</v>
      </c>
      <c r="E60" s="26"/>
      <c r="F60" s="26"/>
      <c r="G60" s="26">
        <v>0.315</v>
      </c>
      <c r="H60" s="26">
        <f>0.035</f>
        <v>3.5000000000000003E-2</v>
      </c>
      <c r="I60" s="26">
        <f t="shared" si="6"/>
        <v>0.35</v>
      </c>
      <c r="J60" s="26"/>
      <c r="K60" s="26"/>
      <c r="L60" s="14" t="s">
        <v>85</v>
      </c>
    </row>
    <row r="61" spans="1:12" ht="27" x14ac:dyDescent="0.2">
      <c r="A61" s="14" t="s">
        <v>50</v>
      </c>
      <c r="B61" s="26">
        <v>0.15</v>
      </c>
      <c r="C61" s="26">
        <f>0.04</f>
        <v>0.04</v>
      </c>
      <c r="D61" s="26">
        <f t="shared" si="4"/>
        <v>0.19</v>
      </c>
      <c r="E61" s="26"/>
      <c r="F61" s="26"/>
      <c r="G61" s="26">
        <v>0.14000000000000001</v>
      </c>
      <c r="H61" s="26">
        <f>0.04</f>
        <v>0.04</v>
      </c>
      <c r="I61" s="26">
        <f t="shared" si="6"/>
        <v>0.18000000000000002</v>
      </c>
      <c r="J61" s="26"/>
      <c r="K61" s="26"/>
      <c r="L61" s="14" t="s">
        <v>74</v>
      </c>
    </row>
    <row r="62" spans="1:12" ht="15" customHeight="1" x14ac:dyDescent="0.2">
      <c r="A62" s="14" t="s">
        <v>51</v>
      </c>
      <c r="B62" s="26">
        <v>0.15</v>
      </c>
      <c r="C62" s="26"/>
      <c r="D62" s="26">
        <f t="shared" si="4"/>
        <v>0.15</v>
      </c>
      <c r="E62" s="26"/>
      <c r="F62" s="26"/>
      <c r="G62" s="26">
        <v>0.15</v>
      </c>
      <c r="H62" s="26"/>
      <c r="I62" s="26">
        <f t="shared" si="6"/>
        <v>0.15</v>
      </c>
      <c r="J62" s="26"/>
      <c r="K62" s="26"/>
      <c r="L62" s="14" t="s">
        <v>85</v>
      </c>
    </row>
    <row r="63" spans="1:12" ht="40" x14ac:dyDescent="0.2">
      <c r="A63" s="14" t="s">
        <v>52</v>
      </c>
      <c r="B63" s="26">
        <v>0.16</v>
      </c>
      <c r="C63" s="26">
        <v>0.36899999999999999</v>
      </c>
      <c r="D63" s="26">
        <f t="shared" si="4"/>
        <v>0.52900000000000003</v>
      </c>
      <c r="E63" s="26"/>
      <c r="F63" s="26"/>
      <c r="G63" s="26">
        <v>0.08</v>
      </c>
      <c r="H63" s="26">
        <v>0.22</v>
      </c>
      <c r="I63" s="26">
        <f t="shared" si="6"/>
        <v>0.3</v>
      </c>
      <c r="J63" s="26"/>
      <c r="K63" s="26"/>
      <c r="L63" s="14" t="s">
        <v>290</v>
      </c>
    </row>
    <row r="64" spans="1:12" ht="16" thickBot="1" x14ac:dyDescent="0.25">
      <c r="A64" s="14" t="s">
        <v>81</v>
      </c>
      <c r="B64" s="26">
        <v>0.14000000000000001</v>
      </c>
      <c r="C64" s="26"/>
      <c r="D64" s="26">
        <f t="shared" si="4"/>
        <v>0.14000000000000001</v>
      </c>
      <c r="E64" s="26"/>
      <c r="F64" s="26"/>
      <c r="G64" s="26">
        <v>0.14000000000000001</v>
      </c>
      <c r="H64" s="26"/>
      <c r="I64" s="26">
        <f t="shared" si="6"/>
        <v>0.14000000000000001</v>
      </c>
      <c r="J64" s="26"/>
      <c r="K64" s="26"/>
      <c r="L64" s="14" t="s">
        <v>85</v>
      </c>
    </row>
    <row r="65" spans="1:12" ht="63" customHeight="1" x14ac:dyDescent="0.2">
      <c r="A65" s="92" t="s">
        <v>347</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F71" r:id="rId1" display="mailto:maureen.klein@eia.gov" xr:uid="{00000000-0004-0000-0400-000000000000}"/>
  </hyperlinks>
  <pageMargins left="0.17" right="0.17" top="0.4" bottom="0.38" header="0.3" footer="0.3"/>
  <pageSetup paperSize="5"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1"/>
  <sheetViews>
    <sheetView showGridLines="0" zoomScaleNormal="100" workbookViewId="0">
      <pane ySplit="8" topLeftCell="A9" activePane="bottomLeft" state="frozen"/>
      <selection pane="bottomLeft" activeCell="A2" sqref="A2"/>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328</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0.25754901960784315</v>
      </c>
      <c r="C8" s="24">
        <f>AVERAGE(C9:C59)</f>
        <v>4.7632997727272718E-2</v>
      </c>
      <c r="D8" s="32">
        <f>AVERAGE(D9:D59)</f>
        <v>0.29864415490196078</v>
      </c>
      <c r="E8" s="32">
        <f>AVERAGE(E9:E59)</f>
        <v>0.48264415490196089</v>
      </c>
      <c r="F8" s="3"/>
      <c r="G8" s="32">
        <f>AVERAGE(G9:G59)</f>
        <v>0.27288235294117641</v>
      </c>
      <c r="H8" s="32">
        <f>AVERAGE(H9:H59)</f>
        <v>5.0633428888888873E-2</v>
      </c>
      <c r="I8" s="32">
        <f>AVERAGE(I9:I59)</f>
        <v>0.31755890784313734</v>
      </c>
      <c r="J8" s="21">
        <f>AVERAGE(J9:J59)</f>
        <v>0.56155890784313733</v>
      </c>
      <c r="K8" s="32"/>
      <c r="L8" s="11"/>
    </row>
    <row r="9" spans="1:12" ht="40" x14ac:dyDescent="0.2">
      <c r="A9" s="14" t="s">
        <v>33</v>
      </c>
      <c r="B9" s="26">
        <v>0.24</v>
      </c>
      <c r="C9" s="26">
        <v>0.01</v>
      </c>
      <c r="D9" s="26">
        <f>$B9+$C9</f>
        <v>0.25</v>
      </c>
      <c r="E9" s="26">
        <f>$D9+$E$4</f>
        <v>0.434</v>
      </c>
      <c r="F9" s="26"/>
      <c r="G9" s="26">
        <v>0.25</v>
      </c>
      <c r="H9" s="26">
        <f>0.0075+0.01</f>
        <v>1.7500000000000002E-2</v>
      </c>
      <c r="I9" s="26">
        <f>$G9+$H9</f>
        <v>0.26750000000000002</v>
      </c>
      <c r="J9" s="26">
        <f>$I9+$J$4</f>
        <v>0.51150000000000007</v>
      </c>
      <c r="K9" s="26"/>
      <c r="L9" s="14" t="s">
        <v>114</v>
      </c>
    </row>
    <row r="10" spans="1:12" x14ac:dyDescent="0.2">
      <c r="A10" s="14" t="s">
        <v>111</v>
      </c>
      <c r="B10" s="26">
        <v>0.08</v>
      </c>
      <c r="C10" s="26">
        <f>0.0095</f>
        <v>9.4999999999999998E-3</v>
      </c>
      <c r="D10" s="26">
        <f t="shared" ref="D10:D64" si="0">$B10+$C10</f>
        <v>8.9499999999999996E-2</v>
      </c>
      <c r="E10" s="26">
        <f t="shared" ref="E10:E59" si="1">$D10+$E$4</f>
        <v>0.27349999999999997</v>
      </c>
      <c r="F10" s="26"/>
      <c r="G10" s="26">
        <v>0.08</v>
      </c>
      <c r="H10" s="26">
        <f>0.0095</f>
        <v>9.4999999999999998E-3</v>
      </c>
      <c r="I10" s="26">
        <f t="shared" ref="I10:I64" si="2">$G10+$H10</f>
        <v>8.9499999999999996E-2</v>
      </c>
      <c r="J10" s="26">
        <f t="shared" ref="J10:J59" si="3">$I10+$J$4</f>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14" t="s">
        <v>86</v>
      </c>
      <c r="B12" s="26">
        <v>0.245</v>
      </c>
      <c r="C12" s="26">
        <f>0.003</f>
        <v>3.0000000000000001E-3</v>
      </c>
      <c r="D12" s="26">
        <f t="shared" si="0"/>
        <v>0.248</v>
      </c>
      <c r="E12" s="26">
        <f t="shared" si="1"/>
        <v>0.432</v>
      </c>
      <c r="F12" s="26"/>
      <c r="G12" s="26">
        <v>0.28499999999999998</v>
      </c>
      <c r="H12" s="26">
        <f>0.003</f>
        <v>3.0000000000000001E-3</v>
      </c>
      <c r="I12" s="26">
        <f t="shared" si="2"/>
        <v>0.28799999999999998</v>
      </c>
      <c r="J12" s="26">
        <f t="shared" si="3"/>
        <v>0.53200000000000003</v>
      </c>
      <c r="K12" s="26"/>
      <c r="L12" s="14" t="s">
        <v>55</v>
      </c>
    </row>
    <row r="13" spans="1:12" ht="52" x14ac:dyDescent="0.2">
      <c r="A13" s="22" t="s">
        <v>117</v>
      </c>
      <c r="B13" s="23">
        <v>0.505</v>
      </c>
      <c r="C13" s="23">
        <f>0.05+0.02+0.00155</f>
        <v>7.1550000000000002E-2</v>
      </c>
      <c r="D13" s="26">
        <f t="shared" si="0"/>
        <v>0.57655000000000001</v>
      </c>
      <c r="E13" s="26">
        <f t="shared" si="1"/>
        <v>0.76055000000000006</v>
      </c>
      <c r="F13" s="23"/>
      <c r="G13" s="23">
        <v>0.38500000000000001</v>
      </c>
      <c r="H13" s="23">
        <f>0.26+0.02+0.00155</f>
        <v>0.28155000000000002</v>
      </c>
      <c r="I13" s="26">
        <f t="shared" si="2"/>
        <v>0.66654999999999998</v>
      </c>
      <c r="J13" s="26">
        <f t="shared" si="3"/>
        <v>0.91054999999999997</v>
      </c>
      <c r="K13" s="26"/>
      <c r="L13" s="15" t="s">
        <v>311</v>
      </c>
    </row>
    <row r="14" spans="1:12" ht="27" x14ac:dyDescent="0.2">
      <c r="A14" s="14" t="s">
        <v>1</v>
      </c>
      <c r="B14" s="26">
        <v>0.22</v>
      </c>
      <c r="C14" s="26">
        <f>0.0125</f>
        <v>1.2500000000000001E-2</v>
      </c>
      <c r="D14" s="26">
        <f t="shared" si="0"/>
        <v>0.23250000000000001</v>
      </c>
      <c r="E14" s="26">
        <f t="shared" si="1"/>
        <v>0.41649999999999998</v>
      </c>
      <c r="F14" s="26"/>
      <c r="G14" s="26">
        <v>0.20499999999999999</v>
      </c>
      <c r="H14" s="26">
        <v>1.2500000000000001E-2</v>
      </c>
      <c r="I14" s="26">
        <f t="shared" si="2"/>
        <v>0.2175</v>
      </c>
      <c r="J14" s="26">
        <f t="shared" si="3"/>
        <v>0.46150000000000002</v>
      </c>
      <c r="K14" s="26"/>
      <c r="L14" s="14" t="s">
        <v>141</v>
      </c>
    </row>
    <row r="15" spans="1:12" ht="40" x14ac:dyDescent="0.2">
      <c r="A15" s="22" t="s">
        <v>91</v>
      </c>
      <c r="B15" s="26">
        <v>0.25</v>
      </c>
      <c r="C15" s="26"/>
      <c r="D15" s="26">
        <f t="shared" si="0"/>
        <v>0.25</v>
      </c>
      <c r="E15" s="26">
        <f t="shared" si="1"/>
        <v>0.434</v>
      </c>
      <c r="F15" s="26"/>
      <c r="G15" s="26">
        <v>0.28999999999999998</v>
      </c>
      <c r="H15" s="23">
        <v>0.156</v>
      </c>
      <c r="I15" s="26">
        <f t="shared" si="2"/>
        <v>0.44599999999999995</v>
      </c>
      <c r="J15" s="26">
        <f t="shared" si="3"/>
        <v>0.69</v>
      </c>
      <c r="K15" s="26"/>
      <c r="L15" s="14" t="s">
        <v>312</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26"/>
      <c r="L17" s="14"/>
    </row>
    <row r="18" spans="1:12" ht="66" x14ac:dyDescent="0.2">
      <c r="A18" s="14" t="s">
        <v>87</v>
      </c>
      <c r="B18" s="26">
        <v>0.04</v>
      </c>
      <c r="C18" s="26">
        <f>0.143+0.00125+0.06+0.079+0.00048+0.00119+0.01904</f>
        <v>0.30396000000000001</v>
      </c>
      <c r="D18" s="26">
        <f t="shared" si="0"/>
        <v>0.34395999999999999</v>
      </c>
      <c r="E18" s="26">
        <f t="shared" si="1"/>
        <v>0.52795999999999998</v>
      </c>
      <c r="F18" s="26"/>
      <c r="G18" s="26">
        <v>0.04</v>
      </c>
      <c r="H18" s="26">
        <f>0.143+0.01+0.06+0.079+0.00048+0.00119+0.01904</f>
        <v>0.31270999999999999</v>
      </c>
      <c r="I18" s="26">
        <f t="shared" si="2"/>
        <v>0.35270999999999997</v>
      </c>
      <c r="J18" s="26">
        <f t="shared" si="3"/>
        <v>0.59670999999999996</v>
      </c>
      <c r="K18" s="26"/>
      <c r="L18" s="14" t="s">
        <v>108</v>
      </c>
    </row>
    <row r="19" spans="1:12" ht="40" x14ac:dyDescent="0.2">
      <c r="A19" s="14" t="s">
        <v>88</v>
      </c>
      <c r="B19" s="26">
        <v>0.27900000000000003</v>
      </c>
      <c r="C19" s="26">
        <f>0.0075</f>
        <v>7.4999999999999997E-3</v>
      </c>
      <c r="D19" s="26">
        <f t="shared" si="0"/>
        <v>0.28650000000000003</v>
      </c>
      <c r="E19" s="26">
        <f t="shared" si="1"/>
        <v>0.47050000000000003</v>
      </c>
      <c r="F19" s="26"/>
      <c r="G19" s="26">
        <v>0.313</v>
      </c>
      <c r="H19" s="26">
        <f>0.0075</f>
        <v>7.4999999999999997E-3</v>
      </c>
      <c r="I19" s="26">
        <f t="shared" si="2"/>
        <v>0.32050000000000001</v>
      </c>
      <c r="J19" s="26">
        <f t="shared" si="3"/>
        <v>0.5645</v>
      </c>
      <c r="K19" s="26"/>
      <c r="L19" s="14" t="s">
        <v>313</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299</v>
      </c>
    </row>
    <row r="21" spans="1:12" x14ac:dyDescent="0.2">
      <c r="A21" s="14" t="s">
        <v>3</v>
      </c>
      <c r="B21" s="26">
        <v>0.32</v>
      </c>
      <c r="C21" s="26">
        <f>0.01</f>
        <v>0.01</v>
      </c>
      <c r="D21" s="26">
        <f>$B21+$C21</f>
        <v>0.33</v>
      </c>
      <c r="E21" s="26">
        <f t="shared" si="1"/>
        <v>0.51400000000000001</v>
      </c>
      <c r="F21" s="26"/>
      <c r="G21" s="26">
        <v>0.32</v>
      </c>
      <c r="H21" s="26">
        <f>0.01</f>
        <v>0.01</v>
      </c>
      <c r="I21" s="26">
        <f t="shared" si="2"/>
        <v>0.33</v>
      </c>
      <c r="J21" s="26">
        <f t="shared" si="3"/>
        <v>0.57400000000000007</v>
      </c>
      <c r="K21" s="26"/>
      <c r="L21" s="14" t="s">
        <v>58</v>
      </c>
    </row>
    <row r="22" spans="1:12" ht="40" x14ac:dyDescent="0.2">
      <c r="A22" s="22" t="s">
        <v>92</v>
      </c>
      <c r="B22" s="23">
        <v>0.38700000000000001</v>
      </c>
      <c r="C22" s="23">
        <v>0.13100000000000001</v>
      </c>
      <c r="D22" s="26">
        <f t="shared" si="0"/>
        <v>0.51800000000000002</v>
      </c>
      <c r="E22" s="26">
        <f t="shared" si="1"/>
        <v>0.70199999999999996</v>
      </c>
      <c r="F22" s="23"/>
      <c r="G22" s="23">
        <v>0.46200000000000002</v>
      </c>
      <c r="H22" s="23">
        <v>0.13100000000000001</v>
      </c>
      <c r="I22" s="26">
        <f t="shared" si="2"/>
        <v>0.59299999999999997</v>
      </c>
      <c r="J22" s="26">
        <f t="shared" si="3"/>
        <v>0.83699999999999997</v>
      </c>
      <c r="K22" s="26"/>
      <c r="L22" s="14" t="s">
        <v>314</v>
      </c>
    </row>
    <row r="23" spans="1:12" ht="72.75" customHeight="1" x14ac:dyDescent="0.2">
      <c r="A23" s="22" t="s">
        <v>93</v>
      </c>
      <c r="B23" s="23">
        <v>0.31</v>
      </c>
      <c r="C23" s="23">
        <f>0.104+0.01</f>
        <v>0.11399999999999999</v>
      </c>
      <c r="D23" s="26">
        <f t="shared" si="0"/>
        <v>0.42399999999999999</v>
      </c>
      <c r="E23" s="26">
        <f t="shared" si="1"/>
        <v>0.60799999999999998</v>
      </c>
      <c r="F23" s="26"/>
      <c r="G23" s="23">
        <v>0.51</v>
      </c>
      <c r="H23" s="23">
        <f>0.01</f>
        <v>0.01</v>
      </c>
      <c r="I23" s="26">
        <f t="shared" si="2"/>
        <v>0.52</v>
      </c>
      <c r="J23" s="26">
        <f t="shared" si="3"/>
        <v>0.76400000000000001</v>
      </c>
      <c r="K23" s="26"/>
      <c r="L23" s="14" t="s">
        <v>315</v>
      </c>
    </row>
    <row r="24" spans="1:12" ht="40" x14ac:dyDescent="0.2">
      <c r="A24" s="22" t="s">
        <v>94</v>
      </c>
      <c r="B24" s="23">
        <v>0.3</v>
      </c>
      <c r="C24" s="26"/>
      <c r="D24" s="26">
        <f t="shared" si="0"/>
        <v>0.3</v>
      </c>
      <c r="E24" s="26">
        <f t="shared" si="1"/>
        <v>0.48399999999999999</v>
      </c>
      <c r="F24" s="26"/>
      <c r="G24" s="26">
        <v>0.32500000000000001</v>
      </c>
      <c r="H24" s="26"/>
      <c r="I24" s="26">
        <f t="shared" si="2"/>
        <v>0.32500000000000001</v>
      </c>
      <c r="J24" s="26">
        <f t="shared" si="3"/>
        <v>0.56900000000000006</v>
      </c>
      <c r="K24" s="26"/>
      <c r="L24" s="14" t="s">
        <v>316</v>
      </c>
    </row>
    <row r="25" spans="1:12" ht="27" x14ac:dyDescent="0.2">
      <c r="A25" s="22" t="s">
        <v>5</v>
      </c>
      <c r="B25" s="26">
        <v>0.24</v>
      </c>
      <c r="C25" s="23">
        <f>0.0003+0.01</f>
        <v>1.03E-2</v>
      </c>
      <c r="D25" s="26">
        <f t="shared" si="0"/>
        <v>0.25029999999999997</v>
      </c>
      <c r="E25" s="26">
        <f t="shared" si="1"/>
        <v>0.43429999999999996</v>
      </c>
      <c r="F25" s="26"/>
      <c r="G25" s="26">
        <v>0.26</v>
      </c>
      <c r="H25" s="23">
        <f>0.0003+0.01</f>
        <v>1.03E-2</v>
      </c>
      <c r="I25" s="26">
        <f t="shared" si="2"/>
        <v>0.27029999999999998</v>
      </c>
      <c r="J25" s="26">
        <f t="shared" si="3"/>
        <v>0.51429999999999998</v>
      </c>
      <c r="K25" s="26"/>
      <c r="L25" s="14" t="s">
        <v>317</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22" t="s">
        <v>9</v>
      </c>
      <c r="B29" s="23">
        <v>0.26700000000000002</v>
      </c>
      <c r="C29" s="23">
        <f>0.096+0.0019</f>
        <v>9.7900000000000001E-2</v>
      </c>
      <c r="D29" s="26">
        <f t="shared" si="0"/>
        <v>0.3649</v>
      </c>
      <c r="E29" s="26">
        <f t="shared" si="1"/>
        <v>0.54889999999999994</v>
      </c>
      <c r="F29" s="26"/>
      <c r="G29" s="23">
        <v>0.27450000000000002</v>
      </c>
      <c r="H29" s="23">
        <f>0.096+0.0019</f>
        <v>9.7900000000000001E-2</v>
      </c>
      <c r="I29" s="26">
        <f t="shared" si="2"/>
        <v>0.37240000000000001</v>
      </c>
      <c r="J29" s="26">
        <f t="shared" si="3"/>
        <v>0.61640000000000006</v>
      </c>
      <c r="K29" s="26"/>
      <c r="L29" s="14" t="s">
        <v>318</v>
      </c>
    </row>
    <row r="30" spans="1:12" ht="40" x14ac:dyDescent="0.2">
      <c r="A30" s="14" t="s">
        <v>36</v>
      </c>
      <c r="B30" s="26">
        <v>0.24</v>
      </c>
      <c r="C30" s="26">
        <f>0.02737+0.0012</f>
        <v>2.8569999999999998E-2</v>
      </c>
      <c r="D30" s="26">
        <f t="shared" si="0"/>
        <v>0.26856999999999998</v>
      </c>
      <c r="E30" s="26">
        <f t="shared" si="1"/>
        <v>0.45256999999999997</v>
      </c>
      <c r="F30" s="26"/>
      <c r="G30" s="26">
        <v>0.24</v>
      </c>
      <c r="H30" s="26">
        <f>0.02737+0.0012</f>
        <v>2.8569999999999998E-2</v>
      </c>
      <c r="I30" s="26">
        <f t="shared" si="2"/>
        <v>0.26856999999999998</v>
      </c>
      <c r="J30" s="26">
        <f t="shared" si="3"/>
        <v>0.51256999999999997</v>
      </c>
      <c r="K30" s="26"/>
      <c r="L30" s="14" t="s">
        <v>319</v>
      </c>
    </row>
    <row r="31" spans="1:12" ht="40" x14ac:dyDescent="0.2">
      <c r="A31" s="22" t="s">
        <v>95</v>
      </c>
      <c r="B31" s="26">
        <v>0.26300000000000001</v>
      </c>
      <c r="C31" s="23">
        <f>0.088+0.01</f>
        <v>9.799999999999999E-2</v>
      </c>
      <c r="D31" s="26">
        <f t="shared" si="0"/>
        <v>0.36099999999999999</v>
      </c>
      <c r="E31" s="26">
        <f t="shared" si="1"/>
        <v>0.54499999999999993</v>
      </c>
      <c r="F31" s="26"/>
      <c r="G31" s="26">
        <v>0.26300000000000001</v>
      </c>
      <c r="H31" s="23">
        <f>0.124+0.01</f>
        <v>0.13400000000000001</v>
      </c>
      <c r="I31" s="26">
        <f t="shared" si="2"/>
        <v>0.39700000000000002</v>
      </c>
      <c r="J31" s="26">
        <f t="shared" si="3"/>
        <v>0.64100000000000001</v>
      </c>
      <c r="K31" s="26"/>
      <c r="L31" s="14" t="s">
        <v>320</v>
      </c>
    </row>
    <row r="32" spans="1:12" ht="27" x14ac:dyDescent="0.2">
      <c r="A32" s="14" t="s">
        <v>10</v>
      </c>
      <c r="B32" s="26">
        <v>0.28499999999999998</v>
      </c>
      <c r="C32" s="26">
        <f>0.001</f>
        <v>1E-3</v>
      </c>
      <c r="D32" s="26">
        <f t="shared" si="0"/>
        <v>0.28599999999999998</v>
      </c>
      <c r="E32" s="26">
        <f t="shared" si="1"/>
        <v>0.47</v>
      </c>
      <c r="F32" s="26"/>
      <c r="G32" s="26">
        <v>0.28499999999999998</v>
      </c>
      <c r="H32" s="26">
        <f>0.001</f>
        <v>1E-3</v>
      </c>
      <c r="I32" s="26">
        <f t="shared" si="2"/>
        <v>0.28599999999999998</v>
      </c>
      <c r="J32" s="26">
        <f t="shared" si="3"/>
        <v>0.53</v>
      </c>
      <c r="K32" s="26"/>
      <c r="L32" s="14" t="s">
        <v>321</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0.17</v>
      </c>
      <c r="C34" s="26">
        <v>4.1999999999999997E-3</v>
      </c>
      <c r="D34" s="26">
        <f t="shared" si="0"/>
        <v>0.17420000000000002</v>
      </c>
      <c r="E34" s="26">
        <f t="shared" si="1"/>
        <v>0.35820000000000002</v>
      </c>
      <c r="F34" s="26"/>
      <c r="G34" s="26">
        <v>0.17</v>
      </c>
      <c r="H34" s="26">
        <f>0.0007+0.0035</f>
        <v>4.1999999999999997E-3</v>
      </c>
      <c r="I34" s="26">
        <f t="shared" si="2"/>
        <v>0.17420000000000002</v>
      </c>
      <c r="J34" s="26">
        <f t="shared" si="3"/>
        <v>0.41820000000000002</v>
      </c>
      <c r="K34" s="26"/>
      <c r="L34" s="14" t="s">
        <v>135</v>
      </c>
    </row>
    <row r="35" spans="1:12" ht="27" x14ac:dyDescent="0.2">
      <c r="A35" s="14" t="s">
        <v>29</v>
      </c>
      <c r="B35" s="26">
        <v>0.32</v>
      </c>
      <c r="C35" s="26">
        <f>0.0075</f>
        <v>7.4999999999999997E-3</v>
      </c>
      <c r="D35" s="26">
        <f t="shared" si="0"/>
        <v>0.32750000000000001</v>
      </c>
      <c r="E35" s="26">
        <f t="shared" si="1"/>
        <v>0.51150000000000007</v>
      </c>
      <c r="F35" s="26"/>
      <c r="G35" s="26">
        <v>0.29449999999999998</v>
      </c>
      <c r="H35" s="26">
        <f>0.0075</f>
        <v>7.4999999999999997E-3</v>
      </c>
      <c r="I35" s="26">
        <f t="shared" si="2"/>
        <v>0.30199999999999999</v>
      </c>
      <c r="J35" s="26">
        <f t="shared" si="3"/>
        <v>0.54600000000000004</v>
      </c>
      <c r="K35" s="26"/>
      <c r="L35" s="14" t="s">
        <v>61</v>
      </c>
    </row>
    <row r="36" spans="1:12" ht="27" x14ac:dyDescent="0.2">
      <c r="A36" s="22" t="s">
        <v>15</v>
      </c>
      <c r="B36" s="23">
        <v>0.33200000000000002</v>
      </c>
      <c r="C36" s="26">
        <f>0.009</f>
        <v>8.9999999999999993E-3</v>
      </c>
      <c r="D36" s="26">
        <f t="shared" si="0"/>
        <v>0.34100000000000003</v>
      </c>
      <c r="E36" s="26">
        <f t="shared" si="1"/>
        <v>0.52500000000000002</v>
      </c>
      <c r="F36" s="26"/>
      <c r="G36" s="23">
        <v>0.33200000000000002</v>
      </c>
      <c r="H36" s="26">
        <f>0.003</f>
        <v>3.0000000000000001E-3</v>
      </c>
      <c r="I36" s="26">
        <f t="shared" si="2"/>
        <v>0.33500000000000002</v>
      </c>
      <c r="J36" s="26">
        <f t="shared" si="3"/>
        <v>0.57900000000000007</v>
      </c>
      <c r="K36" s="26"/>
      <c r="L36" s="14" t="s">
        <v>62</v>
      </c>
    </row>
    <row r="37" spans="1:12" ht="40" x14ac:dyDescent="0.2">
      <c r="A37" s="22"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322</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0.309+0.0005</f>
        <v>0.3095</v>
      </c>
      <c r="D39" s="26">
        <f t="shared" si="0"/>
        <v>0.41449999999999998</v>
      </c>
      <c r="E39" s="26">
        <f t="shared" si="1"/>
        <v>0.59850000000000003</v>
      </c>
      <c r="F39" s="26"/>
      <c r="G39" s="26">
        <v>0.13500000000000001</v>
      </c>
      <c r="H39" s="26">
        <f>0.35+0.0005</f>
        <v>0.35049999999999998</v>
      </c>
      <c r="I39" s="26">
        <f t="shared" si="2"/>
        <v>0.48549999999999999</v>
      </c>
      <c r="J39" s="26">
        <f t="shared" si="3"/>
        <v>0.72950000000000004</v>
      </c>
      <c r="K39" s="26"/>
      <c r="L39" s="14" t="s">
        <v>136</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14" t="s">
        <v>97</v>
      </c>
      <c r="B41" s="26">
        <v>0.08</v>
      </c>
      <c r="C41" s="26">
        <f>0.174+0.0005+0.08+0.003274</f>
        <v>0.257774</v>
      </c>
      <c r="D41" s="26">
        <f t="shared" si="0"/>
        <v>0.33777400000000002</v>
      </c>
      <c r="E41" s="26">
        <f t="shared" si="1"/>
        <v>0.52177399999999996</v>
      </c>
      <c r="F41" s="26"/>
      <c r="G41" s="26">
        <v>0.08</v>
      </c>
      <c r="H41" s="26">
        <f>0.1565+0.08+0.003274</f>
        <v>0.23977399999999999</v>
      </c>
      <c r="I41" s="26">
        <f t="shared" si="2"/>
        <v>0.319774</v>
      </c>
      <c r="J41" s="26">
        <f t="shared" si="3"/>
        <v>0.563774</v>
      </c>
      <c r="K41" s="26"/>
      <c r="L41" s="14" t="s">
        <v>323</v>
      </c>
    </row>
    <row r="42" spans="1:12" x14ac:dyDescent="0.2">
      <c r="A42" s="14" t="s">
        <v>17</v>
      </c>
      <c r="B42" s="26">
        <v>0.36099999999999999</v>
      </c>
      <c r="C42" s="26">
        <f>0.0025</f>
        <v>2.5000000000000001E-3</v>
      </c>
      <c r="D42" s="26">
        <f t="shared" si="0"/>
        <v>0.36349999999999999</v>
      </c>
      <c r="E42" s="26">
        <f t="shared" si="1"/>
        <v>0.54749999999999999</v>
      </c>
      <c r="F42" s="26"/>
      <c r="G42" s="26">
        <v>0.36099999999999999</v>
      </c>
      <c r="H42" s="26">
        <f>0.0025</f>
        <v>2.5000000000000001E-3</v>
      </c>
      <c r="I42" s="26">
        <f t="shared" si="2"/>
        <v>0.36349999999999999</v>
      </c>
      <c r="J42" s="26">
        <f t="shared" si="3"/>
        <v>0.60750000000000004</v>
      </c>
      <c r="K42" s="26"/>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26"/>
      <c r="L43" s="14" t="s">
        <v>64</v>
      </c>
    </row>
    <row r="44" spans="1:12" x14ac:dyDescent="0.2">
      <c r="A44" s="14" t="s">
        <v>23</v>
      </c>
      <c r="B44" s="26">
        <v>0.38500000000000001</v>
      </c>
      <c r="C44" s="26"/>
      <c r="D44" s="26">
        <f t="shared" si="0"/>
        <v>0.38500000000000001</v>
      </c>
      <c r="E44" s="26">
        <f t="shared" si="1"/>
        <v>0.56899999999999995</v>
      </c>
      <c r="F44" s="26"/>
      <c r="G44" s="26">
        <v>0.47</v>
      </c>
      <c r="H44" s="26"/>
      <c r="I44" s="26">
        <f t="shared" si="2"/>
        <v>0.47</v>
      </c>
      <c r="J44" s="26">
        <f t="shared" si="3"/>
        <v>0.71399999999999997</v>
      </c>
      <c r="K44" s="26"/>
      <c r="L44" s="14"/>
    </row>
    <row r="45" spans="1:12" ht="27" x14ac:dyDescent="0.2">
      <c r="A45" s="14" t="s">
        <v>18</v>
      </c>
      <c r="B45" s="26">
        <v>0.19</v>
      </c>
      <c r="C45" s="26">
        <f>0.01</f>
        <v>0.01</v>
      </c>
      <c r="D45" s="26">
        <f t="shared" si="0"/>
        <v>0.2</v>
      </c>
      <c r="E45" s="26">
        <f t="shared" si="1"/>
        <v>0.38400000000000001</v>
      </c>
      <c r="F45" s="26"/>
      <c r="G45" s="26">
        <v>0.19</v>
      </c>
      <c r="H45" s="26">
        <f>0.01</f>
        <v>0.01</v>
      </c>
      <c r="I45" s="26">
        <f t="shared" si="2"/>
        <v>0.2</v>
      </c>
      <c r="J45" s="26">
        <f t="shared" si="3"/>
        <v>0.44400000000000006</v>
      </c>
      <c r="K45" s="26"/>
      <c r="L45" s="14" t="s">
        <v>65</v>
      </c>
    </row>
    <row r="46" spans="1:12" ht="27" x14ac:dyDescent="0.2">
      <c r="A46" s="22" t="s">
        <v>31</v>
      </c>
      <c r="B46" s="26">
        <v>0.36</v>
      </c>
      <c r="C46" s="26"/>
      <c r="D46" s="26">
        <f t="shared" si="0"/>
        <v>0.36</v>
      </c>
      <c r="E46" s="26">
        <f t="shared" si="1"/>
        <v>0.54400000000000004</v>
      </c>
      <c r="F46" s="26"/>
      <c r="G46" s="26">
        <v>0.36</v>
      </c>
      <c r="H46" s="26"/>
      <c r="I46" s="26">
        <f t="shared" si="2"/>
        <v>0.36</v>
      </c>
      <c r="J46" s="26">
        <f t="shared" si="3"/>
        <v>0.60399999999999998</v>
      </c>
      <c r="K46" s="26"/>
      <c r="L46" s="14" t="s">
        <v>324</v>
      </c>
    </row>
    <row r="47" spans="1:12" ht="37.5" customHeight="1" x14ac:dyDescent="0.2">
      <c r="A47" s="14" t="s">
        <v>12</v>
      </c>
      <c r="B47" s="26">
        <v>0.57599999999999996</v>
      </c>
      <c r="C47" s="26">
        <f>0.011</f>
        <v>1.0999999999999999E-2</v>
      </c>
      <c r="D47" s="26">
        <f t="shared" si="0"/>
        <v>0.58699999999999997</v>
      </c>
      <c r="E47" s="26">
        <f t="shared" si="1"/>
        <v>0.77099999999999991</v>
      </c>
      <c r="F47" s="26"/>
      <c r="G47" s="26">
        <v>0.74099999999999999</v>
      </c>
      <c r="H47" s="26">
        <f>0.011</f>
        <v>1.0999999999999999E-2</v>
      </c>
      <c r="I47" s="26">
        <f t="shared" si="2"/>
        <v>0.752</v>
      </c>
      <c r="J47" s="26">
        <f t="shared" si="3"/>
        <v>0.996</v>
      </c>
      <c r="K47" s="26"/>
      <c r="L47" s="14" t="s">
        <v>103</v>
      </c>
    </row>
    <row r="48" spans="1:12" ht="26.25" customHeight="1" x14ac:dyDescent="0.2">
      <c r="A48" s="14" t="s">
        <v>14</v>
      </c>
      <c r="B48" s="26">
        <v>0.34</v>
      </c>
      <c r="C48" s="26">
        <f>0.01+0.0012</f>
        <v>1.12E-2</v>
      </c>
      <c r="D48" s="26">
        <f t="shared" si="0"/>
        <v>0.35120000000000001</v>
      </c>
      <c r="E48" s="26">
        <f t="shared" si="1"/>
        <v>0.53520000000000001</v>
      </c>
      <c r="F48" s="26"/>
      <c r="G48" s="26">
        <v>0.34</v>
      </c>
      <c r="H48" s="26">
        <f>0.01+0.0012</f>
        <v>1.12E-2</v>
      </c>
      <c r="I48" s="26">
        <f t="shared" si="2"/>
        <v>0.35120000000000001</v>
      </c>
      <c r="J48" s="26">
        <f t="shared" si="3"/>
        <v>0.59520000000000006</v>
      </c>
      <c r="K48" s="26"/>
      <c r="L48" s="14" t="s">
        <v>83</v>
      </c>
    </row>
    <row r="49" spans="1:12" s="29" customFormat="1" x14ac:dyDescent="0.2">
      <c r="A49" s="22" t="s">
        <v>119</v>
      </c>
      <c r="B49" s="23">
        <v>0.24</v>
      </c>
      <c r="C49" s="26">
        <f>0.0025+0.005</f>
        <v>7.4999999999999997E-3</v>
      </c>
      <c r="D49" s="26">
        <f t="shared" si="0"/>
        <v>0.2475</v>
      </c>
      <c r="E49" s="26">
        <f t="shared" si="1"/>
        <v>0.43149999999999999</v>
      </c>
      <c r="F49" s="26"/>
      <c r="G49" s="23">
        <v>0.24</v>
      </c>
      <c r="H49" s="26">
        <f>0.0025+0.005</f>
        <v>7.4999999999999997E-3</v>
      </c>
      <c r="I49" s="26">
        <f t="shared" si="2"/>
        <v>0.2475</v>
      </c>
      <c r="J49" s="26">
        <f t="shared" si="3"/>
        <v>0.49150000000000005</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26"/>
      <c r="L50" s="14" t="s">
        <v>68</v>
      </c>
    </row>
    <row r="51" spans="1:12" x14ac:dyDescent="0.2">
      <c r="A51" s="14" t="s">
        <v>19</v>
      </c>
      <c r="B51" s="26">
        <v>0.26</v>
      </c>
      <c r="C51" s="26">
        <f>0.01+0.004</f>
        <v>1.4E-2</v>
      </c>
      <c r="D51" s="26">
        <f t="shared" si="0"/>
        <v>0.27400000000000002</v>
      </c>
      <c r="E51" s="26">
        <f t="shared" si="1"/>
        <v>0.45800000000000002</v>
      </c>
      <c r="F51" s="26"/>
      <c r="G51" s="26">
        <v>0.27</v>
      </c>
      <c r="H51" s="26">
        <f>0.01+0.004</f>
        <v>1.4E-2</v>
      </c>
      <c r="I51" s="26">
        <f t="shared" si="2"/>
        <v>0.28400000000000003</v>
      </c>
      <c r="J51" s="26">
        <f t="shared" si="3"/>
        <v>0.52800000000000002</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26"/>
      <c r="L52" s="14" t="s">
        <v>70</v>
      </c>
    </row>
    <row r="53" spans="1:12" x14ac:dyDescent="0.2">
      <c r="A53" s="14" t="s">
        <v>25</v>
      </c>
      <c r="B53" s="26">
        <v>0.311</v>
      </c>
      <c r="C53" s="26">
        <f>0.0065</f>
        <v>6.4999999999999997E-3</v>
      </c>
      <c r="D53" s="26">
        <f t="shared" si="0"/>
        <v>0.3175</v>
      </c>
      <c r="E53" s="26">
        <f t="shared" si="1"/>
        <v>0.50150000000000006</v>
      </c>
      <c r="F53" s="26"/>
      <c r="G53" s="26">
        <v>0.311</v>
      </c>
      <c r="H53" s="26">
        <f>0.0065</f>
        <v>6.4999999999999997E-3</v>
      </c>
      <c r="I53" s="26">
        <f t="shared" si="2"/>
        <v>0.3175</v>
      </c>
      <c r="J53" s="26">
        <f t="shared" si="3"/>
        <v>0.5615</v>
      </c>
      <c r="K53" s="26"/>
      <c r="L53" s="14" t="s">
        <v>71</v>
      </c>
    </row>
    <row r="54" spans="1:12" ht="40" x14ac:dyDescent="0.2">
      <c r="A54" s="22" t="s">
        <v>75</v>
      </c>
      <c r="B54" s="26">
        <v>0.121</v>
      </c>
      <c r="C54" s="23">
        <f>0.0367+0.134+0.01</f>
        <v>0.18070000000000003</v>
      </c>
      <c r="D54" s="26">
        <f t="shared" si="0"/>
        <v>0.30170000000000002</v>
      </c>
      <c r="E54" s="26">
        <f t="shared" si="1"/>
        <v>0.48570000000000002</v>
      </c>
      <c r="F54" s="26"/>
      <c r="G54" s="26">
        <v>0.28000000000000003</v>
      </c>
      <c r="H54" s="26">
        <f>0.01+0.03</f>
        <v>0.04</v>
      </c>
      <c r="I54" s="26">
        <f t="shared" si="2"/>
        <v>0.32</v>
      </c>
      <c r="J54" s="26">
        <f t="shared" si="3"/>
        <v>0.56400000000000006</v>
      </c>
      <c r="K54" s="26"/>
      <c r="L54" s="14" t="s">
        <v>325</v>
      </c>
    </row>
    <row r="55" spans="1:12" ht="27" x14ac:dyDescent="0.2">
      <c r="A55" s="22" t="s">
        <v>98</v>
      </c>
      <c r="B55" s="23">
        <v>0.21199999999999999</v>
      </c>
      <c r="C55" s="26">
        <f>0.006</f>
        <v>6.0000000000000001E-3</v>
      </c>
      <c r="D55" s="26">
        <f t="shared" si="0"/>
        <v>0.218</v>
      </c>
      <c r="E55" s="26">
        <f t="shared" si="1"/>
        <v>0.40200000000000002</v>
      </c>
      <c r="F55" s="26"/>
      <c r="G55" s="26">
        <v>0.20199999999999999</v>
      </c>
      <c r="H55" s="26">
        <f>0.006</f>
        <v>6.0000000000000001E-3</v>
      </c>
      <c r="I55" s="26">
        <f t="shared" si="2"/>
        <v>0.20799999999999999</v>
      </c>
      <c r="J55" s="26">
        <f t="shared" si="3"/>
        <v>0.45200000000000001</v>
      </c>
      <c r="K55" s="26"/>
      <c r="L55" s="14" t="s">
        <v>84</v>
      </c>
    </row>
    <row r="56" spans="1:12" ht="66" x14ac:dyDescent="0.2">
      <c r="A56" s="22" t="s">
        <v>32</v>
      </c>
      <c r="B56" s="26">
        <v>0.49399999999999999</v>
      </c>
      <c r="C56" s="23">
        <f>0.0009523+0.000238+0.02691</f>
        <v>2.8100300000000002E-2</v>
      </c>
      <c r="D56" s="26">
        <f t="shared" si="0"/>
        <v>0.52210029999999996</v>
      </c>
      <c r="E56" s="26">
        <f t="shared" si="1"/>
        <v>0.7061002999999999</v>
      </c>
      <c r="F56" s="26"/>
      <c r="G56" s="26">
        <v>0.49399999999999999</v>
      </c>
      <c r="H56" s="23">
        <f>0.0009523+0.000238+0.02691</f>
        <v>2.8100300000000002E-2</v>
      </c>
      <c r="I56" s="26">
        <f t="shared" si="2"/>
        <v>0.52210029999999996</v>
      </c>
      <c r="J56" s="26">
        <f t="shared" si="3"/>
        <v>0.76610029999999996</v>
      </c>
      <c r="K56" s="26"/>
      <c r="L56" s="14" t="s">
        <v>326</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26"/>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26"/>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28"/>
      <c r="L59" s="27" t="s">
        <v>73</v>
      </c>
    </row>
    <row r="60" spans="1:12" x14ac:dyDescent="0.2">
      <c r="A60" s="14" t="s">
        <v>49</v>
      </c>
      <c r="B60" s="26">
        <v>0.35</v>
      </c>
      <c r="C60" s="26"/>
      <c r="D60" s="26">
        <f t="shared" si="0"/>
        <v>0.35</v>
      </c>
      <c r="E60" s="26"/>
      <c r="F60" s="26"/>
      <c r="G60" s="26">
        <v>0.315</v>
      </c>
      <c r="H60" s="26">
        <f>0.035</f>
        <v>3.5000000000000003E-2</v>
      </c>
      <c r="I60" s="26">
        <f t="shared" si="2"/>
        <v>0.35</v>
      </c>
      <c r="J60" s="26"/>
      <c r="K60" s="26"/>
      <c r="L60" s="14" t="s">
        <v>85</v>
      </c>
    </row>
    <row r="61" spans="1:12" ht="27" x14ac:dyDescent="0.2">
      <c r="A61" s="14" t="s">
        <v>50</v>
      </c>
      <c r="B61" s="26">
        <v>0.15</v>
      </c>
      <c r="C61" s="26">
        <f>0.04</f>
        <v>0.04</v>
      </c>
      <c r="D61" s="26">
        <f t="shared" si="0"/>
        <v>0.19</v>
      </c>
      <c r="E61" s="26"/>
      <c r="F61" s="26"/>
      <c r="G61" s="26">
        <v>0.14000000000000001</v>
      </c>
      <c r="H61" s="26">
        <f>0.04</f>
        <v>0.04</v>
      </c>
      <c r="I61" s="26">
        <f t="shared" si="2"/>
        <v>0.18000000000000002</v>
      </c>
      <c r="J61" s="26"/>
      <c r="K61" s="26"/>
      <c r="L61" s="14" t="s">
        <v>74</v>
      </c>
    </row>
    <row r="62" spans="1:12" ht="15" customHeight="1" x14ac:dyDescent="0.2">
      <c r="A62" s="14" t="s">
        <v>51</v>
      </c>
      <c r="B62" s="26">
        <v>0.15</v>
      </c>
      <c r="C62" s="26"/>
      <c r="D62" s="26">
        <f t="shared" si="0"/>
        <v>0.15</v>
      </c>
      <c r="E62" s="26"/>
      <c r="F62" s="26"/>
      <c r="G62" s="26">
        <v>0.15</v>
      </c>
      <c r="H62" s="26"/>
      <c r="I62" s="26">
        <f t="shared" si="2"/>
        <v>0.15</v>
      </c>
      <c r="J62" s="26"/>
      <c r="K62" s="26"/>
      <c r="L62" s="14" t="s">
        <v>85</v>
      </c>
    </row>
    <row r="63" spans="1:12" ht="40" x14ac:dyDescent="0.2">
      <c r="A63" s="14" t="s">
        <v>52</v>
      </c>
      <c r="B63" s="26">
        <v>0.16</v>
      </c>
      <c r="C63" s="26">
        <v>0.36899999999999999</v>
      </c>
      <c r="D63" s="26">
        <f t="shared" si="0"/>
        <v>0.52900000000000003</v>
      </c>
      <c r="E63" s="26"/>
      <c r="F63" s="26"/>
      <c r="G63" s="26">
        <v>0.08</v>
      </c>
      <c r="H63" s="26">
        <v>0.22</v>
      </c>
      <c r="I63" s="26">
        <f t="shared" si="2"/>
        <v>0.3</v>
      </c>
      <c r="J63" s="26"/>
      <c r="K63" s="26"/>
      <c r="L63" s="14" t="s">
        <v>290</v>
      </c>
    </row>
    <row r="64" spans="1:12" ht="16" thickBot="1" x14ac:dyDescent="0.25">
      <c r="A64" s="14" t="s">
        <v>81</v>
      </c>
      <c r="B64" s="26">
        <v>0.14000000000000001</v>
      </c>
      <c r="C64" s="26"/>
      <c r="D64" s="26">
        <f t="shared" si="0"/>
        <v>0.14000000000000001</v>
      </c>
      <c r="E64" s="26"/>
      <c r="F64" s="26"/>
      <c r="G64" s="26">
        <v>0.14000000000000001</v>
      </c>
      <c r="H64" s="26"/>
      <c r="I64" s="26">
        <f t="shared" si="2"/>
        <v>0.14000000000000001</v>
      </c>
      <c r="J64" s="26"/>
      <c r="K64" s="26"/>
      <c r="L64" s="14" t="s">
        <v>85</v>
      </c>
    </row>
    <row r="65" spans="1:12" ht="63" customHeight="1" x14ac:dyDescent="0.2">
      <c r="A65" s="92" t="s">
        <v>327</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A69:J69"/>
    <mergeCell ref="B6:E6"/>
    <mergeCell ref="G6:J6"/>
    <mergeCell ref="A65:J65"/>
    <mergeCell ref="A66:J66"/>
    <mergeCell ref="A67:J67"/>
    <mergeCell ref="A68:J68"/>
    <mergeCell ref="B2:E2"/>
    <mergeCell ref="G2:J2"/>
    <mergeCell ref="C3:D3"/>
    <mergeCell ref="H3:I3"/>
    <mergeCell ref="C4:D4"/>
    <mergeCell ref="H4:I4"/>
  </mergeCells>
  <hyperlinks>
    <hyperlink ref="F71" r:id="rId1" display="mailto:maureen.klein@eia.gov" xr:uid="{00000000-0004-0000-0500-000000000000}"/>
  </hyperlinks>
  <pageMargins left="0.17" right="0.17" top="0.4" bottom="0.38" header="0.3" footer="0.3"/>
  <pageSetup paperSize="5"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1"/>
  <sheetViews>
    <sheetView showGridLines="0" zoomScaleNormal="100" workbookViewId="0">
      <pane ySplit="8" topLeftCell="A9" activePane="bottomLeft" state="frozen"/>
      <selection pane="bottomLeft" activeCell="A2" sqref="A2"/>
    </sheetView>
  </sheetViews>
  <sheetFormatPr baseColWidth="10" defaultColWidth="9.1640625" defaultRowHeight="15" x14ac:dyDescent="0.2"/>
  <cols>
    <col min="1" max="1" width="21.66406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1640625" style="4"/>
    <col min="10" max="10" width="8.6640625" style="4" customWidth="1"/>
    <col min="11" max="11" width="2.83203125" style="4" customWidth="1"/>
    <col min="12" max="12" width="70.5" customWidth="1"/>
  </cols>
  <sheetData>
    <row r="1" spans="1:12" ht="16" x14ac:dyDescent="0.2">
      <c r="A1" s="19" t="s">
        <v>80</v>
      </c>
    </row>
    <row r="2" spans="1:12" ht="31.5" customHeight="1" x14ac:dyDescent="0.2">
      <c r="A2" s="25" t="s">
        <v>309</v>
      </c>
      <c r="B2" s="90" t="s">
        <v>42</v>
      </c>
      <c r="C2" s="91"/>
      <c r="D2" s="91"/>
      <c r="E2" s="91"/>
      <c r="G2" s="90" t="s">
        <v>48</v>
      </c>
      <c r="H2" s="91"/>
      <c r="I2" s="91"/>
      <c r="J2" s="91"/>
      <c r="K2" s="12"/>
    </row>
    <row r="3" spans="1:12" ht="15.75" customHeight="1" thickBot="1" x14ac:dyDescent="0.25">
      <c r="A3" s="5"/>
      <c r="B3" s="1" t="s">
        <v>43</v>
      </c>
      <c r="C3" s="93" t="s">
        <v>44</v>
      </c>
      <c r="D3" s="94"/>
      <c r="E3" s="10" t="s">
        <v>45</v>
      </c>
      <c r="F3" s="5"/>
      <c r="G3" s="1" t="s">
        <v>46</v>
      </c>
      <c r="H3" s="93" t="s">
        <v>44</v>
      </c>
      <c r="I3" s="94"/>
      <c r="J3" s="10" t="s">
        <v>47</v>
      </c>
      <c r="K3" s="10"/>
      <c r="L3" s="13" t="s">
        <v>76</v>
      </c>
    </row>
    <row r="4" spans="1:12" ht="16" thickTop="1" x14ac:dyDescent="0.2">
      <c r="A4" s="3" t="s">
        <v>78</v>
      </c>
      <c r="B4" s="32">
        <v>0.183</v>
      </c>
      <c r="C4" s="95">
        <f>0.001</f>
        <v>1E-3</v>
      </c>
      <c r="D4" s="95"/>
      <c r="E4" s="32">
        <f>B4+C4</f>
        <v>0.184</v>
      </c>
      <c r="F4" s="9"/>
      <c r="G4" s="32">
        <v>0.24299999999999999</v>
      </c>
      <c r="H4" s="95">
        <f>0.001</f>
        <v>1E-3</v>
      </c>
      <c r="I4" s="95"/>
      <c r="J4" s="32">
        <v>0.24400000000000002</v>
      </c>
      <c r="K4" s="32"/>
      <c r="L4" s="14" t="s">
        <v>53</v>
      </c>
    </row>
    <row r="5" spans="1:12" ht="27" customHeight="1" x14ac:dyDescent="0.2">
      <c r="B5"/>
      <c r="C5"/>
      <c r="D5"/>
      <c r="E5"/>
      <c r="G5"/>
      <c r="H5" s="7"/>
      <c r="I5" s="7"/>
      <c r="J5" s="8"/>
      <c r="K5" s="8"/>
    </row>
    <row r="6" spans="1:12" ht="17.25" customHeight="1" x14ac:dyDescent="0.2">
      <c r="A6" s="6"/>
      <c r="B6" s="90" t="s">
        <v>42</v>
      </c>
      <c r="C6" s="91"/>
      <c r="D6" s="91"/>
      <c r="E6" s="91"/>
      <c r="G6" s="90" t="s">
        <v>48</v>
      </c>
      <c r="H6" s="91"/>
      <c r="I6" s="91"/>
      <c r="J6" s="91"/>
      <c r="K6" s="12"/>
    </row>
    <row r="7" spans="1:12" ht="45.75" customHeight="1" thickBot="1" x14ac:dyDescent="0.25">
      <c r="A7" s="5"/>
      <c r="B7" s="1" t="s">
        <v>37</v>
      </c>
      <c r="C7" s="1" t="s">
        <v>39</v>
      </c>
      <c r="D7" s="1" t="s">
        <v>89</v>
      </c>
      <c r="E7" s="1" t="s">
        <v>38</v>
      </c>
      <c r="F7" s="2"/>
      <c r="G7" s="1" t="s">
        <v>37</v>
      </c>
      <c r="H7" s="1" t="s">
        <v>39</v>
      </c>
      <c r="I7" s="1" t="s">
        <v>89</v>
      </c>
      <c r="J7" s="1" t="s">
        <v>38</v>
      </c>
      <c r="K7" s="1"/>
      <c r="L7" s="16" t="s">
        <v>76</v>
      </c>
    </row>
    <row r="8" spans="1:12" ht="16" thickTop="1" x14ac:dyDescent="0.2">
      <c r="A8" s="11" t="s">
        <v>34</v>
      </c>
      <c r="B8" s="32">
        <f>AVERAGE(B9:B59)</f>
        <v>0.25445098039215691</v>
      </c>
      <c r="C8" s="24">
        <f>AVERAGE(C9:C59)</f>
        <v>4.9960724999999997E-2</v>
      </c>
      <c r="D8" s="32">
        <f>AVERAGE(D9:D59)</f>
        <v>0.29755435098039212</v>
      </c>
      <c r="E8" s="32">
        <f>AVERAGE(E9:E59)</f>
        <v>0.48155435098039229</v>
      </c>
      <c r="F8" s="3"/>
      <c r="G8" s="32">
        <f>AVERAGE(G9:G59)</f>
        <v>0.27060784313725489</v>
      </c>
      <c r="H8" s="32">
        <f>AVERAGE(H9:H59)</f>
        <v>5.3478762222222205E-2</v>
      </c>
      <c r="I8" s="32">
        <f>AVERAGE(I9:I59)</f>
        <v>0.31779498627450986</v>
      </c>
      <c r="J8" s="21">
        <f>AVERAGE(J9:J59)</f>
        <v>0.56179498627450986</v>
      </c>
      <c r="K8" s="32"/>
      <c r="L8" s="11"/>
    </row>
    <row r="9" spans="1:12" ht="40" x14ac:dyDescent="0.2">
      <c r="A9" s="22" t="s">
        <v>33</v>
      </c>
      <c r="B9" s="23">
        <v>0.24</v>
      </c>
      <c r="C9" s="26">
        <v>0.01</v>
      </c>
      <c r="D9" s="26">
        <f>$B9+$C9</f>
        <v>0.25</v>
      </c>
      <c r="E9" s="26">
        <f>$D9+$E$4</f>
        <v>0.434</v>
      </c>
      <c r="F9" s="26"/>
      <c r="G9" s="23">
        <v>0.25</v>
      </c>
      <c r="H9" s="26">
        <f>0.0075+0.01</f>
        <v>1.7500000000000002E-2</v>
      </c>
      <c r="I9" s="26">
        <f>$G9+$H9</f>
        <v>0.26750000000000002</v>
      </c>
      <c r="J9" s="26">
        <f>$I9+$J$4</f>
        <v>0.51150000000000007</v>
      </c>
      <c r="K9" s="26"/>
      <c r="L9" s="14" t="s">
        <v>114</v>
      </c>
    </row>
    <row r="10" spans="1:12" x14ac:dyDescent="0.2">
      <c r="A10" s="14" t="s">
        <v>111</v>
      </c>
      <c r="B10" s="26">
        <v>0.08</v>
      </c>
      <c r="C10" s="26">
        <f>0.0095</f>
        <v>9.4999999999999998E-3</v>
      </c>
      <c r="D10" s="26">
        <f t="shared" ref="D10:D64" si="0">$B10+$C10</f>
        <v>8.9499999999999996E-2</v>
      </c>
      <c r="E10" s="26">
        <f t="shared" ref="E10:E59" si="1">$D10+$E$4</f>
        <v>0.27349999999999997</v>
      </c>
      <c r="F10" s="26"/>
      <c r="G10" s="26">
        <v>0.08</v>
      </c>
      <c r="H10" s="26">
        <f>0.0095</f>
        <v>9.4999999999999998E-3</v>
      </c>
      <c r="I10" s="26">
        <f t="shared" ref="I10:I64" si="2">$G10+$H10</f>
        <v>8.9499999999999996E-2</v>
      </c>
      <c r="J10" s="26">
        <f t="shared" ref="J10:J59" si="3">$I10+$J$4</f>
        <v>0.33350000000000002</v>
      </c>
      <c r="K10" s="26"/>
      <c r="L10" s="14" t="s">
        <v>99</v>
      </c>
    </row>
    <row r="11" spans="1:12" x14ac:dyDescent="0.2">
      <c r="A11" s="14" t="s">
        <v>0</v>
      </c>
      <c r="B11" s="26">
        <v>0.18</v>
      </c>
      <c r="C11" s="26">
        <f>0.01</f>
        <v>0.01</v>
      </c>
      <c r="D11" s="26">
        <f t="shared" si="0"/>
        <v>0.19</v>
      </c>
      <c r="E11" s="26">
        <f t="shared" si="1"/>
        <v>0.374</v>
      </c>
      <c r="F11" s="26"/>
      <c r="G11" s="26">
        <v>0.18</v>
      </c>
      <c r="H11" s="26">
        <f>0.01</f>
        <v>0.01</v>
      </c>
      <c r="I11" s="26">
        <f t="shared" si="2"/>
        <v>0.19</v>
      </c>
      <c r="J11" s="26">
        <f t="shared" si="3"/>
        <v>0.43400000000000005</v>
      </c>
      <c r="K11" s="26"/>
      <c r="L11" s="14" t="s">
        <v>54</v>
      </c>
    </row>
    <row r="12" spans="1:12" ht="27" x14ac:dyDescent="0.2">
      <c r="A12" s="22" t="s">
        <v>86</v>
      </c>
      <c r="B12" s="23">
        <v>0.245</v>
      </c>
      <c r="C12" s="26">
        <f>0.003</f>
        <v>3.0000000000000001E-3</v>
      </c>
      <c r="D12" s="26">
        <f t="shared" si="0"/>
        <v>0.248</v>
      </c>
      <c r="E12" s="26">
        <f t="shared" si="1"/>
        <v>0.432</v>
      </c>
      <c r="F12" s="26"/>
      <c r="G12" s="23">
        <v>0.28499999999999998</v>
      </c>
      <c r="H12" s="26">
        <f>0.003</f>
        <v>3.0000000000000001E-3</v>
      </c>
      <c r="I12" s="26">
        <f t="shared" si="2"/>
        <v>0.28799999999999998</v>
      </c>
      <c r="J12" s="26">
        <f t="shared" si="3"/>
        <v>0.53200000000000003</v>
      </c>
      <c r="K12" s="26"/>
      <c r="L12" s="14" t="s">
        <v>55</v>
      </c>
    </row>
    <row r="13" spans="1:12" ht="52" x14ac:dyDescent="0.2">
      <c r="A13" s="14" t="s">
        <v>117</v>
      </c>
      <c r="B13" s="26">
        <v>0.47299999999999998</v>
      </c>
      <c r="C13" s="26">
        <f>0.06+0.02+0.00155</f>
        <v>8.1549999999999997E-2</v>
      </c>
      <c r="D13" s="26">
        <f t="shared" si="0"/>
        <v>0.55454999999999999</v>
      </c>
      <c r="E13" s="26">
        <f t="shared" si="1"/>
        <v>0.73855000000000004</v>
      </c>
      <c r="F13" s="26"/>
      <c r="G13" s="26">
        <v>0.36</v>
      </c>
      <c r="H13" s="26">
        <f>0.32+0.02+0.00155</f>
        <v>0.34155000000000002</v>
      </c>
      <c r="I13" s="26">
        <f t="shared" si="2"/>
        <v>0.70155000000000001</v>
      </c>
      <c r="J13" s="26">
        <f t="shared" si="3"/>
        <v>0.94555</v>
      </c>
      <c r="K13" s="26"/>
      <c r="L13" s="15" t="s">
        <v>296</v>
      </c>
    </row>
    <row r="14" spans="1:12" ht="27" x14ac:dyDescent="0.2">
      <c r="A14" s="22" t="s">
        <v>1</v>
      </c>
      <c r="B14" s="26">
        <v>0.22</v>
      </c>
      <c r="C14" s="23">
        <f>0.0125</f>
        <v>1.2500000000000001E-2</v>
      </c>
      <c r="D14" s="26">
        <f t="shared" si="0"/>
        <v>0.23250000000000001</v>
      </c>
      <c r="E14" s="26">
        <f t="shared" si="1"/>
        <v>0.41649999999999998</v>
      </c>
      <c r="F14" s="26"/>
      <c r="G14" s="26">
        <v>0.20499999999999999</v>
      </c>
      <c r="H14" s="23">
        <v>1.2500000000000001E-2</v>
      </c>
      <c r="I14" s="26">
        <f t="shared" si="2"/>
        <v>0.2175</v>
      </c>
      <c r="J14" s="26">
        <f t="shared" si="3"/>
        <v>0.46150000000000002</v>
      </c>
      <c r="K14" s="26"/>
      <c r="L14" s="14" t="s">
        <v>297</v>
      </c>
    </row>
    <row r="15" spans="1:12" ht="24.75" customHeight="1" x14ac:dyDescent="0.2">
      <c r="A15" s="14" t="s">
        <v>91</v>
      </c>
      <c r="B15" s="26">
        <v>0.25</v>
      </c>
      <c r="C15" s="26"/>
      <c r="D15" s="26">
        <f t="shared" si="0"/>
        <v>0.25</v>
      </c>
      <c r="E15" s="26">
        <f t="shared" si="1"/>
        <v>0.434</v>
      </c>
      <c r="F15" s="26"/>
      <c r="G15" s="26">
        <v>0.28999999999999998</v>
      </c>
      <c r="H15" s="26">
        <v>0.17499999999999999</v>
      </c>
      <c r="I15" s="26">
        <f t="shared" si="2"/>
        <v>0.46499999999999997</v>
      </c>
      <c r="J15" s="26">
        <f t="shared" si="3"/>
        <v>0.70899999999999996</v>
      </c>
      <c r="K15" s="26"/>
      <c r="L15" s="14" t="s">
        <v>56</v>
      </c>
    </row>
    <row r="16" spans="1:12" x14ac:dyDescent="0.2">
      <c r="A16" s="14" t="s">
        <v>4</v>
      </c>
      <c r="B16" s="26">
        <v>0.23</v>
      </c>
      <c r="C16" s="26"/>
      <c r="D16" s="26">
        <f t="shared" si="0"/>
        <v>0.23</v>
      </c>
      <c r="E16" s="26">
        <f t="shared" si="1"/>
        <v>0.41400000000000003</v>
      </c>
      <c r="F16" s="26"/>
      <c r="G16" s="26">
        <v>0.22</v>
      </c>
      <c r="H16" s="26"/>
      <c r="I16" s="26">
        <f t="shared" si="2"/>
        <v>0.22</v>
      </c>
      <c r="J16" s="26">
        <f t="shared" si="3"/>
        <v>0.46400000000000002</v>
      </c>
      <c r="K16" s="26"/>
      <c r="L16" s="14" t="s">
        <v>57</v>
      </c>
    </row>
    <row r="17" spans="1:12" x14ac:dyDescent="0.2">
      <c r="A17" s="14" t="s">
        <v>2</v>
      </c>
      <c r="B17" s="26">
        <v>0.23499999999999999</v>
      </c>
      <c r="C17" s="26"/>
      <c r="D17" s="26">
        <f t="shared" si="0"/>
        <v>0.23499999999999999</v>
      </c>
      <c r="E17" s="26">
        <f t="shared" si="1"/>
        <v>0.41899999999999998</v>
      </c>
      <c r="F17" s="26"/>
      <c r="G17" s="26">
        <v>0.23499999999999999</v>
      </c>
      <c r="H17" s="26"/>
      <c r="I17" s="26">
        <f t="shared" si="2"/>
        <v>0.23499999999999999</v>
      </c>
      <c r="J17" s="26">
        <f t="shared" si="3"/>
        <v>0.47899999999999998</v>
      </c>
      <c r="K17" s="26"/>
      <c r="L17" s="14"/>
    </row>
    <row r="18" spans="1:12" ht="66" x14ac:dyDescent="0.2">
      <c r="A18" s="22" t="s">
        <v>87</v>
      </c>
      <c r="B18" s="26">
        <v>0.04</v>
      </c>
      <c r="C18" s="23">
        <f>0.143+0.00125+0.06+0.079+0.00048+0.00119+0.01904</f>
        <v>0.30396000000000001</v>
      </c>
      <c r="D18" s="26">
        <f t="shared" si="0"/>
        <v>0.34395999999999999</v>
      </c>
      <c r="E18" s="26">
        <f t="shared" si="1"/>
        <v>0.52795999999999998</v>
      </c>
      <c r="F18" s="26"/>
      <c r="G18" s="26">
        <v>0.04</v>
      </c>
      <c r="H18" s="23">
        <f>0.143+0.01+0.06+0.079+0.00048+0.00119+0.01904</f>
        <v>0.31270999999999999</v>
      </c>
      <c r="I18" s="26">
        <f t="shared" si="2"/>
        <v>0.35270999999999997</v>
      </c>
      <c r="J18" s="26">
        <f t="shared" si="3"/>
        <v>0.59670999999999996</v>
      </c>
      <c r="K18" s="26"/>
      <c r="L18" s="14" t="s">
        <v>108</v>
      </c>
    </row>
    <row r="19" spans="1:12" ht="40" x14ac:dyDescent="0.2">
      <c r="A19" s="22" t="s">
        <v>88</v>
      </c>
      <c r="B19" s="23">
        <v>0.27900000000000003</v>
      </c>
      <c r="C19" s="23">
        <f>0.0075</f>
        <v>7.4999999999999997E-3</v>
      </c>
      <c r="D19" s="26">
        <f t="shared" si="0"/>
        <v>0.28650000000000003</v>
      </c>
      <c r="E19" s="26">
        <f t="shared" si="1"/>
        <v>0.47050000000000003</v>
      </c>
      <c r="F19" s="26"/>
      <c r="G19" s="23">
        <v>0.313</v>
      </c>
      <c r="H19" s="23">
        <f>0.0075</f>
        <v>7.4999999999999997E-3</v>
      </c>
      <c r="I19" s="26">
        <f t="shared" si="2"/>
        <v>0.32050000000000001</v>
      </c>
      <c r="J19" s="26">
        <f t="shared" si="3"/>
        <v>0.5645</v>
      </c>
      <c r="K19" s="26"/>
      <c r="L19" s="14" t="s">
        <v>298</v>
      </c>
    </row>
    <row r="20" spans="1:12" ht="27" x14ac:dyDescent="0.2">
      <c r="A20" s="14" t="s">
        <v>118</v>
      </c>
      <c r="B20" s="26">
        <v>0.16</v>
      </c>
      <c r="C20" s="26">
        <f>0.025</f>
        <v>2.5000000000000001E-2</v>
      </c>
      <c r="D20" s="26">
        <f t="shared" si="0"/>
        <v>0.185</v>
      </c>
      <c r="E20" s="26">
        <f t="shared" si="1"/>
        <v>0.36899999999999999</v>
      </c>
      <c r="F20" s="26"/>
      <c r="G20" s="26">
        <v>0.16</v>
      </c>
      <c r="H20" s="26">
        <f>0.025</f>
        <v>2.5000000000000001E-2</v>
      </c>
      <c r="I20" s="26">
        <f t="shared" si="2"/>
        <v>0.185</v>
      </c>
      <c r="J20" s="26">
        <f t="shared" si="3"/>
        <v>0.42900000000000005</v>
      </c>
      <c r="K20" s="26"/>
      <c r="L20" s="14" t="s">
        <v>299</v>
      </c>
    </row>
    <row r="21" spans="1:12" x14ac:dyDescent="0.2">
      <c r="A21" s="14" t="s">
        <v>3</v>
      </c>
      <c r="B21" s="26">
        <v>0.32</v>
      </c>
      <c r="C21" s="26">
        <f>0.01</f>
        <v>0.01</v>
      </c>
      <c r="D21" s="26">
        <f>$B21+$C21</f>
        <v>0.33</v>
      </c>
      <c r="E21" s="26">
        <f t="shared" si="1"/>
        <v>0.51400000000000001</v>
      </c>
      <c r="F21" s="26"/>
      <c r="G21" s="26">
        <v>0.32</v>
      </c>
      <c r="H21" s="26">
        <f>0.01</f>
        <v>0.01</v>
      </c>
      <c r="I21" s="26">
        <f t="shared" si="2"/>
        <v>0.33</v>
      </c>
      <c r="J21" s="26">
        <f t="shared" si="3"/>
        <v>0.57400000000000007</v>
      </c>
      <c r="K21" s="26"/>
      <c r="L21" s="14" t="s">
        <v>58</v>
      </c>
    </row>
    <row r="22" spans="1:12" ht="40" x14ac:dyDescent="0.2">
      <c r="A22" s="22" t="s">
        <v>92</v>
      </c>
      <c r="B22" s="26">
        <v>0.38</v>
      </c>
      <c r="C22" s="23">
        <f>0.14+0.003+0.008</f>
        <v>0.15100000000000002</v>
      </c>
      <c r="D22" s="26">
        <f t="shared" si="0"/>
        <v>0.53100000000000003</v>
      </c>
      <c r="E22" s="26">
        <f t="shared" si="1"/>
        <v>0.71500000000000008</v>
      </c>
      <c r="F22" s="26"/>
      <c r="G22" s="26">
        <v>0.45500000000000002</v>
      </c>
      <c r="H22" s="23">
        <f>0.14+0.003+0.008</f>
        <v>0.15100000000000002</v>
      </c>
      <c r="I22" s="26">
        <f t="shared" si="2"/>
        <v>0.60600000000000009</v>
      </c>
      <c r="J22" s="26">
        <f t="shared" si="3"/>
        <v>0.85000000000000009</v>
      </c>
      <c r="K22" s="26"/>
      <c r="L22" s="14" t="s">
        <v>300</v>
      </c>
    </row>
    <row r="23" spans="1:12" ht="72.75" customHeight="1" x14ac:dyDescent="0.2">
      <c r="A23" s="22" t="s">
        <v>93</v>
      </c>
      <c r="B23" s="26">
        <v>0.3</v>
      </c>
      <c r="C23" s="23">
        <f>0.134+0.01</f>
        <v>0.14400000000000002</v>
      </c>
      <c r="D23" s="26">
        <f t="shared" si="0"/>
        <v>0.44400000000000001</v>
      </c>
      <c r="E23" s="26">
        <f t="shared" si="1"/>
        <v>0.628</v>
      </c>
      <c r="F23" s="26"/>
      <c r="G23" s="26">
        <v>0.49</v>
      </c>
      <c r="H23" s="26">
        <f>0.01</f>
        <v>0.01</v>
      </c>
      <c r="I23" s="26">
        <f t="shared" si="2"/>
        <v>0.5</v>
      </c>
      <c r="J23" s="26">
        <f t="shared" si="3"/>
        <v>0.74399999999999999</v>
      </c>
      <c r="K23" s="26"/>
      <c r="L23" s="14" t="s">
        <v>301</v>
      </c>
    </row>
    <row r="24" spans="1:12" ht="27" x14ac:dyDescent="0.2">
      <c r="A24" s="14" t="s">
        <v>94</v>
      </c>
      <c r="B24" s="26">
        <v>0.30499999999999999</v>
      </c>
      <c r="C24" s="26"/>
      <c r="D24" s="26">
        <f t="shared" si="0"/>
        <v>0.30499999999999999</v>
      </c>
      <c r="E24" s="26">
        <f t="shared" si="1"/>
        <v>0.48899999999999999</v>
      </c>
      <c r="F24" s="26"/>
      <c r="G24" s="26">
        <v>0.32500000000000001</v>
      </c>
      <c r="H24" s="26"/>
      <c r="I24" s="26">
        <f t="shared" si="2"/>
        <v>0.32500000000000001</v>
      </c>
      <c r="J24" s="26">
        <f t="shared" si="3"/>
        <v>0.56900000000000006</v>
      </c>
      <c r="K24" s="26"/>
      <c r="L24" s="14" t="s">
        <v>107</v>
      </c>
    </row>
    <row r="25" spans="1:12" ht="27" x14ac:dyDescent="0.2">
      <c r="A25" s="14" t="s">
        <v>5</v>
      </c>
      <c r="B25" s="26">
        <v>0.24</v>
      </c>
      <c r="C25" s="26">
        <f>0.0003</f>
        <v>2.9999999999999997E-4</v>
      </c>
      <c r="D25" s="26">
        <f t="shared" si="0"/>
        <v>0.24029999999999999</v>
      </c>
      <c r="E25" s="26">
        <f t="shared" si="1"/>
        <v>0.42430000000000001</v>
      </c>
      <c r="F25" s="26"/>
      <c r="G25" s="26">
        <v>0.26</v>
      </c>
      <c r="H25" s="26">
        <f>0.0003</f>
        <v>2.9999999999999997E-4</v>
      </c>
      <c r="I25" s="26">
        <f t="shared" si="2"/>
        <v>0.26030000000000003</v>
      </c>
      <c r="J25" s="26">
        <f t="shared" si="3"/>
        <v>0.50430000000000008</v>
      </c>
      <c r="K25" s="26"/>
      <c r="L25" s="14" t="s">
        <v>109</v>
      </c>
    </row>
    <row r="26" spans="1:12" ht="27" x14ac:dyDescent="0.2">
      <c r="A26" s="14" t="s">
        <v>6</v>
      </c>
      <c r="B26" s="26">
        <v>0.246</v>
      </c>
      <c r="C26" s="26">
        <f>0.014</f>
        <v>1.4E-2</v>
      </c>
      <c r="D26" s="26">
        <f t="shared" si="0"/>
        <v>0.26</v>
      </c>
      <c r="E26" s="26">
        <f t="shared" si="1"/>
        <v>0.44400000000000001</v>
      </c>
      <c r="F26" s="26"/>
      <c r="G26" s="26">
        <v>0.216</v>
      </c>
      <c r="H26" s="26">
        <f>0.014</f>
        <v>1.4E-2</v>
      </c>
      <c r="I26" s="26">
        <f t="shared" si="2"/>
        <v>0.23</v>
      </c>
      <c r="J26" s="26">
        <f t="shared" si="3"/>
        <v>0.47400000000000003</v>
      </c>
      <c r="K26" s="26"/>
      <c r="L26" s="20" t="s">
        <v>102</v>
      </c>
    </row>
    <row r="27" spans="1:12" ht="37.5" customHeight="1" x14ac:dyDescent="0.2">
      <c r="A27" s="14" t="s">
        <v>7</v>
      </c>
      <c r="B27" s="26">
        <v>0.2</v>
      </c>
      <c r="C27" s="26">
        <f>0.00125+0.008</f>
        <v>9.2499999999999995E-3</v>
      </c>
      <c r="D27" s="26">
        <f t="shared" si="0"/>
        <v>0.20925000000000002</v>
      </c>
      <c r="E27" s="26">
        <f t="shared" si="1"/>
        <v>0.39324999999999999</v>
      </c>
      <c r="F27" s="26"/>
      <c r="G27" s="26">
        <v>0.2</v>
      </c>
      <c r="H27" s="26">
        <f>0.00125+0.008</f>
        <v>9.2499999999999995E-3</v>
      </c>
      <c r="I27" s="26">
        <f t="shared" si="2"/>
        <v>0.20925000000000002</v>
      </c>
      <c r="J27" s="26">
        <f t="shared" si="3"/>
        <v>0.45325000000000004</v>
      </c>
      <c r="K27" s="26"/>
      <c r="L27" s="14" t="s">
        <v>59</v>
      </c>
    </row>
    <row r="28" spans="1:12" ht="79" x14ac:dyDescent="0.2">
      <c r="A28" s="14" t="s">
        <v>8</v>
      </c>
      <c r="B28" s="26">
        <v>0.3</v>
      </c>
      <c r="C28" s="26">
        <f>0.0140476</f>
        <v>1.40476E-2</v>
      </c>
      <c r="D28" s="26">
        <f t="shared" si="0"/>
        <v>0.31404759999999998</v>
      </c>
      <c r="E28" s="26">
        <f t="shared" si="1"/>
        <v>0.49804759999999998</v>
      </c>
      <c r="F28" s="26"/>
      <c r="G28" s="26">
        <v>0.312</v>
      </c>
      <c r="H28" s="26">
        <v>6.7000000000000002E-3</v>
      </c>
      <c r="I28" s="26">
        <f t="shared" si="2"/>
        <v>0.31869999999999998</v>
      </c>
      <c r="J28" s="26">
        <f t="shared" si="3"/>
        <v>0.56269999999999998</v>
      </c>
      <c r="K28" s="26"/>
      <c r="L28" s="14" t="s">
        <v>105</v>
      </c>
    </row>
    <row r="29" spans="1:12" ht="27" x14ac:dyDescent="0.2">
      <c r="A29" s="14" t="s">
        <v>9</v>
      </c>
      <c r="B29" s="26">
        <f>0.235+0.027</f>
        <v>0.26200000000000001</v>
      </c>
      <c r="C29" s="26">
        <f>0.105+0.0019</f>
        <v>0.1069</v>
      </c>
      <c r="D29" s="26">
        <f t="shared" si="0"/>
        <v>0.36890000000000001</v>
      </c>
      <c r="E29" s="26">
        <f t="shared" si="1"/>
        <v>0.55289999999999995</v>
      </c>
      <c r="F29" s="26"/>
      <c r="G29" s="26">
        <f>0.2425+0.027</f>
        <v>0.26950000000000002</v>
      </c>
      <c r="H29" s="26">
        <f>0.105+0.0019</f>
        <v>0.1069</v>
      </c>
      <c r="I29" s="26">
        <f t="shared" si="2"/>
        <v>0.37640000000000001</v>
      </c>
      <c r="J29" s="26">
        <f t="shared" si="3"/>
        <v>0.62040000000000006</v>
      </c>
      <c r="K29" s="26"/>
      <c r="L29" s="14" t="s">
        <v>302</v>
      </c>
    </row>
    <row r="30" spans="1:12" ht="40" x14ac:dyDescent="0.2">
      <c r="A30" s="22" t="s">
        <v>36</v>
      </c>
      <c r="B30" s="26">
        <v>0.24</v>
      </c>
      <c r="C30" s="23">
        <f>0.02737+0.0012</f>
        <v>2.8569999999999998E-2</v>
      </c>
      <c r="D30" s="26">
        <f t="shared" si="0"/>
        <v>0.26856999999999998</v>
      </c>
      <c r="E30" s="26">
        <f t="shared" si="1"/>
        <v>0.45256999999999997</v>
      </c>
      <c r="F30" s="26"/>
      <c r="G30" s="26">
        <v>0.24</v>
      </c>
      <c r="H30" s="23">
        <f>0.02737+0.0012</f>
        <v>2.8569999999999998E-2</v>
      </c>
      <c r="I30" s="26">
        <f t="shared" si="2"/>
        <v>0.26856999999999998</v>
      </c>
      <c r="J30" s="26">
        <f t="shared" si="3"/>
        <v>0.51256999999999997</v>
      </c>
      <c r="K30" s="26"/>
      <c r="L30" s="14" t="s">
        <v>303</v>
      </c>
    </row>
    <row r="31" spans="1:12" ht="40" x14ac:dyDescent="0.2">
      <c r="A31" s="22" t="s">
        <v>95</v>
      </c>
      <c r="B31" s="26">
        <v>0.26300000000000001</v>
      </c>
      <c r="C31" s="23">
        <f>0.126+0.01</f>
        <v>0.13600000000000001</v>
      </c>
      <c r="D31" s="26">
        <f t="shared" si="0"/>
        <v>0.39900000000000002</v>
      </c>
      <c r="E31" s="26">
        <f t="shared" si="1"/>
        <v>0.58299999999999996</v>
      </c>
      <c r="F31" s="26"/>
      <c r="G31" s="26">
        <v>0.26300000000000001</v>
      </c>
      <c r="H31" s="23">
        <f>0.155+0.01</f>
        <v>0.16500000000000001</v>
      </c>
      <c r="I31" s="26">
        <f t="shared" si="2"/>
        <v>0.42800000000000005</v>
      </c>
      <c r="J31" s="26">
        <f t="shared" si="3"/>
        <v>0.67200000000000004</v>
      </c>
      <c r="K31" s="26"/>
      <c r="L31" s="14" t="s">
        <v>304</v>
      </c>
    </row>
    <row r="32" spans="1:12" ht="27" x14ac:dyDescent="0.2">
      <c r="A32" s="22" t="s">
        <v>10</v>
      </c>
      <c r="B32" s="26">
        <v>0.28499999999999998</v>
      </c>
      <c r="C32" s="23">
        <f>0.001</f>
        <v>1E-3</v>
      </c>
      <c r="D32" s="26">
        <f t="shared" si="0"/>
        <v>0.28599999999999998</v>
      </c>
      <c r="E32" s="26">
        <f t="shared" si="1"/>
        <v>0.47</v>
      </c>
      <c r="F32" s="26"/>
      <c r="G32" s="26">
        <v>0.28499999999999998</v>
      </c>
      <c r="H32" s="23">
        <f>0.001</f>
        <v>1E-3</v>
      </c>
      <c r="I32" s="26">
        <f t="shared" si="2"/>
        <v>0.28599999999999998</v>
      </c>
      <c r="J32" s="26">
        <f t="shared" si="3"/>
        <v>0.53</v>
      </c>
      <c r="K32" s="26"/>
      <c r="L32" s="14" t="s">
        <v>305</v>
      </c>
    </row>
    <row r="33" spans="1:12" ht="27" x14ac:dyDescent="0.2">
      <c r="A33" s="14" t="s">
        <v>27</v>
      </c>
      <c r="B33" s="26">
        <v>0.18</v>
      </c>
      <c r="C33" s="26">
        <f>0.004</f>
        <v>4.0000000000000001E-3</v>
      </c>
      <c r="D33" s="26">
        <f t="shared" si="0"/>
        <v>0.184</v>
      </c>
      <c r="E33" s="26">
        <f t="shared" si="1"/>
        <v>0.36799999999999999</v>
      </c>
      <c r="F33" s="26"/>
      <c r="G33" s="26">
        <v>0.18</v>
      </c>
      <c r="H33" s="26">
        <f>0.004</f>
        <v>4.0000000000000001E-3</v>
      </c>
      <c r="I33" s="26">
        <f t="shared" si="2"/>
        <v>0.184</v>
      </c>
      <c r="J33" s="26">
        <f t="shared" si="3"/>
        <v>0.42800000000000005</v>
      </c>
      <c r="K33" s="26"/>
      <c r="L33" s="14" t="s">
        <v>60</v>
      </c>
    </row>
    <row r="34" spans="1:12" ht="27" x14ac:dyDescent="0.2">
      <c r="A34" s="14" t="s">
        <v>28</v>
      </c>
      <c r="B34" s="26">
        <v>0.17</v>
      </c>
      <c r="C34" s="26">
        <v>4.1999999999999997E-3</v>
      </c>
      <c r="D34" s="26">
        <f t="shared" si="0"/>
        <v>0.17420000000000002</v>
      </c>
      <c r="E34" s="26">
        <f t="shared" si="1"/>
        <v>0.35820000000000002</v>
      </c>
      <c r="F34" s="26"/>
      <c r="G34" s="26">
        <v>0.17</v>
      </c>
      <c r="H34" s="26">
        <f>0.0007+0.0035</f>
        <v>4.1999999999999997E-3</v>
      </c>
      <c r="I34" s="26">
        <f t="shared" si="2"/>
        <v>0.17420000000000002</v>
      </c>
      <c r="J34" s="26">
        <f t="shared" si="3"/>
        <v>0.41820000000000002</v>
      </c>
      <c r="K34" s="26"/>
      <c r="L34" s="14" t="s">
        <v>135</v>
      </c>
    </row>
    <row r="35" spans="1:12" ht="27" x14ac:dyDescent="0.2">
      <c r="A35" s="14" t="s">
        <v>29</v>
      </c>
      <c r="B35" s="26">
        <v>0.32</v>
      </c>
      <c r="C35" s="26">
        <f>0.0075</f>
        <v>7.4999999999999997E-3</v>
      </c>
      <c r="D35" s="26">
        <f t="shared" si="0"/>
        <v>0.32750000000000001</v>
      </c>
      <c r="E35" s="26">
        <f t="shared" si="1"/>
        <v>0.51150000000000007</v>
      </c>
      <c r="F35" s="26"/>
      <c r="G35" s="26">
        <v>0.29449999999999998</v>
      </c>
      <c r="H35" s="26">
        <f>0.0075</f>
        <v>7.4999999999999997E-3</v>
      </c>
      <c r="I35" s="26">
        <f t="shared" si="2"/>
        <v>0.30199999999999999</v>
      </c>
      <c r="J35" s="26">
        <f t="shared" si="3"/>
        <v>0.54600000000000004</v>
      </c>
      <c r="K35" s="26"/>
      <c r="L35" s="14" t="s">
        <v>61</v>
      </c>
    </row>
    <row r="36" spans="1:12" ht="27" x14ac:dyDescent="0.2">
      <c r="A36" s="22" t="s">
        <v>15</v>
      </c>
      <c r="B36" s="23">
        <v>0.29299999999999998</v>
      </c>
      <c r="C36" s="26">
        <f>0.009</f>
        <v>8.9999999999999993E-3</v>
      </c>
      <c r="D36" s="26">
        <f t="shared" si="0"/>
        <v>0.30199999999999999</v>
      </c>
      <c r="E36" s="26">
        <f t="shared" si="1"/>
        <v>0.48599999999999999</v>
      </c>
      <c r="F36" s="26"/>
      <c r="G36" s="23">
        <v>0.29299999999999998</v>
      </c>
      <c r="H36" s="26">
        <f>0.003</f>
        <v>3.0000000000000001E-3</v>
      </c>
      <c r="I36" s="26">
        <f t="shared" si="2"/>
        <v>0.29599999999999999</v>
      </c>
      <c r="J36" s="26">
        <f t="shared" si="3"/>
        <v>0.54</v>
      </c>
      <c r="K36" s="26"/>
      <c r="L36" s="14" t="s">
        <v>62</v>
      </c>
    </row>
    <row r="37" spans="1:12" ht="40" x14ac:dyDescent="0.2">
      <c r="A37" s="14" t="s">
        <v>30</v>
      </c>
      <c r="B37" s="26">
        <v>0.23</v>
      </c>
      <c r="C37" s="26">
        <f>0.00055+0.0075</f>
        <v>8.0499999999999999E-3</v>
      </c>
      <c r="D37" s="26">
        <f t="shared" si="0"/>
        <v>0.23805000000000001</v>
      </c>
      <c r="E37" s="26">
        <f t="shared" si="1"/>
        <v>0.42205000000000004</v>
      </c>
      <c r="F37" s="26"/>
      <c r="G37" s="26">
        <v>0.27</v>
      </c>
      <c r="H37" s="26">
        <f>0.0075</f>
        <v>7.4999999999999997E-3</v>
      </c>
      <c r="I37" s="26">
        <f t="shared" si="2"/>
        <v>0.27750000000000002</v>
      </c>
      <c r="J37" s="26">
        <f t="shared" si="3"/>
        <v>0.52150000000000007</v>
      </c>
      <c r="K37" s="26"/>
      <c r="L37" s="14" t="s">
        <v>100</v>
      </c>
    </row>
    <row r="38" spans="1:12" ht="27" x14ac:dyDescent="0.2">
      <c r="A38" s="14" t="s">
        <v>16</v>
      </c>
      <c r="B38" s="26">
        <v>0.222</v>
      </c>
      <c r="C38" s="26">
        <f>0.015+0.00125</f>
        <v>1.6250000000000001E-2</v>
      </c>
      <c r="D38" s="26">
        <f t="shared" si="0"/>
        <v>0.23825000000000002</v>
      </c>
      <c r="E38" s="26">
        <f t="shared" si="1"/>
        <v>0.42225000000000001</v>
      </c>
      <c r="F38" s="26"/>
      <c r="G38" s="26">
        <v>0.222</v>
      </c>
      <c r="H38" s="26">
        <f>0.015+0.00125</f>
        <v>1.6250000000000001E-2</v>
      </c>
      <c r="I38" s="26">
        <f t="shared" si="2"/>
        <v>0.23825000000000002</v>
      </c>
      <c r="J38" s="26">
        <f t="shared" si="3"/>
        <v>0.48225000000000007</v>
      </c>
      <c r="K38" s="26"/>
      <c r="L38" s="14" t="s">
        <v>79</v>
      </c>
    </row>
    <row r="39" spans="1:12" ht="40" x14ac:dyDescent="0.2">
      <c r="A39" s="14" t="s">
        <v>96</v>
      </c>
      <c r="B39" s="26">
        <v>0.105</v>
      </c>
      <c r="C39" s="26">
        <f>0.309+0.0005</f>
        <v>0.3095</v>
      </c>
      <c r="D39" s="26">
        <f t="shared" si="0"/>
        <v>0.41449999999999998</v>
      </c>
      <c r="E39" s="26">
        <f t="shared" si="1"/>
        <v>0.59850000000000003</v>
      </c>
      <c r="F39" s="26"/>
      <c r="G39" s="26">
        <v>0.13500000000000001</v>
      </c>
      <c r="H39" s="26">
        <f>0.35+0.0005</f>
        <v>0.35049999999999998</v>
      </c>
      <c r="I39" s="26">
        <f t="shared" si="2"/>
        <v>0.48549999999999999</v>
      </c>
      <c r="J39" s="26">
        <f t="shared" si="3"/>
        <v>0.72950000000000004</v>
      </c>
      <c r="K39" s="26"/>
      <c r="L39" s="14" t="s">
        <v>136</v>
      </c>
    </row>
    <row r="40" spans="1:12" ht="27" x14ac:dyDescent="0.2">
      <c r="A40" s="14" t="s">
        <v>22</v>
      </c>
      <c r="B40" s="26">
        <v>0.17</v>
      </c>
      <c r="C40" s="26">
        <f>0.01875</f>
        <v>1.8749999999999999E-2</v>
      </c>
      <c r="D40" s="26">
        <f t="shared" si="0"/>
        <v>0.18875</v>
      </c>
      <c r="E40" s="26">
        <f t="shared" si="1"/>
        <v>0.37275000000000003</v>
      </c>
      <c r="F40" s="26"/>
      <c r="G40" s="26">
        <v>0.21</v>
      </c>
      <c r="H40" s="26">
        <f>0.01875</f>
        <v>1.8749999999999999E-2</v>
      </c>
      <c r="I40" s="26">
        <f t="shared" si="2"/>
        <v>0.22874999999999998</v>
      </c>
      <c r="J40" s="26">
        <f t="shared" si="3"/>
        <v>0.47275</v>
      </c>
      <c r="K40" s="26"/>
      <c r="L40" s="14" t="s">
        <v>63</v>
      </c>
    </row>
    <row r="41" spans="1:12" ht="92" x14ac:dyDescent="0.2">
      <c r="A41" s="22" t="s">
        <v>97</v>
      </c>
      <c r="B41" s="26">
        <v>0.08</v>
      </c>
      <c r="C41" s="23">
        <f>0.174+0.0005+0.08+0.003274</f>
        <v>0.257774</v>
      </c>
      <c r="D41" s="26">
        <f t="shared" si="0"/>
        <v>0.33777400000000002</v>
      </c>
      <c r="E41" s="26">
        <f t="shared" si="1"/>
        <v>0.52177399999999996</v>
      </c>
      <c r="F41" s="26"/>
      <c r="G41" s="26">
        <v>0.08</v>
      </c>
      <c r="H41" s="23">
        <f>0.1565+0.08+0.003274</f>
        <v>0.23977399999999999</v>
      </c>
      <c r="I41" s="26">
        <f t="shared" si="2"/>
        <v>0.319774</v>
      </c>
      <c r="J41" s="26">
        <f t="shared" si="3"/>
        <v>0.563774</v>
      </c>
      <c r="K41" s="26"/>
      <c r="L41" s="14" t="s">
        <v>306</v>
      </c>
    </row>
    <row r="42" spans="1:12" x14ac:dyDescent="0.2">
      <c r="A42" s="22" t="s">
        <v>17</v>
      </c>
      <c r="B42" s="23">
        <v>0.36099999999999999</v>
      </c>
      <c r="C42" s="26">
        <f>0.0025</f>
        <v>2.5000000000000001E-3</v>
      </c>
      <c r="D42" s="26">
        <f t="shared" si="0"/>
        <v>0.36349999999999999</v>
      </c>
      <c r="E42" s="26">
        <f t="shared" si="1"/>
        <v>0.54749999999999999</v>
      </c>
      <c r="F42" s="26"/>
      <c r="G42" s="23">
        <v>0.36099999999999999</v>
      </c>
      <c r="H42" s="26">
        <f>0.0025</f>
        <v>2.5000000000000001E-3</v>
      </c>
      <c r="I42" s="26">
        <f t="shared" si="2"/>
        <v>0.36349999999999999</v>
      </c>
      <c r="J42" s="26">
        <f t="shared" si="3"/>
        <v>0.60750000000000004</v>
      </c>
      <c r="K42" s="26"/>
      <c r="L42" s="14" t="s">
        <v>82</v>
      </c>
    </row>
    <row r="43" spans="1:12" x14ac:dyDescent="0.2">
      <c r="A43" s="14" t="s">
        <v>11</v>
      </c>
      <c r="B43" s="26">
        <v>0.23</v>
      </c>
      <c r="C43" s="26">
        <f>0.00025</f>
        <v>2.5000000000000001E-4</v>
      </c>
      <c r="D43" s="26">
        <f t="shared" si="0"/>
        <v>0.23025000000000001</v>
      </c>
      <c r="E43" s="26">
        <f t="shared" si="1"/>
        <v>0.41425000000000001</v>
      </c>
      <c r="F43" s="26"/>
      <c r="G43" s="26">
        <v>0.23</v>
      </c>
      <c r="H43" s="26">
        <f>0.00025</f>
        <v>2.5000000000000001E-4</v>
      </c>
      <c r="I43" s="26">
        <f t="shared" si="2"/>
        <v>0.23025000000000001</v>
      </c>
      <c r="J43" s="26">
        <f t="shared" si="3"/>
        <v>0.47425000000000006</v>
      </c>
      <c r="K43" s="26"/>
      <c r="L43" s="14" t="s">
        <v>64</v>
      </c>
    </row>
    <row r="44" spans="1:12" x14ac:dyDescent="0.2">
      <c r="A44" s="14" t="s">
        <v>23</v>
      </c>
      <c r="B44" s="26">
        <v>0.38500000000000001</v>
      </c>
      <c r="C44" s="26"/>
      <c r="D44" s="26">
        <f t="shared" si="0"/>
        <v>0.38500000000000001</v>
      </c>
      <c r="E44" s="26">
        <f t="shared" si="1"/>
        <v>0.56899999999999995</v>
      </c>
      <c r="F44" s="26"/>
      <c r="G44" s="26">
        <v>0.47</v>
      </c>
      <c r="H44" s="26"/>
      <c r="I44" s="26">
        <f t="shared" si="2"/>
        <v>0.47</v>
      </c>
      <c r="J44" s="26">
        <f t="shared" si="3"/>
        <v>0.71399999999999997</v>
      </c>
      <c r="K44" s="26"/>
      <c r="L44" s="14"/>
    </row>
    <row r="45" spans="1:12" ht="27" x14ac:dyDescent="0.2">
      <c r="A45" s="14" t="s">
        <v>18</v>
      </c>
      <c r="B45" s="26">
        <v>0.19</v>
      </c>
      <c r="C45" s="26">
        <f>0.01</f>
        <v>0.01</v>
      </c>
      <c r="D45" s="26">
        <f t="shared" si="0"/>
        <v>0.2</v>
      </c>
      <c r="E45" s="26">
        <f t="shared" si="1"/>
        <v>0.38400000000000001</v>
      </c>
      <c r="F45" s="26"/>
      <c r="G45" s="26">
        <v>0.19</v>
      </c>
      <c r="H45" s="26">
        <f>0.01</f>
        <v>0.01</v>
      </c>
      <c r="I45" s="26">
        <f t="shared" si="2"/>
        <v>0.2</v>
      </c>
      <c r="J45" s="26">
        <f t="shared" si="3"/>
        <v>0.44400000000000006</v>
      </c>
      <c r="K45" s="26"/>
      <c r="L45" s="14" t="s">
        <v>65</v>
      </c>
    </row>
    <row r="46" spans="1:12" ht="27" x14ac:dyDescent="0.2">
      <c r="A46" s="22" t="s">
        <v>31</v>
      </c>
      <c r="B46" s="23">
        <v>0.36</v>
      </c>
      <c r="C46" s="26"/>
      <c r="D46" s="26">
        <f t="shared" si="0"/>
        <v>0.36</v>
      </c>
      <c r="E46" s="26">
        <f t="shared" si="1"/>
        <v>0.54400000000000004</v>
      </c>
      <c r="F46" s="26"/>
      <c r="G46" s="23">
        <v>0.36</v>
      </c>
      <c r="H46" s="26"/>
      <c r="I46" s="26">
        <f t="shared" si="2"/>
        <v>0.36</v>
      </c>
      <c r="J46" s="26">
        <f t="shared" si="3"/>
        <v>0.60399999999999998</v>
      </c>
      <c r="K46" s="26"/>
      <c r="L46" s="14" t="s">
        <v>66</v>
      </c>
    </row>
    <row r="47" spans="1:12" ht="37.5" customHeight="1" x14ac:dyDescent="0.2">
      <c r="A47" s="14" t="s">
        <v>12</v>
      </c>
      <c r="B47" s="26">
        <v>0.57599999999999996</v>
      </c>
      <c r="C47" s="26">
        <f>0.011</f>
        <v>1.0999999999999999E-2</v>
      </c>
      <c r="D47" s="26">
        <f t="shared" si="0"/>
        <v>0.58699999999999997</v>
      </c>
      <c r="E47" s="26">
        <f t="shared" si="1"/>
        <v>0.77099999999999991</v>
      </c>
      <c r="F47" s="26"/>
      <c r="G47" s="26">
        <v>0.74099999999999999</v>
      </c>
      <c r="H47" s="26">
        <f>0.011</f>
        <v>1.0999999999999999E-2</v>
      </c>
      <c r="I47" s="26">
        <f t="shared" si="2"/>
        <v>0.752</v>
      </c>
      <c r="J47" s="26">
        <f t="shared" si="3"/>
        <v>0.996</v>
      </c>
      <c r="K47" s="26"/>
      <c r="L47" s="14" t="s">
        <v>103</v>
      </c>
    </row>
    <row r="48" spans="1:12" ht="26.25" customHeight="1" x14ac:dyDescent="0.2">
      <c r="A48" s="14" t="s">
        <v>14</v>
      </c>
      <c r="B48" s="26">
        <v>0.34</v>
      </c>
      <c r="C48" s="26">
        <f>0.01+0.0012</f>
        <v>1.12E-2</v>
      </c>
      <c r="D48" s="26">
        <f t="shared" si="0"/>
        <v>0.35120000000000001</v>
      </c>
      <c r="E48" s="26">
        <f t="shared" si="1"/>
        <v>0.53520000000000001</v>
      </c>
      <c r="F48" s="26"/>
      <c r="G48" s="26">
        <v>0.34</v>
      </c>
      <c r="H48" s="26">
        <f>0.01+0.0012</f>
        <v>1.12E-2</v>
      </c>
      <c r="I48" s="26">
        <f t="shared" si="2"/>
        <v>0.35120000000000001</v>
      </c>
      <c r="J48" s="26">
        <f t="shared" si="3"/>
        <v>0.59520000000000006</v>
      </c>
      <c r="K48" s="26"/>
      <c r="L48" s="14" t="s">
        <v>83</v>
      </c>
    </row>
    <row r="49" spans="1:12" s="29" customFormat="1" x14ac:dyDescent="0.2">
      <c r="A49" s="14" t="s">
        <v>119</v>
      </c>
      <c r="B49" s="26">
        <v>0.22</v>
      </c>
      <c r="C49" s="26">
        <f>0.0025+0.005</f>
        <v>7.4999999999999997E-3</v>
      </c>
      <c r="D49" s="26">
        <f t="shared" si="0"/>
        <v>0.22750000000000001</v>
      </c>
      <c r="E49" s="26">
        <f t="shared" si="1"/>
        <v>0.41149999999999998</v>
      </c>
      <c r="F49" s="26"/>
      <c r="G49" s="26">
        <v>0.22</v>
      </c>
      <c r="H49" s="26">
        <f>0.0025+0.005</f>
        <v>7.4999999999999997E-3</v>
      </c>
      <c r="I49" s="26">
        <f t="shared" si="2"/>
        <v>0.22750000000000001</v>
      </c>
      <c r="J49" s="26">
        <f t="shared" si="3"/>
        <v>0.47150000000000003</v>
      </c>
      <c r="K49" s="26"/>
      <c r="L49" s="14" t="s">
        <v>67</v>
      </c>
    </row>
    <row r="50" spans="1:12" x14ac:dyDescent="0.2">
      <c r="A50" s="14" t="s">
        <v>13</v>
      </c>
      <c r="B50" s="26">
        <v>0.28000000000000003</v>
      </c>
      <c r="C50" s="26">
        <f>0.02</f>
        <v>0.02</v>
      </c>
      <c r="D50" s="26">
        <f t="shared" si="0"/>
        <v>0.30000000000000004</v>
      </c>
      <c r="E50" s="26">
        <f t="shared" si="1"/>
        <v>0.48400000000000004</v>
      </c>
      <c r="F50" s="26"/>
      <c r="G50" s="26">
        <v>0.28000000000000003</v>
      </c>
      <c r="H50" s="26">
        <f>0.02</f>
        <v>0.02</v>
      </c>
      <c r="I50" s="26">
        <f t="shared" si="2"/>
        <v>0.30000000000000004</v>
      </c>
      <c r="J50" s="26">
        <f t="shared" si="3"/>
        <v>0.54400000000000004</v>
      </c>
      <c r="K50" s="26"/>
      <c r="L50" s="14" t="s">
        <v>68</v>
      </c>
    </row>
    <row r="51" spans="1:12" x14ac:dyDescent="0.2">
      <c r="A51" s="14" t="s">
        <v>19</v>
      </c>
      <c r="B51" s="26">
        <v>0.26</v>
      </c>
      <c r="C51" s="26">
        <f>0.01+0.004</f>
        <v>1.4E-2</v>
      </c>
      <c r="D51" s="26">
        <f t="shared" si="0"/>
        <v>0.27400000000000002</v>
      </c>
      <c r="E51" s="26">
        <f t="shared" si="1"/>
        <v>0.45800000000000002</v>
      </c>
      <c r="F51" s="26"/>
      <c r="G51" s="26">
        <v>0.27</v>
      </c>
      <c r="H51" s="26">
        <f>0.01+0.004</f>
        <v>1.4E-2</v>
      </c>
      <c r="I51" s="26">
        <f t="shared" si="2"/>
        <v>0.28400000000000003</v>
      </c>
      <c r="J51" s="26">
        <f t="shared" si="3"/>
        <v>0.52800000000000002</v>
      </c>
      <c r="K51" s="26"/>
      <c r="L51" s="14" t="s">
        <v>69</v>
      </c>
    </row>
    <row r="52" spans="1:12" x14ac:dyDescent="0.2">
      <c r="A52" s="14" t="s">
        <v>24</v>
      </c>
      <c r="B52" s="26">
        <v>0.2</v>
      </c>
      <c r="C52" s="26"/>
      <c r="D52" s="26">
        <f t="shared" si="0"/>
        <v>0.2</v>
      </c>
      <c r="E52" s="26">
        <f t="shared" si="1"/>
        <v>0.38400000000000001</v>
      </c>
      <c r="F52" s="26"/>
      <c r="G52" s="26">
        <v>0.2</v>
      </c>
      <c r="H52" s="26"/>
      <c r="I52" s="26">
        <f t="shared" si="2"/>
        <v>0.2</v>
      </c>
      <c r="J52" s="26">
        <f t="shared" si="3"/>
        <v>0.44400000000000006</v>
      </c>
      <c r="K52" s="26"/>
      <c r="L52" s="14" t="s">
        <v>70</v>
      </c>
    </row>
    <row r="53" spans="1:12" x14ac:dyDescent="0.2">
      <c r="A53" s="22" t="s">
        <v>25</v>
      </c>
      <c r="B53" s="23">
        <v>0.311</v>
      </c>
      <c r="C53" s="26">
        <f>0.0065</f>
        <v>6.4999999999999997E-3</v>
      </c>
      <c r="D53" s="26">
        <f t="shared" si="0"/>
        <v>0.3175</v>
      </c>
      <c r="E53" s="26">
        <f t="shared" si="1"/>
        <v>0.50150000000000006</v>
      </c>
      <c r="F53" s="26"/>
      <c r="G53" s="23">
        <v>0.311</v>
      </c>
      <c r="H53" s="26">
        <f>0.0065</f>
        <v>6.4999999999999997E-3</v>
      </c>
      <c r="I53" s="26">
        <f t="shared" si="2"/>
        <v>0.3175</v>
      </c>
      <c r="J53" s="26">
        <f t="shared" si="3"/>
        <v>0.5615</v>
      </c>
      <c r="K53" s="26"/>
      <c r="L53" s="14" t="s">
        <v>71</v>
      </c>
    </row>
    <row r="54" spans="1:12" ht="40" x14ac:dyDescent="0.2">
      <c r="A54" s="22" t="s">
        <v>75</v>
      </c>
      <c r="B54" s="26">
        <v>0.121</v>
      </c>
      <c r="C54" s="23">
        <f>0.0431+0.134+0.01</f>
        <v>0.18710000000000002</v>
      </c>
      <c r="D54" s="26">
        <f t="shared" si="0"/>
        <v>0.30810000000000004</v>
      </c>
      <c r="E54" s="26">
        <f t="shared" si="1"/>
        <v>0.49210000000000004</v>
      </c>
      <c r="F54" s="26"/>
      <c r="G54" s="26">
        <v>0.28000000000000003</v>
      </c>
      <c r="H54" s="26">
        <f>0.01+0.03</f>
        <v>0.04</v>
      </c>
      <c r="I54" s="26">
        <f t="shared" si="2"/>
        <v>0.32</v>
      </c>
      <c r="J54" s="26">
        <f t="shared" si="3"/>
        <v>0.56400000000000006</v>
      </c>
      <c r="K54" s="26"/>
      <c r="L54" s="14" t="s">
        <v>307</v>
      </c>
    </row>
    <row r="55" spans="1:12" ht="27" x14ac:dyDescent="0.2">
      <c r="A55" s="14" t="s">
        <v>98</v>
      </c>
      <c r="B55" s="26">
        <v>0.16200000000000001</v>
      </c>
      <c r="C55" s="26">
        <f>0.006</f>
        <v>6.0000000000000001E-3</v>
      </c>
      <c r="D55" s="26">
        <f t="shared" si="0"/>
        <v>0.16800000000000001</v>
      </c>
      <c r="E55" s="26">
        <f t="shared" si="1"/>
        <v>0.35199999999999998</v>
      </c>
      <c r="F55" s="26"/>
      <c r="G55" s="26">
        <v>0.20199999999999999</v>
      </c>
      <c r="H55" s="26">
        <f>0.006</f>
        <v>6.0000000000000001E-3</v>
      </c>
      <c r="I55" s="26">
        <f t="shared" si="2"/>
        <v>0.20799999999999999</v>
      </c>
      <c r="J55" s="26">
        <f t="shared" si="3"/>
        <v>0.45200000000000001</v>
      </c>
      <c r="K55" s="26"/>
      <c r="L55" s="14" t="s">
        <v>84</v>
      </c>
    </row>
    <row r="56" spans="1:12" ht="66" x14ac:dyDescent="0.2">
      <c r="A56" s="22" t="s">
        <v>32</v>
      </c>
      <c r="B56" s="26">
        <v>0.49399999999999999</v>
      </c>
      <c r="C56" s="26">
        <f>0.0009523+0.000238+0.02593</f>
        <v>2.71203E-2</v>
      </c>
      <c r="D56" s="26">
        <f t="shared" si="0"/>
        <v>0.52112029999999998</v>
      </c>
      <c r="E56" s="26">
        <f t="shared" si="1"/>
        <v>0.70512029999999992</v>
      </c>
      <c r="F56" s="26"/>
      <c r="G56" s="26">
        <v>0.49399999999999999</v>
      </c>
      <c r="H56" s="26">
        <f>0.0009523+0.000238+0.02595</f>
        <v>2.7140299999999999E-2</v>
      </c>
      <c r="I56" s="26">
        <f t="shared" si="2"/>
        <v>0.5211403</v>
      </c>
      <c r="J56" s="26">
        <f t="shared" si="3"/>
        <v>0.7651403</v>
      </c>
      <c r="K56" s="26"/>
      <c r="L56" s="14" t="s">
        <v>308</v>
      </c>
    </row>
    <row r="57" spans="1:12" x14ac:dyDescent="0.2">
      <c r="A57" s="14" t="s">
        <v>26</v>
      </c>
      <c r="B57" s="26">
        <v>0.20499999999999999</v>
      </c>
      <c r="C57" s="26">
        <v>0.152</v>
      </c>
      <c r="D57" s="26">
        <f t="shared" si="0"/>
        <v>0.35699999999999998</v>
      </c>
      <c r="E57" s="26">
        <f t="shared" si="1"/>
        <v>0.54099999999999993</v>
      </c>
      <c r="F57" s="26"/>
      <c r="G57" s="26">
        <v>0.20499999999999999</v>
      </c>
      <c r="H57" s="26">
        <v>0.152</v>
      </c>
      <c r="I57" s="26">
        <f t="shared" si="2"/>
        <v>0.35699999999999998</v>
      </c>
      <c r="J57" s="26">
        <f t="shared" si="3"/>
        <v>0.60099999999999998</v>
      </c>
      <c r="K57" s="26"/>
      <c r="L57" s="14" t="s">
        <v>110</v>
      </c>
    </row>
    <row r="58" spans="1:12" x14ac:dyDescent="0.2">
      <c r="A58" s="14" t="s">
        <v>20</v>
      </c>
      <c r="B58" s="26">
        <v>0.309</v>
      </c>
      <c r="C58" s="26">
        <f>0.02</f>
        <v>0.02</v>
      </c>
      <c r="D58" s="26">
        <f t="shared" si="0"/>
        <v>0.32900000000000001</v>
      </c>
      <c r="E58" s="26">
        <f t="shared" si="1"/>
        <v>0.51300000000000001</v>
      </c>
      <c r="F58" s="26"/>
      <c r="G58" s="26">
        <v>0.309</v>
      </c>
      <c r="H58" s="26">
        <f>0.02</f>
        <v>0.02</v>
      </c>
      <c r="I58" s="26">
        <f t="shared" si="2"/>
        <v>0.32900000000000001</v>
      </c>
      <c r="J58" s="26">
        <f t="shared" si="3"/>
        <v>0.57300000000000006</v>
      </c>
      <c r="K58" s="26"/>
      <c r="L58" s="14" t="s">
        <v>72</v>
      </c>
    </row>
    <row r="59" spans="1:12" x14ac:dyDescent="0.2">
      <c r="A59" s="27" t="s">
        <v>21</v>
      </c>
      <c r="B59" s="28">
        <v>0.23</v>
      </c>
      <c r="C59" s="28">
        <f>0.01</f>
        <v>0.01</v>
      </c>
      <c r="D59" s="28">
        <f t="shared" si="0"/>
        <v>0.24000000000000002</v>
      </c>
      <c r="E59" s="28">
        <f t="shared" si="1"/>
        <v>0.42400000000000004</v>
      </c>
      <c r="F59" s="28"/>
      <c r="G59" s="28">
        <v>0.23</v>
      </c>
      <c r="H59" s="28">
        <f>0.01</f>
        <v>0.01</v>
      </c>
      <c r="I59" s="28">
        <f t="shared" si="2"/>
        <v>0.24000000000000002</v>
      </c>
      <c r="J59" s="28">
        <f t="shared" si="3"/>
        <v>0.48400000000000004</v>
      </c>
      <c r="K59" s="28"/>
      <c r="L59" s="27" t="s">
        <v>73</v>
      </c>
    </row>
    <row r="60" spans="1:12" x14ac:dyDescent="0.2">
      <c r="A60" s="14" t="s">
        <v>49</v>
      </c>
      <c r="B60" s="26">
        <v>0.35</v>
      </c>
      <c r="C60" s="26"/>
      <c r="D60" s="26">
        <f t="shared" si="0"/>
        <v>0.35</v>
      </c>
      <c r="E60" s="26"/>
      <c r="F60" s="26"/>
      <c r="G60" s="26">
        <v>0.315</v>
      </c>
      <c r="H60" s="26">
        <f>0.035</f>
        <v>3.5000000000000003E-2</v>
      </c>
      <c r="I60" s="26">
        <f t="shared" si="2"/>
        <v>0.35</v>
      </c>
      <c r="J60" s="26"/>
      <c r="K60" s="26"/>
      <c r="L60" s="14" t="s">
        <v>85</v>
      </c>
    </row>
    <row r="61" spans="1:12" ht="27" x14ac:dyDescent="0.2">
      <c r="A61" s="14" t="s">
        <v>50</v>
      </c>
      <c r="B61" s="26">
        <v>0.15</v>
      </c>
      <c r="C61" s="26">
        <f>0.04</f>
        <v>0.04</v>
      </c>
      <c r="D61" s="26">
        <f t="shared" si="0"/>
        <v>0.19</v>
      </c>
      <c r="E61" s="26"/>
      <c r="F61" s="26"/>
      <c r="G61" s="26">
        <v>0.14000000000000001</v>
      </c>
      <c r="H61" s="26">
        <f>0.04</f>
        <v>0.04</v>
      </c>
      <c r="I61" s="26">
        <f t="shared" si="2"/>
        <v>0.18000000000000002</v>
      </c>
      <c r="J61" s="26"/>
      <c r="K61" s="26"/>
      <c r="L61" s="14" t="s">
        <v>74</v>
      </c>
    </row>
    <row r="62" spans="1:12" ht="15" customHeight="1" x14ac:dyDescent="0.2">
      <c r="A62" s="14" t="s">
        <v>51</v>
      </c>
      <c r="B62" s="26">
        <v>0.15</v>
      </c>
      <c r="C62" s="26"/>
      <c r="D62" s="26">
        <f t="shared" si="0"/>
        <v>0.15</v>
      </c>
      <c r="E62" s="26"/>
      <c r="F62" s="26"/>
      <c r="G62" s="26">
        <v>0.15</v>
      </c>
      <c r="H62" s="26"/>
      <c r="I62" s="26">
        <f t="shared" si="2"/>
        <v>0.15</v>
      </c>
      <c r="J62" s="26"/>
      <c r="K62" s="26"/>
      <c r="L62" s="14" t="s">
        <v>85</v>
      </c>
    </row>
    <row r="63" spans="1:12" ht="40" x14ac:dyDescent="0.2">
      <c r="A63" s="14" t="s">
        <v>52</v>
      </c>
      <c r="B63" s="26">
        <v>0.16</v>
      </c>
      <c r="C63" s="26">
        <v>0.36899999999999999</v>
      </c>
      <c r="D63" s="26">
        <f t="shared" si="0"/>
        <v>0.52900000000000003</v>
      </c>
      <c r="E63" s="26"/>
      <c r="F63" s="26"/>
      <c r="G63" s="26">
        <v>0.08</v>
      </c>
      <c r="H63" s="26">
        <v>0.22</v>
      </c>
      <c r="I63" s="26">
        <f t="shared" si="2"/>
        <v>0.3</v>
      </c>
      <c r="J63" s="26"/>
      <c r="K63" s="26"/>
      <c r="L63" s="14" t="s">
        <v>290</v>
      </c>
    </row>
    <row r="64" spans="1:12" ht="16" thickBot="1" x14ac:dyDescent="0.25">
      <c r="A64" s="14" t="s">
        <v>81</v>
      </c>
      <c r="B64" s="26">
        <v>0.14000000000000001</v>
      </c>
      <c r="C64" s="26"/>
      <c r="D64" s="26">
        <f t="shared" si="0"/>
        <v>0.14000000000000001</v>
      </c>
      <c r="E64" s="26"/>
      <c r="F64" s="26"/>
      <c r="G64" s="26">
        <v>0.14000000000000001</v>
      </c>
      <c r="H64" s="26"/>
      <c r="I64" s="26">
        <f t="shared" si="2"/>
        <v>0.14000000000000001</v>
      </c>
      <c r="J64" s="26"/>
      <c r="K64" s="26"/>
      <c r="L64" s="14" t="s">
        <v>85</v>
      </c>
    </row>
    <row r="65" spans="1:12" ht="63" customHeight="1" x14ac:dyDescent="0.2">
      <c r="A65" s="92" t="s">
        <v>310</v>
      </c>
      <c r="B65" s="92"/>
      <c r="C65" s="92"/>
      <c r="D65" s="92"/>
      <c r="E65" s="92"/>
      <c r="F65" s="92"/>
      <c r="G65" s="92"/>
      <c r="H65" s="92"/>
      <c r="I65" s="92"/>
      <c r="J65" s="92"/>
      <c r="K65" s="31"/>
      <c r="L65" s="31"/>
    </row>
    <row r="66" spans="1:12" ht="15" customHeight="1" x14ac:dyDescent="0.2">
      <c r="A66" s="89" t="s">
        <v>77</v>
      </c>
      <c r="B66" s="89"/>
      <c r="C66" s="89"/>
      <c r="D66" s="89"/>
      <c r="E66" s="89"/>
      <c r="F66" s="89"/>
      <c r="G66" s="89"/>
      <c r="H66" s="89"/>
      <c r="I66" s="89"/>
      <c r="J66" s="89"/>
      <c r="K66" s="30"/>
    </row>
    <row r="67" spans="1:12" ht="15" customHeight="1" x14ac:dyDescent="0.2">
      <c r="A67" s="89" t="s">
        <v>90</v>
      </c>
      <c r="B67" s="89"/>
      <c r="C67" s="89"/>
      <c r="D67" s="89"/>
      <c r="E67" s="89"/>
      <c r="F67" s="89"/>
      <c r="G67" s="89"/>
      <c r="H67" s="89"/>
      <c r="I67" s="89"/>
      <c r="J67" s="89"/>
      <c r="K67" s="30"/>
    </row>
    <row r="68" spans="1:12" ht="15" customHeight="1" x14ac:dyDescent="0.2">
      <c r="A68" s="89" t="s">
        <v>40</v>
      </c>
      <c r="B68" s="89"/>
      <c r="C68" s="89"/>
      <c r="D68" s="89"/>
      <c r="E68" s="89"/>
      <c r="F68" s="89"/>
      <c r="G68" s="89"/>
      <c r="H68" s="89"/>
      <c r="I68" s="89"/>
      <c r="J68" s="89"/>
      <c r="K68" s="30"/>
    </row>
    <row r="69" spans="1:12" ht="27" customHeight="1" x14ac:dyDescent="0.2">
      <c r="A69" s="89" t="s">
        <v>35</v>
      </c>
      <c r="B69" s="89"/>
      <c r="C69" s="89"/>
      <c r="D69" s="89"/>
      <c r="E69" s="89"/>
      <c r="F69" s="89"/>
      <c r="G69" s="89"/>
      <c r="H69" s="89"/>
      <c r="I69" s="89"/>
      <c r="J69" s="89"/>
      <c r="K69" s="30"/>
    </row>
    <row r="70" spans="1:12" x14ac:dyDescent="0.2">
      <c r="A70" s="6" t="s">
        <v>104</v>
      </c>
    </row>
    <row r="71" spans="1:12" x14ac:dyDescent="0.2">
      <c r="A71" s="18" t="s">
        <v>106</v>
      </c>
      <c r="B71"/>
      <c r="C71"/>
      <c r="D71"/>
      <c r="F71" s="17" t="s">
        <v>41</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00000000-0004-0000-0600-000000000000}"/>
  </hyperlinks>
  <pageMargins left="0.17" right="0.17" top="0.4" bottom="0.38" header="0.3" footer="0.3"/>
  <pageSetup paperSize="5" orientation="landscape" r:id="rId2"/>
  <ignoredErrors>
    <ignoredError sqref="H36 H22"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January 2024</vt:lpstr>
      <vt:lpstr>July 2023</vt:lpstr>
      <vt:lpstr>January 2023</vt:lpstr>
      <vt:lpstr>July 2022 (revised)</vt:lpstr>
      <vt:lpstr>January 2022</vt:lpstr>
      <vt:lpstr>July 2021</vt:lpstr>
      <vt:lpstr>January 2021_revised</vt:lpstr>
      <vt:lpstr>July 2020</vt:lpstr>
      <vt:lpstr>January 2020</vt:lpstr>
      <vt:lpstr>July 2019</vt:lpstr>
      <vt:lpstr>January 2019 </vt:lpstr>
      <vt:lpstr>July 2018</vt:lpstr>
      <vt:lpstr>January 2018</vt:lpstr>
      <vt:lpstr>July 2017</vt:lpstr>
      <vt:lpstr>January 2017</vt:lpstr>
      <vt:lpstr>July 2016</vt:lpstr>
      <vt:lpstr>January 2016</vt:lpstr>
      <vt:lpstr>July 2015</vt:lpstr>
      <vt:lpstr>January 2015</vt:lpstr>
      <vt:lpstr>'January 2015'!Print_Titles</vt:lpstr>
      <vt:lpstr>'January 2016'!Print_Titles</vt:lpstr>
      <vt:lpstr>'January 2017'!Print_Titles</vt:lpstr>
      <vt:lpstr>'January 2018'!Print_Titles</vt:lpstr>
      <vt:lpstr>'January 2019 '!Print_Titles</vt:lpstr>
      <vt:lpstr>'January 2020'!Print_Titles</vt:lpstr>
      <vt:lpstr>'January 2021_revised'!Print_Titles</vt:lpstr>
      <vt:lpstr>'January 2022'!Print_Titles</vt:lpstr>
      <vt:lpstr>'January 2023'!Print_Titles</vt:lpstr>
      <vt:lpstr>'January 2024'!Print_Titles</vt:lpstr>
      <vt:lpstr>'July 2015'!Print_Titles</vt:lpstr>
      <vt:lpstr>'July 2016'!Print_Titles</vt:lpstr>
      <vt:lpstr>'July 2017'!Print_Titles</vt:lpstr>
      <vt:lpstr>'July 2018'!Print_Titles</vt:lpstr>
      <vt:lpstr>'July 2019'!Print_Titles</vt:lpstr>
      <vt:lpstr>'July 2020'!Print_Titles</vt:lpstr>
      <vt:lpstr>'July 2021'!Print_Titles</vt:lpstr>
      <vt:lpstr>'July 2022 (revised)'!Print_Titles</vt:lpstr>
      <vt:lpstr>'July 2023'!Print_Titles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Wells, Peggy</dc:creator>
  <cp:lastModifiedBy>Daniel Karsten Posthumus</cp:lastModifiedBy>
  <cp:lastPrinted>2019-08-29T19:28:30Z</cp:lastPrinted>
  <dcterms:created xsi:type="dcterms:W3CDTF">2012-03-07T20:42:24Z</dcterms:created>
  <dcterms:modified xsi:type="dcterms:W3CDTF">2024-07-15T21:27:05Z</dcterms:modified>
</cp:coreProperties>
</file>