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dkwliu\Desktop\MSBA_CSUEB\BAN_630\Project\"/>
    </mc:Choice>
  </mc:AlternateContent>
  <bookViews>
    <workbookView xWindow="0" yWindow="0" windowWidth="23070" windowHeight="10305" tabRatio="663" activeTab="4"/>
  </bookViews>
  <sheets>
    <sheet name="Airbnb Maxed Profit (Max Guest)" sheetId="15" r:id="rId1"/>
    <sheet name="Airbnb Optimal Solution_STS" sheetId="2" state="veryHidden" r:id="rId2"/>
    <sheet name="Airbnb Maxed Profit (Max Gu_STS" sheetId="5" state="veryHidden" r:id="rId3"/>
    <sheet name="Airbnb Maxed Profit (Min Gu_STS" sheetId="7" state="veryHidden" r:id="rId4"/>
    <sheet name="One Way Analysis Over-Budget" sheetId="28" r:id="rId5"/>
    <sheet name="Two Way (A Slice of Harlem=2)" sheetId="24" r:id="rId6"/>
    <sheet name="Two Way (A Slice of Harlem=1)" sheetId="23" r:id="rId7"/>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hartData" localSheetId="4">'One Way Analysis Over-Budget'!$K$5:$K$17</definedName>
    <definedName name="ChartData1" localSheetId="6">'Two Way (A Slice of Harlem=1)'!$K$5:$K$6</definedName>
    <definedName name="ChartData1" localSheetId="5">'Two Way (A Slice of Harlem=2)'!$K$5:$K$6</definedName>
    <definedName name="ChartData2" localSheetId="6">'Two Way (A Slice of Harlem=1)'!$O$5:$O$6</definedName>
    <definedName name="ChartData2" localSheetId="5">'Two Way (A Slice of Harlem=2)'!$O$5:$O$6</definedName>
    <definedName name="InputValues" localSheetId="4">'One Way Analysis Over-Budget'!$A$5:$A$17</definedName>
    <definedName name="InputValues1" localSheetId="6">'Two Way (A Slice of Harlem=1)'!$A$5:$A$6</definedName>
    <definedName name="InputValues1" localSheetId="5">'Two Way (A Slice of Harlem=2)'!$A$5:$A$6</definedName>
    <definedName name="InputValues2" localSheetId="6">'Two Way (A Slice of Harlem=1)'!$B$4:$C$4</definedName>
    <definedName name="InputValues2" localSheetId="5">'Two Way (A Slice of Harlem=2)'!$B$4:$C$4</definedName>
    <definedName name="OutputAddresses" localSheetId="4">'One Way Analysis Over-Budget'!$B$4:$G$4</definedName>
    <definedName name="OutputAddresses" localSheetId="6">'Two Way (A Slice of Harlem=1)'!$AZ$2:$AZ$7</definedName>
    <definedName name="OutputAddresses" localSheetId="5">'Two Way (A Slice of Harlem=2)'!$AZ$2:$AZ$7</definedName>
    <definedName name="OutputValues" localSheetId="4">'One Way Analysis Over-Budget'!$B$5:$G$17</definedName>
    <definedName name="OutputValues_1" localSheetId="6">'Two Way (A Slice of Harlem=1)'!$B$5:$C$6</definedName>
    <definedName name="OutputValues_1" localSheetId="5">'Two Way (A Slice of Harlem=2)'!$B$5:$C$6</definedName>
    <definedName name="OutputValues_2" localSheetId="6">'Two Way (A Slice of Harlem=1)'!$B$9:$C$10</definedName>
    <definedName name="OutputValues_2" localSheetId="5">'Two Way (A Slice of Harlem=2)'!$B$9:$C$10</definedName>
    <definedName name="OutputValues_3" localSheetId="6">'Two Way (A Slice of Harlem=1)'!$B$13:$C$14</definedName>
    <definedName name="OutputValues_3" localSheetId="5">'Two Way (A Slice of Harlem=2)'!$B$13:$C$14</definedName>
    <definedName name="OutputValues_4" localSheetId="6">'Two Way (A Slice of Harlem=1)'!$B$17:$C$18</definedName>
    <definedName name="OutputValues_4" localSheetId="5">'Two Way (A Slice of Harlem=2)'!$B$17:$C$18</definedName>
    <definedName name="OutputValues_5" localSheetId="6">'Two Way (A Slice of Harlem=1)'!$B$21:$C$22</definedName>
    <definedName name="OutputValues_5" localSheetId="5">'Two Way (A Slice of Harlem=2)'!$B$21:$C$22</definedName>
    <definedName name="OutputValues_6" localSheetId="6">'Two Way (A Slice of Harlem=1)'!$B$25:$C$26</definedName>
    <definedName name="OutputValues_6" localSheetId="5">'Two Way (A Slice of Harlem=2)'!$B$25:$C$26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0" hidden="1">'Airbnb Maxed Profit (Max Guest)'!$B$46:$B$49,'Airbnb Maxed Profit (Max Guest)'!$H$46:$H$49,'Airbnb Maxed Profit (Max Guest)'!$B$55:$B$58,'Airbnb Maxed Profit (Max Guest)'!$H$55:$H$58,'Airbnb Maxed Profit (Max Guest)'!$B$64:$B$67,'Airbnb Maxed Profit (Max Guest)'!$H$64:$H$67,'Airbnb Maxed Profit (Max Guest)'!$B$73:$B$76,'Airbnb Maxed Profit (Max Guest)'!$H$73:$H$76,'Airbnb Maxed Profit (Max Guest)'!$B$82:$B$85,'Airbnb Maxed Profit (Max Guest)'!$H$82:$H$85,'Airbnb Maxed Profit (Max Guest)'!$B$91:$B$94,'Airbnb Maxed Profit (Max Guest)'!$H$91:$H$94</definedName>
    <definedName name="solver_cvg" localSheetId="0" hidden="1">0.000001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'Airbnb Maxed Profit (Max Guest)'!$B$105</definedName>
    <definedName name="solver_lhs10" localSheetId="0" hidden="1">'Airbnb Maxed Profit (Max Guest)'!$H$55:$H$58</definedName>
    <definedName name="solver_lhs11" localSheetId="0" hidden="1">'Airbnb Maxed Profit (Max Guest)'!$H$64:$H$67</definedName>
    <definedName name="solver_lhs12" localSheetId="0" hidden="1">'Airbnb Maxed Profit (Max Guest)'!$H$73:$H$76</definedName>
    <definedName name="solver_lhs13" localSheetId="0" hidden="1">'Airbnb Maxed Profit (Max Guest)'!$H$82:$H$85</definedName>
    <definedName name="solver_lhs14" localSheetId="0" hidden="1">'Airbnb Maxed Profit (Max Guest)'!$H$91:$H$94</definedName>
    <definedName name="solver_lhs15" localSheetId="0" hidden="1">'Airbnb Maxed Profit (Max Guest)'!$H$91:$H$94</definedName>
    <definedName name="solver_lhs2" localSheetId="0" hidden="1">'Airbnb Maxed Profit (Max Guest)'!$B$106</definedName>
    <definedName name="solver_lhs3" localSheetId="0" hidden="1">'Airbnb Maxed Profit (Max Guest)'!$B$46:$B$49</definedName>
    <definedName name="solver_lhs4" localSheetId="0" hidden="1">'Airbnb Maxed Profit (Max Guest)'!$B$55:$B$58</definedName>
    <definedName name="solver_lhs5" localSheetId="0" hidden="1">'Airbnb Maxed Profit (Max Guest)'!$B$64:$B$67</definedName>
    <definedName name="solver_lhs6" localSheetId="0" hidden="1">'Airbnb Maxed Profit (Max Guest)'!$B$73:$B$76</definedName>
    <definedName name="solver_lhs7" localSheetId="0" hidden="1">'Airbnb Maxed Profit (Max Guest)'!$B$82:$B$85</definedName>
    <definedName name="solver_lhs8" localSheetId="0" hidden="1">'Airbnb Maxed Profit (Max Guest)'!$B$91:$B$94</definedName>
    <definedName name="solver_lhs9" localSheetId="0" hidden="1">'Airbnb Maxed Profit (Max Guest)'!$H$46:$H$49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14</definedName>
    <definedName name="solver_nwt" localSheetId="0" hidden="1">1</definedName>
    <definedName name="solver_opt" localSheetId="0" hidden="1">'Airbnb Maxed Profit (Max Guest)'!$B$99</definedName>
    <definedName name="solver_pre" localSheetId="0" hidden="1">0.000001</definedName>
    <definedName name="solver_rbv" localSheetId="0" hidden="1">2</definedName>
    <definedName name="solver_rel1" localSheetId="0" hidden="1">1</definedName>
    <definedName name="solver_rel10" localSheetId="0" hidden="1">5</definedName>
    <definedName name="solver_rel11" localSheetId="0" hidden="1">5</definedName>
    <definedName name="solver_rel12" localSheetId="0" hidden="1">5</definedName>
    <definedName name="solver_rel13" localSheetId="0" hidden="1">5</definedName>
    <definedName name="solver_rel14" localSheetId="0" hidden="1">5</definedName>
    <definedName name="solver_rel15" localSheetId="0" hidden="1">5</definedName>
    <definedName name="solver_rel2" localSheetId="0" hidden="1">3</definedName>
    <definedName name="solver_rel3" localSheetId="0" hidden="1">5</definedName>
    <definedName name="solver_rel4" localSheetId="0" hidden="1">5</definedName>
    <definedName name="solver_rel5" localSheetId="0" hidden="1">5</definedName>
    <definedName name="solver_rel6" localSheetId="0" hidden="1">5</definedName>
    <definedName name="solver_rel7" localSheetId="0" hidden="1">5</definedName>
    <definedName name="solver_rel8" localSheetId="0" hidden="1">5</definedName>
    <definedName name="solver_rel9" localSheetId="0" hidden="1">5</definedName>
    <definedName name="solver_rhs1" localSheetId="0" hidden="1">'Airbnb Maxed Profit (Max Guest)'!$D$105</definedName>
    <definedName name="solver_rhs10" localSheetId="0" hidden="1">binary</definedName>
    <definedName name="solver_rhs11" localSheetId="0" hidden="1">binary</definedName>
    <definedName name="solver_rhs12" localSheetId="0" hidden="1">binary</definedName>
    <definedName name="solver_rhs13" localSheetId="0" hidden="1">binary</definedName>
    <definedName name="solver_rhs14" localSheetId="0" hidden="1">binary</definedName>
    <definedName name="solver_rhs15" localSheetId="0" hidden="1">binary</definedName>
    <definedName name="solver_rhs2" localSheetId="0" hidden="1">'Airbnb Maxed Profit (Max Guest)'!$D$106</definedName>
    <definedName name="solver_rhs3" localSheetId="0" hidden="1">binary</definedName>
    <definedName name="solver_rhs4" localSheetId="0" hidden="1">binary</definedName>
    <definedName name="solver_rhs5" localSheetId="0" hidden="1">binary</definedName>
    <definedName name="solver_rhs6" localSheetId="0" hidden="1">binary</definedName>
    <definedName name="solver_rhs7" localSheetId="0" hidden="1">binary</definedName>
    <definedName name="solver_rhs8" localSheetId="0" hidden="1">binary</definedName>
    <definedName name="solver_rhs9" localSheetId="0" hidden="1">binary</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7" i="15" l="1"/>
  <c r="C47" i="15"/>
  <c r="D47" i="15" s="1"/>
  <c r="E46" i="15"/>
  <c r="C48" i="15"/>
  <c r="D48" i="15" s="1"/>
  <c r="B60" i="15"/>
  <c r="A60" i="15"/>
  <c r="E56" i="15"/>
  <c r="E55" i="15"/>
  <c r="C66" i="15"/>
  <c r="C65" i="15"/>
  <c r="C55" i="15"/>
  <c r="C56" i="15"/>
  <c r="D56" i="15" s="1"/>
  <c r="K1" i="28" l="1"/>
  <c r="J4" i="28"/>
  <c r="K6" i="28" s="1"/>
  <c r="K14" i="28" l="1"/>
  <c r="K15" i="28"/>
  <c r="K7" i="28"/>
  <c r="K9" i="28"/>
  <c r="K10" i="28"/>
  <c r="K12" i="28"/>
  <c r="K8" i="28"/>
  <c r="K11" i="28"/>
  <c r="K13" i="28"/>
  <c r="K16" i="28"/>
  <c r="K5" i="28"/>
  <c r="K17" i="28"/>
  <c r="O1" i="24"/>
  <c r="K1" i="24"/>
  <c r="Q4" i="24"/>
  <c r="N4" i="24"/>
  <c r="N5" i="24" s="1"/>
  <c r="M4" i="24"/>
  <c r="J4" i="24"/>
  <c r="J5" i="24" s="1"/>
  <c r="O1" i="23"/>
  <c r="K1" i="23"/>
  <c r="Q4" i="23"/>
  <c r="N4" i="23"/>
  <c r="N5" i="23" s="1"/>
  <c r="M4" i="23"/>
  <c r="J4" i="23"/>
  <c r="J5" i="23" s="1"/>
  <c r="O6" i="24"/>
  <c r="K5" i="23"/>
  <c r="K6" i="23"/>
  <c r="K5" i="24"/>
  <c r="O6" i="23"/>
  <c r="K6" i="24"/>
  <c r="O5" i="23"/>
  <c r="O5" i="24"/>
  <c r="H96" i="15" l="1"/>
  <c r="H87" i="15"/>
  <c r="H78" i="15"/>
  <c r="H69" i="15"/>
  <c r="H60" i="15"/>
  <c r="H51" i="15"/>
  <c r="B51" i="15"/>
  <c r="B69" i="15"/>
  <c r="B78" i="15"/>
  <c r="B87" i="15"/>
  <c r="B96" i="15"/>
  <c r="D106" i="15"/>
  <c r="D105" i="15"/>
  <c r="G96" i="15"/>
  <c r="A96" i="15"/>
  <c r="K94" i="15"/>
  <c r="E94" i="15"/>
  <c r="K93" i="15"/>
  <c r="E93" i="15"/>
  <c r="K92" i="15"/>
  <c r="E92" i="15"/>
  <c r="K91" i="15"/>
  <c r="E91" i="15"/>
  <c r="G87" i="15"/>
  <c r="A87" i="15"/>
  <c r="K85" i="15"/>
  <c r="E85" i="15"/>
  <c r="K84" i="15"/>
  <c r="E84" i="15"/>
  <c r="K83" i="15"/>
  <c r="E83" i="15"/>
  <c r="K82" i="15"/>
  <c r="E82" i="15"/>
  <c r="G78" i="15"/>
  <c r="A78" i="15"/>
  <c r="K76" i="15"/>
  <c r="E76" i="15"/>
  <c r="K75" i="15"/>
  <c r="E75" i="15"/>
  <c r="C75" i="15"/>
  <c r="D75" i="15" s="1"/>
  <c r="K74" i="15"/>
  <c r="E74" i="15"/>
  <c r="K73" i="15"/>
  <c r="E73" i="15"/>
  <c r="C73" i="15"/>
  <c r="D73" i="15" s="1"/>
  <c r="G69" i="15"/>
  <c r="A69" i="15"/>
  <c r="K67" i="15"/>
  <c r="I67" i="15"/>
  <c r="J67" i="15" s="1"/>
  <c r="E67" i="15"/>
  <c r="K66" i="15"/>
  <c r="E66" i="15"/>
  <c r="K65" i="15"/>
  <c r="I65" i="15"/>
  <c r="J65" i="15" s="1"/>
  <c r="E65" i="15"/>
  <c r="K64" i="15"/>
  <c r="E64" i="15"/>
  <c r="G60" i="15"/>
  <c r="K58" i="15"/>
  <c r="E58" i="15"/>
  <c r="K57" i="15"/>
  <c r="C57" i="15"/>
  <c r="D57" i="15" s="1"/>
  <c r="K56" i="15"/>
  <c r="K55" i="15"/>
  <c r="D55" i="15"/>
  <c r="G51" i="15"/>
  <c r="A51" i="15"/>
  <c r="K49" i="15"/>
  <c r="E49" i="15"/>
  <c r="K48" i="15"/>
  <c r="E48" i="15"/>
  <c r="K47" i="15"/>
  <c r="E47" i="15"/>
  <c r="K46" i="15"/>
  <c r="D41" i="15"/>
  <c r="I93" i="15" s="1"/>
  <c r="J93" i="15" s="1"/>
  <c r="D40" i="15"/>
  <c r="C93" i="15" s="1"/>
  <c r="D93" i="15" s="1"/>
  <c r="D39" i="15"/>
  <c r="I85" i="15" s="1"/>
  <c r="J85" i="15" s="1"/>
  <c r="D38" i="15"/>
  <c r="C84" i="15" s="1"/>
  <c r="D84" i="15" s="1"/>
  <c r="D37" i="15"/>
  <c r="I76" i="15" s="1"/>
  <c r="J76" i="15" s="1"/>
  <c r="D36" i="15"/>
  <c r="C76" i="15" s="1"/>
  <c r="D76" i="15" s="1"/>
  <c r="D35" i="15"/>
  <c r="I66" i="15" s="1"/>
  <c r="J66" i="15" s="1"/>
  <c r="D34" i="15"/>
  <c r="C67" i="15" s="1"/>
  <c r="D67" i="15" s="1"/>
  <c r="D33" i="15"/>
  <c r="I57" i="15" s="1"/>
  <c r="J57" i="15" s="1"/>
  <c r="D32" i="15"/>
  <c r="C58" i="15" s="1"/>
  <c r="D58" i="15" s="1"/>
  <c r="D31" i="15"/>
  <c r="I48" i="15" s="1"/>
  <c r="J48" i="15" s="1"/>
  <c r="D30" i="15"/>
  <c r="C49" i="15" l="1"/>
  <c r="D49" i="15" s="1"/>
  <c r="J60" i="15"/>
  <c r="J96" i="15"/>
  <c r="J87" i="15"/>
  <c r="D87" i="15"/>
  <c r="J78" i="15"/>
  <c r="J69" i="15"/>
  <c r="D60" i="15"/>
  <c r="J51" i="15"/>
  <c r="D51" i="15"/>
  <c r="D69" i="15"/>
  <c r="D78" i="15"/>
  <c r="D96" i="15"/>
  <c r="I56" i="15"/>
  <c r="J56" i="15" s="1"/>
  <c r="I58" i="15"/>
  <c r="J58" i="15" s="1"/>
  <c r="I82" i="15"/>
  <c r="J82" i="15" s="1"/>
  <c r="I84" i="15"/>
  <c r="J84" i="15" s="1"/>
  <c r="C64" i="15"/>
  <c r="D64" i="15" s="1"/>
  <c r="D66" i="15"/>
  <c r="C92" i="15"/>
  <c r="D92" i="15" s="1"/>
  <c r="C94" i="15"/>
  <c r="D94" i="15" s="1"/>
  <c r="I47" i="15"/>
  <c r="J47" i="15" s="1"/>
  <c r="I49" i="15"/>
  <c r="J49" i="15" s="1"/>
  <c r="I73" i="15"/>
  <c r="J73" i="15" s="1"/>
  <c r="I75" i="15"/>
  <c r="J75" i="15" s="1"/>
  <c r="C83" i="15"/>
  <c r="D83" i="15" s="1"/>
  <c r="I64" i="15"/>
  <c r="J64" i="15" s="1"/>
  <c r="I92" i="15"/>
  <c r="J92" i="15" s="1"/>
  <c r="I94" i="15"/>
  <c r="J94" i="15" s="1"/>
  <c r="C46" i="15"/>
  <c r="D46" i="15" s="1"/>
  <c r="C74" i="15"/>
  <c r="D74" i="15" s="1"/>
  <c r="C78" i="15" s="1"/>
  <c r="I55" i="15"/>
  <c r="J55" i="15" s="1"/>
  <c r="I83" i="15"/>
  <c r="J83" i="15" s="1"/>
  <c r="C85" i="15"/>
  <c r="D85" i="15" s="1"/>
  <c r="D65" i="15"/>
  <c r="C91" i="15"/>
  <c r="D91" i="15" s="1"/>
  <c r="I46" i="15"/>
  <c r="J46" i="15" s="1"/>
  <c r="I74" i="15"/>
  <c r="J74" i="15" s="1"/>
  <c r="C60" i="15"/>
  <c r="C82" i="15"/>
  <c r="D82" i="15" s="1"/>
  <c r="I91" i="15"/>
  <c r="J91" i="15" s="1"/>
  <c r="E60" i="15" l="1"/>
  <c r="I69" i="15"/>
  <c r="K69" i="15" s="1"/>
  <c r="E78" i="15"/>
  <c r="I51" i="15"/>
  <c r="K51" i="15" s="1"/>
  <c r="C96" i="15"/>
  <c r="E96" i="15" s="1"/>
  <c r="I87" i="15"/>
  <c r="K87" i="15" s="1"/>
  <c r="C87" i="15"/>
  <c r="E87" i="15" s="1"/>
  <c r="K36" i="15"/>
  <c r="B105" i="15" s="1"/>
  <c r="K39" i="15"/>
  <c r="I78" i="15"/>
  <c r="K78" i="15" s="1"/>
  <c r="K38" i="15"/>
  <c r="K40" i="15"/>
  <c r="I60" i="15"/>
  <c r="K60" i="15" s="1"/>
  <c r="K37" i="15"/>
  <c r="C51" i="15"/>
  <c r="E51" i="15" s="1"/>
  <c r="C69" i="15"/>
  <c r="E69" i="15" s="1"/>
  <c r="I96" i="15"/>
  <c r="K96" i="15" s="1"/>
  <c r="B98" i="15" l="1"/>
  <c r="B106" i="15"/>
  <c r="O32" i="15" l="1"/>
  <c r="O31" i="15"/>
  <c r="O36" i="15"/>
  <c r="O30" i="15"/>
  <c r="O35" i="15"/>
  <c r="O34" i="15"/>
  <c r="O33" i="15"/>
  <c r="O37" i="15" l="1"/>
  <c r="B99" i="15" s="1"/>
  <c r="B100" i="15" s="1"/>
</calcChain>
</file>

<file path=xl/comments1.xml><?xml version="1.0" encoding="utf-8"?>
<comments xmlns="http://schemas.openxmlformats.org/spreadsheetml/2006/main">
  <authors>
    <author>Windows User</author>
  </authors>
  <commentList>
    <comment ref="B5" authorId="0" shapeId="0">
      <text>
        <r>
          <rPr>
            <sz val="9"/>
            <color indexed="81"/>
            <rFont val="Tahoma"/>
            <family val="2"/>
          </rPr>
          <t>Solver found an integer solution within tolerance. All constraints are satisfied.</t>
        </r>
      </text>
    </comment>
    <comment ref="B6" authorId="0" shapeId="0">
      <text>
        <r>
          <rPr>
            <sz val="9"/>
            <color indexed="81"/>
            <rFont val="Tahoma"/>
            <family val="2"/>
          </rPr>
          <t>Solver found an integer solution within tolerance. All constraints are satisfied.</t>
        </r>
      </text>
    </comment>
    <comment ref="B7" authorId="0" shapeId="0">
      <text>
        <r>
          <rPr>
            <sz val="9"/>
            <color indexed="81"/>
            <rFont val="Tahoma"/>
            <family val="2"/>
          </rPr>
          <t>Solver found an integer solution within tolerance. All constraints are satisfied.</t>
        </r>
      </text>
    </comment>
    <comment ref="B8" authorId="0" shapeId="0">
      <text>
        <r>
          <rPr>
            <sz val="9"/>
            <color indexed="81"/>
            <rFont val="Tahoma"/>
            <family val="2"/>
          </rPr>
          <t>Solver found an integer solution within tolerance. All constraints are satisfied.</t>
        </r>
      </text>
    </comment>
    <comment ref="B9" authorId="0" shapeId="0">
      <text>
        <r>
          <rPr>
            <sz val="9"/>
            <color indexed="81"/>
            <rFont val="Tahoma"/>
            <family val="2"/>
          </rPr>
          <t>Solver found an integer solution within tolerance. All constraints are satisfied.</t>
        </r>
      </text>
    </comment>
    <comment ref="B10" authorId="0" shapeId="0">
      <text>
        <r>
          <rPr>
            <sz val="9"/>
            <color indexed="81"/>
            <rFont val="Tahoma"/>
            <family val="2"/>
          </rPr>
          <t>Solver found a solution. All constraints and optimality conditions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 ref="B14" authorId="0" shapeId="0">
      <text>
        <r>
          <rPr>
            <sz val="9"/>
            <color indexed="81"/>
            <rFont val="Tahoma"/>
            <family val="2"/>
          </rPr>
          <t>Solver found a solution. All constraints and optimality conditions are satisfied.</t>
        </r>
      </text>
    </comment>
    <comment ref="B15" authorId="0" shapeId="0">
      <text>
        <r>
          <rPr>
            <sz val="9"/>
            <color indexed="81"/>
            <rFont val="Tahoma"/>
            <family val="2"/>
          </rPr>
          <t>Solver found a solution. All constraints and optimality conditions are satisfied.</t>
        </r>
      </text>
    </comment>
    <comment ref="B16" authorId="0" shapeId="0">
      <text>
        <r>
          <rPr>
            <sz val="9"/>
            <color indexed="81"/>
            <rFont val="Tahoma"/>
            <family val="2"/>
          </rPr>
          <t>Solver found a solution. All constraints and optimality conditions are satisfied.</t>
        </r>
      </text>
    </comment>
    <comment ref="B17" authorId="0" shapeId="0">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authors>
    <author>Windows User</author>
  </authors>
  <commentList>
    <comment ref="B5" authorId="0" shapeId="0">
      <text>
        <r>
          <rPr>
            <sz val="9"/>
            <color indexed="81"/>
            <rFont val="Tahoma"/>
            <family val="2"/>
          </rPr>
          <t>Solver found an integer solution within tolerance. All constraints are satisfied.</t>
        </r>
      </text>
    </comment>
    <comment ref="C5" authorId="0" shapeId="0">
      <text>
        <r>
          <rPr>
            <sz val="9"/>
            <color indexed="81"/>
            <rFont val="Tahoma"/>
            <family val="2"/>
          </rPr>
          <t>Solver found an integer solution within tolerance. All constraints are satisfied.</t>
        </r>
      </text>
    </comment>
    <comment ref="B6" authorId="0" shapeId="0">
      <text>
        <r>
          <rPr>
            <sz val="9"/>
            <color indexed="81"/>
            <rFont val="Tahoma"/>
            <family val="2"/>
          </rPr>
          <t>Solver found an integer solution within tolerance. All constraints are satisfied.</t>
        </r>
      </text>
    </comment>
    <comment ref="C6" authorId="0" shapeId="0">
      <text>
        <r>
          <rPr>
            <sz val="9"/>
            <color indexed="81"/>
            <rFont val="Tahoma"/>
            <family val="2"/>
          </rPr>
          <t>Solver found an integer solution within tolerance. All constraints are satisfied.</t>
        </r>
      </text>
    </comment>
    <comment ref="B9" authorId="0" shapeId="0">
      <text>
        <r>
          <rPr>
            <sz val="9"/>
            <color indexed="81"/>
            <rFont val="Tahoma"/>
            <family val="2"/>
          </rPr>
          <t>Solver found an integer solution within tolerance. All constraints are satisfied.</t>
        </r>
      </text>
    </comment>
    <comment ref="C9" authorId="0" shapeId="0">
      <text>
        <r>
          <rPr>
            <sz val="9"/>
            <color indexed="81"/>
            <rFont val="Tahoma"/>
            <family val="2"/>
          </rPr>
          <t>Solver found an integer solution within tolerance. All constraints are satisfied.</t>
        </r>
      </text>
    </comment>
    <comment ref="B10" authorId="0" shapeId="0">
      <text>
        <r>
          <rPr>
            <sz val="9"/>
            <color indexed="81"/>
            <rFont val="Tahoma"/>
            <family val="2"/>
          </rPr>
          <t>Solver found an integer solution within tolerance. All constraints are satisfied.</t>
        </r>
      </text>
    </comment>
    <comment ref="C10" authorId="0" shapeId="0">
      <text>
        <r>
          <rPr>
            <sz val="9"/>
            <color indexed="81"/>
            <rFont val="Tahoma"/>
            <family val="2"/>
          </rPr>
          <t>Solver found an integer solution within tolerance. All constraints are satisfied.</t>
        </r>
      </text>
    </comment>
    <comment ref="B13" authorId="0" shapeId="0">
      <text>
        <r>
          <rPr>
            <sz val="9"/>
            <color indexed="81"/>
            <rFont val="Tahoma"/>
            <family val="2"/>
          </rPr>
          <t>Solver found an integer solution within tolerance. All constraints are satisfied.</t>
        </r>
      </text>
    </comment>
    <comment ref="C13" authorId="0" shapeId="0">
      <text>
        <r>
          <rPr>
            <sz val="9"/>
            <color indexed="81"/>
            <rFont val="Tahoma"/>
            <family val="2"/>
          </rPr>
          <t>Solver found an integer solution within tolerance. All constraints are satisfied.</t>
        </r>
      </text>
    </comment>
    <comment ref="B14" authorId="0" shapeId="0">
      <text>
        <r>
          <rPr>
            <sz val="9"/>
            <color indexed="81"/>
            <rFont val="Tahoma"/>
            <family val="2"/>
          </rPr>
          <t>Solver found an integer solution within tolerance. All constraints are satisfied.</t>
        </r>
      </text>
    </comment>
    <comment ref="C14" authorId="0" shapeId="0">
      <text>
        <r>
          <rPr>
            <sz val="9"/>
            <color indexed="81"/>
            <rFont val="Tahoma"/>
            <family val="2"/>
          </rPr>
          <t>Solver found an integer solution within tolerance. All constraints are satisfied.</t>
        </r>
      </text>
    </comment>
    <comment ref="B17" authorId="0" shapeId="0">
      <text>
        <r>
          <rPr>
            <sz val="9"/>
            <color indexed="81"/>
            <rFont val="Tahoma"/>
            <family val="2"/>
          </rPr>
          <t>Solver found an integer solution within tolerance. All constraints are satisfied.</t>
        </r>
      </text>
    </comment>
    <comment ref="C17" authorId="0" shapeId="0">
      <text>
        <r>
          <rPr>
            <sz val="9"/>
            <color indexed="81"/>
            <rFont val="Tahoma"/>
            <family val="2"/>
          </rPr>
          <t>Solver found an integer solution within tolerance. All constraints are satisfied.</t>
        </r>
      </text>
    </comment>
    <comment ref="B18" authorId="0" shapeId="0">
      <text>
        <r>
          <rPr>
            <sz val="9"/>
            <color indexed="81"/>
            <rFont val="Tahoma"/>
            <family val="2"/>
          </rPr>
          <t>Solver found an integer solution within tolerance. All constraints are satisfied.</t>
        </r>
      </text>
    </comment>
    <comment ref="C18" authorId="0" shapeId="0">
      <text>
        <r>
          <rPr>
            <sz val="9"/>
            <color indexed="81"/>
            <rFont val="Tahoma"/>
            <family val="2"/>
          </rPr>
          <t>Solver found an integer solution within tolerance. All constraints are satisfied.</t>
        </r>
      </text>
    </comment>
    <comment ref="B21" authorId="0" shapeId="0">
      <text>
        <r>
          <rPr>
            <sz val="9"/>
            <color indexed="81"/>
            <rFont val="Tahoma"/>
            <family val="2"/>
          </rPr>
          <t>Solver found an integer solution within tolerance. All constraints are satisfied.</t>
        </r>
      </text>
    </comment>
    <comment ref="C21" authorId="0" shapeId="0">
      <text>
        <r>
          <rPr>
            <sz val="9"/>
            <color indexed="81"/>
            <rFont val="Tahoma"/>
            <family val="2"/>
          </rPr>
          <t>Solver found an integer solution within tolerance. All constraints are satisfied.</t>
        </r>
      </text>
    </comment>
    <comment ref="B22" authorId="0" shapeId="0">
      <text>
        <r>
          <rPr>
            <sz val="9"/>
            <color indexed="81"/>
            <rFont val="Tahoma"/>
            <family val="2"/>
          </rPr>
          <t>Solver found an integer solution within tolerance. All constraints are satisfied.</t>
        </r>
      </text>
    </comment>
    <comment ref="C22" authorId="0" shapeId="0">
      <text>
        <r>
          <rPr>
            <sz val="9"/>
            <color indexed="81"/>
            <rFont val="Tahoma"/>
            <family val="2"/>
          </rPr>
          <t>Solver found an integer solution within tolerance. All constraints are satisfied.</t>
        </r>
      </text>
    </comment>
    <comment ref="B25" authorId="0" shapeId="0">
      <text>
        <r>
          <rPr>
            <sz val="9"/>
            <color indexed="81"/>
            <rFont val="Tahoma"/>
            <family val="2"/>
          </rPr>
          <t>Solver found an integer solution within tolerance. All constraints are satisfied.</t>
        </r>
      </text>
    </comment>
    <comment ref="C25" authorId="0" shapeId="0">
      <text>
        <r>
          <rPr>
            <sz val="9"/>
            <color indexed="81"/>
            <rFont val="Tahoma"/>
            <family val="2"/>
          </rPr>
          <t>Solver found an integer solution within tolerance. All constraints are satisfied.</t>
        </r>
      </text>
    </comment>
    <comment ref="B26" authorId="0" shapeId="0">
      <text>
        <r>
          <rPr>
            <sz val="9"/>
            <color indexed="81"/>
            <rFont val="Tahoma"/>
            <family val="2"/>
          </rPr>
          <t>Solver found an integer solution within tolerance. All constraints are satisfied.</t>
        </r>
      </text>
    </comment>
    <comment ref="C26" authorId="0" shapeId="0">
      <text>
        <r>
          <rPr>
            <sz val="9"/>
            <color indexed="81"/>
            <rFont val="Tahoma"/>
            <family val="2"/>
          </rPr>
          <t>Solver found an integer solution within tolerance. All constraints are satisfied.</t>
        </r>
      </text>
    </comment>
  </commentList>
</comments>
</file>

<file path=xl/comments3.xml><?xml version="1.0" encoding="utf-8"?>
<comments xmlns="http://schemas.openxmlformats.org/spreadsheetml/2006/main">
  <authors>
    <author>Windows User</author>
  </authors>
  <commentList>
    <comment ref="B5" authorId="0" shapeId="0">
      <text>
        <r>
          <rPr>
            <sz val="9"/>
            <color indexed="81"/>
            <rFont val="Tahoma"/>
            <family val="2"/>
          </rPr>
          <t>Solver found an integer solution within tolerance. All constraints are satisfied.</t>
        </r>
      </text>
    </comment>
    <comment ref="C5" authorId="0" shapeId="0">
      <text>
        <r>
          <rPr>
            <sz val="9"/>
            <color indexed="81"/>
            <rFont val="Tahoma"/>
            <family val="2"/>
          </rPr>
          <t>Solver found an integer solution within tolerance. All constraints are satisfied.</t>
        </r>
      </text>
    </comment>
    <comment ref="B6" authorId="0" shapeId="0">
      <text>
        <r>
          <rPr>
            <sz val="9"/>
            <color indexed="81"/>
            <rFont val="Tahoma"/>
            <family val="2"/>
          </rPr>
          <t>Solver found an integer solution within tolerance. All constraints are satisfied.</t>
        </r>
      </text>
    </comment>
    <comment ref="C6" authorId="0" shapeId="0">
      <text>
        <r>
          <rPr>
            <sz val="9"/>
            <color indexed="81"/>
            <rFont val="Tahoma"/>
            <family val="2"/>
          </rPr>
          <t>Solver found an integer solution within tolerance. All constraints are satisfied.</t>
        </r>
      </text>
    </comment>
    <comment ref="B9" authorId="0" shapeId="0">
      <text>
        <r>
          <rPr>
            <sz val="9"/>
            <color indexed="81"/>
            <rFont val="Tahoma"/>
            <family val="2"/>
          </rPr>
          <t>Solver found an integer solution within tolerance. All constraints are satisfied.</t>
        </r>
      </text>
    </comment>
    <comment ref="C9" authorId="0" shapeId="0">
      <text>
        <r>
          <rPr>
            <sz val="9"/>
            <color indexed="81"/>
            <rFont val="Tahoma"/>
            <family val="2"/>
          </rPr>
          <t>Solver found an integer solution within tolerance. All constraints are satisfied.</t>
        </r>
      </text>
    </comment>
    <comment ref="B10" authorId="0" shapeId="0">
      <text>
        <r>
          <rPr>
            <sz val="9"/>
            <color indexed="81"/>
            <rFont val="Tahoma"/>
            <family val="2"/>
          </rPr>
          <t>Solver found an integer solution within tolerance. All constraints are satisfied.</t>
        </r>
      </text>
    </comment>
    <comment ref="C10" authorId="0" shapeId="0">
      <text>
        <r>
          <rPr>
            <sz val="9"/>
            <color indexed="81"/>
            <rFont val="Tahoma"/>
            <family val="2"/>
          </rPr>
          <t>Solver found an integer solution within tolerance. All constraints are satisfied.</t>
        </r>
      </text>
    </comment>
    <comment ref="B13" authorId="0" shapeId="0">
      <text>
        <r>
          <rPr>
            <sz val="9"/>
            <color indexed="81"/>
            <rFont val="Tahoma"/>
            <family val="2"/>
          </rPr>
          <t>Solver found an integer solution within tolerance. All constraints are satisfied.</t>
        </r>
      </text>
    </comment>
    <comment ref="C13" authorId="0" shapeId="0">
      <text>
        <r>
          <rPr>
            <sz val="9"/>
            <color indexed="81"/>
            <rFont val="Tahoma"/>
            <family val="2"/>
          </rPr>
          <t>Solver found an integer solution within tolerance. All constraints are satisfied.</t>
        </r>
      </text>
    </comment>
    <comment ref="B14" authorId="0" shapeId="0">
      <text>
        <r>
          <rPr>
            <sz val="9"/>
            <color indexed="81"/>
            <rFont val="Tahoma"/>
            <family val="2"/>
          </rPr>
          <t>Solver found an integer solution within tolerance. All constraints are satisfied.</t>
        </r>
      </text>
    </comment>
    <comment ref="C14" authorId="0" shapeId="0">
      <text>
        <r>
          <rPr>
            <sz val="9"/>
            <color indexed="81"/>
            <rFont val="Tahoma"/>
            <family val="2"/>
          </rPr>
          <t>Solver found an integer solution within tolerance. All constraints are satisfied.</t>
        </r>
      </text>
    </comment>
    <comment ref="B17" authorId="0" shapeId="0">
      <text>
        <r>
          <rPr>
            <sz val="9"/>
            <color indexed="81"/>
            <rFont val="Tahoma"/>
            <family val="2"/>
          </rPr>
          <t>Solver found an integer solution within tolerance. All constraints are satisfied.</t>
        </r>
      </text>
    </comment>
    <comment ref="C17" authorId="0" shapeId="0">
      <text>
        <r>
          <rPr>
            <sz val="9"/>
            <color indexed="81"/>
            <rFont val="Tahoma"/>
            <family val="2"/>
          </rPr>
          <t>Solver found an integer solution within tolerance. All constraints are satisfied.</t>
        </r>
      </text>
    </comment>
    <comment ref="B18" authorId="0" shapeId="0">
      <text>
        <r>
          <rPr>
            <sz val="9"/>
            <color indexed="81"/>
            <rFont val="Tahoma"/>
            <family val="2"/>
          </rPr>
          <t>Solver found an integer solution within tolerance. All constraints are satisfied.</t>
        </r>
      </text>
    </comment>
    <comment ref="C18" authorId="0" shapeId="0">
      <text>
        <r>
          <rPr>
            <sz val="9"/>
            <color indexed="81"/>
            <rFont val="Tahoma"/>
            <family val="2"/>
          </rPr>
          <t>Solver found an integer solution within tolerance. All constraints are satisfied.</t>
        </r>
      </text>
    </comment>
    <comment ref="B21" authorId="0" shapeId="0">
      <text>
        <r>
          <rPr>
            <sz val="9"/>
            <color indexed="81"/>
            <rFont val="Tahoma"/>
            <family val="2"/>
          </rPr>
          <t>Solver found an integer solution within tolerance. All constraints are satisfied.</t>
        </r>
      </text>
    </comment>
    <comment ref="C21" authorId="0" shapeId="0">
      <text>
        <r>
          <rPr>
            <sz val="9"/>
            <color indexed="81"/>
            <rFont val="Tahoma"/>
            <family val="2"/>
          </rPr>
          <t>Solver found an integer solution within tolerance. All constraints are satisfied.</t>
        </r>
      </text>
    </comment>
    <comment ref="B22" authorId="0" shapeId="0">
      <text>
        <r>
          <rPr>
            <sz val="9"/>
            <color indexed="81"/>
            <rFont val="Tahoma"/>
            <family val="2"/>
          </rPr>
          <t>Solver found an integer solution within tolerance. All constraints are satisfied.</t>
        </r>
      </text>
    </comment>
    <comment ref="C22" authorId="0" shapeId="0">
      <text>
        <r>
          <rPr>
            <sz val="9"/>
            <color indexed="81"/>
            <rFont val="Tahoma"/>
            <family val="2"/>
          </rPr>
          <t>Solver found an integer solution within tolerance. All constraints are satisfied.</t>
        </r>
      </text>
    </comment>
    <comment ref="B25" authorId="0" shapeId="0">
      <text>
        <r>
          <rPr>
            <sz val="9"/>
            <color indexed="81"/>
            <rFont val="Tahoma"/>
            <family val="2"/>
          </rPr>
          <t>Solver found an integer solution within tolerance. All constraints are satisfied.</t>
        </r>
      </text>
    </comment>
    <comment ref="C25" authorId="0" shapeId="0">
      <text>
        <r>
          <rPr>
            <sz val="9"/>
            <color indexed="81"/>
            <rFont val="Tahoma"/>
            <family val="2"/>
          </rPr>
          <t>Solver found an integer solution within tolerance. All constraints are satisfied.</t>
        </r>
      </text>
    </comment>
    <comment ref="B26" authorId="0" shapeId="0">
      <text>
        <r>
          <rPr>
            <sz val="9"/>
            <color indexed="81"/>
            <rFont val="Tahoma"/>
            <family val="2"/>
          </rPr>
          <t>Solver found an integer solution within tolerance. All constraints are satisfied.</t>
        </r>
      </text>
    </comment>
    <comment ref="C26" authorId="0" shapeId="0">
      <text>
        <r>
          <rPr>
            <sz val="9"/>
            <color indexed="81"/>
            <rFont val="Tahoma"/>
            <family val="2"/>
          </rPr>
          <t>Solver found an integer solution within tolerance. All constraints are satisfied.</t>
        </r>
      </text>
    </comment>
  </commentList>
</comments>
</file>

<file path=xl/sharedStrings.xml><?xml version="1.0" encoding="utf-8"?>
<sst xmlns="http://schemas.openxmlformats.org/spreadsheetml/2006/main" count="355" uniqueCount="136">
  <si>
    <t>Month</t>
  </si>
  <si>
    <t>January</t>
  </si>
  <si>
    <t>February</t>
  </si>
  <si>
    <t>March</t>
  </si>
  <si>
    <t>April</t>
  </si>
  <si>
    <t>May</t>
  </si>
  <si>
    <t>June</t>
  </si>
  <si>
    <t>July</t>
  </si>
  <si>
    <t>August</t>
  </si>
  <si>
    <t>September</t>
  </si>
  <si>
    <t>October</t>
  </si>
  <si>
    <t>November</t>
  </si>
  <si>
    <t>December</t>
  </si>
  <si>
    <t>A Slice of Harlem</t>
  </si>
  <si>
    <t>Manhattan</t>
  </si>
  <si>
    <t>Apartment</t>
  </si>
  <si>
    <t>Private room</t>
  </si>
  <si>
    <t>Harlem living</t>
  </si>
  <si>
    <t>Harlem Oasis</t>
  </si>
  <si>
    <t>Harlem Vacation</t>
  </si>
  <si>
    <t>Host Id</t>
  </si>
  <si>
    <t>Host Since</t>
  </si>
  <si>
    <t>Name</t>
  </si>
  <si>
    <t xml:space="preserve">Neighbourhood </t>
  </si>
  <si>
    <t>Property Type</t>
  </si>
  <si>
    <t>Review Scores Rating (bin)</t>
  </si>
  <si>
    <t>Room Type</t>
  </si>
  <si>
    <t>Zipcode</t>
  </si>
  <si>
    <t>Beds</t>
  </si>
  <si>
    <t>Number of Records</t>
  </si>
  <si>
    <t>Number Of Reviews</t>
  </si>
  <si>
    <t>Price</t>
  </si>
  <si>
    <t>Review Scores Rating</t>
  </si>
  <si>
    <t>Predicted Monthly Occupation Rate</t>
  </si>
  <si>
    <t xml:space="preserve">Commission Fee (total booking price) </t>
  </si>
  <si>
    <t>Cost</t>
  </si>
  <si>
    <t>Objective Function</t>
  </si>
  <si>
    <t>Property Name</t>
  </si>
  <si>
    <t>Price (Per Night)</t>
  </si>
  <si>
    <t>Occupancy Rate 2018-2019</t>
  </si>
  <si>
    <t>Constraints</t>
  </si>
  <si>
    <t>&gt;=</t>
  </si>
  <si>
    <t>Minimum Rent Days</t>
  </si>
  <si>
    <t>Number of Days</t>
  </si>
  <si>
    <t>Expenses</t>
  </si>
  <si>
    <t>Internet (Spectrum) per Month</t>
  </si>
  <si>
    <t>Budget</t>
  </si>
  <si>
    <t>Properties Information</t>
  </si>
  <si>
    <t># of Guests</t>
  </si>
  <si>
    <t>Type</t>
  </si>
  <si>
    <t>Utilities (Electricity, Heating, Cooling, Water, Garbage) Per Month Per Guest</t>
  </si>
  <si>
    <t>Appr. Occupied Days (Rounded)</t>
  </si>
  <si>
    <t>JANUARY</t>
  </si>
  <si>
    <t>Properties</t>
  </si>
  <si>
    <t>Total Expenses</t>
  </si>
  <si>
    <t>Monthly Booking Earnings</t>
  </si>
  <si>
    <t>Total Commission Fee</t>
  </si>
  <si>
    <t>Monthly Utility Expenses</t>
  </si>
  <si>
    <t>MARCH</t>
  </si>
  <si>
    <t>FEBRUARY</t>
  </si>
  <si>
    <t>APRIL</t>
  </si>
  <si>
    <t>MAY</t>
  </si>
  <si>
    <t>JUNE</t>
  </si>
  <si>
    <t>JULY</t>
  </si>
  <si>
    <t>AUGUST</t>
  </si>
  <si>
    <t>SEPTEMBER</t>
  </si>
  <si>
    <t>OCTOBER</t>
  </si>
  <si>
    <t>NOVEMBER</t>
  </si>
  <si>
    <t>Total Figures</t>
  </si>
  <si>
    <t>Total Days Rented - Harlem Living</t>
  </si>
  <si>
    <t>Total Days Rented - A Slice of Harlem</t>
  </si>
  <si>
    <t>Total Days Rented - Harlem Oasis</t>
  </si>
  <si>
    <t>Total Days Rented - Harlem Vacation</t>
  </si>
  <si>
    <t>Total Days Rented</t>
  </si>
  <si>
    <t>Internet Expense</t>
  </si>
  <si>
    <t>Cleaning Expense (4x a Month)</t>
  </si>
  <si>
    <t>DECEMBER</t>
  </si>
  <si>
    <t>Maximum Expense</t>
  </si>
  <si>
    <t>&lt;=</t>
  </si>
  <si>
    <t>Total Earnings - Expenses &amp; Comm. Fee</t>
  </si>
  <si>
    <t>For all tables below, the "List (Yes/No)" column is binary. 1 = Listed for the month, 0 = Not listed for the month.</t>
  </si>
  <si>
    <t>Rate</t>
  </si>
  <si>
    <t>Taxable Income</t>
  </si>
  <si>
    <t>0 to $19400</t>
  </si>
  <si>
    <t>$19401 to $78950</t>
  </si>
  <si>
    <t>$78951 to $168400</t>
  </si>
  <si>
    <t>$168401 to $321450</t>
  </si>
  <si>
    <t>$321451 to $408200</t>
  </si>
  <si>
    <t>$408201 to $612350</t>
  </si>
  <si>
    <t>$612351 and up</t>
  </si>
  <si>
    <t>Taxes for Host (2019)</t>
  </si>
  <si>
    <t>Total Tax</t>
  </si>
  <si>
    <t>Net Profit without Tax</t>
  </si>
  <si>
    <t>$G$39</t>
  </si>
  <si>
    <t>$K$37,$K$38,$K$39,$K$40,$B$99</t>
  </si>
  <si>
    <t>Maximum Budget for Expenses</t>
  </si>
  <si>
    <t>$K$37</t>
  </si>
  <si>
    <t>$K$38</t>
  </si>
  <si>
    <t>$K$39</t>
  </si>
  <si>
    <t>$K$40</t>
  </si>
  <si>
    <t>$B$99</t>
  </si>
  <si>
    <t>Data for chart</t>
  </si>
  <si>
    <t>$H$35</t>
  </si>
  <si>
    <t/>
  </si>
  <si>
    <t>$H$36</t>
  </si>
  <si>
    <t>$B$99,$K$36:$K$40</t>
  </si>
  <si>
    <t>$K$36</t>
  </si>
  <si>
    <t>Twoway analysis for Solver model in Airbnb Maxed Profit (Max Guest) worksheet</t>
  </si>
  <si>
    <t>Harlem Oasis (cell $H$35) values along side, Harlem Vacation (cell $H$36) values along top, output cell in corner</t>
  </si>
  <si>
    <t>Output and Harlem Oasis value for chart</t>
  </si>
  <si>
    <t>Output</t>
  </si>
  <si>
    <t>Harlem Oasis value</t>
  </si>
  <si>
    <t>Output and Harlem Vacation value for chart</t>
  </si>
  <si>
    <t>Harlem Vacation value</t>
  </si>
  <si>
    <t>Estimated Taxed Amount</t>
  </si>
  <si>
    <t>Yearly Airbnb Budget</t>
  </si>
  <si>
    <t>Oneway analysis for Solver model in Airbnb Maxed Profit (Max Guest) worksheet</t>
  </si>
  <si>
    <t>Objective Function for Calculating Over-Budgeting</t>
  </si>
  <si>
    <t>Minimum Rent Days (At least one property in Apartment)</t>
  </si>
  <si>
    <t>$B$100,$K$36:$K$40</t>
  </si>
  <si>
    <t>$B$100</t>
  </si>
  <si>
    <t>Cleaning Cost (TaskRabbit) per hour *</t>
  </si>
  <si>
    <t>List (Yes/No) Decision Var.</t>
  </si>
  <si>
    <t>&lt;-------- Optimal Profit</t>
  </si>
  <si>
    <t>Optimal Profit</t>
  </si>
  <si>
    <t>Total Expense</t>
  </si>
  <si>
    <t>Budget Constraint</t>
  </si>
  <si>
    <t>Budget Constraint (cell $G$39) values along side, output cell(s) along top</t>
  </si>
  <si>
    <t>Slice of Harlem</t>
  </si>
  <si>
    <t>Harlem Living</t>
  </si>
  <si>
    <t>(Optimal Profit) $B$99</t>
  </si>
  <si>
    <t>(Total Expenses) $K$36</t>
  </si>
  <si>
    <t>(Days Rented - A Slice of Harlem) $K$37</t>
  </si>
  <si>
    <t>(Days Rented - Harlem Living) $K$38</t>
  </si>
  <si>
    <t>(Days Rented - Harlem Oasis) $K$39</t>
  </si>
  <si>
    <t>(Days Rented -Harlem Vacation) $K$40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</si>
</sst>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5" x14ac:knownFonts="1">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
      <sz val="11"/>
      <color rgb="FF3F3F76"/>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CC99"/>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medium">
        <color indexed="64"/>
      </right>
      <top style="medium">
        <color indexed="64"/>
      </top>
      <bottom style="thin">
        <color rgb="FF7F7F7F"/>
      </bottom>
      <diagonal/>
    </border>
  </borders>
  <cellStyleXfs count="2">
    <xf numFmtId="0" fontId="0" fillId="0" borderId="0"/>
    <xf numFmtId="0" fontId="4" fillId="8" borderId="30" applyNumberFormat="0" applyAlignment="0" applyProtection="0"/>
  </cellStyleXfs>
  <cellXfs count="89">
    <xf numFmtId="0" fontId="0" fillId="0" borderId="0" xfId="0"/>
    <xf numFmtId="0" fontId="0" fillId="0" borderId="1" xfId="0" applyBorder="1"/>
    <xf numFmtId="0" fontId="1" fillId="0" borderId="1"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4" xfId="0" applyFont="1" applyBorder="1"/>
    <xf numFmtId="0" fontId="1" fillId="0" borderId="5" xfId="0" applyFont="1" applyBorder="1"/>
    <xf numFmtId="0" fontId="1" fillId="0" borderId="8" xfId="0" applyFont="1" applyBorder="1"/>
    <xf numFmtId="0" fontId="0" fillId="0" borderId="9" xfId="0" applyBorder="1"/>
    <xf numFmtId="0" fontId="0" fillId="0" borderId="2" xfId="0" applyBorder="1"/>
    <xf numFmtId="0" fontId="0" fillId="0" borderId="3" xfId="0" applyBorder="1"/>
    <xf numFmtId="0" fontId="0" fillId="0" borderId="11" xfId="0" applyBorder="1"/>
    <xf numFmtId="0" fontId="1" fillId="0" borderId="2" xfId="0" applyFont="1" applyBorder="1" applyAlignment="1"/>
    <xf numFmtId="0" fontId="1" fillId="0" borderId="12" xfId="0" applyFont="1" applyFill="1" applyBorder="1"/>
    <xf numFmtId="0" fontId="1" fillId="0" borderId="13" xfId="0" applyFont="1" applyBorder="1"/>
    <xf numFmtId="0" fontId="1" fillId="0" borderId="1" xfId="0" applyFont="1" applyFill="1" applyBorder="1"/>
    <xf numFmtId="0" fontId="1" fillId="0" borderId="13" xfId="0" applyFont="1" applyFill="1" applyBorder="1"/>
    <xf numFmtId="14" fontId="0" fillId="0" borderId="1" xfId="0" applyNumberFormat="1" applyBorder="1"/>
    <xf numFmtId="0" fontId="0" fillId="0" borderId="15" xfId="0" applyBorder="1"/>
    <xf numFmtId="14" fontId="0" fillId="0" borderId="16" xfId="0" applyNumberFormat="1" applyBorder="1"/>
    <xf numFmtId="0" fontId="0" fillId="0" borderId="16" xfId="0" applyBorder="1"/>
    <xf numFmtId="0" fontId="1" fillId="0" borderId="0" xfId="0" applyFont="1" applyBorder="1" applyAlignment="1"/>
    <xf numFmtId="0" fontId="0" fillId="0" borderId="0" xfId="0" applyBorder="1"/>
    <xf numFmtId="0" fontId="0" fillId="0" borderId="5" xfId="0" applyFill="1" applyBorder="1"/>
    <xf numFmtId="0" fontId="0" fillId="0" borderId="7" xfId="0" applyFill="1" applyBorder="1"/>
    <xf numFmtId="0" fontId="1" fillId="0" borderId="6" xfId="0" applyFont="1" applyFill="1" applyBorder="1"/>
    <xf numFmtId="0" fontId="1" fillId="0" borderId="6" xfId="0" applyFont="1" applyBorder="1"/>
    <xf numFmtId="0" fontId="1" fillId="0" borderId="4" xfId="0" applyFont="1" applyFill="1" applyBorder="1"/>
    <xf numFmtId="0" fontId="1" fillId="0" borderId="19" xfId="0" applyFont="1" applyBorder="1"/>
    <xf numFmtId="0" fontId="1" fillId="0" borderId="20" xfId="0" applyFont="1" applyBorder="1"/>
    <xf numFmtId="0" fontId="0" fillId="0" borderId="4" xfId="0" applyFont="1" applyBorder="1"/>
    <xf numFmtId="0" fontId="0" fillId="0" borderId="2" xfId="0" applyFont="1" applyFill="1" applyBorder="1" applyAlignment="1">
      <alignment horizontal="left"/>
    </xf>
    <xf numFmtId="0" fontId="0" fillId="0" borderId="3" xfId="0" applyBorder="1" applyAlignment="1">
      <alignment horizontal="left"/>
    </xf>
    <xf numFmtId="0" fontId="0" fillId="0" borderId="4" xfId="0" applyFont="1" applyBorder="1" applyAlignment="1">
      <alignment horizontal="left"/>
    </xf>
    <xf numFmtId="0" fontId="0" fillId="0" borderId="5" xfId="0" applyBorder="1" applyAlignment="1">
      <alignment horizontal="left"/>
    </xf>
    <xf numFmtId="0" fontId="0" fillId="0" borderId="6" xfId="0" applyFont="1" applyBorder="1" applyAlignment="1">
      <alignment horizontal="left"/>
    </xf>
    <xf numFmtId="0" fontId="0" fillId="0" borderId="7" xfId="0" applyBorder="1" applyAlignment="1">
      <alignment horizontal="left"/>
    </xf>
    <xf numFmtId="0" fontId="0" fillId="0" borderId="16" xfId="0" applyBorder="1" applyAlignment="1">
      <alignment horizontal="center"/>
    </xf>
    <xf numFmtId="0" fontId="0" fillId="0" borderId="7" xfId="0" applyBorder="1" applyAlignment="1">
      <alignment horizontal="center"/>
    </xf>
    <xf numFmtId="0" fontId="0" fillId="0" borderId="1" xfId="0" applyFill="1" applyBorder="1"/>
    <xf numFmtId="6" fontId="0" fillId="0" borderId="4" xfId="0" applyNumberFormat="1" applyBorder="1"/>
    <xf numFmtId="0" fontId="0" fillId="0" borderId="16" xfId="0" applyFill="1" applyBorder="1"/>
    <xf numFmtId="0" fontId="0" fillId="0" borderId="10" xfId="0" applyBorder="1"/>
    <xf numFmtId="0" fontId="0" fillId="0" borderId="0" xfId="0" applyBorder="1" applyAlignment="1">
      <alignment horizontal="center"/>
    </xf>
    <xf numFmtId="0" fontId="0" fillId="3" borderId="1" xfId="0" applyFill="1" applyBorder="1"/>
    <xf numFmtId="0" fontId="0" fillId="4" borderId="7" xfId="0" applyFill="1" applyBorder="1"/>
    <xf numFmtId="0" fontId="0" fillId="5" borderId="4" xfId="0" applyFill="1" applyBorder="1"/>
    <xf numFmtId="0" fontId="0" fillId="5" borderId="1" xfId="0" applyFill="1" applyBorder="1" applyAlignment="1">
      <alignment horizontal="center"/>
    </xf>
    <xf numFmtId="0" fontId="0" fillId="5" borderId="5" xfId="0" applyFill="1" applyBorder="1" applyAlignment="1">
      <alignment horizontal="center"/>
    </xf>
    <xf numFmtId="0" fontId="0" fillId="5" borderId="0" xfId="0" applyFill="1"/>
    <xf numFmtId="49" fontId="0" fillId="0" borderId="0" xfId="0" applyNumberFormat="1"/>
    <xf numFmtId="0" fontId="1" fillId="0" borderId="0" xfId="0" applyFont="1"/>
    <xf numFmtId="0" fontId="0" fillId="0" borderId="0" xfId="0" applyNumberFormat="1"/>
    <xf numFmtId="0" fontId="0" fillId="6" borderId="0" xfId="0" applyFill="1" applyAlignment="1">
      <alignment horizontal="right" textRotation="90"/>
    </xf>
    <xf numFmtId="0" fontId="2" fillId="0" borderId="0" xfId="0" applyFont="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0"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29" xfId="0" applyNumberFormat="1" applyBorder="1"/>
    <xf numFmtId="0" fontId="0" fillId="0" borderId="0" xfId="0" applyAlignment="1">
      <alignment horizontal="right"/>
    </xf>
    <xf numFmtId="0" fontId="0" fillId="7" borderId="0" xfId="0" applyFill="1"/>
    <xf numFmtId="0" fontId="0" fillId="0" borderId="0" xfId="0" applyAlignment="1">
      <alignment horizontal="right" textRotation="90"/>
    </xf>
    <xf numFmtId="0" fontId="1" fillId="0" borderId="2" xfId="0" applyFont="1" applyBorder="1"/>
    <xf numFmtId="0" fontId="1" fillId="0" borderId="15" xfId="0" applyFont="1" applyBorder="1"/>
    <xf numFmtId="0" fontId="1" fillId="0" borderId="16" xfId="0" applyFont="1" applyBorder="1" applyAlignment="1"/>
    <xf numFmtId="0" fontId="0" fillId="2" borderId="5" xfId="0" applyFill="1" applyBorder="1"/>
    <xf numFmtId="0" fontId="0" fillId="2" borderId="7" xfId="0" applyFill="1" applyBorder="1"/>
    <xf numFmtId="0" fontId="0" fillId="4" borderId="5" xfId="0" applyFill="1" applyBorder="1"/>
    <xf numFmtId="0" fontId="4" fillId="8" borderId="31" xfId="1" applyBorder="1"/>
    <xf numFmtId="0" fontId="0" fillId="2" borderId="21" xfId="0" applyFill="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0" fontId="1" fillId="0" borderId="11" xfId="0" applyFont="1"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0" fillId="0" borderId="3" xfId="0" applyBorder="1" applyAlignment="1">
      <alignment horizontal="center"/>
    </xf>
    <xf numFmtId="0" fontId="1" fillId="0" borderId="2"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'One Way Analysis Over-Budget'!$K$1</c:f>
          <c:strCache>
            <c:ptCount val="1"/>
            <c:pt idx="0">
              <c:v>Sensitivity of $K$36 to Budget Constraint</c:v>
            </c:pt>
          </c:strCache>
        </c:strRef>
      </c:tx>
      <c:layout/>
      <c:overlay val="0"/>
      <c:txPr>
        <a:bodyPr/>
        <a:lstStyle/>
        <a:p>
          <a:pPr>
            <a:defRPr sz="1200"/>
          </a:pPr>
          <a:endParaRPr lang="en-US"/>
        </a:p>
      </c:txPr>
    </c:title>
    <c:autoTitleDeleted val="0"/>
    <c:plotArea>
      <c:layout/>
      <c:lineChart>
        <c:grouping val="standard"/>
        <c:varyColors val="0"/>
        <c:ser>
          <c:idx val="0"/>
          <c:order val="0"/>
          <c:cat>
            <c:numRef>
              <c:f>'One Way Analysis Over-Budget'!$A$5:$A$17</c:f>
              <c:numCache>
                <c:formatCode>General</c:formatCode>
                <c:ptCount val="13"/>
                <c:pt idx="0">
                  <c:v>4000</c:v>
                </c:pt>
                <c:pt idx="1">
                  <c:v>4500</c:v>
                </c:pt>
                <c:pt idx="2">
                  <c:v>5000</c:v>
                </c:pt>
                <c:pt idx="3">
                  <c:v>5500</c:v>
                </c:pt>
                <c:pt idx="4">
                  <c:v>6000</c:v>
                </c:pt>
                <c:pt idx="5">
                  <c:v>6500</c:v>
                </c:pt>
                <c:pt idx="6">
                  <c:v>7000</c:v>
                </c:pt>
                <c:pt idx="7">
                  <c:v>7500</c:v>
                </c:pt>
                <c:pt idx="8">
                  <c:v>8000</c:v>
                </c:pt>
                <c:pt idx="9">
                  <c:v>8500</c:v>
                </c:pt>
                <c:pt idx="10">
                  <c:v>9000</c:v>
                </c:pt>
                <c:pt idx="11">
                  <c:v>9500</c:v>
                </c:pt>
                <c:pt idx="12">
                  <c:v>10000</c:v>
                </c:pt>
              </c:numCache>
            </c:numRef>
          </c:cat>
          <c:val>
            <c:numRef>
              <c:f>'One Way Analysis Over-Budget'!$K$5:$K$17</c:f>
              <c:numCache>
                <c:formatCode>General</c:formatCode>
                <c:ptCount val="13"/>
                <c:pt idx="0">
                  <c:v>4082.0000000000005</c:v>
                </c:pt>
                <c:pt idx="1">
                  <c:v>4472.8</c:v>
                </c:pt>
                <c:pt idx="2">
                  <c:v>4954.7999999999993</c:v>
                </c:pt>
                <c:pt idx="3">
                  <c:v>5463.5999999999995</c:v>
                </c:pt>
                <c:pt idx="4">
                  <c:v>5925.2000017166147</c:v>
                </c:pt>
                <c:pt idx="5">
                  <c:v>6492.800004005433</c:v>
                </c:pt>
                <c:pt idx="6">
                  <c:v>6492.800004005433</c:v>
                </c:pt>
                <c:pt idx="7">
                  <c:v>6492.800004005433</c:v>
                </c:pt>
                <c:pt idx="8">
                  <c:v>6492.800004005433</c:v>
                </c:pt>
                <c:pt idx="9">
                  <c:v>6492.800004005433</c:v>
                </c:pt>
                <c:pt idx="10">
                  <c:v>6492.800004005433</c:v>
                </c:pt>
                <c:pt idx="11">
                  <c:v>6492.800004005433</c:v>
                </c:pt>
                <c:pt idx="12">
                  <c:v>6492.800004005433</c:v>
                </c:pt>
              </c:numCache>
            </c:numRef>
          </c:val>
          <c:smooth val="0"/>
          <c:extLst>
            <c:ext xmlns:c16="http://schemas.microsoft.com/office/drawing/2014/chart" uri="{C3380CC4-5D6E-409C-BE32-E72D297353CC}">
              <c16:uniqueId val="{00000001-8716-4C4F-8409-4AA9AE37DF76}"/>
            </c:ext>
          </c:extLst>
        </c:ser>
        <c:dLbls>
          <c:showLegendKey val="0"/>
          <c:showVal val="0"/>
          <c:showCatName val="0"/>
          <c:showSerName val="0"/>
          <c:showPercent val="0"/>
          <c:showBubbleSize val="0"/>
        </c:dLbls>
        <c:marker val="1"/>
        <c:smooth val="0"/>
        <c:axId val="590571112"/>
        <c:axId val="590575704"/>
      </c:lineChart>
      <c:catAx>
        <c:axId val="590571112"/>
        <c:scaling>
          <c:orientation val="minMax"/>
        </c:scaling>
        <c:delete val="0"/>
        <c:axPos val="b"/>
        <c:title>
          <c:tx>
            <c:rich>
              <a:bodyPr/>
              <a:lstStyle/>
              <a:p>
                <a:pPr>
                  <a:defRPr/>
                </a:pPr>
                <a:r>
                  <a:rPr lang="en-US"/>
                  <a:t>Budget Constraint ($G$39)</a:t>
                </a:r>
              </a:p>
            </c:rich>
          </c:tx>
          <c:layout/>
          <c:overlay val="0"/>
        </c:title>
        <c:numFmt formatCode="General" sourceLinked="1"/>
        <c:majorTickMark val="out"/>
        <c:minorTickMark val="none"/>
        <c:tickLblPos val="nextTo"/>
        <c:crossAx val="590575704"/>
        <c:crosses val="autoZero"/>
        <c:auto val="1"/>
        <c:lblAlgn val="ctr"/>
        <c:lblOffset val="100"/>
        <c:noMultiLvlLbl val="0"/>
      </c:catAx>
      <c:valAx>
        <c:axId val="590575704"/>
        <c:scaling>
          <c:orientation val="minMax"/>
        </c:scaling>
        <c:delete val="0"/>
        <c:axPos val="l"/>
        <c:majorGridlines/>
        <c:numFmt formatCode="General" sourceLinked="1"/>
        <c:majorTickMark val="out"/>
        <c:minorTickMark val="none"/>
        <c:tickLblPos val="nextTo"/>
        <c:crossAx val="590571112"/>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'Two Way (A Slice of Harlem=2)'!$K$1</c:f>
          <c:strCache>
            <c:ptCount val="1"/>
            <c:pt idx="0">
              <c:v>Sensitivity of $B$99 to Harlem Vacation</c:v>
            </c:pt>
          </c:strCache>
        </c:strRef>
      </c:tx>
      <c:layout/>
      <c:overlay val="0"/>
      <c:txPr>
        <a:bodyPr/>
        <a:lstStyle/>
        <a:p>
          <a:pPr>
            <a:defRPr sz="1200"/>
          </a:pPr>
          <a:endParaRPr lang="en-US"/>
        </a:p>
      </c:txPr>
    </c:title>
    <c:autoTitleDeleted val="0"/>
    <c:plotArea>
      <c:layout/>
      <c:lineChart>
        <c:grouping val="standard"/>
        <c:varyColors val="0"/>
        <c:ser>
          <c:idx val="0"/>
          <c:order val="0"/>
          <c:cat>
            <c:numRef>
              <c:f>'Two Way (A Slice of Harlem=2)'!$B$4:$C$4</c:f>
              <c:numCache>
                <c:formatCode>General</c:formatCode>
                <c:ptCount val="2"/>
                <c:pt idx="0">
                  <c:v>1</c:v>
                </c:pt>
                <c:pt idx="1">
                  <c:v>2</c:v>
                </c:pt>
              </c:numCache>
            </c:numRef>
          </c:cat>
          <c:val>
            <c:numRef>
              <c:f>'Two Way (A Slice of Harlem=2)'!$K$5:$K$6</c:f>
              <c:numCache>
                <c:formatCode>General</c:formatCode>
                <c:ptCount val="2"/>
                <c:pt idx="0">
                  <c:v>33151.188800000004</c:v>
                </c:pt>
                <c:pt idx="1">
                  <c:v>31745.626400000001</c:v>
                </c:pt>
              </c:numCache>
            </c:numRef>
          </c:val>
          <c:smooth val="0"/>
          <c:extLst>
            <c:ext xmlns:c16="http://schemas.microsoft.com/office/drawing/2014/chart" uri="{C3380CC4-5D6E-409C-BE32-E72D297353CC}">
              <c16:uniqueId val="{00000001-C7BE-4EB2-93F3-8D67F3E1158A}"/>
            </c:ext>
          </c:extLst>
        </c:ser>
        <c:dLbls>
          <c:showLegendKey val="0"/>
          <c:showVal val="0"/>
          <c:showCatName val="0"/>
          <c:showSerName val="0"/>
          <c:showPercent val="0"/>
          <c:showBubbleSize val="0"/>
        </c:dLbls>
        <c:marker val="1"/>
        <c:smooth val="0"/>
        <c:axId val="569079792"/>
        <c:axId val="569081432"/>
      </c:lineChart>
      <c:catAx>
        <c:axId val="569079792"/>
        <c:scaling>
          <c:orientation val="minMax"/>
        </c:scaling>
        <c:delete val="0"/>
        <c:axPos val="b"/>
        <c:title>
          <c:tx>
            <c:rich>
              <a:bodyPr/>
              <a:lstStyle/>
              <a:p>
                <a:pPr>
                  <a:defRPr/>
                </a:pPr>
                <a:r>
                  <a:rPr lang="en-US"/>
                  <a:t>Harlem Vacation ($H$36)</a:t>
                </a:r>
              </a:p>
            </c:rich>
          </c:tx>
          <c:layout/>
          <c:overlay val="0"/>
        </c:title>
        <c:numFmt formatCode="General" sourceLinked="1"/>
        <c:majorTickMark val="out"/>
        <c:minorTickMark val="none"/>
        <c:tickLblPos val="nextTo"/>
        <c:crossAx val="569081432"/>
        <c:crosses val="autoZero"/>
        <c:auto val="1"/>
        <c:lblAlgn val="ctr"/>
        <c:lblOffset val="100"/>
        <c:noMultiLvlLbl val="0"/>
      </c:catAx>
      <c:valAx>
        <c:axId val="569081432"/>
        <c:scaling>
          <c:orientation val="minMax"/>
        </c:scaling>
        <c:delete val="0"/>
        <c:axPos val="l"/>
        <c:majorGridlines/>
        <c:numFmt formatCode="General" sourceLinked="1"/>
        <c:majorTickMark val="out"/>
        <c:minorTickMark val="none"/>
        <c:tickLblPos val="nextTo"/>
        <c:crossAx val="569079792"/>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'Two Way (A Slice of Harlem=2)'!$O$1</c:f>
          <c:strCache>
            <c:ptCount val="1"/>
            <c:pt idx="0">
              <c:v>Sensitivity of $B$99 to Harlem Oasis</c:v>
            </c:pt>
          </c:strCache>
        </c:strRef>
      </c:tx>
      <c:layout/>
      <c:overlay val="0"/>
      <c:txPr>
        <a:bodyPr/>
        <a:lstStyle/>
        <a:p>
          <a:pPr>
            <a:defRPr sz="1200"/>
          </a:pPr>
          <a:endParaRPr lang="en-US"/>
        </a:p>
      </c:txPr>
    </c:title>
    <c:autoTitleDeleted val="0"/>
    <c:plotArea>
      <c:layout/>
      <c:lineChart>
        <c:grouping val="standard"/>
        <c:varyColors val="0"/>
        <c:ser>
          <c:idx val="0"/>
          <c:order val="0"/>
          <c:cat>
            <c:numRef>
              <c:f>'Two Way (A Slice of Harlem=2)'!$A$5:$A$6</c:f>
              <c:numCache>
                <c:formatCode>General</c:formatCode>
                <c:ptCount val="2"/>
                <c:pt idx="0">
                  <c:v>1</c:v>
                </c:pt>
                <c:pt idx="1">
                  <c:v>2</c:v>
                </c:pt>
              </c:numCache>
            </c:numRef>
          </c:cat>
          <c:val>
            <c:numRef>
              <c:f>'Two Way (A Slice of Harlem=2)'!$O$5:$O$6</c:f>
              <c:numCache>
                <c:formatCode>General</c:formatCode>
                <c:ptCount val="2"/>
                <c:pt idx="0">
                  <c:v>33151.188800000004</c:v>
                </c:pt>
                <c:pt idx="1">
                  <c:v>31745.626400000001</c:v>
                </c:pt>
              </c:numCache>
            </c:numRef>
          </c:val>
          <c:smooth val="0"/>
          <c:extLst>
            <c:ext xmlns:c16="http://schemas.microsoft.com/office/drawing/2014/chart" uri="{C3380CC4-5D6E-409C-BE32-E72D297353CC}">
              <c16:uniqueId val="{00000001-0E2C-4DDA-B418-AD6EB6AD0F95}"/>
            </c:ext>
          </c:extLst>
        </c:ser>
        <c:dLbls>
          <c:showLegendKey val="0"/>
          <c:showVal val="0"/>
          <c:showCatName val="0"/>
          <c:showSerName val="0"/>
          <c:showPercent val="0"/>
          <c:showBubbleSize val="0"/>
        </c:dLbls>
        <c:marker val="1"/>
        <c:smooth val="0"/>
        <c:axId val="678784056"/>
        <c:axId val="678785696"/>
      </c:lineChart>
      <c:catAx>
        <c:axId val="678784056"/>
        <c:scaling>
          <c:orientation val="minMax"/>
        </c:scaling>
        <c:delete val="0"/>
        <c:axPos val="b"/>
        <c:title>
          <c:tx>
            <c:rich>
              <a:bodyPr/>
              <a:lstStyle/>
              <a:p>
                <a:pPr>
                  <a:defRPr/>
                </a:pPr>
                <a:r>
                  <a:rPr lang="en-US"/>
                  <a:t>Harlem Oasis ($H$35)</a:t>
                </a:r>
              </a:p>
            </c:rich>
          </c:tx>
          <c:layout/>
          <c:overlay val="0"/>
        </c:title>
        <c:numFmt formatCode="General" sourceLinked="1"/>
        <c:majorTickMark val="out"/>
        <c:minorTickMark val="none"/>
        <c:tickLblPos val="nextTo"/>
        <c:crossAx val="678785696"/>
        <c:crosses val="autoZero"/>
        <c:auto val="1"/>
        <c:lblAlgn val="ctr"/>
        <c:lblOffset val="100"/>
        <c:noMultiLvlLbl val="0"/>
      </c:catAx>
      <c:valAx>
        <c:axId val="678785696"/>
        <c:scaling>
          <c:orientation val="minMax"/>
        </c:scaling>
        <c:delete val="0"/>
        <c:axPos val="l"/>
        <c:majorGridlines/>
        <c:numFmt formatCode="General" sourceLinked="1"/>
        <c:majorTickMark val="out"/>
        <c:minorTickMark val="none"/>
        <c:tickLblPos val="nextTo"/>
        <c:crossAx val="678784056"/>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'Two Way (A Slice of Harlem=1)'!$K$1</c:f>
          <c:strCache>
            <c:ptCount val="1"/>
            <c:pt idx="0">
              <c:v>Sensitivity of $K$36 to Harlem Vacation</c:v>
            </c:pt>
          </c:strCache>
        </c:strRef>
      </c:tx>
      <c:layout/>
      <c:overlay val="0"/>
      <c:txPr>
        <a:bodyPr/>
        <a:lstStyle/>
        <a:p>
          <a:pPr>
            <a:defRPr sz="1200"/>
          </a:pPr>
          <a:endParaRPr lang="en-US"/>
        </a:p>
      </c:txPr>
    </c:title>
    <c:autoTitleDeleted val="0"/>
    <c:plotArea>
      <c:layout/>
      <c:lineChart>
        <c:grouping val="standard"/>
        <c:varyColors val="0"/>
        <c:ser>
          <c:idx val="0"/>
          <c:order val="0"/>
          <c:cat>
            <c:numRef>
              <c:f>'Two Way (A Slice of Harlem=1)'!$B$4:$C$4</c:f>
              <c:numCache>
                <c:formatCode>General</c:formatCode>
                <c:ptCount val="2"/>
                <c:pt idx="0">
                  <c:v>1</c:v>
                </c:pt>
                <c:pt idx="1">
                  <c:v>2</c:v>
                </c:pt>
              </c:numCache>
            </c:numRef>
          </c:cat>
          <c:val>
            <c:numRef>
              <c:f>'Two Way (A Slice of Harlem=1)'!$K$5:$K$6</c:f>
              <c:numCache>
                <c:formatCode>General</c:formatCode>
                <c:ptCount val="2"/>
                <c:pt idx="0">
                  <c:v>4988</c:v>
                </c:pt>
                <c:pt idx="1">
                  <c:v>4956.3999999999996</c:v>
                </c:pt>
              </c:numCache>
            </c:numRef>
          </c:val>
          <c:smooth val="0"/>
          <c:extLst>
            <c:ext xmlns:c16="http://schemas.microsoft.com/office/drawing/2014/chart" uri="{C3380CC4-5D6E-409C-BE32-E72D297353CC}">
              <c16:uniqueId val="{00000001-461D-4FC9-B1C0-D4F5B04C50DA}"/>
            </c:ext>
          </c:extLst>
        </c:ser>
        <c:dLbls>
          <c:showLegendKey val="0"/>
          <c:showVal val="0"/>
          <c:showCatName val="0"/>
          <c:showSerName val="0"/>
          <c:showPercent val="0"/>
          <c:showBubbleSize val="0"/>
        </c:dLbls>
        <c:marker val="1"/>
        <c:smooth val="0"/>
        <c:axId val="569080776"/>
        <c:axId val="569078480"/>
      </c:lineChart>
      <c:catAx>
        <c:axId val="569080776"/>
        <c:scaling>
          <c:orientation val="minMax"/>
        </c:scaling>
        <c:delete val="0"/>
        <c:axPos val="b"/>
        <c:title>
          <c:tx>
            <c:rich>
              <a:bodyPr/>
              <a:lstStyle/>
              <a:p>
                <a:pPr>
                  <a:defRPr/>
                </a:pPr>
                <a:r>
                  <a:rPr lang="en-US"/>
                  <a:t>Harlem Vacation ($H$36)</a:t>
                </a:r>
              </a:p>
            </c:rich>
          </c:tx>
          <c:layout/>
          <c:overlay val="0"/>
        </c:title>
        <c:numFmt formatCode="General" sourceLinked="1"/>
        <c:majorTickMark val="out"/>
        <c:minorTickMark val="none"/>
        <c:tickLblPos val="nextTo"/>
        <c:crossAx val="569078480"/>
        <c:crosses val="autoZero"/>
        <c:auto val="1"/>
        <c:lblAlgn val="ctr"/>
        <c:lblOffset val="100"/>
        <c:noMultiLvlLbl val="0"/>
      </c:catAx>
      <c:valAx>
        <c:axId val="569078480"/>
        <c:scaling>
          <c:orientation val="minMax"/>
        </c:scaling>
        <c:delete val="0"/>
        <c:axPos val="l"/>
        <c:majorGridlines/>
        <c:numFmt formatCode="General" sourceLinked="1"/>
        <c:majorTickMark val="out"/>
        <c:minorTickMark val="none"/>
        <c:tickLblPos val="nextTo"/>
        <c:crossAx val="569080776"/>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'Two Way (A Slice of Harlem=1)'!$O$1</c:f>
          <c:strCache>
            <c:ptCount val="1"/>
            <c:pt idx="0">
              <c:v>Sensitivity of $K$36 to Harlem Oasis</c:v>
            </c:pt>
          </c:strCache>
        </c:strRef>
      </c:tx>
      <c:layout/>
      <c:overlay val="0"/>
      <c:txPr>
        <a:bodyPr/>
        <a:lstStyle/>
        <a:p>
          <a:pPr>
            <a:defRPr sz="1200"/>
          </a:pPr>
          <a:endParaRPr lang="en-US"/>
        </a:p>
      </c:txPr>
    </c:title>
    <c:autoTitleDeleted val="0"/>
    <c:plotArea>
      <c:layout/>
      <c:lineChart>
        <c:grouping val="standard"/>
        <c:varyColors val="0"/>
        <c:ser>
          <c:idx val="0"/>
          <c:order val="0"/>
          <c:cat>
            <c:numRef>
              <c:f>'Two Way (A Slice of Harlem=1)'!$A$5:$A$6</c:f>
              <c:numCache>
                <c:formatCode>General</c:formatCode>
                <c:ptCount val="2"/>
                <c:pt idx="0">
                  <c:v>1</c:v>
                </c:pt>
                <c:pt idx="1">
                  <c:v>2</c:v>
                </c:pt>
              </c:numCache>
            </c:numRef>
          </c:cat>
          <c:val>
            <c:numRef>
              <c:f>'Two Way (A Slice of Harlem=1)'!$O$5:$O$6</c:f>
              <c:numCache>
                <c:formatCode>General</c:formatCode>
                <c:ptCount val="2"/>
                <c:pt idx="0">
                  <c:v>4988</c:v>
                </c:pt>
                <c:pt idx="1">
                  <c:v>4956.3999999999996</c:v>
                </c:pt>
              </c:numCache>
            </c:numRef>
          </c:val>
          <c:smooth val="0"/>
          <c:extLst>
            <c:ext xmlns:c16="http://schemas.microsoft.com/office/drawing/2014/chart" uri="{C3380CC4-5D6E-409C-BE32-E72D297353CC}">
              <c16:uniqueId val="{00000001-F738-4F13-8828-A94B57867578}"/>
            </c:ext>
          </c:extLst>
        </c:ser>
        <c:dLbls>
          <c:showLegendKey val="0"/>
          <c:showVal val="0"/>
          <c:showCatName val="0"/>
          <c:showSerName val="0"/>
          <c:showPercent val="0"/>
          <c:showBubbleSize val="0"/>
        </c:dLbls>
        <c:marker val="1"/>
        <c:smooth val="0"/>
        <c:axId val="569075200"/>
        <c:axId val="569079136"/>
      </c:lineChart>
      <c:catAx>
        <c:axId val="569075200"/>
        <c:scaling>
          <c:orientation val="minMax"/>
        </c:scaling>
        <c:delete val="0"/>
        <c:axPos val="b"/>
        <c:title>
          <c:tx>
            <c:rich>
              <a:bodyPr/>
              <a:lstStyle/>
              <a:p>
                <a:pPr>
                  <a:defRPr/>
                </a:pPr>
                <a:r>
                  <a:rPr lang="en-US"/>
                  <a:t>Harlem Oasis ($H$35)</a:t>
                </a:r>
              </a:p>
            </c:rich>
          </c:tx>
          <c:layout/>
          <c:overlay val="0"/>
        </c:title>
        <c:numFmt formatCode="General" sourceLinked="1"/>
        <c:majorTickMark val="out"/>
        <c:minorTickMark val="none"/>
        <c:tickLblPos val="nextTo"/>
        <c:crossAx val="569079136"/>
        <c:crosses val="autoZero"/>
        <c:auto val="1"/>
        <c:lblAlgn val="ctr"/>
        <c:lblOffset val="100"/>
        <c:noMultiLvlLbl val="0"/>
      </c:catAx>
      <c:valAx>
        <c:axId val="569079136"/>
        <c:scaling>
          <c:orientation val="minMax"/>
        </c:scaling>
        <c:delete val="0"/>
        <c:axPos val="l"/>
        <c:majorGridlines/>
        <c:numFmt formatCode="General" sourceLinked="1"/>
        <c:majorTickMark val="out"/>
        <c:minorTickMark val="none"/>
        <c:tickLblPos val="nextTo"/>
        <c:crossAx val="56907520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9524</xdr:rowOff>
    </xdr:from>
    <xdr:to>
      <xdr:col>6</xdr:col>
      <xdr:colOff>752475</xdr:colOff>
      <xdr:row>20</xdr:row>
      <xdr:rowOff>161925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9524"/>
          <a:ext cx="15811500" cy="3962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host wants to maximize</a:t>
          </a:r>
          <a:r>
            <a:rPr lang="en-US" sz="1100" baseline="0"/>
            <a:t> his total year's profit with his Airbnb properties. However, his yearly budget for covering expenses is limited, so he needs to know which property should be listed for rent each month. Below lists the information that the host needs to consider in order to make this decision. </a:t>
          </a:r>
        </a:p>
        <a:p>
          <a:r>
            <a:rPr lang="en-US" sz="1100" baseline="0"/>
            <a:t>- The "Predicted Monthly Occupation Rate" table shows approximately how many days each of his listings would be occupied each month.</a:t>
          </a:r>
        </a:p>
        <a:p>
          <a:endParaRPr lang="en-US" sz="1100"/>
        </a:p>
        <a:p>
          <a:r>
            <a:rPr lang="en-US" sz="1100"/>
            <a:t>- </a:t>
          </a:r>
          <a:r>
            <a:rPr lang="en-US" sz="1100" baseline="0"/>
            <a:t>"Commission Fee (total booking price)" table contains the mandatory commission fee that the host must pay to Airbnb, which is 3% of each booking price.</a:t>
          </a:r>
        </a:p>
        <a:p>
          <a:r>
            <a:rPr lang="en-US" sz="1100" baseline="0"/>
            <a:t>- "Properties Information" table shows the price per night stay, and the number of guests in each booking. </a:t>
          </a:r>
        </a:p>
        <a:p>
          <a:r>
            <a:rPr lang="en-US" sz="1100" baseline="0"/>
            <a:t>- "Budget" table shows the total budget available for the year's expense.</a:t>
          </a:r>
        </a:p>
        <a:p>
          <a:r>
            <a:rPr lang="en-US" sz="1100" baseline="0"/>
            <a:t>- "Expenses" table shows the type of expenses that the host may encounter each month or throughout the year while hosting his properties.</a:t>
          </a:r>
        </a:p>
        <a:p>
          <a:r>
            <a:rPr lang="en-US" sz="1100" baseline="0"/>
            <a:t>- All the monthly tables below shows whether each of the property should be listed, how much they will cost, and how much they would earn. "List (Yes/No)" column values are the decision variables.</a:t>
          </a:r>
        </a:p>
        <a:p>
          <a:r>
            <a:rPr lang="en-US" sz="1100" baseline="0"/>
            <a:t>- "Constraints" table lists all the constraints that must be followed in the calculation.</a:t>
          </a:r>
        </a:p>
        <a:p>
          <a:r>
            <a:rPr lang="en-US" sz="1100" baseline="0"/>
            <a:t>- "Taxes for Host (2019)" table shows the amount of tax the host must pay if any of the properties were rented out for more than 14 days altogether.</a:t>
          </a:r>
        </a:p>
        <a:p>
          <a:endParaRPr lang="en-US" sz="1100" baseline="0"/>
        </a:p>
        <a:p>
          <a:r>
            <a:rPr lang="en-US" sz="1100" baseline="0"/>
            <a:t>Things to note: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Utility expense per person was calculated using an internet source, which stated that a family in New York would pay approximately $133 per month in utilities. Assuming that this refers to a family of 4, this value was then divided by 4 in order to obtain a possible utility expense per person, which is approximately $33.25. However, one must consider that guests are on vacation and may care little about utility cost, so the cost may be higher than usual; Hence, the conservative cost of $40 was chosen. Finally, this cost is multiplied by the proportion of time in a month that the guest would spend at the property, hence the January utility cost per person would be $40 x 0.3, February cost would be $40 x 0.36, and so on.</a:t>
          </a:r>
        </a:p>
        <a:p>
          <a:pPr eaLnBrk="1" fontAlgn="auto" latinLnBrk="0" hangingPunct="1"/>
          <a:r>
            <a:rPr lang="en-US" sz="1100" baseline="0">
              <a:solidFill>
                <a:schemeClr val="dk1"/>
              </a:solidFill>
              <a:effectLst/>
              <a:latin typeface="+mn-lt"/>
              <a:ea typeface="+mn-ea"/>
              <a:cs typeface="+mn-cs"/>
            </a:rPr>
            <a:t>- It should be noted that each "property" are private rooms, all of which shares a common guest space. Each of these rooms are likely in the same apartment building. This has a few implications:</a:t>
          </a:r>
        </a:p>
        <a:p>
          <a:pPr eaLnBrk="1" fontAlgn="auto" latinLnBrk="0" hangingPunct="1"/>
          <a:r>
            <a:rPr lang="en-US" sz="1100" baseline="0">
              <a:solidFill>
                <a:schemeClr val="dk1"/>
              </a:solidFill>
              <a:effectLst/>
              <a:latin typeface="+mn-lt"/>
              <a:ea typeface="+mn-ea"/>
              <a:cs typeface="+mn-cs"/>
            </a:rPr>
            <a:t>     &gt; The host only need to pay for one cleaning service for each of the properties because all the properties are in the same building</a:t>
          </a:r>
        </a:p>
        <a:p>
          <a:pPr eaLnBrk="1" fontAlgn="auto" latinLnBrk="0" hangingPunct="1"/>
          <a:r>
            <a:rPr lang="en-US" sz="1100" baseline="0">
              <a:solidFill>
                <a:schemeClr val="dk1"/>
              </a:solidFill>
              <a:effectLst/>
              <a:latin typeface="+mn-lt"/>
              <a:ea typeface="+mn-ea"/>
              <a:cs typeface="+mn-cs"/>
            </a:rPr>
            <a:t>     &gt; Likewise, the host only need to pay for one internet service since all the properties are in the same building</a:t>
          </a:r>
        </a:p>
        <a:p>
          <a:pPr eaLnBrk="1" fontAlgn="auto" latinLnBrk="0" hangingPunct="1"/>
          <a:r>
            <a:rPr lang="en-US" sz="1100" baseline="0">
              <a:solidFill>
                <a:schemeClr val="dk1"/>
              </a:solidFill>
              <a:effectLst/>
              <a:latin typeface="+mn-lt"/>
              <a:ea typeface="+mn-ea"/>
              <a:cs typeface="+mn-cs"/>
            </a:rPr>
            <a:t>- Cleaning services are only called during the months that the host decides to list any of his properties on Airbnb. During said months, the host will call cleaning services 4 times (once every week of the month). This is because the host may not be sure when a guest may book a room, and, therefore, needs to ensure that all properties are clean at all time.</a:t>
          </a:r>
        </a:p>
        <a:p>
          <a:pPr eaLnBrk="1" fontAlgn="auto" latinLnBrk="0" hangingPunct="1"/>
          <a:r>
            <a:rPr lang="en-US" sz="1100" baseline="0">
              <a:solidFill>
                <a:schemeClr val="dk1"/>
              </a:solidFill>
              <a:effectLst/>
              <a:latin typeface="+mn-lt"/>
              <a:ea typeface="+mn-ea"/>
              <a:cs typeface="+mn-cs"/>
            </a:rPr>
            <a:t>- Internet service is a flat cost of $49 every month because Spectrum (Internet provider) only have 12 month contracts. It is also one of the only few high-speed internet providers around the area. </a:t>
          </a:r>
          <a:endParaRPr lang="en-US">
            <a:effectLst/>
          </a:endParaRPr>
        </a:p>
      </xdr:txBody>
    </xdr:sp>
    <xdr:clientData/>
  </xdr:twoCellAnchor>
  <xdr:twoCellAnchor>
    <xdr:from>
      <xdr:col>8</xdr:col>
      <xdr:colOff>628650</xdr:colOff>
      <xdr:row>28</xdr:row>
      <xdr:rowOff>85725</xdr:rowOff>
    </xdr:from>
    <xdr:to>
      <xdr:col>8</xdr:col>
      <xdr:colOff>3762375</xdr:colOff>
      <xdr:row>37</xdr:row>
      <xdr:rowOff>38100</xdr:rowOff>
    </xdr:to>
    <xdr:sp macro="" textlink="">
      <xdr:nvSpPr>
        <xdr:cNvPr id="3" name="TextBox 2"/>
        <xdr:cNvSpPr txBox="1"/>
      </xdr:nvSpPr>
      <xdr:spPr>
        <a:xfrm>
          <a:off x="20221575" y="5457825"/>
          <a:ext cx="313372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Each room is estimated to have</a:t>
          </a:r>
          <a:r>
            <a:rPr lang="en-US" sz="1100" baseline="0">
              <a:solidFill>
                <a:schemeClr val="dk1"/>
              </a:solidFill>
              <a:effectLst/>
              <a:latin typeface="+mn-lt"/>
              <a:ea typeface="+mn-ea"/>
              <a:cs typeface="+mn-cs"/>
            </a:rPr>
            <a:t> 30 minutes of cleaning service, hence, each room has a cleaning cost of $45/2.</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17</xdr:row>
      <xdr:rowOff>38100</xdr:rowOff>
    </xdr:from>
    <xdr:to>
      <xdr:col>5</xdr:col>
      <xdr:colOff>381000</xdr:colOff>
      <xdr:row>32</xdr:row>
      <xdr:rowOff>38100</xdr:rowOff>
    </xdr:to>
    <xdr:graphicFrame macro="">
      <xdr:nvGraphicFramePr>
        <xdr:cNvPr id="2" name="STS_1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114300</xdr:colOff>
      <xdr:row>3</xdr:row>
      <xdr:rowOff>238125</xdr:rowOff>
    </xdr:from>
    <xdr:to>
      <xdr:col>18</xdr:col>
      <xdr:colOff>114300</xdr:colOff>
      <xdr:row>6</xdr:row>
      <xdr:rowOff>142875</xdr:rowOff>
    </xdr:to>
    <xdr:sp macro="" textlink="">
      <xdr:nvSpPr>
        <xdr:cNvPr id="3" name="TextBox 2"/>
        <xdr:cNvSpPr txBox="1"/>
      </xdr:nvSpPr>
      <xdr:spPr>
        <a:xfrm>
          <a:off x="10858500" y="809625"/>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514350</xdr:colOff>
      <xdr:row>22</xdr:row>
      <xdr:rowOff>47625</xdr:rowOff>
    </xdr:from>
    <xdr:to>
      <xdr:col>11</xdr:col>
      <xdr:colOff>514350</xdr:colOff>
      <xdr:row>37</xdr:row>
      <xdr:rowOff>47625</xdr:rowOff>
    </xdr:to>
    <xdr:graphicFrame macro="">
      <xdr:nvGraphicFramePr>
        <xdr:cNvPr id="2" name="STS_1_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495300</xdr:colOff>
      <xdr:row>6</xdr:row>
      <xdr:rowOff>104775</xdr:rowOff>
    </xdr:from>
    <xdr:to>
      <xdr:col>11</xdr:col>
      <xdr:colOff>495300</xdr:colOff>
      <xdr:row>21</xdr:row>
      <xdr:rowOff>104775</xdr:rowOff>
    </xdr:to>
    <xdr:graphicFrame macro="">
      <xdr:nvGraphicFramePr>
        <xdr:cNvPr id="3" name="STS_1_Chart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21</xdr:col>
      <xdr:colOff>152400</xdr:colOff>
      <xdr:row>4</xdr:row>
      <xdr:rowOff>161925</xdr:rowOff>
    </xdr:from>
    <xdr:to>
      <xdr:col>27</xdr:col>
      <xdr:colOff>152400</xdr:colOff>
      <xdr:row>11</xdr:row>
      <xdr:rowOff>161925</xdr:rowOff>
    </xdr:to>
    <xdr:sp macro="" textlink="">
      <xdr:nvSpPr>
        <xdr:cNvPr id="4" name="TextBox 3"/>
        <xdr:cNvSpPr txBox="1"/>
      </xdr:nvSpPr>
      <xdr:spPr>
        <a:xfrm>
          <a:off x="14725650" y="11430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$K$4, $L$4, $O$4, and $P$4, you can chart any row (in left chart) or column (in right chart) of any table to the left.</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19050</xdr:colOff>
      <xdr:row>21</xdr:row>
      <xdr:rowOff>152400</xdr:rowOff>
    </xdr:from>
    <xdr:to>
      <xdr:col>12</xdr:col>
      <xdr:colOff>19050</xdr:colOff>
      <xdr:row>36</xdr:row>
      <xdr:rowOff>152400</xdr:rowOff>
    </xdr:to>
    <xdr:graphicFrame macro="">
      <xdr:nvGraphicFramePr>
        <xdr:cNvPr id="2" name="STS_1_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9525</xdr:colOff>
      <xdr:row>6</xdr:row>
      <xdr:rowOff>95250</xdr:rowOff>
    </xdr:from>
    <xdr:to>
      <xdr:col>12</xdr:col>
      <xdr:colOff>9525</xdr:colOff>
      <xdr:row>21</xdr:row>
      <xdr:rowOff>95250</xdr:rowOff>
    </xdr:to>
    <xdr:graphicFrame macro="">
      <xdr:nvGraphicFramePr>
        <xdr:cNvPr id="3" name="STS_1_Chart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20</xdr:col>
      <xdr:colOff>523875</xdr:colOff>
      <xdr:row>29</xdr:row>
      <xdr:rowOff>38100</xdr:rowOff>
    </xdr:from>
    <xdr:to>
      <xdr:col>26</xdr:col>
      <xdr:colOff>523875</xdr:colOff>
      <xdr:row>36</xdr:row>
      <xdr:rowOff>38100</xdr:rowOff>
    </xdr:to>
    <xdr:sp macro="" textlink="">
      <xdr:nvSpPr>
        <xdr:cNvPr id="4" name="TextBox 3"/>
        <xdr:cNvSpPr txBox="1"/>
      </xdr:nvSpPr>
      <xdr:spPr>
        <a:xfrm>
          <a:off x="14487525" y="5781675"/>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$K$4, $L$4, $O$4, and $P$4, you can chart any row (in left chart) or column (in right chart) of any table to the left.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O118"/>
  <sheetViews>
    <sheetView topLeftCell="A10" zoomScale="80" zoomScaleNormal="80" workbookViewId="0">
      <selection activeCell="G41" sqref="G41"/>
    </sheetView>
  </sheetViews>
  <sheetFormatPr defaultRowHeight="15" x14ac:dyDescent="0.25"/>
  <cols>
    <col min="1" max="1" width="19.28515625" customWidth="1"/>
    <col min="2" max="2" width="28.7109375" customWidth="1"/>
    <col min="3" max="3" width="21.5703125" customWidth="1"/>
    <col min="4" max="4" width="29.140625" customWidth="1"/>
    <col min="5" max="5" width="35.7109375" customWidth="1"/>
    <col min="6" max="6" width="35.28515625" bestFit="1" customWidth="1"/>
    <col min="7" max="7" width="19.5703125" customWidth="1"/>
    <col min="8" max="8" width="29" customWidth="1"/>
    <col min="9" max="9" width="21.140625" customWidth="1"/>
    <col min="10" max="10" width="30" customWidth="1"/>
    <col min="11" max="11" width="36.42578125" bestFit="1" customWidth="1"/>
    <col min="12" max="12" width="5.42578125" bestFit="1" customWidth="1"/>
    <col min="13" max="13" width="20" bestFit="1" customWidth="1"/>
    <col min="15" max="15" width="23.5703125" bestFit="1" customWidth="1"/>
  </cols>
  <sheetData>
    <row r="21" spans="1:15" ht="15.75" thickBot="1" x14ac:dyDescent="0.3"/>
    <row r="22" spans="1:15" x14ac:dyDescent="0.25">
      <c r="A22" s="12" t="s">
        <v>20</v>
      </c>
      <c r="B22" s="21" t="s">
        <v>21</v>
      </c>
      <c r="C22" s="21" t="s">
        <v>22</v>
      </c>
      <c r="D22" s="21" t="s">
        <v>23</v>
      </c>
      <c r="E22" s="21" t="s">
        <v>24</v>
      </c>
      <c r="F22" s="21" t="s">
        <v>25</v>
      </c>
      <c r="G22" s="21" t="s">
        <v>26</v>
      </c>
      <c r="H22" s="21" t="s">
        <v>27</v>
      </c>
      <c r="I22" s="21" t="s">
        <v>28</v>
      </c>
      <c r="J22" s="21" t="s">
        <v>29</v>
      </c>
      <c r="K22" s="21" t="s">
        <v>30</v>
      </c>
      <c r="L22" s="21" t="s">
        <v>31</v>
      </c>
      <c r="M22" s="13" t="s">
        <v>32</v>
      </c>
    </row>
    <row r="23" spans="1:15" x14ac:dyDescent="0.25">
      <c r="A23" s="4">
        <v>33906660</v>
      </c>
      <c r="B23" s="20">
        <v>42145</v>
      </c>
      <c r="C23" s="1" t="s">
        <v>13</v>
      </c>
      <c r="D23" s="1" t="s">
        <v>14</v>
      </c>
      <c r="E23" s="1" t="s">
        <v>15</v>
      </c>
      <c r="F23" s="1">
        <v>85</v>
      </c>
      <c r="G23" s="1" t="s">
        <v>16</v>
      </c>
      <c r="H23" s="1">
        <v>10030</v>
      </c>
      <c r="I23" s="1">
        <v>2</v>
      </c>
      <c r="J23" s="1">
        <v>1</v>
      </c>
      <c r="K23" s="1">
        <v>8</v>
      </c>
      <c r="L23" s="1">
        <v>80</v>
      </c>
      <c r="M23" s="5">
        <v>85</v>
      </c>
    </row>
    <row r="24" spans="1:15" x14ac:dyDescent="0.25">
      <c r="A24" s="4">
        <v>33906660</v>
      </c>
      <c r="B24" s="20">
        <v>42145</v>
      </c>
      <c r="C24" s="1" t="s">
        <v>17</v>
      </c>
      <c r="D24" s="1" t="s">
        <v>14</v>
      </c>
      <c r="E24" s="1" t="s">
        <v>15</v>
      </c>
      <c r="F24" s="1">
        <v>80</v>
      </c>
      <c r="G24" s="1" t="s">
        <v>16</v>
      </c>
      <c r="H24" s="1">
        <v>10030</v>
      </c>
      <c r="I24" s="1">
        <v>1</v>
      </c>
      <c r="J24" s="1">
        <v>1</v>
      </c>
      <c r="K24" s="1">
        <v>6</v>
      </c>
      <c r="L24" s="1">
        <v>69</v>
      </c>
      <c r="M24" s="5">
        <v>83</v>
      </c>
    </row>
    <row r="25" spans="1:15" x14ac:dyDescent="0.25">
      <c r="A25" s="4">
        <v>33906660</v>
      </c>
      <c r="B25" s="20">
        <v>42145</v>
      </c>
      <c r="C25" s="1" t="s">
        <v>18</v>
      </c>
      <c r="D25" s="1" t="s">
        <v>14</v>
      </c>
      <c r="E25" s="1" t="s">
        <v>15</v>
      </c>
      <c r="F25" s="1">
        <v>75</v>
      </c>
      <c r="G25" s="1" t="s">
        <v>16</v>
      </c>
      <c r="H25" s="1">
        <v>10030</v>
      </c>
      <c r="I25" s="1">
        <v>2</v>
      </c>
      <c r="J25" s="1">
        <v>1</v>
      </c>
      <c r="K25" s="1">
        <v>14</v>
      </c>
      <c r="L25" s="1">
        <v>74</v>
      </c>
      <c r="M25" s="5">
        <v>76</v>
      </c>
    </row>
    <row r="26" spans="1:15" ht="15.75" thickBot="1" x14ac:dyDescent="0.3">
      <c r="A26" s="6">
        <v>33906660</v>
      </c>
      <c r="B26" s="22">
        <v>42145</v>
      </c>
      <c r="C26" s="23" t="s">
        <v>19</v>
      </c>
      <c r="D26" s="23" t="s">
        <v>14</v>
      </c>
      <c r="E26" s="23" t="s">
        <v>15</v>
      </c>
      <c r="F26" s="23">
        <v>80</v>
      </c>
      <c r="G26" s="23" t="s">
        <v>16</v>
      </c>
      <c r="H26" s="23">
        <v>10030</v>
      </c>
      <c r="I26" s="23">
        <v>2</v>
      </c>
      <c r="J26" s="23">
        <v>1</v>
      </c>
      <c r="K26" s="23">
        <v>3</v>
      </c>
      <c r="L26" s="23">
        <v>74</v>
      </c>
      <c r="M26" s="7">
        <v>80</v>
      </c>
    </row>
    <row r="27" spans="1:15" ht="15.75" thickBot="1" x14ac:dyDescent="0.3"/>
    <row r="28" spans="1:15" ht="15.75" thickBot="1" x14ac:dyDescent="0.3">
      <c r="A28" s="78" t="s">
        <v>33</v>
      </c>
      <c r="B28" s="79"/>
      <c r="C28" s="79"/>
      <c r="D28" s="80"/>
      <c r="E28" s="24"/>
      <c r="F28" s="10" t="s">
        <v>34</v>
      </c>
      <c r="J28" s="78" t="s">
        <v>44</v>
      </c>
      <c r="K28" s="80"/>
      <c r="M28" s="81" t="s">
        <v>90</v>
      </c>
      <c r="N28" s="82"/>
      <c r="O28" s="83"/>
    </row>
    <row r="29" spans="1:15" ht="15.75" thickBot="1" x14ac:dyDescent="0.3">
      <c r="A29" s="17" t="s">
        <v>0</v>
      </c>
      <c r="B29" s="17" t="s">
        <v>39</v>
      </c>
      <c r="C29" s="19" t="s">
        <v>43</v>
      </c>
      <c r="D29" s="16" t="s">
        <v>51</v>
      </c>
      <c r="F29" s="11">
        <v>0.03</v>
      </c>
      <c r="J29" s="15" t="s">
        <v>49</v>
      </c>
      <c r="K29" s="3" t="s">
        <v>35</v>
      </c>
      <c r="M29" s="4" t="s">
        <v>82</v>
      </c>
      <c r="N29" s="1" t="s">
        <v>81</v>
      </c>
      <c r="O29" s="5" t="s">
        <v>114</v>
      </c>
    </row>
    <row r="30" spans="1:15" ht="15.75" thickBot="1" x14ac:dyDescent="0.3">
      <c r="A30" s="1" t="s">
        <v>1</v>
      </c>
      <c r="B30" s="1">
        <v>0.3</v>
      </c>
      <c r="C30" s="1">
        <v>31</v>
      </c>
      <c r="D30" s="47">
        <f>ROUND(B30*C30,0)</f>
        <v>9</v>
      </c>
      <c r="J30" s="8" t="s">
        <v>121</v>
      </c>
      <c r="K30" s="26">
        <v>45</v>
      </c>
      <c r="M30" s="4" t="s">
        <v>83</v>
      </c>
      <c r="N30" s="1">
        <v>10</v>
      </c>
      <c r="O30" s="5">
        <f>MAX(0,IF(B98 &gt; 19400,19400*0.1,(B98 - 0)*0.1))</f>
        <v>1940</v>
      </c>
    </row>
    <row r="31" spans="1:15" x14ac:dyDescent="0.25">
      <c r="A31" s="1" t="s">
        <v>2</v>
      </c>
      <c r="B31" s="1">
        <v>0.36</v>
      </c>
      <c r="C31" s="1">
        <v>28</v>
      </c>
      <c r="D31" s="47">
        <f t="shared" ref="D31:D41" si="0">ROUND(B31*C31,0)</f>
        <v>10</v>
      </c>
      <c r="F31" s="84" t="s">
        <v>47</v>
      </c>
      <c r="G31" s="85"/>
      <c r="H31" s="86"/>
      <c r="J31" s="8" t="s">
        <v>45</v>
      </c>
      <c r="K31" s="26">
        <v>49</v>
      </c>
      <c r="M31" s="4" t="s">
        <v>84</v>
      </c>
      <c r="N31" s="1">
        <v>12</v>
      </c>
      <c r="O31" s="5">
        <f>MAX(0,IF(B98 &gt; 78950,(78950-19401)*0.12,(B98 - 19401)*0.12))</f>
        <v>1772.298</v>
      </c>
    </row>
    <row r="32" spans="1:15" ht="15.75" thickBot="1" x14ac:dyDescent="0.3">
      <c r="A32" s="1" t="s">
        <v>3</v>
      </c>
      <c r="B32" s="1">
        <v>0.43</v>
      </c>
      <c r="C32" s="1">
        <v>31</v>
      </c>
      <c r="D32" s="47">
        <f t="shared" si="0"/>
        <v>13</v>
      </c>
      <c r="F32" s="8" t="s">
        <v>37</v>
      </c>
      <c r="G32" s="2" t="s">
        <v>38</v>
      </c>
      <c r="H32" s="9" t="s">
        <v>48</v>
      </c>
      <c r="J32" s="28" t="s">
        <v>50</v>
      </c>
      <c r="K32" s="27">
        <v>40</v>
      </c>
      <c r="M32" s="43" t="s">
        <v>85</v>
      </c>
      <c r="N32" s="1">
        <v>22</v>
      </c>
      <c r="O32" s="5">
        <f>MAX(0,IF(B98 &gt; 168400,(168400-78951)*0.22,(B98 - 78951)*0.22))</f>
        <v>0</v>
      </c>
    </row>
    <row r="33" spans="1:15" x14ac:dyDescent="0.25">
      <c r="A33" s="1" t="s">
        <v>4</v>
      </c>
      <c r="B33" s="1">
        <v>0.5</v>
      </c>
      <c r="C33" s="1">
        <v>30</v>
      </c>
      <c r="D33" s="47">
        <f t="shared" si="0"/>
        <v>15</v>
      </c>
      <c r="F33" s="8" t="s">
        <v>13</v>
      </c>
      <c r="G33" s="1">
        <v>80</v>
      </c>
      <c r="H33" s="73">
        <v>2</v>
      </c>
      <c r="M33" s="4" t="s">
        <v>86</v>
      </c>
      <c r="N33" s="1">
        <v>24</v>
      </c>
      <c r="O33" s="5">
        <f>MAX(0,IF(B98 &gt; 321450,(321450-168401)*0.24,(B98 - 168401)*0.24))</f>
        <v>0</v>
      </c>
    </row>
    <row r="34" spans="1:15" ht="15.75" thickBot="1" x14ac:dyDescent="0.3">
      <c r="A34" s="1" t="s">
        <v>5</v>
      </c>
      <c r="B34" s="1">
        <v>0.54</v>
      </c>
      <c r="C34" s="1">
        <v>31</v>
      </c>
      <c r="D34" s="47">
        <f t="shared" si="0"/>
        <v>17</v>
      </c>
      <c r="F34" s="8" t="s">
        <v>17</v>
      </c>
      <c r="G34" s="1">
        <v>69</v>
      </c>
      <c r="H34" s="73">
        <v>1</v>
      </c>
      <c r="M34" s="4" t="s">
        <v>87</v>
      </c>
      <c r="N34" s="42">
        <v>32</v>
      </c>
      <c r="O34" s="5">
        <f>MAX(0,IF(B98 &gt; 408200,(408200-321451)*0.32,(B98 - 321451)*0.32))</f>
        <v>0</v>
      </c>
    </row>
    <row r="35" spans="1:15" x14ac:dyDescent="0.25">
      <c r="A35" s="1" t="s">
        <v>6</v>
      </c>
      <c r="B35" s="1">
        <v>0.54</v>
      </c>
      <c r="C35" s="1">
        <v>30</v>
      </c>
      <c r="D35" s="47">
        <f t="shared" si="0"/>
        <v>16</v>
      </c>
      <c r="F35" s="8" t="s">
        <v>18</v>
      </c>
      <c r="G35" s="1">
        <v>74</v>
      </c>
      <c r="H35" s="73">
        <v>2</v>
      </c>
      <c r="J35" s="87" t="s">
        <v>68</v>
      </c>
      <c r="K35" s="88"/>
      <c r="M35" s="4" t="s">
        <v>88</v>
      </c>
      <c r="N35" s="42">
        <v>35</v>
      </c>
      <c r="O35" s="5">
        <f>MAX(0,IF(B98 &gt; 612350,(612350-408201)*0.35,(B98 - 408201)*0.35))</f>
        <v>0</v>
      </c>
    </row>
    <row r="36" spans="1:15" ht="15.75" thickBot="1" x14ac:dyDescent="0.3">
      <c r="A36" s="1" t="s">
        <v>7</v>
      </c>
      <c r="B36" s="1">
        <v>0.48</v>
      </c>
      <c r="C36" s="1">
        <v>31</v>
      </c>
      <c r="D36" s="47">
        <f t="shared" si="0"/>
        <v>15</v>
      </c>
      <c r="F36" s="29" t="s">
        <v>19</v>
      </c>
      <c r="G36" s="23">
        <v>74</v>
      </c>
      <c r="H36" s="74">
        <v>2</v>
      </c>
      <c r="J36" s="30" t="s">
        <v>54</v>
      </c>
      <c r="K36" s="5">
        <f>D51+J51+D60+J60+D69+J69+D78+J78+D87+J87+D96+J96</f>
        <v>4954.7999999999993</v>
      </c>
      <c r="M36" s="6" t="s">
        <v>89</v>
      </c>
      <c r="N36" s="44">
        <v>37</v>
      </c>
      <c r="O36" s="7">
        <f>IF(B98&gt;612351,(B98-612351)*0.37,0)</f>
        <v>0</v>
      </c>
    </row>
    <row r="37" spans="1:15" ht="15.75" thickBot="1" x14ac:dyDescent="0.3">
      <c r="A37" s="1" t="s">
        <v>8</v>
      </c>
      <c r="B37" s="1">
        <v>0.49</v>
      </c>
      <c r="C37" s="1">
        <v>31</v>
      </c>
      <c r="D37" s="47">
        <f t="shared" si="0"/>
        <v>15</v>
      </c>
      <c r="J37" s="30" t="s">
        <v>70</v>
      </c>
      <c r="K37" s="5">
        <f>C46+I46+C55+I55+C64+I64+C73+I73+C82+I82+C91+I91</f>
        <v>153</v>
      </c>
      <c r="N37" s="45" t="s">
        <v>91</v>
      </c>
      <c r="O37" s="14">
        <f>IF(MAX(K37:K40) &gt; 14, SUM(O30:O36), 0)</f>
        <v>3712.2979999999998</v>
      </c>
    </row>
    <row r="38" spans="1:15" x14ac:dyDescent="0.25">
      <c r="A38" s="1" t="s">
        <v>9</v>
      </c>
      <c r="B38" s="1">
        <v>0.56000000000000005</v>
      </c>
      <c r="C38" s="1">
        <v>30</v>
      </c>
      <c r="D38" s="47">
        <f t="shared" si="0"/>
        <v>17</v>
      </c>
      <c r="F38" s="34" t="s">
        <v>40</v>
      </c>
      <c r="G38" s="35"/>
      <c r="J38" s="30" t="s">
        <v>69</v>
      </c>
      <c r="K38" s="5">
        <f>C47+I47+C56+I56+C65+I65+C74+I74+C83+I83+C92+I92</f>
        <v>153</v>
      </c>
    </row>
    <row r="39" spans="1:15" x14ac:dyDescent="0.25">
      <c r="A39" s="1" t="s">
        <v>10</v>
      </c>
      <c r="B39" s="1">
        <v>0.55000000000000004</v>
      </c>
      <c r="C39" s="1">
        <v>31</v>
      </c>
      <c r="D39" s="47">
        <f t="shared" si="0"/>
        <v>17</v>
      </c>
      <c r="F39" s="36" t="s">
        <v>46</v>
      </c>
      <c r="G39" s="37">
        <v>5000</v>
      </c>
      <c r="J39" s="30" t="s">
        <v>71</v>
      </c>
      <c r="K39" s="5">
        <f>C48+I48+C57+I57+C66+I66+C75+I75+C84+I84+C93+I93</f>
        <v>111</v>
      </c>
    </row>
    <row r="40" spans="1:15" ht="15.75" thickBot="1" x14ac:dyDescent="0.3">
      <c r="A40" s="1" t="s">
        <v>11</v>
      </c>
      <c r="B40" s="1">
        <v>0.47</v>
      </c>
      <c r="C40" s="1">
        <v>30</v>
      </c>
      <c r="D40" s="47">
        <f t="shared" si="0"/>
        <v>14</v>
      </c>
      <c r="F40" s="38" t="s">
        <v>42</v>
      </c>
      <c r="G40" s="39">
        <v>31</v>
      </c>
      <c r="J40" s="28" t="s">
        <v>72</v>
      </c>
      <c r="K40" s="7">
        <f>C49+I49+C58+I58+C67+I67+C76+I76+C85+I85+C94+I94</f>
        <v>126</v>
      </c>
    </row>
    <row r="41" spans="1:15" x14ac:dyDescent="0.25">
      <c r="A41" s="1" t="s">
        <v>12</v>
      </c>
      <c r="B41" s="1">
        <v>0.44</v>
      </c>
      <c r="C41" s="1">
        <v>31</v>
      </c>
      <c r="D41" s="47">
        <f t="shared" si="0"/>
        <v>14</v>
      </c>
    </row>
    <row r="43" spans="1:15" ht="15.75" thickBot="1" x14ac:dyDescent="0.3">
      <c r="A43" s="77" t="s">
        <v>80</v>
      </c>
      <c r="B43" s="77"/>
      <c r="C43" s="77"/>
    </row>
    <row r="44" spans="1:15" ht="15.75" thickBot="1" x14ac:dyDescent="0.3">
      <c r="A44" s="78" t="s">
        <v>52</v>
      </c>
      <c r="B44" s="79"/>
      <c r="C44" s="79"/>
      <c r="D44" s="79"/>
      <c r="E44" s="80"/>
      <c r="F44" s="24"/>
      <c r="G44" s="78" t="s">
        <v>59</v>
      </c>
      <c r="H44" s="79"/>
      <c r="I44" s="79"/>
      <c r="J44" s="79"/>
      <c r="K44" s="80"/>
    </row>
    <row r="45" spans="1:15" x14ac:dyDescent="0.25">
      <c r="A45" s="70" t="s">
        <v>53</v>
      </c>
      <c r="B45" s="71" t="s">
        <v>122</v>
      </c>
      <c r="C45" s="71" t="s">
        <v>73</v>
      </c>
      <c r="D45" s="71" t="s">
        <v>55</v>
      </c>
      <c r="E45" s="3" t="s">
        <v>57</v>
      </c>
      <c r="F45" s="24"/>
      <c r="G45" s="31" t="s">
        <v>53</v>
      </c>
      <c r="H45" s="17" t="s">
        <v>122</v>
      </c>
      <c r="I45" s="17" t="s">
        <v>73</v>
      </c>
      <c r="J45" s="17" t="s">
        <v>55</v>
      </c>
      <c r="K45" s="32" t="s">
        <v>57</v>
      </c>
    </row>
    <row r="46" spans="1:15" x14ac:dyDescent="0.25">
      <c r="A46" s="33" t="s">
        <v>13</v>
      </c>
      <c r="B46" s="1">
        <v>0</v>
      </c>
      <c r="C46" s="1">
        <f>B46*$D$30</f>
        <v>0</v>
      </c>
      <c r="D46" s="1">
        <f>C46*$G$33</f>
        <v>0</v>
      </c>
      <c r="E46" s="5">
        <f>B46*($H$33*$K$32) * $B$30</f>
        <v>0</v>
      </c>
      <c r="F46" s="24"/>
      <c r="G46" s="33" t="s">
        <v>13</v>
      </c>
      <c r="H46" s="1">
        <v>0</v>
      </c>
      <c r="I46" s="1">
        <f>H46*$D$31</f>
        <v>0</v>
      </c>
      <c r="J46" s="1">
        <f>I46*$G$33</f>
        <v>0</v>
      </c>
      <c r="K46" s="5">
        <f>H46*($H$33*$K$32) * $B$31</f>
        <v>0</v>
      </c>
    </row>
    <row r="47" spans="1:15" x14ac:dyDescent="0.25">
      <c r="A47" s="33" t="s">
        <v>17</v>
      </c>
      <c r="B47" s="1">
        <v>0</v>
      </c>
      <c r="C47" s="1">
        <f>B47*$D$30</f>
        <v>0</v>
      </c>
      <c r="D47" s="1">
        <f>C47*$G$34</f>
        <v>0</v>
      </c>
      <c r="E47" s="5">
        <f>B47*($H$34*$K$32) * $B$30</f>
        <v>0</v>
      </c>
      <c r="F47" s="24"/>
      <c r="G47" s="33" t="s">
        <v>17</v>
      </c>
      <c r="H47" s="1">
        <v>0</v>
      </c>
      <c r="I47" s="1">
        <f>H47*$D$31</f>
        <v>0</v>
      </c>
      <c r="J47" s="1">
        <f>I47*$G$34</f>
        <v>0</v>
      </c>
      <c r="K47" s="5">
        <f>H47*($H$34*$K$32) * $B$31</f>
        <v>0</v>
      </c>
    </row>
    <row r="48" spans="1:15" x14ac:dyDescent="0.25">
      <c r="A48" s="33" t="s">
        <v>18</v>
      </c>
      <c r="B48" s="1">
        <v>0</v>
      </c>
      <c r="C48" s="1">
        <f>B48*$D$30</f>
        <v>0</v>
      </c>
      <c r="D48" s="1">
        <f>C48*$G$35</f>
        <v>0</v>
      </c>
      <c r="E48" s="5">
        <f>B48*($H$35*$K$32) * $B$30</f>
        <v>0</v>
      </c>
      <c r="F48" s="24"/>
      <c r="G48" s="33" t="s">
        <v>18</v>
      </c>
      <c r="H48" s="1">
        <v>0</v>
      </c>
      <c r="I48" s="1">
        <f>H48*$D$31</f>
        <v>0</v>
      </c>
      <c r="J48" s="1">
        <f>I48*$G$35</f>
        <v>0</v>
      </c>
      <c r="K48" s="5">
        <f>H48*($H$35*$K$32) * $B$31</f>
        <v>0</v>
      </c>
    </row>
    <row r="49" spans="1:13" x14ac:dyDescent="0.25">
      <c r="A49" s="33" t="s">
        <v>19</v>
      </c>
      <c r="B49" s="1">
        <v>0</v>
      </c>
      <c r="C49" s="1">
        <f>B49*$D$30</f>
        <v>0</v>
      </c>
      <c r="D49" s="1">
        <f>C49*$G$36</f>
        <v>0</v>
      </c>
      <c r="E49" s="5">
        <f>B49*($H$36*$K$32) * $B$30</f>
        <v>0</v>
      </c>
      <c r="F49" s="24"/>
      <c r="G49" s="33" t="s">
        <v>19</v>
      </c>
      <c r="H49" s="1">
        <v>0</v>
      </c>
      <c r="I49" s="1">
        <f>H49*$D$31</f>
        <v>0</v>
      </c>
      <c r="J49" s="1">
        <f>I49*$G$36</f>
        <v>0</v>
      </c>
      <c r="K49" s="5">
        <f>H49*($H$36*$K$32) * $B$31</f>
        <v>0</v>
      </c>
    </row>
    <row r="50" spans="1:13" x14ac:dyDescent="0.25">
      <c r="A50" s="30" t="s">
        <v>74</v>
      </c>
      <c r="B50" s="2" t="s">
        <v>75</v>
      </c>
      <c r="C50" s="2" t="s">
        <v>56</v>
      </c>
      <c r="D50" s="18" t="s">
        <v>54</v>
      </c>
      <c r="E50" s="9" t="s">
        <v>79</v>
      </c>
      <c r="F50" s="24"/>
      <c r="G50" s="30" t="s">
        <v>74</v>
      </c>
      <c r="H50" s="2" t="s">
        <v>75</v>
      </c>
      <c r="I50" s="2" t="s">
        <v>56</v>
      </c>
      <c r="J50" s="18" t="s">
        <v>54</v>
      </c>
      <c r="K50" s="9" t="s">
        <v>79</v>
      </c>
      <c r="L50" s="25"/>
      <c r="M50" s="25"/>
    </row>
    <row r="51" spans="1:13" ht="15.75" thickBot="1" x14ac:dyDescent="0.3">
      <c r="A51" s="6">
        <f>$K$31</f>
        <v>49</v>
      </c>
      <c r="B51" s="72">
        <f>(SUM(B46:B49)/2)*$K$30*4</f>
        <v>0</v>
      </c>
      <c r="C51" s="23">
        <f>$F$29*SUM(D46:D49)</f>
        <v>0</v>
      </c>
      <c r="D51" s="23">
        <f>SUM(E46:E49)+A51+B51</f>
        <v>49</v>
      </c>
      <c r="E51" s="7">
        <f>SUM(D46:D49)-D51-C51</f>
        <v>-49</v>
      </c>
      <c r="F51" s="24"/>
      <c r="G51" s="6">
        <f>$K$31</f>
        <v>49</v>
      </c>
      <c r="H51" s="72">
        <f>(SUM(H46:H49)/2)*$K$30*4</f>
        <v>0</v>
      </c>
      <c r="I51" s="23">
        <f>$F$29*SUM(J46:J49)</f>
        <v>0</v>
      </c>
      <c r="J51" s="23">
        <f>SUM(K46:K49)+G51+H51</f>
        <v>49</v>
      </c>
      <c r="K51" s="7">
        <f>SUM(J46:J49)-J51-I51</f>
        <v>-49</v>
      </c>
      <c r="L51" s="25"/>
      <c r="M51" s="25"/>
    </row>
    <row r="52" spans="1:13" ht="15.75" thickBot="1" x14ac:dyDescent="0.3">
      <c r="F52" s="24"/>
      <c r="G52" s="24"/>
      <c r="H52" s="24"/>
      <c r="I52" s="24"/>
    </row>
    <row r="53" spans="1:13" ht="15.75" thickBot="1" x14ac:dyDescent="0.3">
      <c r="A53" s="78" t="s">
        <v>58</v>
      </c>
      <c r="B53" s="79"/>
      <c r="C53" s="79"/>
      <c r="D53" s="79"/>
      <c r="E53" s="80"/>
      <c r="F53" s="24"/>
      <c r="G53" s="78" t="s">
        <v>60</v>
      </c>
      <c r="H53" s="79"/>
      <c r="I53" s="79"/>
      <c r="J53" s="79"/>
      <c r="K53" s="80"/>
    </row>
    <row r="54" spans="1:13" x14ac:dyDescent="0.25">
      <c r="A54" s="31" t="s">
        <v>53</v>
      </c>
      <c r="B54" s="17" t="s">
        <v>122</v>
      </c>
      <c r="C54" s="17" t="s">
        <v>73</v>
      </c>
      <c r="D54" s="17" t="s">
        <v>55</v>
      </c>
      <c r="E54" s="32" t="s">
        <v>57</v>
      </c>
      <c r="F54" s="24"/>
      <c r="G54" s="31" t="s">
        <v>53</v>
      </c>
      <c r="H54" s="17" t="s">
        <v>122</v>
      </c>
      <c r="I54" s="17" t="s">
        <v>73</v>
      </c>
      <c r="J54" s="17" t="s">
        <v>55</v>
      </c>
      <c r="K54" s="32" t="s">
        <v>57</v>
      </c>
    </row>
    <row r="55" spans="1:13" x14ac:dyDescent="0.25">
      <c r="A55" s="33" t="s">
        <v>13</v>
      </c>
      <c r="B55" s="1">
        <v>1</v>
      </c>
      <c r="C55" s="1">
        <f>B55*$D$32</f>
        <v>13</v>
      </c>
      <c r="D55" s="1">
        <f>C55*$G$33</f>
        <v>1040</v>
      </c>
      <c r="E55" s="5">
        <f>B55*($H$33*$K$32) * $B$32</f>
        <v>34.4</v>
      </c>
      <c r="F55" s="24"/>
      <c r="G55" s="33" t="s">
        <v>13</v>
      </c>
      <c r="H55" s="1">
        <v>1</v>
      </c>
      <c r="I55" s="1">
        <f>H55*$D$33</f>
        <v>15</v>
      </c>
      <c r="J55" s="1">
        <f>I55*$G$33</f>
        <v>1200</v>
      </c>
      <c r="K55" s="5">
        <f>H55*($H$33*$K$32) *$B$33</f>
        <v>40</v>
      </c>
    </row>
    <row r="56" spans="1:13" x14ac:dyDescent="0.25">
      <c r="A56" s="33" t="s">
        <v>17</v>
      </c>
      <c r="B56" s="1">
        <v>1</v>
      </c>
      <c r="C56" s="1">
        <f>B56*$D$32</f>
        <v>13</v>
      </c>
      <c r="D56" s="1">
        <f>C56*$G$34</f>
        <v>897</v>
      </c>
      <c r="E56" s="5">
        <f>B56*($H$34*$K$32) * $B$32</f>
        <v>17.2</v>
      </c>
      <c r="F56" s="24"/>
      <c r="G56" s="33" t="s">
        <v>17</v>
      </c>
      <c r="H56" s="1">
        <v>1</v>
      </c>
      <c r="I56" s="1">
        <f>H56*$D$33</f>
        <v>15</v>
      </c>
      <c r="J56" s="1">
        <f>I56*$G$34</f>
        <v>1035</v>
      </c>
      <c r="K56" s="5">
        <f>H56*($H$34*$K$32) *$B$33</f>
        <v>20</v>
      </c>
    </row>
    <row r="57" spans="1:13" x14ac:dyDescent="0.25">
      <c r="A57" s="33" t="s">
        <v>18</v>
      </c>
      <c r="B57" s="1">
        <v>0</v>
      </c>
      <c r="C57" s="1">
        <f>B57*$D$32</f>
        <v>0</v>
      </c>
      <c r="D57" s="1">
        <f>C57*$G$35</f>
        <v>0</v>
      </c>
      <c r="E57" s="5">
        <f>B57*($H$35*$K$32) * $B$32</f>
        <v>0</v>
      </c>
      <c r="F57" s="24"/>
      <c r="G57" s="33" t="s">
        <v>18</v>
      </c>
      <c r="H57" s="1">
        <v>1</v>
      </c>
      <c r="I57" s="1">
        <f>H57*$D$33</f>
        <v>15</v>
      </c>
      <c r="J57" s="1">
        <f>I57*$G$35</f>
        <v>1110</v>
      </c>
      <c r="K57" s="5">
        <f>H57*($H$35*$K$32) *$B$33</f>
        <v>40</v>
      </c>
    </row>
    <row r="58" spans="1:13" x14ac:dyDescent="0.25">
      <c r="A58" s="33" t="s">
        <v>19</v>
      </c>
      <c r="B58" s="1">
        <v>0</v>
      </c>
      <c r="C58" s="1">
        <f>B58*$D$32</f>
        <v>0</v>
      </c>
      <c r="D58" s="1">
        <f>C58*$G$36</f>
        <v>0</v>
      </c>
      <c r="E58" s="5">
        <f>B58*($H$36*$K$32) * $B$32</f>
        <v>0</v>
      </c>
      <c r="F58" s="24"/>
      <c r="G58" s="33" t="s">
        <v>19</v>
      </c>
      <c r="H58" s="1">
        <v>1</v>
      </c>
      <c r="I58" s="1">
        <f>H58*$D$33</f>
        <v>15</v>
      </c>
      <c r="J58" s="1">
        <f>I58*$G$36</f>
        <v>1110</v>
      </c>
      <c r="K58" s="5">
        <f>H58*($H$36*$K$32) *$B$33</f>
        <v>40</v>
      </c>
    </row>
    <row r="59" spans="1:13" x14ac:dyDescent="0.25">
      <c r="A59" s="30" t="s">
        <v>74</v>
      </c>
      <c r="B59" s="2" t="s">
        <v>75</v>
      </c>
      <c r="C59" s="2" t="s">
        <v>56</v>
      </c>
      <c r="D59" s="18" t="s">
        <v>54</v>
      </c>
      <c r="E59" s="9" t="s">
        <v>79</v>
      </c>
      <c r="F59" s="24"/>
      <c r="G59" s="30" t="s">
        <v>74</v>
      </c>
      <c r="H59" s="2" t="s">
        <v>75</v>
      </c>
      <c r="I59" s="2" t="s">
        <v>56</v>
      </c>
      <c r="J59" s="18" t="s">
        <v>54</v>
      </c>
      <c r="K59" s="9" t="s">
        <v>79</v>
      </c>
    </row>
    <row r="60" spans="1:13" ht="15.75" thickBot="1" x14ac:dyDescent="0.3">
      <c r="A60" s="6">
        <f>$K$31</f>
        <v>49</v>
      </c>
      <c r="B60" s="72">
        <f>(SUM(B55:B58)/2)*$K$30*4</f>
        <v>180</v>
      </c>
      <c r="C60" s="23">
        <f>$F$29*SUM(D55:D58)</f>
        <v>58.11</v>
      </c>
      <c r="D60" s="23">
        <f>SUM(E55:E58)+A60+B60</f>
        <v>280.60000000000002</v>
      </c>
      <c r="E60" s="7">
        <f>SUM(D55:D58)-D60-C60</f>
        <v>1598.2900000000002</v>
      </c>
      <c r="F60" s="24"/>
      <c r="G60" s="6">
        <f>$K$31</f>
        <v>49</v>
      </c>
      <c r="H60" s="72">
        <f>(SUM(H55:H58)/2)*$K$30*4</f>
        <v>360</v>
      </c>
      <c r="I60" s="23">
        <f>$F$29*SUM(J55:J58)</f>
        <v>133.65</v>
      </c>
      <c r="J60" s="23">
        <f>SUM(K55:K58)+G60+H60</f>
        <v>549</v>
      </c>
      <c r="K60" s="7">
        <f>SUM(J55:J58)-J60-I60</f>
        <v>3772.35</v>
      </c>
    </row>
    <row r="61" spans="1:13" ht="15.75" thickBot="1" x14ac:dyDescent="0.3">
      <c r="A61" s="25"/>
      <c r="B61" s="25"/>
      <c r="C61" s="25"/>
      <c r="D61" s="25"/>
      <c r="E61" s="25"/>
      <c r="F61" s="24"/>
      <c r="G61" s="24"/>
      <c r="H61" s="24"/>
      <c r="I61" s="24"/>
      <c r="J61" s="25"/>
      <c r="K61" s="25"/>
    </row>
    <row r="62" spans="1:13" ht="15.75" thickBot="1" x14ac:dyDescent="0.3">
      <c r="A62" s="78" t="s">
        <v>61</v>
      </c>
      <c r="B62" s="79"/>
      <c r="C62" s="79"/>
      <c r="D62" s="79"/>
      <c r="E62" s="80"/>
      <c r="F62" s="24"/>
      <c r="G62" s="78" t="s">
        <v>62</v>
      </c>
      <c r="H62" s="79"/>
      <c r="I62" s="79"/>
      <c r="J62" s="79"/>
      <c r="K62" s="80"/>
    </row>
    <row r="63" spans="1:13" x14ac:dyDescent="0.25">
      <c r="A63" s="31" t="s">
        <v>53</v>
      </c>
      <c r="B63" s="17" t="s">
        <v>122</v>
      </c>
      <c r="C63" s="17" t="s">
        <v>73</v>
      </c>
      <c r="D63" s="17" t="s">
        <v>55</v>
      </c>
      <c r="E63" s="32" t="s">
        <v>57</v>
      </c>
      <c r="F63" s="24"/>
      <c r="G63" s="31" t="s">
        <v>53</v>
      </c>
      <c r="H63" s="17" t="s">
        <v>122</v>
      </c>
      <c r="I63" s="17" t="s">
        <v>73</v>
      </c>
      <c r="J63" s="17" t="s">
        <v>55</v>
      </c>
      <c r="K63" s="32" t="s">
        <v>57</v>
      </c>
    </row>
    <row r="64" spans="1:13" x14ac:dyDescent="0.25">
      <c r="A64" s="33" t="s">
        <v>13</v>
      </c>
      <c r="B64" s="1">
        <v>1</v>
      </c>
      <c r="C64" s="1">
        <f>B64*$D$34</f>
        <v>17</v>
      </c>
      <c r="D64" s="1">
        <f>C64*$G$33</f>
        <v>1360</v>
      </c>
      <c r="E64" s="5">
        <f>B64*($H$33*$K$32) * $B$34</f>
        <v>43.2</v>
      </c>
      <c r="F64" s="24"/>
      <c r="G64" s="33" t="s">
        <v>13</v>
      </c>
      <c r="H64" s="1">
        <v>1</v>
      </c>
      <c r="I64" s="1">
        <f>H64*$D$35</f>
        <v>16</v>
      </c>
      <c r="J64" s="1">
        <f>I64*$G$33</f>
        <v>1280</v>
      </c>
      <c r="K64" s="5">
        <f>H64*($H$33*$K$32) * $B$35</f>
        <v>43.2</v>
      </c>
    </row>
    <row r="65" spans="1:11" x14ac:dyDescent="0.25">
      <c r="A65" s="33" t="s">
        <v>17</v>
      </c>
      <c r="B65" s="1">
        <v>1</v>
      </c>
      <c r="C65" s="1">
        <f>B65*$D$34</f>
        <v>17</v>
      </c>
      <c r="D65" s="1">
        <f>C65*$G$34</f>
        <v>1173</v>
      </c>
      <c r="E65" s="5">
        <f>B65*($H$34*$K$32) * $B$34</f>
        <v>21.6</v>
      </c>
      <c r="F65" s="24"/>
      <c r="G65" s="33" t="s">
        <v>17</v>
      </c>
      <c r="H65" s="1">
        <v>1</v>
      </c>
      <c r="I65" s="1">
        <f>H65*$D$35</f>
        <v>16</v>
      </c>
      <c r="J65" s="1">
        <f>I65*$G$34</f>
        <v>1104</v>
      </c>
      <c r="K65" s="5">
        <f>H65*($H$34*$K$32) * $B$35</f>
        <v>21.6</v>
      </c>
    </row>
    <row r="66" spans="1:11" x14ac:dyDescent="0.25">
      <c r="A66" s="33" t="s">
        <v>18</v>
      </c>
      <c r="B66" s="1">
        <v>1</v>
      </c>
      <c r="C66" s="1">
        <f>B66*$D$34</f>
        <v>17</v>
      </c>
      <c r="D66" s="1">
        <f>C66*$G$35</f>
        <v>1258</v>
      </c>
      <c r="E66" s="5">
        <f>B66*($H$35*$K$32) * $B$34</f>
        <v>43.2</v>
      </c>
      <c r="F66" s="24"/>
      <c r="G66" s="33" t="s">
        <v>18</v>
      </c>
      <c r="H66" s="1">
        <v>1</v>
      </c>
      <c r="I66" s="1">
        <f>H66*$D$35</f>
        <v>16</v>
      </c>
      <c r="J66" s="1">
        <f>I66*$G$35</f>
        <v>1184</v>
      </c>
      <c r="K66" s="5">
        <f>H66*($H$35*$K$32) * $B$35</f>
        <v>43.2</v>
      </c>
    </row>
    <row r="67" spans="1:11" x14ac:dyDescent="0.25">
      <c r="A67" s="33" t="s">
        <v>19</v>
      </c>
      <c r="B67" s="1">
        <v>1</v>
      </c>
      <c r="C67" s="1">
        <f>B67*$D$34</f>
        <v>17</v>
      </c>
      <c r="D67" s="1">
        <f>C67*$G$36</f>
        <v>1258</v>
      </c>
      <c r="E67" s="5">
        <f>B67*($H$36*$K$32) * $B$34</f>
        <v>43.2</v>
      </c>
      <c r="F67" s="24"/>
      <c r="G67" s="33" t="s">
        <v>19</v>
      </c>
      <c r="H67" s="1">
        <v>1</v>
      </c>
      <c r="I67" s="1">
        <f>H67*$D$35</f>
        <v>16</v>
      </c>
      <c r="J67" s="1">
        <f>I67*$G$36</f>
        <v>1184</v>
      </c>
      <c r="K67" s="5">
        <f>H67*($H$36*$K$32) * $B$35</f>
        <v>43.2</v>
      </c>
    </row>
    <row r="68" spans="1:11" x14ac:dyDescent="0.25">
      <c r="A68" s="30" t="s">
        <v>74</v>
      </c>
      <c r="B68" s="2" t="s">
        <v>75</v>
      </c>
      <c r="C68" s="2" t="s">
        <v>56</v>
      </c>
      <c r="D68" s="18" t="s">
        <v>54</v>
      </c>
      <c r="E68" s="9" t="s">
        <v>79</v>
      </c>
      <c r="F68" s="24"/>
      <c r="G68" s="30" t="s">
        <v>74</v>
      </c>
      <c r="H68" s="2" t="s">
        <v>75</v>
      </c>
      <c r="I68" s="2" t="s">
        <v>56</v>
      </c>
      <c r="J68" s="18" t="s">
        <v>54</v>
      </c>
      <c r="K68" s="9" t="s">
        <v>79</v>
      </c>
    </row>
    <row r="69" spans="1:11" ht="15.75" thickBot="1" x14ac:dyDescent="0.3">
      <c r="A69" s="6">
        <f>$K$31</f>
        <v>49</v>
      </c>
      <c r="B69" s="72">
        <f>(SUM(B64:B67)/2)*$K$30*4</f>
        <v>360</v>
      </c>
      <c r="C69" s="23">
        <f>$F$29*SUM(D64:D67)</f>
        <v>151.47</v>
      </c>
      <c r="D69" s="23">
        <f>SUM(E64:E67)+A69+B69</f>
        <v>560.20000000000005</v>
      </c>
      <c r="E69" s="7">
        <f>SUM(D64:D67)-D69-C69</f>
        <v>4337.33</v>
      </c>
      <c r="F69" s="24"/>
      <c r="G69" s="6">
        <f>$K$31</f>
        <v>49</v>
      </c>
      <c r="H69" s="72">
        <f>(SUM(H64:H67)/2)*$K$30*4</f>
        <v>360</v>
      </c>
      <c r="I69" s="23">
        <f>$F$29*SUM(J64:J67)</f>
        <v>142.56</v>
      </c>
      <c r="J69" s="23">
        <f>SUM(K64:K67)+G69+H69</f>
        <v>560.20000000000005</v>
      </c>
      <c r="K69" s="7">
        <f>SUM(J64:J67)-J69-I69</f>
        <v>4049.2400000000002</v>
      </c>
    </row>
    <row r="70" spans="1:11" ht="15.75" thickBot="1" x14ac:dyDescent="0.3">
      <c r="A70" s="25"/>
      <c r="B70" s="25"/>
      <c r="C70" s="25"/>
      <c r="D70" s="25"/>
      <c r="E70" s="25"/>
      <c r="F70" s="24"/>
      <c r="G70" s="24"/>
      <c r="H70" s="24"/>
      <c r="I70" s="24"/>
      <c r="J70" s="25"/>
      <c r="K70" s="25"/>
    </row>
    <row r="71" spans="1:11" ht="15.75" thickBot="1" x14ac:dyDescent="0.3">
      <c r="A71" s="78" t="s">
        <v>63</v>
      </c>
      <c r="B71" s="79"/>
      <c r="C71" s="79"/>
      <c r="D71" s="79"/>
      <c r="E71" s="80"/>
      <c r="F71" s="24"/>
      <c r="G71" s="78" t="s">
        <v>64</v>
      </c>
      <c r="H71" s="79"/>
      <c r="I71" s="79"/>
      <c r="J71" s="79"/>
      <c r="K71" s="80"/>
    </row>
    <row r="72" spans="1:11" x14ac:dyDescent="0.25">
      <c r="A72" s="31" t="s">
        <v>53</v>
      </c>
      <c r="B72" s="17" t="s">
        <v>122</v>
      </c>
      <c r="C72" s="17" t="s">
        <v>73</v>
      </c>
      <c r="D72" s="17" t="s">
        <v>55</v>
      </c>
      <c r="E72" s="32" t="s">
        <v>57</v>
      </c>
      <c r="F72" s="24"/>
      <c r="G72" s="31" t="s">
        <v>53</v>
      </c>
      <c r="H72" s="17" t="s">
        <v>122</v>
      </c>
      <c r="I72" s="17" t="s">
        <v>73</v>
      </c>
      <c r="J72" s="17" t="s">
        <v>55</v>
      </c>
      <c r="K72" s="32" t="s">
        <v>57</v>
      </c>
    </row>
    <row r="73" spans="1:11" x14ac:dyDescent="0.25">
      <c r="A73" s="33" t="s">
        <v>13</v>
      </c>
      <c r="B73" s="1">
        <v>1</v>
      </c>
      <c r="C73" s="1">
        <f>B73*$D$36</f>
        <v>15</v>
      </c>
      <c r="D73" s="1">
        <f>C73*$G$33</f>
        <v>1200</v>
      </c>
      <c r="E73" s="5">
        <f>B73*($H$33*$K$32) * $B$36</f>
        <v>38.4</v>
      </c>
      <c r="F73" s="24"/>
      <c r="G73" s="33" t="s">
        <v>13</v>
      </c>
      <c r="H73" s="1">
        <v>1</v>
      </c>
      <c r="I73" s="1">
        <f>H73*$D$37</f>
        <v>15</v>
      </c>
      <c r="J73" s="1">
        <f>I73*$G$33</f>
        <v>1200</v>
      </c>
      <c r="K73" s="5">
        <f>H73*($H$33*$K$32) * $B$37</f>
        <v>39.200000000000003</v>
      </c>
    </row>
    <row r="74" spans="1:11" x14ac:dyDescent="0.25">
      <c r="A74" s="33" t="s">
        <v>17</v>
      </c>
      <c r="B74" s="1">
        <v>1</v>
      </c>
      <c r="C74" s="1">
        <f>B74*$D$36</f>
        <v>15</v>
      </c>
      <c r="D74" s="1">
        <f>C74*$G$34</f>
        <v>1035</v>
      </c>
      <c r="E74" s="5">
        <f>B74*($H$34*$K$32) * $B$36</f>
        <v>19.2</v>
      </c>
      <c r="F74" s="24"/>
      <c r="G74" s="33" t="s">
        <v>17</v>
      </c>
      <c r="H74" s="1">
        <v>1</v>
      </c>
      <c r="I74" s="1">
        <f>H74*$D$37</f>
        <v>15</v>
      </c>
      <c r="J74" s="1">
        <f>I74*$G$34</f>
        <v>1035</v>
      </c>
      <c r="K74" s="5">
        <f>H74*($H$34*$K$32) * $B$37</f>
        <v>19.600000000000001</v>
      </c>
    </row>
    <row r="75" spans="1:11" x14ac:dyDescent="0.25">
      <c r="A75" s="33" t="s">
        <v>18</v>
      </c>
      <c r="B75" s="1">
        <v>1</v>
      </c>
      <c r="C75" s="1">
        <f>B75*$D$36</f>
        <v>15</v>
      </c>
      <c r="D75" s="1">
        <f>C75*$G$35</f>
        <v>1110</v>
      </c>
      <c r="E75" s="5">
        <f>B75*($H$35*$K$32) * $B$36</f>
        <v>38.4</v>
      </c>
      <c r="F75" s="24"/>
      <c r="G75" s="33" t="s">
        <v>18</v>
      </c>
      <c r="H75" s="1">
        <v>0</v>
      </c>
      <c r="I75" s="1">
        <f>H75*$D$37</f>
        <v>0</v>
      </c>
      <c r="J75" s="1">
        <f>I75*$G$35</f>
        <v>0</v>
      </c>
      <c r="K75" s="5">
        <f>H75*($H$35*$K$32) * $B$37</f>
        <v>0</v>
      </c>
    </row>
    <row r="76" spans="1:11" x14ac:dyDescent="0.25">
      <c r="A76" s="33" t="s">
        <v>19</v>
      </c>
      <c r="B76" s="1">
        <v>1</v>
      </c>
      <c r="C76" s="1">
        <f>B76*$D$36</f>
        <v>15</v>
      </c>
      <c r="D76" s="1">
        <f>C76*$G$36</f>
        <v>1110</v>
      </c>
      <c r="E76" s="5">
        <f>B76*($H$36*$K$32) * $B$36</f>
        <v>38.4</v>
      </c>
      <c r="F76" s="24"/>
      <c r="G76" s="33" t="s">
        <v>19</v>
      </c>
      <c r="H76" s="1">
        <v>1</v>
      </c>
      <c r="I76" s="1">
        <f>H76*$D$37</f>
        <v>15</v>
      </c>
      <c r="J76" s="1">
        <f>I76*$G$36</f>
        <v>1110</v>
      </c>
      <c r="K76" s="5">
        <f>H76*($H$36*$K$32) * $B$37</f>
        <v>39.200000000000003</v>
      </c>
    </row>
    <row r="77" spans="1:11" x14ac:dyDescent="0.25">
      <c r="A77" s="30" t="s">
        <v>74</v>
      </c>
      <c r="B77" s="2" t="s">
        <v>75</v>
      </c>
      <c r="C77" s="2" t="s">
        <v>56</v>
      </c>
      <c r="D77" s="18" t="s">
        <v>54</v>
      </c>
      <c r="E77" s="9" t="s">
        <v>79</v>
      </c>
      <c r="F77" s="24"/>
      <c r="G77" s="30" t="s">
        <v>74</v>
      </c>
      <c r="H77" s="2" t="s">
        <v>75</v>
      </c>
      <c r="I77" s="2" t="s">
        <v>56</v>
      </c>
      <c r="J77" s="18" t="s">
        <v>54</v>
      </c>
      <c r="K77" s="9" t="s">
        <v>79</v>
      </c>
    </row>
    <row r="78" spans="1:11" ht="15.75" thickBot="1" x14ac:dyDescent="0.3">
      <c r="A78" s="6">
        <f>$K$31</f>
        <v>49</v>
      </c>
      <c r="B78" s="72">
        <f>(SUM(B73:B76)/2)*$K$30*4</f>
        <v>360</v>
      </c>
      <c r="C78" s="23">
        <f>$F$29*SUM(D73:D76)</f>
        <v>133.65</v>
      </c>
      <c r="D78" s="23">
        <f>SUM(E73:E76)+A78+B78</f>
        <v>543.4</v>
      </c>
      <c r="E78" s="7">
        <f>SUM(D73:D76)-D78-C78</f>
        <v>3777.95</v>
      </c>
      <c r="F78" s="24"/>
      <c r="G78" s="6">
        <f>$K$31</f>
        <v>49</v>
      </c>
      <c r="H78" s="72">
        <f>(SUM(H73:H76)/2)*$K$30*4</f>
        <v>270</v>
      </c>
      <c r="I78" s="23">
        <f>$F$29*SUM(J73:J76)</f>
        <v>100.35</v>
      </c>
      <c r="J78" s="23">
        <f>SUM(K73:K76)+G78+H78</f>
        <v>417</v>
      </c>
      <c r="K78" s="7">
        <f>SUM(J73:J76)-J78-I78</f>
        <v>2827.65</v>
      </c>
    </row>
    <row r="79" spans="1:11" ht="15.75" thickBot="1" x14ac:dyDescent="0.3">
      <c r="A79" s="25"/>
      <c r="B79" s="25"/>
      <c r="C79" s="25"/>
      <c r="D79" s="25"/>
      <c r="E79" s="25"/>
      <c r="F79" s="24"/>
      <c r="G79" s="24"/>
      <c r="H79" s="24"/>
      <c r="I79" s="24"/>
      <c r="J79" s="25"/>
      <c r="K79" s="25"/>
    </row>
    <row r="80" spans="1:11" ht="15.75" thickBot="1" x14ac:dyDescent="0.3">
      <c r="A80" s="78" t="s">
        <v>65</v>
      </c>
      <c r="B80" s="79"/>
      <c r="C80" s="79"/>
      <c r="D80" s="79"/>
      <c r="E80" s="80"/>
      <c r="F80" s="24"/>
      <c r="G80" s="78" t="s">
        <v>66</v>
      </c>
      <c r="H80" s="79"/>
      <c r="I80" s="79"/>
      <c r="J80" s="79"/>
      <c r="K80" s="80"/>
    </row>
    <row r="81" spans="1:11" x14ac:dyDescent="0.25">
      <c r="A81" s="31" t="s">
        <v>53</v>
      </c>
      <c r="B81" s="17" t="s">
        <v>122</v>
      </c>
      <c r="C81" s="17" t="s">
        <v>73</v>
      </c>
      <c r="D81" s="17" t="s">
        <v>55</v>
      </c>
      <c r="E81" s="32" t="s">
        <v>57</v>
      </c>
      <c r="F81" s="24"/>
      <c r="G81" s="31" t="s">
        <v>53</v>
      </c>
      <c r="H81" s="17" t="s">
        <v>122</v>
      </c>
      <c r="I81" s="17" t="s">
        <v>73</v>
      </c>
      <c r="J81" s="17" t="s">
        <v>55</v>
      </c>
      <c r="K81" s="32" t="s">
        <v>57</v>
      </c>
    </row>
    <row r="82" spans="1:11" x14ac:dyDescent="0.25">
      <c r="A82" s="33" t="s">
        <v>13</v>
      </c>
      <c r="B82" s="1">
        <v>1</v>
      </c>
      <c r="C82" s="1">
        <f>B82*$D$38</f>
        <v>17</v>
      </c>
      <c r="D82" s="1">
        <f>C82*$G$33</f>
        <v>1360</v>
      </c>
      <c r="E82" s="5">
        <f>B82*($H$33*$K$32) * $B$38</f>
        <v>44.800000000000004</v>
      </c>
      <c r="F82" s="24"/>
      <c r="G82" s="33" t="s">
        <v>13</v>
      </c>
      <c r="H82" s="1">
        <v>1</v>
      </c>
      <c r="I82" s="1">
        <f>H82*$D$39</f>
        <v>17</v>
      </c>
      <c r="J82" s="1">
        <f>I82*$G$33</f>
        <v>1360</v>
      </c>
      <c r="K82" s="5">
        <f>H82*($H$33*$K$32) * $B$39</f>
        <v>44</v>
      </c>
    </row>
    <row r="83" spans="1:11" x14ac:dyDescent="0.25">
      <c r="A83" s="33" t="s">
        <v>17</v>
      </c>
      <c r="B83" s="1">
        <v>1</v>
      </c>
      <c r="C83" s="1">
        <f>B83*$D$38</f>
        <v>17</v>
      </c>
      <c r="D83" s="1">
        <f>C83*$G$34</f>
        <v>1173</v>
      </c>
      <c r="E83" s="5">
        <f>B83*($H$34*$K$32) * $B$38</f>
        <v>22.400000000000002</v>
      </c>
      <c r="F83" s="24"/>
      <c r="G83" s="33" t="s">
        <v>17</v>
      </c>
      <c r="H83" s="1">
        <v>1</v>
      </c>
      <c r="I83" s="1">
        <f>H83*$D$39</f>
        <v>17</v>
      </c>
      <c r="J83" s="1">
        <f>I83*$G$34</f>
        <v>1173</v>
      </c>
      <c r="K83" s="5">
        <f>H83*($H$34*$K$32) * $B$39</f>
        <v>22</v>
      </c>
    </row>
    <row r="84" spans="1:11" x14ac:dyDescent="0.25">
      <c r="A84" s="33" t="s">
        <v>18</v>
      </c>
      <c r="B84" s="1">
        <v>1</v>
      </c>
      <c r="C84" s="1">
        <f>B84*$D$38</f>
        <v>17</v>
      </c>
      <c r="D84" s="1">
        <f>C84*$G$35</f>
        <v>1258</v>
      </c>
      <c r="E84" s="5">
        <f>B84*($H$35*$K$32) * $B$38</f>
        <v>44.800000000000004</v>
      </c>
      <c r="F84" s="24"/>
      <c r="G84" s="33" t="s">
        <v>18</v>
      </c>
      <c r="H84" s="1">
        <v>1</v>
      </c>
      <c r="I84" s="1">
        <f>H84*$D$39</f>
        <v>17</v>
      </c>
      <c r="J84" s="1">
        <f>I84*$G$35</f>
        <v>1258</v>
      </c>
      <c r="K84" s="5">
        <f>H84*($H$35*$K$32) * $B$39</f>
        <v>44</v>
      </c>
    </row>
    <row r="85" spans="1:11" x14ac:dyDescent="0.25">
      <c r="A85" s="33" t="s">
        <v>19</v>
      </c>
      <c r="B85" s="1">
        <v>1</v>
      </c>
      <c r="C85" s="1">
        <f>B85*$D$38</f>
        <v>17</v>
      </c>
      <c r="D85" s="1">
        <f>C85*$G$36</f>
        <v>1258</v>
      </c>
      <c r="E85" s="5">
        <f>B85*($H$36*$K$32) * $B$38</f>
        <v>44.800000000000004</v>
      </c>
      <c r="F85" s="24"/>
      <c r="G85" s="33" t="s">
        <v>19</v>
      </c>
      <c r="H85" s="1">
        <v>1</v>
      </c>
      <c r="I85" s="1">
        <f>H85*$D$39</f>
        <v>17</v>
      </c>
      <c r="J85" s="1">
        <f>I85*$G$36</f>
        <v>1258</v>
      </c>
      <c r="K85" s="5">
        <f>H85*($H$36*$K$32) * $B$39</f>
        <v>44</v>
      </c>
    </row>
    <row r="86" spans="1:11" x14ac:dyDescent="0.25">
      <c r="A86" s="30" t="s">
        <v>74</v>
      </c>
      <c r="B86" s="2" t="s">
        <v>75</v>
      </c>
      <c r="C86" s="2" t="s">
        <v>56</v>
      </c>
      <c r="D86" s="18" t="s">
        <v>54</v>
      </c>
      <c r="E86" s="9" t="s">
        <v>79</v>
      </c>
      <c r="F86" s="24"/>
      <c r="G86" s="30" t="s">
        <v>74</v>
      </c>
      <c r="H86" s="2" t="s">
        <v>75</v>
      </c>
      <c r="I86" s="2" t="s">
        <v>56</v>
      </c>
      <c r="J86" s="18" t="s">
        <v>54</v>
      </c>
      <c r="K86" s="9" t="s">
        <v>79</v>
      </c>
    </row>
    <row r="87" spans="1:11" ht="15.75" thickBot="1" x14ac:dyDescent="0.3">
      <c r="A87" s="6">
        <f>$K$31</f>
        <v>49</v>
      </c>
      <c r="B87" s="72">
        <f>(SUM(B82:B85)/2)*$K$30*4</f>
        <v>360</v>
      </c>
      <c r="C87" s="23">
        <f>$F$29*SUM(D82:D85)</f>
        <v>151.47</v>
      </c>
      <c r="D87" s="23">
        <f>SUM(E82:E85)+A87+B87</f>
        <v>565.79999999999995</v>
      </c>
      <c r="E87" s="7">
        <f>SUM(D82:D85)-D87-C87</f>
        <v>4331.7299999999996</v>
      </c>
      <c r="F87" s="24"/>
      <c r="G87" s="6">
        <f>$K$31</f>
        <v>49</v>
      </c>
      <c r="H87" s="72">
        <f>(SUM(H82:H85)/2)*$K$30*4</f>
        <v>360</v>
      </c>
      <c r="I87" s="23">
        <f>$F$29*SUM(J82:J85)</f>
        <v>151.47</v>
      </c>
      <c r="J87" s="23">
        <f>SUM(K82:K85)+G87+H87</f>
        <v>563</v>
      </c>
      <c r="K87" s="7">
        <f>SUM(J82:J85)-J87-I87</f>
        <v>4334.53</v>
      </c>
    </row>
    <row r="88" spans="1:11" ht="15.75" thickBot="1" x14ac:dyDescent="0.3">
      <c r="A88" s="25"/>
      <c r="B88" s="25"/>
      <c r="C88" s="25"/>
      <c r="D88" s="25"/>
      <c r="E88" s="25"/>
      <c r="F88" s="24"/>
      <c r="G88" s="24"/>
      <c r="H88" s="24"/>
      <c r="I88" s="24"/>
      <c r="J88" s="25"/>
    </row>
    <row r="89" spans="1:11" ht="15.75" thickBot="1" x14ac:dyDescent="0.3">
      <c r="A89" s="78" t="s">
        <v>67</v>
      </c>
      <c r="B89" s="79"/>
      <c r="C89" s="79"/>
      <c r="D89" s="79"/>
      <c r="E89" s="80"/>
      <c r="F89" s="24"/>
      <c r="G89" s="78" t="s">
        <v>76</v>
      </c>
      <c r="H89" s="79"/>
      <c r="I89" s="79"/>
      <c r="J89" s="79"/>
      <c r="K89" s="80"/>
    </row>
    <row r="90" spans="1:11" x14ac:dyDescent="0.25">
      <c r="A90" s="31" t="s">
        <v>53</v>
      </c>
      <c r="B90" s="17" t="s">
        <v>122</v>
      </c>
      <c r="C90" s="17" t="s">
        <v>73</v>
      </c>
      <c r="D90" s="17" t="s">
        <v>55</v>
      </c>
      <c r="E90" s="32" t="s">
        <v>57</v>
      </c>
      <c r="F90" s="24"/>
      <c r="G90" s="31" t="s">
        <v>53</v>
      </c>
      <c r="H90" s="17" t="s">
        <v>122</v>
      </c>
      <c r="I90" s="17" t="s">
        <v>73</v>
      </c>
      <c r="J90" s="17" t="s">
        <v>55</v>
      </c>
      <c r="K90" s="32" t="s">
        <v>57</v>
      </c>
    </row>
    <row r="91" spans="1:11" x14ac:dyDescent="0.25">
      <c r="A91" s="33" t="s">
        <v>13</v>
      </c>
      <c r="B91" s="1">
        <v>1</v>
      </c>
      <c r="C91" s="1">
        <f>B91*$D$40</f>
        <v>14</v>
      </c>
      <c r="D91" s="1">
        <f>C91*$G$33</f>
        <v>1120</v>
      </c>
      <c r="E91" s="5">
        <f>B91*($H$33*$K$32) * $B$40</f>
        <v>37.599999999999994</v>
      </c>
      <c r="F91" s="24"/>
      <c r="G91" s="33" t="s">
        <v>13</v>
      </c>
      <c r="H91" s="1">
        <v>1</v>
      </c>
      <c r="I91" s="1">
        <f>H91*$D$41</f>
        <v>14</v>
      </c>
      <c r="J91" s="1">
        <f>I91*$G$33</f>
        <v>1120</v>
      </c>
      <c r="K91" s="5">
        <f>H91*($H$33*$K$32) * $B$41</f>
        <v>35.200000000000003</v>
      </c>
    </row>
    <row r="92" spans="1:11" x14ac:dyDescent="0.25">
      <c r="A92" s="33" t="s">
        <v>17</v>
      </c>
      <c r="B92" s="1">
        <v>1</v>
      </c>
      <c r="C92" s="1">
        <f>B92*$D$40</f>
        <v>14</v>
      </c>
      <c r="D92" s="1">
        <f>C92*$G$34</f>
        <v>966</v>
      </c>
      <c r="E92" s="5">
        <f>B92*($H$34*$K$32) * $B$40</f>
        <v>18.799999999999997</v>
      </c>
      <c r="F92" s="24"/>
      <c r="G92" s="33" t="s">
        <v>17</v>
      </c>
      <c r="H92" s="1">
        <v>1</v>
      </c>
      <c r="I92" s="1">
        <f>H92*$D$41</f>
        <v>14</v>
      </c>
      <c r="J92" s="1">
        <f>I92*$G$34</f>
        <v>966</v>
      </c>
      <c r="K92" s="5">
        <f>H92*($H$34*$K$32) * $B$41</f>
        <v>17.600000000000001</v>
      </c>
    </row>
    <row r="93" spans="1:11" x14ac:dyDescent="0.25">
      <c r="A93" s="33" t="s">
        <v>18</v>
      </c>
      <c r="B93" s="1">
        <v>0</v>
      </c>
      <c r="C93" s="1">
        <f>B93*$D$40</f>
        <v>0</v>
      </c>
      <c r="D93" s="1">
        <f>C93*$G$35</f>
        <v>0</v>
      </c>
      <c r="E93" s="5">
        <f>B93*($H$35*$K$32) * $B$40</f>
        <v>0</v>
      </c>
      <c r="F93" s="24"/>
      <c r="G93" s="33" t="s">
        <v>18</v>
      </c>
      <c r="H93" s="1">
        <v>1</v>
      </c>
      <c r="I93" s="1">
        <f>H93*$D$41</f>
        <v>14</v>
      </c>
      <c r="J93" s="1">
        <f>I93*$G$35</f>
        <v>1036</v>
      </c>
      <c r="K93" s="5">
        <f>H93*($H$35*$K$32) * $B$41</f>
        <v>35.200000000000003</v>
      </c>
    </row>
    <row r="94" spans="1:11" x14ac:dyDescent="0.25">
      <c r="A94" s="33" t="s">
        <v>19</v>
      </c>
      <c r="B94" s="1">
        <v>0</v>
      </c>
      <c r="C94" s="1">
        <f>B94*$D$40</f>
        <v>0</v>
      </c>
      <c r="D94" s="1">
        <f>C94*$G$36</f>
        <v>0</v>
      </c>
      <c r="E94" s="5">
        <f>B94*($H$36*$K$32) * $B$40</f>
        <v>0</v>
      </c>
      <c r="F94" s="24"/>
      <c r="G94" s="33" t="s">
        <v>19</v>
      </c>
      <c r="H94" s="1">
        <v>1</v>
      </c>
      <c r="I94" s="1">
        <f>H94*$D$41</f>
        <v>14</v>
      </c>
      <c r="J94" s="1">
        <f>I94*$G$36</f>
        <v>1036</v>
      </c>
      <c r="K94" s="5">
        <f>H94*($H$36*$K$32) * $B$41</f>
        <v>35.200000000000003</v>
      </c>
    </row>
    <row r="95" spans="1:11" x14ac:dyDescent="0.25">
      <c r="A95" s="30" t="s">
        <v>74</v>
      </c>
      <c r="B95" s="2" t="s">
        <v>75</v>
      </c>
      <c r="C95" s="2" t="s">
        <v>56</v>
      </c>
      <c r="D95" s="18" t="s">
        <v>54</v>
      </c>
      <c r="E95" s="9" t="s">
        <v>79</v>
      </c>
      <c r="F95" s="24"/>
      <c r="G95" s="30" t="s">
        <v>74</v>
      </c>
      <c r="H95" s="2" t="s">
        <v>75</v>
      </c>
      <c r="I95" s="2" t="s">
        <v>56</v>
      </c>
      <c r="J95" s="18" t="s">
        <v>54</v>
      </c>
      <c r="K95" s="9" t="s">
        <v>79</v>
      </c>
    </row>
    <row r="96" spans="1:11" ht="15.75" thickBot="1" x14ac:dyDescent="0.3">
      <c r="A96" s="6">
        <f>$K$31</f>
        <v>49</v>
      </c>
      <c r="B96" s="72">
        <f>(SUM(B91:B94)/2)*$K$30*4</f>
        <v>180</v>
      </c>
      <c r="C96" s="23">
        <f>$F$29*SUM(D91:D94)</f>
        <v>62.58</v>
      </c>
      <c r="D96" s="23">
        <f>SUM(E91:E94)+A96+B96</f>
        <v>285.39999999999998</v>
      </c>
      <c r="E96" s="7">
        <f>SUM(D91:D94)-D96-C96</f>
        <v>1738.02</v>
      </c>
      <c r="F96" s="24"/>
      <c r="G96" s="6">
        <f>$K$31</f>
        <v>49</v>
      </c>
      <c r="H96" s="72">
        <f>(SUM(H91:H94)/2)*$K$30*4</f>
        <v>360</v>
      </c>
      <c r="I96" s="23">
        <f>$F$29*SUM(J91:J94)</f>
        <v>124.74</v>
      </c>
      <c r="J96" s="23">
        <f>SUM(K91:K94)+G96+H96</f>
        <v>532.20000000000005</v>
      </c>
      <c r="K96" s="7">
        <f>SUM(J91:J94)-J96-I96</f>
        <v>3501.0600000000004</v>
      </c>
    </row>
    <row r="97" spans="1:9" ht="15.75" thickBot="1" x14ac:dyDescent="0.3">
      <c r="F97" s="24"/>
      <c r="G97" s="24"/>
      <c r="H97" s="24"/>
      <c r="I97" s="24"/>
    </row>
    <row r="98" spans="1:9" x14ac:dyDescent="0.25">
      <c r="A98" s="70" t="s">
        <v>92</v>
      </c>
      <c r="B98" s="76">
        <f>E51+K51+E60+K60+E69+K69+E78+K78+E87+K87+E96+K96</f>
        <v>34170.15</v>
      </c>
      <c r="F98" s="24"/>
      <c r="G98" s="24"/>
      <c r="H98" s="24"/>
      <c r="I98" s="24"/>
    </row>
    <row r="99" spans="1:9" x14ac:dyDescent="0.25">
      <c r="A99" s="8" t="s">
        <v>36</v>
      </c>
      <c r="B99" s="75">
        <f>B98-O37</f>
        <v>30457.852000000003</v>
      </c>
      <c r="C99" t="s">
        <v>123</v>
      </c>
      <c r="F99" s="24"/>
      <c r="G99" s="24"/>
      <c r="H99" s="24"/>
      <c r="I99" s="24"/>
    </row>
    <row r="100" spans="1:9" ht="15.75" thickBot="1" x14ac:dyDescent="0.3">
      <c r="A100" s="28" t="s">
        <v>117</v>
      </c>
      <c r="B100" s="48">
        <f>B99-O38-MAX(0,B105-5000)</f>
        <v>30457.852000000003</v>
      </c>
      <c r="F100" s="24"/>
      <c r="G100" s="24"/>
      <c r="H100" s="24"/>
      <c r="I100" s="24"/>
    </row>
    <row r="101" spans="1:9" x14ac:dyDescent="0.25">
      <c r="F101" s="24"/>
      <c r="G101" s="24"/>
      <c r="H101" s="24"/>
      <c r="I101" s="24"/>
    </row>
    <row r="102" spans="1:9" x14ac:dyDescent="0.25">
      <c r="F102" s="24"/>
      <c r="G102" s="24"/>
      <c r="H102" s="24"/>
      <c r="I102" s="24"/>
    </row>
    <row r="103" spans="1:9" ht="15.75" thickBot="1" x14ac:dyDescent="0.3">
      <c r="F103" s="24"/>
      <c r="G103" s="24"/>
      <c r="H103" s="24"/>
      <c r="I103" s="24"/>
    </row>
    <row r="104" spans="1:9" x14ac:dyDescent="0.25">
      <c r="A104" s="84" t="s">
        <v>40</v>
      </c>
      <c r="B104" s="85"/>
      <c r="C104" s="85"/>
      <c r="D104" s="86"/>
      <c r="F104" s="24"/>
      <c r="G104" s="24"/>
      <c r="H104" s="24"/>
      <c r="I104" s="24"/>
    </row>
    <row r="105" spans="1:9" s="52" customFormat="1" x14ac:dyDescent="0.25">
      <c r="A105" s="49" t="s">
        <v>77</v>
      </c>
      <c r="B105" s="50">
        <f>$K$36</f>
        <v>4954.7999999999993</v>
      </c>
      <c r="C105" s="50" t="s">
        <v>78</v>
      </c>
      <c r="D105" s="51">
        <f>$G$39</f>
        <v>5000</v>
      </c>
    </row>
    <row r="106" spans="1:9" ht="15.75" thickBot="1" x14ac:dyDescent="0.3">
      <c r="A106" s="6" t="s">
        <v>118</v>
      </c>
      <c r="B106" s="40">
        <f>MAX(K37:K40)</f>
        <v>153</v>
      </c>
      <c r="C106" s="40" t="s">
        <v>41</v>
      </c>
      <c r="D106" s="41">
        <f>$G$40</f>
        <v>31</v>
      </c>
    </row>
    <row r="107" spans="1:9" x14ac:dyDescent="0.25">
      <c r="A107" s="25"/>
      <c r="B107" s="46"/>
      <c r="C107" s="46"/>
      <c r="D107" s="46"/>
    </row>
    <row r="108" spans="1:9" x14ac:dyDescent="0.25">
      <c r="A108" s="25"/>
      <c r="B108" s="46"/>
      <c r="C108" s="46"/>
      <c r="D108" s="46"/>
    </row>
    <row r="109" spans="1:9" x14ac:dyDescent="0.25">
      <c r="A109" s="25"/>
      <c r="B109" s="46"/>
      <c r="C109" s="46"/>
      <c r="D109" s="46"/>
    </row>
    <row r="110" spans="1:9" x14ac:dyDescent="0.25">
      <c r="A110" s="25"/>
    </row>
    <row r="111" spans="1:9" x14ac:dyDescent="0.25">
      <c r="A111" s="25"/>
    </row>
    <row r="112" spans="1:9" x14ac:dyDescent="0.25">
      <c r="A112" s="25"/>
    </row>
    <row r="113" spans="1:1" x14ac:dyDescent="0.25">
      <c r="A113" s="25"/>
    </row>
    <row r="114" spans="1:1" x14ac:dyDescent="0.25">
      <c r="A114" s="25"/>
    </row>
    <row r="115" spans="1:1" x14ac:dyDescent="0.25">
      <c r="A115" s="25"/>
    </row>
    <row r="116" spans="1:1" x14ac:dyDescent="0.25">
      <c r="A116" s="25"/>
    </row>
    <row r="117" spans="1:1" x14ac:dyDescent="0.25">
      <c r="A117" s="25"/>
    </row>
    <row r="118" spans="1:1" x14ac:dyDescent="0.25">
      <c r="A118" s="25"/>
    </row>
  </sheetData>
  <mergeCells count="19">
    <mergeCell ref="A104:D104"/>
    <mergeCell ref="A71:E71"/>
    <mergeCell ref="G71:K71"/>
    <mergeCell ref="A80:E80"/>
    <mergeCell ref="G80:K80"/>
    <mergeCell ref="A89:E89"/>
    <mergeCell ref="G89:K89"/>
    <mergeCell ref="A44:E44"/>
    <mergeCell ref="G44:K44"/>
    <mergeCell ref="A53:E53"/>
    <mergeCell ref="G53:K53"/>
    <mergeCell ref="A62:E62"/>
    <mergeCell ref="G62:K62"/>
    <mergeCell ref="A43:C43"/>
    <mergeCell ref="A28:D28"/>
    <mergeCell ref="J28:K28"/>
    <mergeCell ref="M28:O28"/>
    <mergeCell ref="F31:H31"/>
    <mergeCell ref="J35:K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v>1</v>
      </c>
    </row>
    <row r="2" spans="1:2" x14ac:dyDescent="0.25">
      <c r="A2" t="s">
        <v>93</v>
      </c>
    </row>
    <row r="3" spans="1:2" x14ac:dyDescent="0.25">
      <c r="A3">
        <v>1</v>
      </c>
    </row>
    <row r="4" spans="1:2" x14ac:dyDescent="0.25">
      <c r="A4">
        <v>4000</v>
      </c>
    </row>
    <row r="5" spans="1:2" x14ac:dyDescent="0.25">
      <c r="A5">
        <v>10000</v>
      </c>
    </row>
    <row r="6" spans="1:2" x14ac:dyDescent="0.25">
      <c r="A6">
        <v>500</v>
      </c>
    </row>
    <row r="8" spans="1:2" x14ac:dyDescent="0.25">
      <c r="A8" s="53"/>
      <c r="B8" s="53"/>
    </row>
    <row r="9" spans="1:2" x14ac:dyDescent="0.25">
      <c r="A9" t="s">
        <v>94</v>
      </c>
    </row>
    <row r="10" spans="1:2" x14ac:dyDescent="0.25">
      <c r="A10" t="s">
        <v>95</v>
      </c>
    </row>
    <row r="15" spans="1:2" x14ac:dyDescent="0.25">
      <c r="B15"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sheetData>
    <row r="1" spans="1:2" x14ac:dyDescent="0.25">
      <c r="A1">
        <v>1</v>
      </c>
      <c r="B1">
        <v>1</v>
      </c>
    </row>
    <row r="2" spans="1:2" x14ac:dyDescent="0.25">
      <c r="A2" t="s">
        <v>93</v>
      </c>
      <c r="B2" t="s">
        <v>102</v>
      </c>
    </row>
    <row r="3" spans="1:2" x14ac:dyDescent="0.25">
      <c r="A3">
        <v>1</v>
      </c>
      <c r="B3">
        <v>1</v>
      </c>
    </row>
    <row r="4" spans="1:2" x14ac:dyDescent="0.25">
      <c r="A4">
        <v>4000</v>
      </c>
      <c r="B4">
        <v>1</v>
      </c>
    </row>
    <row r="5" spans="1:2" x14ac:dyDescent="0.25">
      <c r="A5">
        <v>10000</v>
      </c>
      <c r="B5">
        <v>2</v>
      </c>
    </row>
    <row r="6" spans="1:2" x14ac:dyDescent="0.25">
      <c r="A6">
        <v>500</v>
      </c>
      <c r="B6">
        <v>1</v>
      </c>
    </row>
    <row r="8" spans="1:2" x14ac:dyDescent="0.25">
      <c r="A8" s="53"/>
      <c r="B8" s="53" t="s">
        <v>103</v>
      </c>
    </row>
    <row r="9" spans="1:2" x14ac:dyDescent="0.25">
      <c r="A9" t="s">
        <v>119</v>
      </c>
      <c r="B9" t="s">
        <v>104</v>
      </c>
    </row>
    <row r="10" spans="1:2" x14ac:dyDescent="0.25">
      <c r="A10" t="s">
        <v>126</v>
      </c>
      <c r="B10">
        <v>1</v>
      </c>
    </row>
    <row r="11" spans="1:2" x14ac:dyDescent="0.25">
      <c r="B11">
        <v>1</v>
      </c>
    </row>
    <row r="12" spans="1:2" x14ac:dyDescent="0.25">
      <c r="B12">
        <v>2</v>
      </c>
    </row>
    <row r="13" spans="1:2" x14ac:dyDescent="0.25">
      <c r="B13">
        <v>1</v>
      </c>
    </row>
    <row r="15" spans="1:2" x14ac:dyDescent="0.25">
      <c r="B15" s="53" t="s">
        <v>103</v>
      </c>
    </row>
    <row r="16" spans="1:2" x14ac:dyDescent="0.25">
      <c r="B16" t="s">
        <v>105</v>
      </c>
    </row>
    <row r="17" spans="2:2" x14ac:dyDescent="0.25">
      <c r="B17" t="s">
        <v>18</v>
      </c>
    </row>
    <row r="18" spans="2:2" x14ac:dyDescent="0.25">
      <c r="B18"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sheetData>
    <row r="1" spans="1:2" x14ac:dyDescent="0.25">
      <c r="A1">
        <v>1</v>
      </c>
      <c r="B1">
        <v>1</v>
      </c>
    </row>
    <row r="2" spans="1:2" x14ac:dyDescent="0.25">
      <c r="A2" t="s">
        <v>93</v>
      </c>
      <c r="B2" t="s">
        <v>102</v>
      </c>
    </row>
    <row r="3" spans="1:2" x14ac:dyDescent="0.25">
      <c r="A3">
        <v>1</v>
      </c>
      <c r="B3">
        <v>1</v>
      </c>
    </row>
    <row r="4" spans="1:2" x14ac:dyDescent="0.25">
      <c r="A4">
        <v>4000</v>
      </c>
      <c r="B4">
        <v>1</v>
      </c>
    </row>
    <row r="5" spans="1:2" x14ac:dyDescent="0.25">
      <c r="A5">
        <v>10000</v>
      </c>
      <c r="B5">
        <v>2</v>
      </c>
    </row>
    <row r="6" spans="1:2" x14ac:dyDescent="0.25">
      <c r="A6">
        <v>500</v>
      </c>
      <c r="B6">
        <v>1</v>
      </c>
    </row>
    <row r="8" spans="1:2" x14ac:dyDescent="0.25">
      <c r="A8" s="53"/>
      <c r="B8" s="53" t="s">
        <v>103</v>
      </c>
    </row>
    <row r="9" spans="1:2" x14ac:dyDescent="0.25">
      <c r="A9" t="s">
        <v>119</v>
      </c>
      <c r="B9" t="s">
        <v>104</v>
      </c>
    </row>
    <row r="10" spans="1:2" x14ac:dyDescent="0.25">
      <c r="A10" t="s">
        <v>115</v>
      </c>
      <c r="B10">
        <v>1</v>
      </c>
    </row>
    <row r="11" spans="1:2" x14ac:dyDescent="0.25">
      <c r="B11">
        <v>1</v>
      </c>
    </row>
    <row r="12" spans="1:2" x14ac:dyDescent="0.25">
      <c r="B12">
        <v>2</v>
      </c>
    </row>
    <row r="13" spans="1:2" x14ac:dyDescent="0.25">
      <c r="B13">
        <v>1</v>
      </c>
    </row>
    <row r="15" spans="1:2" x14ac:dyDescent="0.25">
      <c r="B15" s="53" t="s">
        <v>103</v>
      </c>
    </row>
    <row r="16" spans="1:2" x14ac:dyDescent="0.25">
      <c r="B16" t="s">
        <v>105</v>
      </c>
    </row>
    <row r="17" spans="2:2" x14ac:dyDescent="0.25">
      <c r="B17" t="s">
        <v>18</v>
      </c>
    </row>
    <row r="18" spans="2:2" x14ac:dyDescent="0.25">
      <c r="B18"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
  <sheetViews>
    <sheetView tabSelected="1" workbookViewId="0">
      <selection activeCell="K4" sqref="K4"/>
    </sheetView>
  </sheetViews>
  <sheetFormatPr defaultRowHeight="15" x14ac:dyDescent="0.25"/>
  <cols>
    <col min="2" max="2" width="14.42578125" customWidth="1"/>
    <col min="3" max="3" width="13.7109375" customWidth="1"/>
    <col min="4" max="4" width="17.140625" customWidth="1"/>
    <col min="5" max="5" width="13.7109375" customWidth="1"/>
    <col min="6" max="6" width="13.28515625" customWidth="1"/>
    <col min="7" max="7" width="15.7109375" customWidth="1"/>
  </cols>
  <sheetData>
    <row r="1" spans="1:11" x14ac:dyDescent="0.25">
      <c r="A1" s="54" t="s">
        <v>116</v>
      </c>
      <c r="K1" s="57" t="str">
        <f>CONCATENATE("Sensitivity of ",$K$4," to ","Budget Constraint")</f>
        <v>Sensitivity of $K$36 to Budget Constraint</v>
      </c>
    </row>
    <row r="2" spans="1:11" x14ac:dyDescent="0.25">
      <c r="A2" t="s">
        <v>127</v>
      </c>
    </row>
    <row r="3" spans="1:11" x14ac:dyDescent="0.25">
      <c r="B3" t="s">
        <v>124</v>
      </c>
      <c r="C3" t="s">
        <v>125</v>
      </c>
      <c r="D3" t="s">
        <v>128</v>
      </c>
      <c r="E3" t="s">
        <v>129</v>
      </c>
      <c r="F3" t="s">
        <v>18</v>
      </c>
      <c r="G3" t="s">
        <v>19</v>
      </c>
      <c r="K3" t="s">
        <v>101</v>
      </c>
    </row>
    <row r="4" spans="1:11" ht="37.5" x14ac:dyDescent="0.25">
      <c r="B4" s="69" t="s">
        <v>120</v>
      </c>
      <c r="C4" s="69" t="s">
        <v>106</v>
      </c>
      <c r="D4" s="69" t="s">
        <v>96</v>
      </c>
      <c r="E4" s="69" t="s">
        <v>97</v>
      </c>
      <c r="F4" s="69" t="s">
        <v>98</v>
      </c>
      <c r="G4" s="69" t="s">
        <v>99</v>
      </c>
      <c r="J4" s="57">
        <f>MATCH($K$4,OutputAddresses,0)</f>
        <v>2</v>
      </c>
      <c r="K4" s="56" t="s">
        <v>106</v>
      </c>
    </row>
    <row r="5" spans="1:11" x14ac:dyDescent="0.25">
      <c r="A5" s="55">
        <v>4000</v>
      </c>
      <c r="B5" s="58">
        <v>24898.179199999999</v>
      </c>
      <c r="C5" s="59">
        <v>4082.0000000000005</v>
      </c>
      <c r="D5" s="59">
        <v>140</v>
      </c>
      <c r="E5" s="59">
        <v>140</v>
      </c>
      <c r="F5" s="59">
        <v>67</v>
      </c>
      <c r="G5" s="60">
        <v>96</v>
      </c>
      <c r="K5">
        <f>INDEX(OutputValues,1,$J$4)</f>
        <v>4082.0000000000005</v>
      </c>
    </row>
    <row r="6" spans="1:11" x14ac:dyDescent="0.25">
      <c r="A6" s="55">
        <v>4500</v>
      </c>
      <c r="B6" s="61">
        <v>27459.929599999999</v>
      </c>
      <c r="C6" s="62">
        <v>4472.8</v>
      </c>
      <c r="D6" s="62">
        <v>140</v>
      </c>
      <c r="E6" s="62">
        <v>140</v>
      </c>
      <c r="F6" s="62">
        <v>97</v>
      </c>
      <c r="G6" s="63">
        <v>112</v>
      </c>
      <c r="K6">
        <f>INDEX(OutputValues,2,$J$4)</f>
        <v>4472.8</v>
      </c>
    </row>
    <row r="7" spans="1:11" x14ac:dyDescent="0.25">
      <c r="A7" s="55">
        <v>5000</v>
      </c>
      <c r="B7" s="61">
        <v>30457.852000000003</v>
      </c>
      <c r="C7" s="62">
        <v>4954.7999999999993</v>
      </c>
      <c r="D7" s="62">
        <v>153</v>
      </c>
      <c r="E7" s="62">
        <v>153</v>
      </c>
      <c r="F7" s="62">
        <v>111</v>
      </c>
      <c r="G7" s="63">
        <v>126</v>
      </c>
      <c r="K7">
        <f>INDEX(OutputValues,3,$J$4)</f>
        <v>4954.7999999999993</v>
      </c>
    </row>
    <row r="8" spans="1:11" x14ac:dyDescent="0.25">
      <c r="A8" s="55">
        <v>5500</v>
      </c>
      <c r="B8" s="61">
        <v>33083.826399999998</v>
      </c>
      <c r="C8" s="62">
        <v>5463.5999999999995</v>
      </c>
      <c r="D8" s="62">
        <v>153</v>
      </c>
      <c r="E8" s="62">
        <v>153</v>
      </c>
      <c r="F8" s="62">
        <v>140</v>
      </c>
      <c r="G8" s="63">
        <v>153</v>
      </c>
      <c r="K8">
        <f>INDEX(OutputValues,4,$J$4)</f>
        <v>5463.5999999999995</v>
      </c>
    </row>
    <row r="9" spans="1:11" x14ac:dyDescent="0.25">
      <c r="A9" s="55">
        <v>6000</v>
      </c>
      <c r="B9" s="61">
        <v>34923.637596772765</v>
      </c>
      <c r="C9" s="62">
        <v>5925.2000017166147</v>
      </c>
      <c r="D9" s="62">
        <v>172</v>
      </c>
      <c r="E9" s="62">
        <v>163</v>
      </c>
      <c r="F9" s="62">
        <v>153</v>
      </c>
      <c r="G9" s="63">
        <v>153</v>
      </c>
      <c r="K9">
        <f>INDEX(OutputValues,5,$J$4)</f>
        <v>5925.2000017166147</v>
      </c>
    </row>
    <row r="10" spans="1:11" x14ac:dyDescent="0.25">
      <c r="A10" s="55">
        <v>6500</v>
      </c>
      <c r="B10" s="61">
        <v>36786.958392469794</v>
      </c>
      <c r="C10" s="62">
        <v>6492.800004005433</v>
      </c>
      <c r="D10" s="62">
        <v>172</v>
      </c>
      <c r="E10" s="62">
        <v>172</v>
      </c>
      <c r="F10" s="62">
        <v>172</v>
      </c>
      <c r="G10" s="63">
        <v>172</v>
      </c>
      <c r="K10">
        <f>INDEX(OutputValues,6,$J$4)</f>
        <v>6492.800004005433</v>
      </c>
    </row>
    <row r="11" spans="1:11" x14ac:dyDescent="0.25">
      <c r="A11" s="55">
        <v>7000</v>
      </c>
      <c r="B11" s="61">
        <v>36786.958392469794</v>
      </c>
      <c r="C11" s="62">
        <v>6492.800004005433</v>
      </c>
      <c r="D11" s="62">
        <v>172</v>
      </c>
      <c r="E11" s="62">
        <v>172</v>
      </c>
      <c r="F11" s="62">
        <v>172</v>
      </c>
      <c r="G11" s="63">
        <v>172</v>
      </c>
      <c r="K11">
        <f>INDEX(OutputValues,7,$J$4)</f>
        <v>6492.800004005433</v>
      </c>
    </row>
    <row r="12" spans="1:11" x14ac:dyDescent="0.25">
      <c r="A12" s="55">
        <v>7500</v>
      </c>
      <c r="B12" s="61">
        <v>36786.958392469794</v>
      </c>
      <c r="C12" s="62">
        <v>6492.800004005433</v>
      </c>
      <c r="D12" s="62">
        <v>172</v>
      </c>
      <c r="E12" s="62">
        <v>172</v>
      </c>
      <c r="F12" s="62">
        <v>172</v>
      </c>
      <c r="G12" s="63">
        <v>172</v>
      </c>
      <c r="K12">
        <f>INDEX(OutputValues,8,$J$4)</f>
        <v>6492.800004005433</v>
      </c>
    </row>
    <row r="13" spans="1:11" x14ac:dyDescent="0.25">
      <c r="A13" s="55">
        <v>8000</v>
      </c>
      <c r="B13" s="61">
        <v>36786.958392469794</v>
      </c>
      <c r="C13" s="62">
        <v>6492.800004005433</v>
      </c>
      <c r="D13" s="62">
        <v>172</v>
      </c>
      <c r="E13" s="62">
        <v>172</v>
      </c>
      <c r="F13" s="62">
        <v>172</v>
      </c>
      <c r="G13" s="63">
        <v>172</v>
      </c>
      <c r="K13">
        <f>INDEX(OutputValues,9,$J$4)</f>
        <v>6492.800004005433</v>
      </c>
    </row>
    <row r="14" spans="1:11" x14ac:dyDescent="0.25">
      <c r="A14" s="55">
        <v>8500</v>
      </c>
      <c r="B14" s="61">
        <v>36786.958392469794</v>
      </c>
      <c r="C14" s="62">
        <v>6492.800004005433</v>
      </c>
      <c r="D14" s="62">
        <v>172</v>
      </c>
      <c r="E14" s="62">
        <v>172</v>
      </c>
      <c r="F14" s="62">
        <v>172</v>
      </c>
      <c r="G14" s="63">
        <v>172</v>
      </c>
      <c r="K14">
        <f>INDEX(OutputValues,10,$J$4)</f>
        <v>6492.800004005433</v>
      </c>
    </row>
    <row r="15" spans="1:11" x14ac:dyDescent="0.25">
      <c r="A15" s="55">
        <v>9000</v>
      </c>
      <c r="B15" s="61">
        <v>36786.958392469794</v>
      </c>
      <c r="C15" s="62">
        <v>6492.800004005433</v>
      </c>
      <c r="D15" s="62">
        <v>172</v>
      </c>
      <c r="E15" s="62">
        <v>172</v>
      </c>
      <c r="F15" s="62">
        <v>172</v>
      </c>
      <c r="G15" s="63">
        <v>172</v>
      </c>
      <c r="K15">
        <f>INDEX(OutputValues,11,$J$4)</f>
        <v>6492.800004005433</v>
      </c>
    </row>
    <row r="16" spans="1:11" x14ac:dyDescent="0.25">
      <c r="A16" s="55">
        <v>9500</v>
      </c>
      <c r="B16" s="61">
        <v>36786.958392469794</v>
      </c>
      <c r="C16" s="62">
        <v>6492.800004005433</v>
      </c>
      <c r="D16" s="62">
        <v>172</v>
      </c>
      <c r="E16" s="62">
        <v>172</v>
      </c>
      <c r="F16" s="62">
        <v>172</v>
      </c>
      <c r="G16" s="63">
        <v>172</v>
      </c>
      <c r="K16">
        <f>INDEX(OutputValues,12,$J$4)</f>
        <v>6492.800004005433</v>
      </c>
    </row>
    <row r="17" spans="1:11" x14ac:dyDescent="0.25">
      <c r="A17" s="55">
        <v>10000</v>
      </c>
      <c r="B17" s="64">
        <v>36786.958392469794</v>
      </c>
      <c r="C17" s="65">
        <v>6492.800004005433</v>
      </c>
      <c r="D17" s="65">
        <v>172</v>
      </c>
      <c r="E17" s="65">
        <v>172</v>
      </c>
      <c r="F17" s="65">
        <v>172</v>
      </c>
      <c r="G17" s="66">
        <v>172</v>
      </c>
      <c r="K17">
        <f>INDEX(OutputValues,13,$J$4)</f>
        <v>6492.800004005433</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6"/>
  <sheetViews>
    <sheetView workbookViewId="0">
      <selection activeCell="V29" sqref="V29"/>
    </sheetView>
  </sheetViews>
  <sheetFormatPr defaultRowHeight="15" x14ac:dyDescent="0.25"/>
  <cols>
    <col min="1" max="1" width="35.7109375" customWidth="1"/>
  </cols>
  <sheetData>
    <row r="1" spans="1:52" x14ac:dyDescent="0.25">
      <c r="A1" s="54" t="s">
        <v>107</v>
      </c>
      <c r="K1" s="57" t="str">
        <f>CONCATENATE("Sensitivity of ",$K$4," to ","Harlem Vacation")</f>
        <v>Sensitivity of $B$99 to Harlem Vacation</v>
      </c>
      <c r="O1" s="57" t="str">
        <f>CONCATENATE("Sensitivity of ",$O$4," to ","Harlem Oasis")</f>
        <v>Sensitivity of $B$99 to Harlem Oasis</v>
      </c>
    </row>
    <row r="2" spans="1:52" x14ac:dyDescent="0.25">
      <c r="K2" t="s">
        <v>109</v>
      </c>
      <c r="O2" t="s">
        <v>112</v>
      </c>
      <c r="AZ2" t="s">
        <v>100</v>
      </c>
    </row>
    <row r="3" spans="1:52" x14ac:dyDescent="0.25">
      <c r="A3" t="s">
        <v>108</v>
      </c>
      <c r="K3" t="s">
        <v>110</v>
      </c>
      <c r="L3" t="s">
        <v>111</v>
      </c>
      <c r="O3" t="s">
        <v>110</v>
      </c>
      <c r="P3" t="s">
        <v>113</v>
      </c>
      <c r="AZ3" t="s">
        <v>106</v>
      </c>
    </row>
    <row r="4" spans="1:52" ht="32.25" x14ac:dyDescent="0.25">
      <c r="A4" s="67" t="s">
        <v>130</v>
      </c>
      <c r="B4" s="55">
        <v>1</v>
      </c>
      <c r="C4" s="55">
        <v>2</v>
      </c>
      <c r="J4" s="57">
        <f>MATCH($K$4,OutputAddresses,0)</f>
        <v>1</v>
      </c>
      <c r="K4" s="56" t="s">
        <v>100</v>
      </c>
      <c r="L4" s="68">
        <v>1</v>
      </c>
      <c r="M4" s="57">
        <f>MATCH($L$4,InputValues1,0)</f>
        <v>1</v>
      </c>
      <c r="N4" s="57">
        <f>MATCH($O$4,OutputAddresses,0)</f>
        <v>1</v>
      </c>
      <c r="O4" s="56" t="s">
        <v>100</v>
      </c>
      <c r="P4" s="68">
        <v>1</v>
      </c>
      <c r="Q4" s="57">
        <f>MATCH($P$4,InputValues2,0)</f>
        <v>1</v>
      </c>
      <c r="AZ4" t="s">
        <v>96</v>
      </c>
    </row>
    <row r="5" spans="1:52" x14ac:dyDescent="0.25">
      <c r="A5" s="55">
        <v>1</v>
      </c>
      <c r="B5" s="58">
        <v>33151.188800000004</v>
      </c>
      <c r="C5" s="60">
        <v>31745.626400000001</v>
      </c>
      <c r="J5" s="57" t="str">
        <f>"OutputValues_"&amp;$J$4</f>
        <v>OutputValues_1</v>
      </c>
      <c r="K5">
        <f ca="1">INDEX(INDIRECT($J$5),$M$4,1)</f>
        <v>33151.188800000004</v>
      </c>
      <c r="N5" s="57" t="str">
        <f>"OutputValues_"&amp;$N$4</f>
        <v>OutputValues_1</v>
      </c>
      <c r="O5">
        <f ca="1">INDEX(INDIRECT($N$5),1,$Q$4)</f>
        <v>33151.188800000004</v>
      </c>
      <c r="AZ5" t="s">
        <v>97</v>
      </c>
    </row>
    <row r="6" spans="1:52" x14ac:dyDescent="0.25">
      <c r="A6" s="55">
        <v>2</v>
      </c>
      <c r="B6" s="64">
        <v>31745.626400000001</v>
      </c>
      <c r="C6" s="66">
        <v>30457.852000000003</v>
      </c>
      <c r="K6">
        <f ca="1">INDEX(INDIRECT($J$5),$M$4,2)</f>
        <v>31745.626400000001</v>
      </c>
      <c r="O6">
        <f ca="1">INDEX(INDIRECT($N$5),2,$Q$4)</f>
        <v>31745.626400000001</v>
      </c>
      <c r="AZ6" t="s">
        <v>98</v>
      </c>
    </row>
    <row r="7" spans="1:52" x14ac:dyDescent="0.25">
      <c r="AZ7" t="s">
        <v>99</v>
      </c>
    </row>
    <row r="8" spans="1:52" x14ac:dyDescent="0.25">
      <c r="A8" s="67" t="s">
        <v>131</v>
      </c>
      <c r="B8" s="55">
        <v>1</v>
      </c>
      <c r="C8" s="55">
        <v>2</v>
      </c>
    </row>
    <row r="9" spans="1:52" x14ac:dyDescent="0.25">
      <c r="A9" s="55">
        <v>1</v>
      </c>
      <c r="B9" s="58">
        <v>4972</v>
      </c>
      <c r="C9" s="60">
        <v>4998.8</v>
      </c>
    </row>
    <row r="10" spans="1:52" x14ac:dyDescent="0.25">
      <c r="A10" s="55">
        <v>2</v>
      </c>
      <c r="B10" s="64">
        <v>4998.8</v>
      </c>
      <c r="C10" s="66">
        <v>4954.7999999999993</v>
      </c>
    </row>
    <row r="12" spans="1:52" x14ac:dyDescent="0.25">
      <c r="A12" s="67" t="s">
        <v>132</v>
      </c>
      <c r="B12" s="55">
        <v>1</v>
      </c>
      <c r="C12" s="55">
        <v>2</v>
      </c>
    </row>
    <row r="13" spans="1:52" x14ac:dyDescent="0.25">
      <c r="A13" s="55">
        <v>1</v>
      </c>
      <c r="B13" s="58">
        <v>153</v>
      </c>
      <c r="C13" s="60">
        <v>153</v>
      </c>
    </row>
    <row r="14" spans="1:52" x14ac:dyDescent="0.25">
      <c r="A14" s="55">
        <v>2</v>
      </c>
      <c r="B14" s="64">
        <v>153</v>
      </c>
      <c r="C14" s="66">
        <v>153</v>
      </c>
    </row>
    <row r="16" spans="1:52" x14ac:dyDescent="0.25">
      <c r="A16" s="67" t="s">
        <v>133</v>
      </c>
      <c r="B16" s="55">
        <v>1</v>
      </c>
      <c r="C16" s="55">
        <v>2</v>
      </c>
    </row>
    <row r="17" spans="1:3" x14ac:dyDescent="0.25">
      <c r="A17" s="55">
        <v>1</v>
      </c>
      <c r="B17" s="58">
        <v>140</v>
      </c>
      <c r="C17" s="60">
        <v>153</v>
      </c>
    </row>
    <row r="18" spans="1:3" x14ac:dyDescent="0.25">
      <c r="A18" s="55">
        <v>2</v>
      </c>
      <c r="B18" s="64">
        <v>153</v>
      </c>
      <c r="C18" s="66">
        <v>153</v>
      </c>
    </row>
    <row r="20" spans="1:3" x14ac:dyDescent="0.25">
      <c r="A20" s="67" t="s">
        <v>134</v>
      </c>
      <c r="B20" s="55">
        <v>1</v>
      </c>
      <c r="C20" s="55">
        <v>2</v>
      </c>
    </row>
    <row r="21" spans="1:3" x14ac:dyDescent="0.25">
      <c r="A21" s="55">
        <v>1</v>
      </c>
      <c r="B21" s="58">
        <v>139</v>
      </c>
      <c r="C21" s="60">
        <v>147</v>
      </c>
    </row>
    <row r="22" spans="1:3" x14ac:dyDescent="0.25">
      <c r="A22" s="55">
        <v>2</v>
      </c>
      <c r="B22" s="64">
        <v>111</v>
      </c>
      <c r="C22" s="66">
        <v>111</v>
      </c>
    </row>
    <row r="24" spans="1:3" x14ac:dyDescent="0.25">
      <c r="A24" s="67" t="s">
        <v>135</v>
      </c>
      <c r="B24" s="55">
        <v>1</v>
      </c>
      <c r="C24" s="55">
        <v>2</v>
      </c>
    </row>
    <row r="25" spans="1:3" x14ac:dyDescent="0.25">
      <c r="A25" s="55">
        <v>1</v>
      </c>
      <c r="B25" s="58">
        <v>153</v>
      </c>
      <c r="C25" s="60">
        <v>111</v>
      </c>
    </row>
    <row r="26" spans="1:3" x14ac:dyDescent="0.25">
      <c r="A26" s="55">
        <v>2</v>
      </c>
      <c r="B26" s="64">
        <v>147</v>
      </c>
      <c r="C26" s="66">
        <v>126</v>
      </c>
    </row>
  </sheetData>
  <dataValidations count="3">
    <dataValidation type="list" allowBlank="1" showInputMessage="1" showErrorMessage="1" sqref="K4 O4">
      <formula1>OutputAddresses</formula1>
    </dataValidation>
    <dataValidation type="list" allowBlank="1" showInputMessage="1" showErrorMessage="1" sqref="L4">
      <formula1>InputValues1</formula1>
    </dataValidation>
    <dataValidation type="list" allowBlank="1" showInputMessage="1" showErrorMessage="1" sqref="P4">
      <formula1>InputValues2</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6"/>
  <sheetViews>
    <sheetView workbookViewId="0">
      <selection activeCell="R21" sqref="R21"/>
    </sheetView>
  </sheetViews>
  <sheetFormatPr defaultRowHeight="15" x14ac:dyDescent="0.25"/>
  <cols>
    <col min="1" max="1" width="35.7109375" customWidth="1"/>
  </cols>
  <sheetData>
    <row r="1" spans="1:52" x14ac:dyDescent="0.25">
      <c r="A1" s="54" t="s">
        <v>107</v>
      </c>
      <c r="K1" s="57" t="str">
        <f>CONCATENATE("Sensitivity of ",$K$4," to ","Harlem Vacation")</f>
        <v>Sensitivity of $K$36 to Harlem Vacation</v>
      </c>
      <c r="O1" s="57" t="str">
        <f>CONCATENATE("Sensitivity of ",$O$4," to ","Harlem Oasis")</f>
        <v>Sensitivity of $K$36 to Harlem Oasis</v>
      </c>
    </row>
    <row r="2" spans="1:52" x14ac:dyDescent="0.25">
      <c r="K2" t="s">
        <v>109</v>
      </c>
      <c r="O2" t="s">
        <v>112</v>
      </c>
      <c r="AZ2" t="s">
        <v>100</v>
      </c>
    </row>
    <row r="3" spans="1:52" x14ac:dyDescent="0.25">
      <c r="A3" t="s">
        <v>108</v>
      </c>
      <c r="K3" t="s">
        <v>110</v>
      </c>
      <c r="L3" t="s">
        <v>111</v>
      </c>
      <c r="O3" t="s">
        <v>110</v>
      </c>
      <c r="P3" t="s">
        <v>113</v>
      </c>
      <c r="AZ3" t="s">
        <v>106</v>
      </c>
    </row>
    <row r="4" spans="1:52" ht="32.25" x14ac:dyDescent="0.25">
      <c r="A4" s="67" t="s">
        <v>130</v>
      </c>
      <c r="B4" s="55">
        <v>1</v>
      </c>
      <c r="C4" s="55">
        <v>2</v>
      </c>
      <c r="J4" s="57">
        <f>MATCH($K$4,OutputAddresses,0)</f>
        <v>2</v>
      </c>
      <c r="K4" s="56" t="s">
        <v>106</v>
      </c>
      <c r="L4" s="68">
        <v>1</v>
      </c>
      <c r="M4" s="57">
        <f>MATCH($L$4,InputValues1,0)</f>
        <v>1</v>
      </c>
      <c r="N4" s="57">
        <f>MATCH($O$4,OutputAddresses,0)</f>
        <v>2</v>
      </c>
      <c r="O4" s="56" t="s">
        <v>106</v>
      </c>
      <c r="P4" s="68">
        <v>1</v>
      </c>
      <c r="Q4" s="57">
        <f>MATCH($P$4,InputValues2,0)</f>
        <v>1</v>
      </c>
      <c r="AZ4" t="s">
        <v>96</v>
      </c>
    </row>
    <row r="5" spans="1:52" x14ac:dyDescent="0.25">
      <c r="A5" s="55">
        <v>1</v>
      </c>
      <c r="B5" s="58">
        <v>34787.117599999998</v>
      </c>
      <c r="C5" s="60">
        <v>33228.083200000001</v>
      </c>
      <c r="J5" s="57" t="str">
        <f>"OutputValues_"&amp;$J$4</f>
        <v>OutputValues_2</v>
      </c>
      <c r="K5">
        <f ca="1">INDEX(INDIRECT($J$5),$M$4,1)</f>
        <v>4988</v>
      </c>
      <c r="N5" s="57" t="str">
        <f>"OutputValues_"&amp;$N$4</f>
        <v>OutputValues_2</v>
      </c>
      <c r="O5">
        <f ca="1">INDEX(INDIRECT($N$5),1,$Q$4)</f>
        <v>4988</v>
      </c>
      <c r="AZ5" t="s">
        <v>97</v>
      </c>
    </row>
    <row r="6" spans="1:52" x14ac:dyDescent="0.25">
      <c r="A6" s="55">
        <v>2</v>
      </c>
      <c r="B6" s="64">
        <v>33228.083200000001</v>
      </c>
      <c r="C6" s="66">
        <v>31346.247200000002</v>
      </c>
      <c r="K6">
        <f ca="1">INDEX(INDIRECT($J$5),$M$4,2)</f>
        <v>4956.3999999999996</v>
      </c>
      <c r="O6">
        <f ca="1">INDEX(INDIRECT($N$5),2,$Q$4)</f>
        <v>4956.3999999999996</v>
      </c>
      <c r="AZ6" t="s">
        <v>98</v>
      </c>
    </row>
    <row r="7" spans="1:52" x14ac:dyDescent="0.25">
      <c r="AZ7" t="s">
        <v>99</v>
      </c>
    </row>
    <row r="8" spans="1:52" x14ac:dyDescent="0.25">
      <c r="A8" s="67" t="s">
        <v>131</v>
      </c>
      <c r="B8" s="55">
        <v>1</v>
      </c>
      <c r="C8" s="55">
        <v>2</v>
      </c>
    </row>
    <row r="9" spans="1:52" x14ac:dyDescent="0.25">
      <c r="A9" s="55">
        <v>1</v>
      </c>
      <c r="B9" s="58">
        <v>4988</v>
      </c>
      <c r="C9" s="60">
        <v>4956.3999999999996</v>
      </c>
    </row>
    <row r="10" spans="1:52" x14ac:dyDescent="0.25">
      <c r="A10" s="55">
        <v>2</v>
      </c>
      <c r="B10" s="64">
        <v>4956.3999999999996</v>
      </c>
      <c r="C10" s="66">
        <v>4878.4000000000005</v>
      </c>
    </row>
    <row r="12" spans="1:52" x14ac:dyDescent="0.25">
      <c r="A12" s="67" t="s">
        <v>132</v>
      </c>
      <c r="B12" s="55">
        <v>1</v>
      </c>
      <c r="C12" s="55">
        <v>2</v>
      </c>
    </row>
    <row r="13" spans="1:52" x14ac:dyDescent="0.25">
      <c r="A13" s="55">
        <v>1</v>
      </c>
      <c r="B13" s="58">
        <v>153</v>
      </c>
      <c r="C13" s="60">
        <v>153</v>
      </c>
    </row>
    <row r="14" spans="1:52" x14ac:dyDescent="0.25">
      <c r="A14" s="55">
        <v>2</v>
      </c>
      <c r="B14" s="64">
        <v>153</v>
      </c>
      <c r="C14" s="66">
        <v>153</v>
      </c>
    </row>
    <row r="16" spans="1:52" x14ac:dyDescent="0.25">
      <c r="A16" s="67" t="s">
        <v>133</v>
      </c>
      <c r="B16" s="55">
        <v>1</v>
      </c>
      <c r="C16" s="55">
        <v>2</v>
      </c>
    </row>
    <row r="17" spans="1:3" x14ac:dyDescent="0.25">
      <c r="A17" s="55">
        <v>1</v>
      </c>
      <c r="B17" s="58">
        <v>153</v>
      </c>
      <c r="C17" s="60">
        <v>140</v>
      </c>
    </row>
    <row r="18" spans="1:3" x14ac:dyDescent="0.25">
      <c r="A18" s="55">
        <v>2</v>
      </c>
      <c r="B18" s="64">
        <v>140</v>
      </c>
      <c r="C18" s="66">
        <v>153</v>
      </c>
    </row>
    <row r="20" spans="1:3" x14ac:dyDescent="0.25">
      <c r="A20" s="67" t="s">
        <v>134</v>
      </c>
      <c r="B20" s="55">
        <v>1</v>
      </c>
      <c r="C20" s="55">
        <v>2</v>
      </c>
    </row>
    <row r="21" spans="1:3" x14ac:dyDescent="0.25">
      <c r="A21" s="55">
        <v>1</v>
      </c>
      <c r="B21" s="58">
        <v>153</v>
      </c>
      <c r="C21" s="60">
        <v>153</v>
      </c>
    </row>
    <row r="22" spans="1:3" x14ac:dyDescent="0.25">
      <c r="A22" s="55">
        <v>2</v>
      </c>
      <c r="B22" s="64">
        <v>140</v>
      </c>
      <c r="C22" s="66">
        <v>124</v>
      </c>
    </row>
    <row r="24" spans="1:3" x14ac:dyDescent="0.25">
      <c r="A24" s="67" t="s">
        <v>135</v>
      </c>
      <c r="B24" s="55">
        <v>1</v>
      </c>
      <c r="C24" s="55">
        <v>2</v>
      </c>
    </row>
    <row r="25" spans="1:3" x14ac:dyDescent="0.25">
      <c r="A25" s="55">
        <v>1</v>
      </c>
      <c r="B25" s="58">
        <v>153</v>
      </c>
      <c r="C25" s="60">
        <v>140</v>
      </c>
    </row>
    <row r="26" spans="1:3" x14ac:dyDescent="0.25">
      <c r="A26" s="55">
        <v>2</v>
      </c>
      <c r="B26" s="64">
        <v>153</v>
      </c>
      <c r="C26" s="66">
        <v>126</v>
      </c>
    </row>
  </sheetData>
  <dataValidations count="3">
    <dataValidation type="list" allowBlank="1" showInputMessage="1" showErrorMessage="1" sqref="K4 O4">
      <formula1>OutputAddresses</formula1>
    </dataValidation>
    <dataValidation type="list" allowBlank="1" showInputMessage="1" showErrorMessage="1" sqref="L4">
      <formula1>InputValues1</formula1>
    </dataValidation>
    <dataValidation type="list" allowBlank="1" showInputMessage="1" showErrorMessage="1" sqref="P4">
      <formula1>InputValues2</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26</vt:i4>
      </vt:variant>
    </vt:vector>
  </HeadingPairs>
  <TitlesOfParts>
    <vt:vector size="30" baseType="lpstr">
      <vt:lpstr>Airbnb Maxed Profit (Max Guest)</vt:lpstr>
      <vt:lpstr>One Way Analysis Over-Budget</vt:lpstr>
      <vt:lpstr>Two Way (A Slice of Harlem=2)</vt:lpstr>
      <vt:lpstr>Two Way (A Slice of Harlem=1)</vt:lpstr>
      <vt:lpstr>'One Way Analysis Over-Budget'!ChartData</vt:lpstr>
      <vt:lpstr>'Two Way (A Slice of Harlem=1)'!ChartData1</vt:lpstr>
      <vt:lpstr>'Two Way (A Slice of Harlem=2)'!ChartData1</vt:lpstr>
      <vt:lpstr>'Two Way (A Slice of Harlem=1)'!ChartData2</vt:lpstr>
      <vt:lpstr>'Two Way (A Slice of Harlem=2)'!ChartData2</vt:lpstr>
      <vt:lpstr>'One Way Analysis Over-Budget'!InputValues</vt:lpstr>
      <vt:lpstr>'Two Way (A Slice of Harlem=1)'!InputValues1</vt:lpstr>
      <vt:lpstr>'Two Way (A Slice of Harlem=2)'!InputValues1</vt:lpstr>
      <vt:lpstr>'Two Way (A Slice of Harlem=1)'!InputValues2</vt:lpstr>
      <vt:lpstr>'Two Way (A Slice of Harlem=2)'!InputValues2</vt:lpstr>
      <vt:lpstr>'One Way Analysis Over-Budget'!OutputAddresses</vt:lpstr>
      <vt:lpstr>'Two Way (A Slice of Harlem=1)'!OutputAddresses</vt:lpstr>
      <vt:lpstr>'Two Way (A Slice of Harlem=2)'!OutputAddresses</vt:lpstr>
      <vt:lpstr>'One Way Analysis Over-Budget'!OutputValues</vt:lpstr>
      <vt:lpstr>'Two Way (A Slice of Harlem=1)'!OutputValues_1</vt:lpstr>
      <vt:lpstr>'Two Way (A Slice of Harlem=2)'!OutputValues_1</vt:lpstr>
      <vt:lpstr>'Two Way (A Slice of Harlem=1)'!OutputValues_2</vt:lpstr>
      <vt:lpstr>'Two Way (A Slice of Harlem=2)'!OutputValues_2</vt:lpstr>
      <vt:lpstr>'Two Way (A Slice of Harlem=1)'!OutputValues_3</vt:lpstr>
      <vt:lpstr>'Two Way (A Slice of Harlem=2)'!OutputValues_3</vt:lpstr>
      <vt:lpstr>'Two Way (A Slice of Harlem=1)'!OutputValues_4</vt:lpstr>
      <vt:lpstr>'Two Way (A Slice of Harlem=2)'!OutputValues_4</vt:lpstr>
      <vt:lpstr>'Two Way (A Slice of Harlem=1)'!OutputValues_5</vt:lpstr>
      <vt:lpstr>'Two Way (A Slice of Harlem=2)'!OutputValues_5</vt:lpstr>
      <vt:lpstr>'Two Way (A Slice of Harlem=1)'!OutputValues_6</vt:lpstr>
      <vt:lpstr>'Two Way (A Slice of Harlem=2)'!OutputValues_6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2020-05-01T21:24:25Z</dcterms:created>
  <dcterms:modified xsi:type="dcterms:W3CDTF">2020-05-11T06:49:37Z</dcterms:modified>
</cp:coreProperties>
</file>