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/>
  <mc:AlternateContent xmlns:mc="http://schemas.openxmlformats.org/markup-compatibility/2006">
    <mc:Choice Requires="x15">
      <x15ac:absPath xmlns:x15ac="http://schemas.microsoft.com/office/spreadsheetml/2010/11/ac" url="/Users/shannon/Desktop/"/>
    </mc:Choice>
  </mc:AlternateContent>
  <xr:revisionPtr revIDLastSave="0" documentId="8_{AF49A87E-D7D1-6841-B2A5-05E240A02C27}" xr6:coauthVersionLast="45" xr6:coauthVersionMax="45" xr10:uidLastSave="{00000000-0000-0000-0000-000000000000}"/>
  <bookViews>
    <workbookView xWindow="240" yWindow="460" windowWidth="23000" windowHeight="13620" xr2:uid="{00000000-000D-0000-FFFF-FFFF00000000}"/>
  </bookViews>
  <sheets>
    <sheet name="Registrant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22" i="5" l="1"/>
  <c r="D2558" i="5"/>
  <c r="D2300" i="5"/>
  <c r="D1566" i="5"/>
  <c r="D2846" i="5"/>
  <c r="D121" i="5"/>
  <c r="D2491" i="5"/>
  <c r="D1808" i="5"/>
  <c r="D1409" i="5"/>
  <c r="D3338" i="5"/>
  <c r="D3263" i="5"/>
  <c r="D3447" i="5"/>
  <c r="D3186" i="5"/>
  <c r="D1607" i="5"/>
  <c r="D3230" i="5"/>
  <c r="D978" i="5"/>
  <c r="D275" i="5"/>
  <c r="D2859" i="5"/>
  <c r="D687" i="5"/>
  <c r="D2035" i="5"/>
  <c r="D311" i="5"/>
  <c r="D874" i="5"/>
  <c r="D3885" i="5"/>
  <c r="D2695" i="5"/>
  <c r="D3052" i="5"/>
  <c r="D678" i="5"/>
  <c r="D3686" i="5"/>
  <c r="D952" i="5"/>
  <c r="D2108" i="5"/>
  <c r="D1885" i="5"/>
  <c r="D1620" i="5"/>
  <c r="D1606" i="5"/>
  <c r="D1294" i="5"/>
  <c r="D602" i="5"/>
  <c r="D1098" i="5"/>
  <c r="D899" i="5"/>
  <c r="D925" i="5"/>
  <c r="D3154" i="5"/>
  <c r="D1460" i="5"/>
  <c r="D431" i="5"/>
  <c r="D395" i="5"/>
  <c r="D1086" i="5"/>
  <c r="D1309" i="5"/>
  <c r="D3534" i="5"/>
  <c r="D1858" i="5"/>
  <c r="D2701" i="5"/>
  <c r="D500" i="5"/>
  <c r="D650" i="5"/>
  <c r="D1809" i="5"/>
  <c r="D1283" i="5"/>
  <c r="D2186" i="5"/>
  <c r="D2428" i="5"/>
  <c r="D3671" i="5"/>
  <c r="D2006" i="5"/>
  <c r="D2223" i="5"/>
  <c r="D178" i="5"/>
  <c r="D2209" i="5"/>
  <c r="D2019" i="5"/>
  <c r="D1703" i="5"/>
  <c r="D2359" i="5"/>
  <c r="D1336" i="5"/>
  <c r="D1149" i="5"/>
  <c r="D2829" i="5"/>
  <c r="D3240" i="5"/>
  <c r="D2170" i="5"/>
  <c r="D823" i="5"/>
  <c r="D3647" i="5"/>
  <c r="D3609" i="5"/>
  <c r="D3798" i="5"/>
  <c r="D166" i="5"/>
  <c r="D1397" i="5"/>
  <c r="D1920" i="5"/>
  <c r="D3189" i="5"/>
  <c r="D2088" i="5"/>
  <c r="D212" i="5"/>
  <c r="D3156" i="5"/>
  <c r="D1916" i="5"/>
  <c r="D938" i="5"/>
  <c r="D1524" i="5"/>
  <c r="D1888" i="5"/>
  <c r="D750" i="5"/>
  <c r="D111" i="5"/>
  <c r="D1950" i="5"/>
  <c r="D3100" i="5"/>
  <c r="D3271" i="5"/>
  <c r="D2083" i="5"/>
  <c r="D266" i="5"/>
  <c r="D2993" i="5"/>
  <c r="D481" i="5"/>
  <c r="D2401" i="5"/>
  <c r="D587" i="5"/>
  <c r="D2291" i="5"/>
  <c r="D911" i="5"/>
  <c r="D2126" i="5"/>
  <c r="D1359" i="5"/>
  <c r="D1233" i="5"/>
  <c r="D3876" i="5"/>
  <c r="D3891" i="5"/>
  <c r="D3458" i="5"/>
  <c r="D848" i="5"/>
  <c r="D44" i="5"/>
  <c r="D276" i="5"/>
  <c r="D548" i="5"/>
  <c r="D2461" i="5"/>
  <c r="D1688" i="5"/>
  <c r="D3910" i="5"/>
  <c r="D3698" i="5"/>
  <c r="D2288" i="5"/>
  <c r="D1563" i="5"/>
  <c r="D2692" i="5"/>
  <c r="D472" i="5"/>
  <c r="D1705" i="5"/>
  <c r="D146" i="5"/>
  <c r="D2161" i="5"/>
  <c r="D2361" i="5"/>
  <c r="D689" i="5"/>
  <c r="D1157" i="5"/>
  <c r="D1997" i="5"/>
  <c r="D2184" i="5"/>
  <c r="D1473" i="5"/>
  <c r="D1958" i="5"/>
  <c r="D3567" i="5"/>
  <c r="D89" i="5"/>
  <c r="D2586" i="5"/>
  <c r="D1168" i="5"/>
  <c r="D1927" i="5"/>
  <c r="D3544" i="5"/>
  <c r="D1435" i="5"/>
  <c r="D16" i="5"/>
  <c r="D3440" i="5"/>
  <c r="D3241" i="5"/>
  <c r="D2524" i="5"/>
  <c r="D3437" i="5"/>
  <c r="D1842" i="5"/>
  <c r="D2554" i="5"/>
  <c r="D2197" i="5"/>
  <c r="D3008" i="5"/>
  <c r="D1132" i="5"/>
  <c r="D3061" i="5"/>
  <c r="D251" i="5"/>
  <c r="D2974" i="5"/>
  <c r="D25" i="5"/>
  <c r="D1305" i="5"/>
  <c r="D1060" i="5"/>
  <c r="D2235" i="5"/>
  <c r="D1166" i="5"/>
  <c r="D45" i="5"/>
  <c r="D3514" i="5"/>
  <c r="D2028" i="5"/>
  <c r="D2733" i="5"/>
  <c r="D1966" i="5"/>
  <c r="D244" i="5"/>
  <c r="D590" i="5"/>
  <c r="D3252" i="5"/>
  <c r="D2295" i="5"/>
  <c r="D87" i="5"/>
  <c r="D2303" i="5"/>
  <c r="D2226" i="5"/>
  <c r="D1210" i="5"/>
  <c r="D412" i="5"/>
  <c r="D1406" i="5"/>
  <c r="D1491" i="5"/>
  <c r="D1921" i="5"/>
  <c r="D3095" i="5"/>
  <c r="D2248" i="5"/>
  <c r="D993" i="5"/>
  <c r="D865" i="5"/>
  <c r="D3903" i="5"/>
  <c r="D1570" i="5"/>
  <c r="D2437" i="5"/>
  <c r="D2422" i="5"/>
  <c r="D3427" i="5"/>
  <c r="D2111" i="5"/>
  <c r="D1974" i="5"/>
  <c r="D17" i="5"/>
  <c r="D735" i="5"/>
  <c r="D507" i="5"/>
  <c r="D383" i="5"/>
  <c r="D3378" i="5"/>
  <c r="D3822" i="5"/>
  <c r="D3618" i="5"/>
  <c r="D3198" i="5"/>
  <c r="D2219" i="5"/>
  <c r="D2202" i="5"/>
  <c r="D79" i="5"/>
  <c r="D1183" i="5"/>
  <c r="D1384" i="5"/>
  <c r="D2969" i="5"/>
  <c r="D1454" i="5"/>
  <c r="D2464" i="5"/>
  <c r="D2185" i="5"/>
  <c r="D3174" i="5"/>
  <c r="D1112" i="5"/>
  <c r="D594" i="5"/>
  <c r="D928" i="5"/>
  <c r="D186" i="5"/>
  <c r="D3028" i="5"/>
  <c r="D308" i="5"/>
  <c r="D829" i="5"/>
  <c r="D1633" i="5"/>
  <c r="D2907" i="5"/>
  <c r="D869" i="5"/>
  <c r="D1118" i="5"/>
  <c r="D3523" i="5"/>
  <c r="D3475" i="5"/>
  <c r="D515" i="5"/>
  <c r="D3561" i="5"/>
  <c r="D2013" i="5"/>
  <c r="D2158" i="5"/>
  <c r="D2317" i="5"/>
  <c r="D3742" i="5"/>
  <c r="D3874" i="5"/>
  <c r="D3722" i="5"/>
  <c r="D137" i="5"/>
  <c r="D2405" i="5"/>
  <c r="D2707" i="5"/>
  <c r="D1334" i="5"/>
  <c r="D1868" i="5"/>
  <c r="D758" i="5"/>
  <c r="D1738" i="5"/>
  <c r="D3179" i="5"/>
  <c r="D19" i="5"/>
  <c r="D603" i="5"/>
  <c r="D1019" i="5"/>
  <c r="D3491" i="5"/>
  <c r="D2992" i="5"/>
  <c r="D1031" i="5"/>
  <c r="D3279" i="5"/>
  <c r="D3035" i="5"/>
  <c r="D2639" i="5"/>
  <c r="D1391" i="5"/>
  <c r="D1823" i="5"/>
  <c r="D1526" i="5"/>
  <c r="D2603" i="5"/>
  <c r="D2261" i="5"/>
  <c r="D2555" i="5"/>
  <c r="D1509" i="5"/>
  <c r="D3585" i="5"/>
  <c r="D3162" i="5"/>
  <c r="D365" i="5"/>
  <c r="D2991" i="5"/>
  <c r="D3016" i="5"/>
  <c r="D2067" i="5"/>
  <c r="D2010" i="5"/>
  <c r="D1001" i="5"/>
  <c r="D134" i="5"/>
  <c r="D438" i="5"/>
  <c r="D439" i="5"/>
  <c r="D3166" i="5"/>
  <c r="D1662" i="5"/>
  <c r="D1575" i="5"/>
  <c r="D1430" i="5"/>
  <c r="D2290" i="5"/>
  <c r="D2781" i="5"/>
  <c r="D3502" i="5"/>
  <c r="D2902" i="5"/>
  <c r="D1009" i="5"/>
  <c r="D461" i="5"/>
  <c r="D768" i="5"/>
  <c r="D593" i="5"/>
  <c r="D3364" i="5"/>
  <c r="D629" i="5"/>
  <c r="D622" i="5"/>
  <c r="D999" i="5"/>
  <c r="D2492" i="5"/>
  <c r="D2537" i="5"/>
  <c r="D3505" i="5"/>
  <c r="D1523" i="5"/>
  <c r="D2459" i="5"/>
  <c r="D3846" i="5"/>
  <c r="D670" i="5"/>
  <c r="D2238" i="5"/>
  <c r="D691" i="5"/>
  <c r="D3653" i="5"/>
  <c r="D1378" i="5"/>
  <c r="D2338" i="5"/>
  <c r="D1694" i="5"/>
  <c r="D3099" i="5"/>
  <c r="D1056" i="5"/>
  <c r="D714" i="5"/>
  <c r="D1103" i="5"/>
  <c r="D3495" i="5"/>
  <c r="D2627" i="5"/>
  <c r="D225" i="5"/>
  <c r="D3089" i="5"/>
  <c r="D1806" i="5"/>
  <c r="D2815" i="5"/>
  <c r="D905" i="5"/>
  <c r="D1507" i="5"/>
  <c r="D2085" i="5"/>
  <c r="D3658" i="5"/>
  <c r="D46" i="5"/>
  <c r="D2177" i="5"/>
  <c r="D1602" i="5"/>
  <c r="D2193" i="5"/>
  <c r="D1580" i="5"/>
  <c r="D644" i="5"/>
  <c r="D2133" i="5"/>
  <c r="D2597" i="5"/>
  <c r="D3041" i="5"/>
  <c r="D1160" i="5"/>
  <c r="D400" i="5"/>
  <c r="D738" i="5"/>
  <c r="D1544" i="5"/>
  <c r="D645" i="5"/>
  <c r="D2398" i="5"/>
  <c r="D781" i="5"/>
  <c r="D3596" i="5"/>
  <c r="D3074" i="5"/>
  <c r="D818" i="5"/>
  <c r="D3730" i="5"/>
  <c r="D516" i="5"/>
  <c r="D606" i="5"/>
  <c r="D1985" i="5"/>
  <c r="D1419" i="5"/>
  <c r="D2201" i="5"/>
  <c r="D410" i="5"/>
  <c r="D217" i="5"/>
  <c r="D519" i="5"/>
  <c r="D3161" i="5"/>
  <c r="D2665" i="5"/>
  <c r="D3732" i="5"/>
  <c r="D711" i="5"/>
  <c r="D3666" i="5"/>
  <c r="D1937" i="5"/>
  <c r="D147" i="5"/>
  <c r="D1743" i="5"/>
  <c r="D2594" i="5"/>
  <c r="D368" i="5"/>
  <c r="D2778" i="5"/>
  <c r="D3203" i="5"/>
  <c r="D3463" i="5"/>
  <c r="D2435" i="5"/>
  <c r="D1070" i="5"/>
  <c r="D1673" i="5"/>
  <c r="D2769" i="5"/>
  <c r="D411" i="5"/>
  <c r="D1141" i="5"/>
  <c r="D1549" i="5"/>
  <c r="D3787" i="5"/>
  <c r="D2205" i="5"/>
  <c r="D1281" i="5"/>
  <c r="D3589" i="5"/>
  <c r="D2087" i="5"/>
  <c r="D1195" i="5"/>
  <c r="D2420" i="5"/>
  <c r="D2835" i="5"/>
  <c r="D808" i="5"/>
  <c r="D1411" i="5"/>
  <c r="D1339" i="5"/>
  <c r="D1188" i="5"/>
  <c r="D990" i="5"/>
  <c r="D1043" i="5"/>
  <c r="D2497" i="5"/>
  <c r="D1230" i="5"/>
  <c r="D3843" i="5"/>
  <c r="D2046" i="5"/>
  <c r="D3831" i="5"/>
  <c r="D1161" i="5"/>
  <c r="D57" i="5"/>
  <c r="D1167" i="5"/>
  <c r="D841" i="5"/>
  <c r="D1173" i="5"/>
  <c r="D3125" i="5"/>
  <c r="D1899" i="5"/>
  <c r="D1441" i="5"/>
  <c r="D3062" i="5"/>
  <c r="D3581" i="5"/>
  <c r="D3098" i="5"/>
  <c r="D3756" i="5"/>
  <c r="D3641" i="5"/>
  <c r="D1420" i="5"/>
  <c r="D2318" i="5"/>
  <c r="D2171" i="5"/>
  <c r="D3313" i="5"/>
  <c r="D32" i="5"/>
  <c r="D2562" i="5"/>
  <c r="D2909" i="5"/>
  <c r="D2921" i="5"/>
  <c r="D1782" i="5"/>
  <c r="D2587" i="5"/>
  <c r="D190" i="5"/>
  <c r="D3185" i="5"/>
  <c r="D3403" i="5"/>
  <c r="D1428" i="5"/>
  <c r="D3058" i="5"/>
  <c r="D475" i="5"/>
  <c r="D426" i="5"/>
  <c r="D80" i="5"/>
  <c r="D430" i="5"/>
  <c r="D2315" i="5"/>
  <c r="D2977" i="5"/>
  <c r="D2081" i="5"/>
  <c r="D3034" i="5"/>
  <c r="D3172" i="5"/>
  <c r="D1554" i="5"/>
  <c r="D3823" i="5"/>
  <c r="D332" i="5"/>
  <c r="D3294" i="5"/>
  <c r="D3261" i="5"/>
  <c r="D763" i="5"/>
  <c r="D2095" i="5"/>
  <c r="D681" i="5"/>
  <c r="D389" i="5"/>
  <c r="D895" i="5"/>
  <c r="D1499" i="5"/>
  <c r="D1353" i="5"/>
  <c r="D2538" i="5"/>
  <c r="D3746" i="5"/>
  <c r="D1894" i="5"/>
  <c r="D1853" i="5"/>
  <c r="D1424" i="5"/>
  <c r="D2953" i="5"/>
  <c r="D1930" i="5"/>
  <c r="D1274" i="5"/>
  <c r="D2763" i="5"/>
  <c r="D1346" i="5"/>
  <c r="D726" i="5"/>
  <c r="D1826" i="5"/>
  <c r="D2260" i="5"/>
  <c r="D2662" i="5"/>
  <c r="D2481" i="5"/>
  <c r="D821" i="5"/>
  <c r="D810" i="5"/>
  <c r="D3551" i="5"/>
  <c r="D3248" i="5"/>
  <c r="D3771" i="5"/>
  <c r="D3395" i="5"/>
  <c r="D2579" i="5"/>
  <c r="D3249" i="5"/>
  <c r="D2607" i="5"/>
  <c r="D2236" i="5"/>
  <c r="D2963" i="5"/>
  <c r="D3040" i="5"/>
  <c r="D2195" i="5"/>
  <c r="D2789" i="5"/>
  <c r="D1240" i="5"/>
  <c r="D1376" i="5"/>
  <c r="D1299" i="5"/>
  <c r="D433" i="5"/>
  <c r="D957" i="5"/>
  <c r="D2264" i="5"/>
  <c r="D2011" i="5"/>
  <c r="D3434" i="5"/>
  <c r="D2015" i="5"/>
  <c r="D1626" i="5"/>
  <c r="D3721" i="5"/>
  <c r="D3886" i="5"/>
  <c r="D2018" i="5"/>
  <c r="D3977" i="5"/>
  <c r="D2504" i="5"/>
  <c r="D1639" i="5"/>
  <c r="D3320" i="5"/>
  <c r="D3443" i="5"/>
  <c r="D2546" i="5"/>
  <c r="D3664" i="5"/>
  <c r="D2668" i="5"/>
  <c r="D1713" i="5"/>
  <c r="D3065" i="5"/>
  <c r="D3274" i="5"/>
  <c r="D1923" i="5"/>
  <c r="D1695" i="5"/>
  <c r="D2131" i="5"/>
  <c r="D2082" i="5"/>
  <c r="D3805" i="5"/>
  <c r="D3752" i="5"/>
  <c r="D2542" i="5"/>
  <c r="D699" i="5"/>
  <c r="D1071" i="5"/>
  <c r="D607" i="5"/>
  <c r="D1880" i="5"/>
  <c r="D3789" i="5"/>
  <c r="D1859" i="5"/>
  <c r="D2499" i="5"/>
  <c r="D231" i="5"/>
  <c r="D1691" i="5"/>
  <c r="D2962" i="5"/>
  <c r="D3728" i="5"/>
  <c r="D2751" i="5"/>
  <c r="D3584" i="5"/>
  <c r="D1313" i="5"/>
  <c r="D2390" i="5"/>
  <c r="D92" i="5"/>
  <c r="D2344" i="5"/>
  <c r="D447" i="5"/>
  <c r="D2809" i="5"/>
  <c r="D929" i="5"/>
  <c r="D614" i="5"/>
  <c r="D3000" i="5"/>
  <c r="D352" i="5"/>
  <c r="D3006" i="5"/>
  <c r="D1493" i="5"/>
  <c r="D1881" i="5"/>
  <c r="D256" i="5"/>
  <c r="D3450" i="5"/>
  <c r="D3078" i="5"/>
  <c r="D3229" i="5"/>
  <c r="D2779" i="5"/>
  <c r="D2822" i="5"/>
  <c r="D1217" i="5"/>
  <c r="D1181" i="5"/>
  <c r="D3901" i="5"/>
  <c r="D2889" i="5"/>
  <c r="D100" i="5"/>
  <c r="D1135" i="5"/>
  <c r="D1614" i="5"/>
  <c r="D2548" i="5"/>
  <c r="D3219" i="5"/>
  <c r="D489" i="5"/>
  <c r="D3231" i="5"/>
  <c r="D1040" i="5"/>
  <c r="D429" i="5"/>
  <c r="D3625" i="5"/>
  <c r="D3082" i="5"/>
  <c r="D3775" i="5"/>
  <c r="D497" i="5"/>
  <c r="D2955" i="5"/>
  <c r="D2313" i="5"/>
  <c r="D1284" i="5"/>
  <c r="D2400" i="5"/>
  <c r="D339" i="5"/>
  <c r="D1206" i="5"/>
  <c r="D688" i="5"/>
  <c r="D3515" i="5"/>
  <c r="D601" i="5"/>
  <c r="D2273" i="5"/>
  <c r="D937" i="5"/>
  <c r="D2590" i="5"/>
  <c r="D202" i="5"/>
  <c r="D2765" i="5"/>
  <c r="D65" i="5"/>
  <c r="D3790" i="5"/>
  <c r="D230" i="5"/>
  <c r="D1759" i="5"/>
  <c r="D2222" i="5"/>
  <c r="D3923" i="5"/>
  <c r="D932" i="5"/>
  <c r="D2777" i="5"/>
  <c r="D914" i="5"/>
  <c r="D912" i="5"/>
  <c r="D3418" i="5"/>
  <c r="D2402" i="5"/>
  <c r="D3325" i="5"/>
  <c r="D1204" i="5"/>
  <c r="D3566" i="5"/>
  <c r="D282" i="5"/>
  <c r="D3914" i="5"/>
  <c r="D1136" i="5"/>
  <c r="D1847" i="5"/>
  <c r="D1478" i="5"/>
  <c r="D1143" i="5"/>
  <c r="D3085" i="5"/>
  <c r="D1388" i="5"/>
  <c r="D1256" i="5"/>
  <c r="D1447" i="5"/>
  <c r="D2066" i="5"/>
  <c r="D981" i="5"/>
  <c r="D380" i="5"/>
  <c r="D2293" i="5"/>
  <c r="D3902" i="5"/>
  <c r="D2367" i="5"/>
  <c r="D1174" i="5"/>
  <c r="D2721" i="5"/>
  <c r="D585" i="5"/>
  <c r="D3341" i="5"/>
  <c r="D3558" i="5"/>
  <c r="D101" i="5"/>
  <c r="D1685" i="5"/>
  <c r="D2952" i="5"/>
  <c r="D608" i="5"/>
  <c r="D1012" i="5"/>
  <c r="D3655" i="5"/>
  <c r="D3782" i="5"/>
  <c r="D860" i="5"/>
  <c r="D3933" i="5"/>
  <c r="D1872" i="5"/>
  <c r="D3334" i="5"/>
  <c r="D2454" i="5"/>
  <c r="D3222" i="5"/>
  <c r="D2803" i="5"/>
  <c r="D1436" i="5"/>
  <c r="D693" i="5"/>
  <c r="D2973" i="5"/>
  <c r="D3501" i="5"/>
  <c r="D1080" i="5"/>
  <c r="D2511" i="5"/>
  <c r="D2905" i="5"/>
  <c r="D2861" i="5"/>
  <c r="D690" i="5"/>
  <c r="D3750" i="5"/>
  <c r="D1727" i="5"/>
  <c r="D1918" i="5"/>
  <c r="D1063" i="5"/>
  <c r="D2341" i="5"/>
  <c r="D2139" i="5"/>
  <c r="D563" i="5"/>
  <c r="D739" i="5"/>
  <c r="D1792" i="5"/>
  <c r="D1343" i="5"/>
  <c r="D2334" i="5"/>
  <c r="D1229" i="5"/>
  <c r="D730" i="5"/>
  <c r="D6" i="5"/>
  <c r="D917" i="5"/>
  <c r="D1578" i="5"/>
  <c r="D1992" i="5"/>
  <c r="D3865" i="5"/>
  <c r="D3660" i="5"/>
  <c r="D1734" i="5"/>
  <c r="D1769" i="5"/>
  <c r="D503" i="5"/>
  <c r="D3699" i="5"/>
  <c r="D2154" i="5"/>
  <c r="D1590" i="5"/>
  <c r="D2622" i="5"/>
  <c r="D2319" i="5"/>
  <c r="D1690" i="5"/>
  <c r="D3705" i="5"/>
  <c r="D676" i="5"/>
  <c r="D2073" i="5"/>
  <c r="D1762" i="5"/>
  <c r="D3931" i="5"/>
  <c r="D1608" i="5"/>
  <c r="D3117" i="5"/>
  <c r="D1050" i="5"/>
  <c r="D2814" i="5"/>
  <c r="D2076" i="5"/>
  <c r="D3238" i="5"/>
  <c r="D3849" i="5"/>
  <c r="D1389" i="5"/>
  <c r="D1790" i="5"/>
  <c r="D3322" i="5"/>
  <c r="D551" i="5"/>
  <c r="D1849" i="5"/>
  <c r="D3362" i="5"/>
  <c r="D3979" i="5"/>
  <c r="D1650" i="5"/>
  <c r="D3964" i="5"/>
  <c r="D177" i="5"/>
  <c r="D3969" i="5"/>
  <c r="D3518" i="5"/>
  <c r="D1666" i="5"/>
  <c r="D3607" i="5"/>
  <c r="D1077" i="5"/>
  <c r="D258" i="5"/>
  <c r="D3776" i="5"/>
  <c r="D1398" i="5"/>
  <c r="D946" i="5"/>
  <c r="D1512" i="5"/>
  <c r="D2757" i="5"/>
  <c r="D2552" i="5"/>
  <c r="D1522" i="5"/>
  <c r="D3637" i="5"/>
  <c r="D1998" i="5"/>
  <c r="D2056" i="5"/>
  <c r="D1483" i="5"/>
  <c r="D138" i="5"/>
  <c r="D931" i="5"/>
  <c r="D3487" i="5"/>
  <c r="D180" i="5"/>
  <c r="D797" i="5"/>
  <c r="D2086" i="5"/>
  <c r="D3834" i="5"/>
  <c r="D1280" i="5"/>
  <c r="D413" i="5"/>
  <c r="D3390" i="5"/>
  <c r="D2736" i="5"/>
  <c r="D618" i="5"/>
  <c r="D3278" i="5"/>
  <c r="D3480" i="5"/>
  <c r="D2578" i="5"/>
  <c r="D1014" i="5"/>
  <c r="D2584" i="5"/>
  <c r="D118" i="5"/>
  <c r="D2432" i="5"/>
  <c r="D727" i="5"/>
  <c r="D3067" i="5"/>
  <c r="D2181" i="5"/>
  <c r="D3976" i="5"/>
  <c r="D3245" i="5"/>
  <c r="D144" i="5"/>
  <c r="D149" i="5"/>
  <c r="D2335" i="5"/>
  <c r="D986" i="5"/>
  <c r="D2512" i="5"/>
  <c r="D1696" i="5"/>
  <c r="D1722" i="5"/>
  <c r="D261" i="5"/>
  <c r="D1293" i="5"/>
  <c r="D2403" i="5"/>
  <c r="D2374" i="5"/>
  <c r="D1054" i="5"/>
  <c r="D995" i="5"/>
  <c r="D2449" i="5"/>
  <c r="D1532" i="5"/>
  <c r="D1670" i="5"/>
  <c r="D2206" i="5"/>
  <c r="D405" i="5"/>
  <c r="D891" i="5"/>
  <c r="D1116" i="5"/>
  <c r="D1337" i="5"/>
  <c r="D3509" i="5"/>
  <c r="D1028" i="5"/>
  <c r="D2119" i="5"/>
  <c r="D3237" i="5"/>
  <c r="D3897" i="5"/>
  <c r="D3239" i="5"/>
  <c r="D136" i="5"/>
  <c r="D2366" i="5"/>
  <c r="D2124" i="5"/>
  <c r="D796" i="5"/>
  <c r="D1053" i="5"/>
  <c r="D1646" i="5"/>
  <c r="D2138" i="5"/>
  <c r="D2517" i="5"/>
  <c r="D1505" i="5"/>
  <c r="D2064" i="5"/>
  <c r="D3297" i="5"/>
  <c r="D1277" i="5"/>
  <c r="D2029" i="5"/>
  <c r="D1351" i="5"/>
  <c r="D753" i="5"/>
  <c r="D653" i="5"/>
  <c r="D646" i="5"/>
  <c r="D2759" i="5"/>
  <c r="D2302" i="5"/>
  <c r="D2283" i="5"/>
  <c r="D2647" i="5"/>
  <c r="D2743" i="5"/>
  <c r="D424" i="5"/>
  <c r="D3453" i="5"/>
  <c r="D3524" i="5"/>
  <c r="D2328" i="5"/>
  <c r="D1952" i="5"/>
  <c r="D1382" i="5"/>
  <c r="D1557" i="5"/>
  <c r="D1634" i="5"/>
  <c r="D1714" i="5"/>
  <c r="D532" i="5"/>
  <c r="D1612" i="5"/>
  <c r="D280" i="5"/>
  <c r="D558" i="5"/>
  <c r="D3132" i="5"/>
  <c r="D1692" i="5"/>
  <c r="D2672" i="5"/>
  <c r="D1584" i="5"/>
  <c r="D617" i="5"/>
  <c r="D1533" i="5"/>
  <c r="D1733" i="5"/>
  <c r="D2442" i="5"/>
  <c r="D1631" i="5"/>
  <c r="D741" i="5"/>
  <c r="D3169" i="5"/>
  <c r="D2077" i="5"/>
  <c r="D875" i="5"/>
  <c r="D732" i="5"/>
  <c r="D3695" i="5"/>
  <c r="D3144" i="5"/>
  <c r="D621" i="5"/>
  <c r="D635" i="5"/>
  <c r="D916" i="5"/>
  <c r="D2479" i="5"/>
  <c r="D2052" i="5"/>
  <c r="D160" i="5"/>
  <c r="D2257" i="5"/>
  <c r="D1755" i="5"/>
  <c r="D2224" i="5"/>
  <c r="D2368" i="5"/>
  <c r="D2811" i="5"/>
  <c r="D3875" i="5"/>
  <c r="D305" i="5"/>
  <c r="D3711" i="5"/>
  <c r="D2242" i="5"/>
  <c r="D1290" i="5"/>
  <c r="D1194" i="5"/>
  <c r="D3917" i="5"/>
  <c r="D1980" i="5"/>
  <c r="D165" i="5"/>
  <c r="D257" i="5"/>
  <c r="D2251" i="5"/>
  <c r="D983" i="5"/>
  <c r="D2458" i="5"/>
  <c r="D1272" i="5"/>
  <c r="D3716" i="5"/>
  <c r="D1247" i="5"/>
  <c r="D283" i="5"/>
  <c r="D705" i="5"/>
  <c r="D20" i="5"/>
  <c r="D62" i="5"/>
  <c r="D2783" i="5"/>
  <c r="D3130" i="5"/>
  <c r="D402" i="5"/>
  <c r="D2784" i="5"/>
  <c r="D1038" i="5"/>
  <c r="D1228" i="5"/>
  <c r="D501" i="5"/>
  <c r="D3105" i="5"/>
  <c r="D2163" i="5"/>
  <c r="D1287" i="5"/>
  <c r="D2065" i="5"/>
  <c r="D3346" i="5"/>
  <c r="D1559" i="5"/>
  <c r="D2414" i="5"/>
  <c r="D88" i="5"/>
  <c r="D2782" i="5"/>
  <c r="D1385" i="5"/>
  <c r="D3718" i="5"/>
  <c r="D369" i="5"/>
  <c r="D1151" i="5"/>
  <c r="D1617" i="5"/>
  <c r="D333" i="5"/>
  <c r="D1253" i="5"/>
  <c r="D1350" i="5"/>
  <c r="D1674" i="5"/>
  <c r="D3757" i="5"/>
  <c r="D966" i="5"/>
  <c r="D3376" i="5"/>
  <c r="D2971" i="5"/>
  <c r="D77" i="5"/>
  <c r="D3342" i="5"/>
  <c r="D2638" i="5"/>
  <c r="D168" i="5"/>
  <c r="D417" i="5"/>
  <c r="D3555" i="5"/>
  <c r="D3401" i="5"/>
  <c r="D3503" i="5"/>
  <c r="D2713" i="5"/>
  <c r="D3116" i="5"/>
  <c r="D3951" i="5"/>
  <c r="D1139" i="5"/>
  <c r="D3133" i="5"/>
  <c r="D3329" i="5"/>
  <c r="D756" i="5"/>
  <c r="D2787" i="5"/>
  <c r="D2691" i="5"/>
  <c r="D1835" i="5"/>
  <c r="D324" i="5"/>
  <c r="D2837" i="5"/>
  <c r="D3786" i="5"/>
  <c r="D2114" i="5"/>
  <c r="D2228" i="5"/>
  <c r="D1882" i="5"/>
  <c r="D3657" i="5"/>
  <c r="D3830" i="5"/>
  <c r="D1332" i="5"/>
  <c r="D1190" i="5"/>
  <c r="D3315" i="5"/>
  <c r="D803" i="5"/>
  <c r="D2995" i="5"/>
  <c r="D3446" i="5"/>
  <c r="D238" i="5"/>
  <c r="D707" i="5"/>
  <c r="D3011" i="5"/>
  <c r="D1318" i="5"/>
  <c r="D3055" i="5"/>
  <c r="D306" i="5"/>
  <c r="D2510" i="5"/>
  <c r="D1450" i="5"/>
  <c r="D1767" i="5"/>
  <c r="D547" i="5"/>
  <c r="D3654" i="5"/>
  <c r="D652" i="5"/>
  <c r="D3529" i="5"/>
  <c r="D2265" i="5"/>
  <c r="D3542" i="5"/>
  <c r="D1893" i="5"/>
  <c r="D1498" i="5"/>
  <c r="D3851" i="5"/>
  <c r="D1410" i="5"/>
  <c r="D5" i="5"/>
  <c r="D3384" i="5"/>
  <c r="D1506" i="5"/>
  <c r="D193" i="5"/>
  <c r="D1929" i="5"/>
  <c r="D488" i="5"/>
  <c r="D2262" i="5"/>
  <c r="D3158" i="5"/>
  <c r="D106" i="5"/>
  <c r="D1231" i="5"/>
  <c r="D2199" i="5"/>
  <c r="D301" i="5"/>
  <c r="D90" i="5"/>
  <c r="D3912" i="5"/>
  <c r="D3845" i="5"/>
  <c r="D3081" i="5"/>
  <c r="D2935" i="5"/>
  <c r="D819" i="5"/>
  <c r="D3593" i="5"/>
  <c r="D443" i="5"/>
  <c r="D315" i="5"/>
  <c r="D2353" i="5"/>
  <c r="D3307" i="5"/>
  <c r="D2336" i="5"/>
  <c r="D3258" i="5"/>
  <c r="D3899" i="5"/>
  <c r="D1687" i="5"/>
  <c r="D1905" i="5"/>
  <c r="D3005" i="5"/>
  <c r="D2681" i="5"/>
  <c r="D2520" i="5"/>
  <c r="D2495" i="5"/>
  <c r="D2553" i="5"/>
  <c r="D1013" i="5"/>
  <c r="D3451" i="5"/>
  <c r="D1215" i="5"/>
  <c r="D2536" i="5"/>
  <c r="D524" i="5"/>
  <c r="D3412" i="5"/>
  <c r="D3868" i="5"/>
  <c r="D1583" i="5"/>
  <c r="D527" i="5"/>
  <c r="D2801" i="5"/>
  <c r="D772" i="5"/>
  <c r="D539" i="5"/>
  <c r="D1197" i="5"/>
  <c r="D3888" i="5"/>
  <c r="D1684" i="5"/>
  <c r="D3228" i="5"/>
  <c r="D2299" i="5"/>
  <c r="D1029" i="5"/>
  <c r="D3445" i="5"/>
  <c r="D2419" i="5"/>
  <c r="D51" i="5"/>
  <c r="D3896" i="5"/>
  <c r="D2502" i="5"/>
  <c r="D1097" i="5"/>
  <c r="D1127" i="5"/>
  <c r="D294" i="5"/>
  <c r="D2030" i="5"/>
  <c r="D2471" i="5"/>
  <c r="D1062" i="5"/>
  <c r="D396" i="5"/>
  <c r="D1528" i="5"/>
  <c r="D1922" i="5"/>
  <c r="D2062" i="5"/>
  <c r="D2345" i="5"/>
  <c r="D3045" i="5"/>
  <c r="D1869" i="5"/>
  <c r="D3257" i="5"/>
  <c r="D3520" i="5"/>
  <c r="D853" i="5"/>
  <c r="D66" i="5"/>
  <c r="D295" i="5"/>
  <c r="D956" i="5"/>
  <c r="D1770" i="5"/>
  <c r="D2450" i="5"/>
  <c r="D658" i="5"/>
  <c r="D1238" i="5"/>
  <c r="D1394" i="5"/>
  <c r="D774" i="5"/>
  <c r="D2188" i="5"/>
  <c r="D1574" i="5"/>
  <c r="D2380" i="5"/>
  <c r="D3513" i="5"/>
  <c r="D660" i="5"/>
  <c r="D273" i="5"/>
  <c r="D1208" i="5"/>
  <c r="D1810" i="5"/>
  <c r="D2352" i="5"/>
  <c r="D827" i="5"/>
  <c r="D3713" i="5"/>
  <c r="D3305" i="5"/>
  <c r="D3623" i="5"/>
  <c r="D877" i="5"/>
  <c r="D1517" i="5"/>
  <c r="D213" i="5"/>
  <c r="D2250" i="5"/>
  <c r="D1962" i="5"/>
  <c r="D977" i="5"/>
  <c r="D3763" i="5"/>
  <c r="D1057" i="5"/>
  <c r="D1480" i="5"/>
  <c r="D3309" i="5"/>
  <c r="D3948" i="5"/>
  <c r="D1745" i="5"/>
  <c r="D1720" i="5"/>
  <c r="D1846" i="5"/>
  <c r="D985" i="5"/>
  <c r="D465" i="5"/>
  <c r="D2698" i="5"/>
  <c r="D1947" i="5"/>
  <c r="D663" i="5"/>
  <c r="D2999" i="5"/>
  <c r="D885" i="5"/>
  <c r="D1264" i="5"/>
  <c r="D3213" i="5"/>
  <c r="D2061" i="5"/>
  <c r="D3366" i="5"/>
  <c r="D1448" i="5"/>
  <c r="D1529" i="5"/>
  <c r="D1196" i="5"/>
  <c r="D2316" i="5"/>
  <c r="D2340" i="5"/>
  <c r="D2141" i="5"/>
  <c r="D3734" i="5"/>
  <c r="D950" i="5"/>
  <c r="D2796" i="5"/>
  <c r="D1749" i="5"/>
  <c r="D770" i="5"/>
  <c r="D2575" i="5"/>
  <c r="D2514" i="5"/>
  <c r="D1825" i="5"/>
  <c r="D3788" i="5"/>
  <c r="D195" i="5"/>
  <c r="D2297" i="5"/>
  <c r="D1203" i="5"/>
  <c r="D530" i="5"/>
  <c r="D1124" i="5"/>
  <c r="D2433" i="5"/>
  <c r="D864" i="5"/>
  <c r="D894" i="5"/>
  <c r="D2256" i="5"/>
  <c r="D3943" i="5"/>
  <c r="D3604" i="5"/>
  <c r="D75" i="5"/>
  <c r="D3002" i="5"/>
  <c r="D2666" i="5"/>
  <c r="D2480" i="5"/>
  <c r="D2740" i="5"/>
  <c r="D3046" i="5"/>
  <c r="D93" i="5"/>
  <c r="D2933" i="5"/>
  <c r="D2241" i="5"/>
  <c r="D2582" i="5"/>
  <c r="D3663" i="5"/>
  <c r="D729" i="5"/>
  <c r="D1550" i="5"/>
  <c r="D1207" i="5"/>
  <c r="D1730" i="5"/>
  <c r="D2568" i="5"/>
  <c r="D2445" i="5"/>
  <c r="D3736" i="5"/>
  <c r="D1648" i="5"/>
  <c r="D791" i="5"/>
  <c r="D3920" i="5"/>
  <c r="D2239" i="5"/>
  <c r="D3063" i="5"/>
  <c r="D152" i="5"/>
  <c r="D469" i="5"/>
  <c r="D2750" i="5"/>
  <c r="D940" i="5"/>
  <c r="D703" i="5"/>
  <c r="D552" i="5"/>
  <c r="D2326" i="5"/>
  <c r="D2848" i="5"/>
  <c r="D3869" i="5"/>
  <c r="D1801" i="5"/>
  <c r="D3911" i="5"/>
  <c r="D1735" i="5"/>
  <c r="D210" i="5"/>
  <c r="D1068" i="5"/>
  <c r="D325" i="5"/>
  <c r="D1314" i="5"/>
  <c r="D3399" i="5"/>
  <c r="D849" i="5"/>
  <c r="D2676" i="5"/>
  <c r="D1955" i="5"/>
  <c r="D1796" i="5"/>
  <c r="D2051" i="5"/>
  <c r="D1471" i="5"/>
  <c r="D2416" i="5"/>
  <c r="D1393" i="5"/>
  <c r="D3175" i="5"/>
  <c r="D2021" i="5"/>
  <c r="D2322" i="5"/>
  <c r="D785" i="5"/>
  <c r="D3287" i="5"/>
  <c r="D1567" i="5"/>
  <c r="D2452" i="5"/>
  <c r="D1699" i="5"/>
  <c r="D3265" i="5"/>
  <c r="D1511" i="5"/>
  <c r="D3348" i="5"/>
  <c r="D2602" i="5"/>
  <c r="D1249" i="5"/>
  <c r="D1515" i="5"/>
  <c r="D47" i="5"/>
  <c r="D2804" i="5"/>
  <c r="D403" i="5"/>
  <c r="D2033" i="5"/>
  <c r="D1711" i="5"/>
  <c r="D3051" i="5"/>
  <c r="D559" i="5"/>
  <c r="D3956" i="5"/>
  <c r="D1142" i="5"/>
  <c r="D1693" i="5"/>
  <c r="D3984" i="5"/>
  <c r="D1237" i="5"/>
  <c r="D3318" i="5"/>
  <c r="D856" i="5"/>
  <c r="D3235" i="5"/>
  <c r="D3937" i="5"/>
  <c r="D2879" i="5"/>
  <c r="D2304" i="5"/>
  <c r="D3758" i="5"/>
  <c r="D1418" i="5"/>
  <c r="D81" i="5"/>
  <c r="D3481" i="5"/>
  <c r="D923" i="5"/>
  <c r="D300" i="5"/>
  <c r="D3014" i="5"/>
  <c r="D1121" i="5"/>
  <c r="D584" i="5"/>
  <c r="D1083" i="5"/>
  <c r="D243" i="5"/>
  <c r="D924" i="5"/>
  <c r="D53" i="5"/>
  <c r="D2918" i="5"/>
  <c r="D1243" i="5"/>
  <c r="D2249" i="5"/>
  <c r="D3519" i="5"/>
  <c r="D3148" i="5"/>
  <c r="D537" i="5"/>
  <c r="D1579" i="5"/>
  <c r="D930" i="5"/>
  <c r="D281" i="5"/>
  <c r="D1094" i="5"/>
  <c r="D1026" i="5"/>
  <c r="D3594" i="5"/>
  <c r="D3293" i="5"/>
  <c r="D3332" i="5"/>
  <c r="D2156" i="5"/>
  <c r="D1709" i="5"/>
  <c r="D2475" i="5"/>
  <c r="D2105" i="5"/>
  <c r="D3968" i="5"/>
  <c r="D317" i="5"/>
  <c r="D2938" i="5"/>
  <c r="D2629" i="5"/>
  <c r="D1482" i="5"/>
  <c r="D1664" i="5"/>
  <c r="D3004" i="5"/>
  <c r="D2039" i="5"/>
  <c r="D3735" i="5"/>
  <c r="D2644" i="5"/>
  <c r="D1576" i="5"/>
  <c r="D1485" i="5"/>
  <c r="D3398" i="5"/>
  <c r="D1145" i="5"/>
  <c r="D319" i="5"/>
  <c r="D2047" i="5"/>
  <c r="D2980" i="5"/>
  <c r="D1138" i="5"/>
  <c r="D3970" i="5"/>
  <c r="D1315" i="5"/>
  <c r="D2528" i="5"/>
  <c r="D3582" i="5"/>
  <c r="D495" i="5"/>
  <c r="D2357" i="5"/>
  <c r="D2851" i="5"/>
  <c r="D3368" i="5"/>
  <c r="D3636" i="5"/>
  <c r="D1739" i="5"/>
  <c r="D184" i="5"/>
  <c r="D2255" i="5"/>
  <c r="D2306" i="5"/>
  <c r="D2679" i="5"/>
  <c r="D1122" i="5"/>
  <c r="D1130" i="5"/>
  <c r="D720" i="5"/>
  <c r="D792" i="5"/>
  <c r="D2557" i="5"/>
  <c r="D2617" i="5"/>
  <c r="D2730" i="5"/>
  <c r="D1815" i="5"/>
  <c r="D1969" i="5"/>
  <c r="D323" i="5"/>
  <c r="D373" i="5"/>
  <c r="D29" i="5"/>
  <c r="D206" i="5"/>
  <c r="D3022" i="5"/>
  <c r="D504" i="5"/>
  <c r="D1981" i="5"/>
  <c r="D3442" i="5"/>
  <c r="D263" i="5"/>
  <c r="D3421" i="5"/>
  <c r="D3592" i="5"/>
  <c r="D419" i="5"/>
  <c r="D1747" i="5"/>
  <c r="D3954" i="5"/>
  <c r="D2211" i="5"/>
  <c r="D576" i="5"/>
  <c r="D2997" i="5"/>
  <c r="D3417" i="5"/>
  <c r="D3079" i="5"/>
  <c r="D1865" i="5"/>
  <c r="D668" i="5"/>
  <c r="D2720" i="5"/>
  <c r="D2436" i="5"/>
  <c r="D2601" i="5"/>
  <c r="D2162" i="5"/>
  <c r="D3267" i="5"/>
  <c r="D945" i="5"/>
  <c r="D2129" i="5"/>
  <c r="D3675" i="5"/>
  <c r="D694" i="5"/>
  <c r="D3253" i="5"/>
  <c r="D959" i="5"/>
  <c r="D828" i="5"/>
  <c r="D3549" i="5"/>
  <c r="D3053" i="5"/>
  <c r="D518" i="5"/>
  <c r="D604" i="5"/>
  <c r="D3761" i="5"/>
  <c r="D3110" i="5"/>
  <c r="D2384" i="5"/>
  <c r="D2258" i="5"/>
  <c r="D2054" i="5"/>
  <c r="D3563" i="5"/>
  <c r="D3572" i="5"/>
  <c r="D2919" i="5"/>
  <c r="D38" i="5"/>
  <c r="D3212" i="5"/>
  <c r="D1502" i="5"/>
  <c r="D216" i="5"/>
  <c r="D2747" i="5"/>
  <c r="D553" i="5"/>
  <c r="D855" i="5"/>
  <c r="D2896" i="5"/>
  <c r="D1819" i="5"/>
  <c r="D569" i="5"/>
  <c r="D2648" i="5"/>
  <c r="D1442" i="5"/>
  <c r="D3800" i="5"/>
  <c r="D3525" i="5"/>
  <c r="D2976" i="5"/>
  <c r="D1941" i="5"/>
  <c r="D3766" i="5"/>
  <c r="D1779" i="5"/>
  <c r="D13" i="5"/>
  <c r="D3137" i="5"/>
  <c r="D2840" i="5"/>
  <c r="D890" i="5"/>
  <c r="D1655" i="5"/>
  <c r="D897" i="5"/>
  <c r="D253" i="5"/>
  <c r="D3354" i="5"/>
  <c r="D1667" i="5"/>
  <c r="D3054" i="5"/>
  <c r="D3243" i="5"/>
  <c r="D669" i="5"/>
  <c r="D2544" i="5"/>
  <c r="D2207" i="5"/>
  <c r="D208" i="5"/>
  <c r="D1538" i="5"/>
  <c r="D2904" i="5"/>
  <c r="D2827" i="5"/>
  <c r="D1374" i="5"/>
  <c r="D3010" i="5"/>
  <c r="D683" i="5"/>
  <c r="D2155" i="5"/>
  <c r="D3754" i="5"/>
  <c r="D3836" i="5"/>
  <c r="D1270" i="5"/>
  <c r="D302" i="5"/>
  <c r="D2821" i="5"/>
  <c r="D2978" i="5"/>
  <c r="D3784" i="5"/>
  <c r="D2580" i="5"/>
  <c r="D1535" i="5"/>
  <c r="D2958" i="5"/>
  <c r="D1379" i="5"/>
  <c r="D3579" i="5"/>
  <c r="D2063" i="5"/>
  <c r="D1111" i="5"/>
  <c r="D525" i="5"/>
  <c r="D2690" i="5"/>
  <c r="D2614" i="5"/>
  <c r="D1605" i="5"/>
  <c r="D636" i="5"/>
  <c r="D2526" i="5"/>
  <c r="D41" i="5"/>
  <c r="D2678" i="5"/>
  <c r="D3661" i="5"/>
  <c r="D2728" i="5"/>
  <c r="D1716" i="5"/>
  <c r="D939" i="5"/>
  <c r="D1276" i="5"/>
  <c r="D3236" i="5"/>
  <c r="D3981" i="5"/>
  <c r="D418" i="5"/>
  <c r="D1914" i="5"/>
  <c r="D3227" i="5"/>
  <c r="D2925" i="5"/>
  <c r="D2577" i="5"/>
  <c r="D1089" i="5"/>
  <c r="D1269" i="5"/>
  <c r="D2476" i="5"/>
  <c r="D3092" i="5"/>
  <c r="D545" i="5"/>
  <c r="D3583" i="5"/>
  <c r="D1164" i="5"/>
  <c r="D124" i="5"/>
  <c r="D458" i="5"/>
  <c r="D1153" i="5"/>
  <c r="D1704" i="5"/>
  <c r="D1901" i="5"/>
  <c r="D3864" i="5"/>
  <c r="D48" i="5"/>
  <c r="D122" i="5"/>
  <c r="D2906" i="5"/>
  <c r="D3692" i="5"/>
  <c r="D95" i="5"/>
  <c r="D3545" i="5"/>
  <c r="D108" i="5"/>
  <c r="D2908" i="5"/>
  <c r="D2560" i="5"/>
  <c r="D2425" i="5"/>
  <c r="D2147" i="5"/>
  <c r="D2948" i="5"/>
  <c r="D2680" i="5"/>
  <c r="D1800" i="5"/>
  <c r="D862" i="5"/>
  <c r="D3464" i="5"/>
  <c r="D1178" i="5"/>
  <c r="D2446" i="5"/>
  <c r="D382" i="5"/>
  <c r="D2314" i="5"/>
  <c r="D523" i="5"/>
  <c r="D119" i="5"/>
  <c r="D2376" i="5"/>
  <c r="D2527" i="5"/>
  <c r="D747" i="5"/>
  <c r="D2654" i="5"/>
  <c r="D795" i="5"/>
  <c r="D3472" i="5"/>
  <c r="D2525" i="5"/>
  <c r="D3961" i="5"/>
  <c r="D139" i="5"/>
  <c r="D9" i="5"/>
  <c r="D1843" i="5"/>
  <c r="D1919" i="5"/>
  <c r="D366" i="5"/>
  <c r="D264" i="5"/>
  <c r="D599" i="5"/>
  <c r="D158" i="5"/>
  <c r="D474" i="5"/>
  <c r="D1245" i="5"/>
  <c r="D3634" i="5"/>
  <c r="D1200" i="5"/>
  <c r="D1798" i="5"/>
  <c r="D3940" i="5"/>
  <c r="D567" i="5"/>
  <c r="D542" i="5"/>
  <c r="D345" i="5"/>
  <c r="D270" i="5"/>
  <c r="D3858" i="5"/>
  <c r="D3588" i="5"/>
  <c r="D851" i="5"/>
  <c r="D787" i="5"/>
  <c r="D2965" i="5"/>
  <c r="D363" i="5"/>
  <c r="D3340" i="5"/>
  <c r="D1956" i="5"/>
  <c r="D2598" i="5"/>
  <c r="D2886" i="5"/>
  <c r="D2717" i="5"/>
  <c r="D56" i="5"/>
  <c r="D842" i="5"/>
  <c r="D385" i="5"/>
  <c r="D1824" i="5"/>
  <c r="D2806" i="5"/>
  <c r="D3462" i="5"/>
  <c r="D998" i="5"/>
  <c r="D3694" i="5"/>
  <c r="D2038" i="5"/>
  <c r="D2447" i="5"/>
  <c r="D1326" i="5"/>
  <c r="D2675" i="5"/>
  <c r="D3650" i="5"/>
  <c r="D3723" i="5"/>
  <c r="D2410" i="5"/>
  <c r="D743" i="5"/>
  <c r="D3068" i="5"/>
  <c r="D2103" i="5"/>
  <c r="D3687" i="5"/>
  <c r="D2016" i="5"/>
  <c r="D2487" i="5"/>
  <c r="D3330" i="5"/>
  <c r="D2490" i="5"/>
  <c r="D1643" i="5"/>
  <c r="D1786" i="5"/>
  <c r="D3621" i="5"/>
  <c r="D466" i="5"/>
  <c r="D1221" i="5"/>
  <c r="D2945" i="5"/>
  <c r="D2832" i="5"/>
  <c r="D1944" i="5"/>
  <c r="D1707" i="5"/>
  <c r="D2780" i="5"/>
  <c r="D3848" i="5"/>
  <c r="D2372" i="5"/>
  <c r="D3204" i="5"/>
  <c r="D3138" i="5"/>
  <c r="D619" i="5"/>
  <c r="D1933" i="5"/>
  <c r="D2465" i="5"/>
  <c r="D1226" i="5"/>
  <c r="D3017" i="5"/>
  <c r="D987" i="5"/>
  <c r="D218" i="5"/>
  <c r="D3806" i="5"/>
  <c r="D2032" i="5"/>
  <c r="D104" i="5"/>
  <c r="D3300" i="5"/>
  <c r="D1830" i="5"/>
  <c r="D3448" i="5"/>
  <c r="D1254" i="5"/>
  <c r="D2370" i="5"/>
  <c r="D1715" i="5"/>
  <c r="D3097" i="5"/>
  <c r="D2567" i="5"/>
  <c r="D612" i="5"/>
  <c r="D1427" i="5"/>
  <c r="D2898" i="5"/>
  <c r="D2826" i="5"/>
  <c r="D2862" i="5"/>
  <c r="D1520" i="5"/>
  <c r="D3439" i="5"/>
  <c r="D3724" i="5"/>
  <c r="D3844" i="5"/>
  <c r="D2101" i="5"/>
  <c r="D1940" i="5"/>
  <c r="D3157" i="5"/>
  <c r="D2279" i="5"/>
  <c r="D2152" i="5"/>
  <c r="D3557" i="5"/>
  <c r="D3223" i="5"/>
  <c r="D826" i="5"/>
  <c r="D2286" i="5"/>
  <c r="D1147" i="5"/>
  <c r="D3648" i="5"/>
  <c r="D2074" i="5"/>
  <c r="D1035" i="5"/>
  <c r="D2739" i="5"/>
  <c r="D3894" i="5"/>
  <c r="D2569" i="5"/>
  <c r="D312" i="5"/>
  <c r="D3182" i="5"/>
  <c r="D2533" i="5"/>
  <c r="D3729" i="5"/>
  <c r="D3528" i="5"/>
  <c r="D2956" i="5"/>
  <c r="D1487" i="5"/>
  <c r="D1386" i="5"/>
  <c r="D2285" i="5"/>
  <c r="D2120" i="5"/>
  <c r="D3639" i="5"/>
  <c r="D2895" i="5"/>
  <c r="D2069" i="5"/>
  <c r="D575" i="5"/>
  <c r="D2037" i="5"/>
  <c r="D3164" i="5"/>
  <c r="D1787" i="5"/>
  <c r="D3626" i="5"/>
  <c r="D1592" i="5"/>
  <c r="D1813" i="5"/>
  <c r="D1123" i="5"/>
  <c r="D1906" i="5"/>
  <c r="D631" i="5"/>
  <c r="D1345" i="5"/>
  <c r="D755" i="5"/>
  <c r="D1721" i="5"/>
  <c r="D198" i="5"/>
  <c r="D2683" i="5"/>
  <c r="D2867" i="5"/>
  <c r="D2003" i="5"/>
  <c r="D2153" i="5"/>
  <c r="D1577" i="5"/>
  <c r="D804" i="5"/>
  <c r="D148" i="5"/>
  <c r="D494" i="5"/>
  <c r="D2576" i="5"/>
  <c r="D1457" i="5"/>
  <c r="D2697" i="5"/>
  <c r="D3029" i="5"/>
  <c r="D2618" i="5"/>
  <c r="D321" i="5"/>
  <c r="D3629" i="5"/>
  <c r="D3531" i="5"/>
  <c r="D1252" i="5"/>
  <c r="D2127" i="5"/>
  <c r="D2727" i="5"/>
  <c r="D1861" i="5"/>
  <c r="D3494" i="5"/>
  <c r="D1659" i="5"/>
  <c r="D3499" i="5"/>
  <c r="D638" i="5"/>
  <c r="D1581" i="5"/>
  <c r="D3595" i="5"/>
  <c r="D1117" i="5"/>
  <c r="D1832" i="5"/>
  <c r="D541" i="5"/>
  <c r="D3921" i="5"/>
  <c r="D1295" i="5"/>
  <c r="D3744" i="5"/>
  <c r="D3612" i="5"/>
  <c r="D762" i="5"/>
  <c r="D664" i="5"/>
  <c r="D538" i="5"/>
  <c r="D3410" i="5"/>
  <c r="D1965" i="5"/>
  <c r="D271" i="5"/>
  <c r="D839" i="5"/>
  <c r="D1948" i="5"/>
  <c r="D1516" i="5"/>
  <c r="D2123" i="5"/>
  <c r="D968" i="5"/>
  <c r="D2483" i="5"/>
  <c r="D836" i="5"/>
  <c r="D2656" i="5"/>
  <c r="D1468" i="5"/>
  <c r="D2106" i="5"/>
  <c r="D3676" i="5"/>
  <c r="D3580" i="5"/>
  <c r="D1297" i="5"/>
  <c r="D3044" i="5"/>
  <c r="D736" i="5"/>
  <c r="D2620" i="5"/>
  <c r="D1897" i="5"/>
  <c r="D570" i="5"/>
  <c r="D2561" i="5"/>
  <c r="D1477" i="5"/>
  <c r="D3459" i="5"/>
  <c r="D23" i="5"/>
  <c r="D1425" i="5"/>
  <c r="D1175" i="5"/>
  <c r="D3033" i="5"/>
  <c r="D335" i="5"/>
  <c r="D1414" i="5"/>
  <c r="D2820" i="5"/>
  <c r="D3553" i="5"/>
  <c r="D907" i="5"/>
  <c r="D1663" i="5"/>
  <c r="D1884" i="5"/>
  <c r="D3677" i="5"/>
  <c r="D37" i="5"/>
  <c r="D3955" i="5"/>
  <c r="D2734" i="5"/>
  <c r="D60" i="5"/>
  <c r="D3071" i="5"/>
  <c r="D71" i="5"/>
  <c r="D348" i="5"/>
  <c r="D1241" i="5"/>
  <c r="D1828" i="5"/>
  <c r="D1186" i="5"/>
  <c r="D2882" i="5"/>
  <c r="D145" i="5"/>
  <c r="D103" i="5"/>
  <c r="D666" i="5"/>
  <c r="D471" i="5"/>
  <c r="D3827" i="5"/>
  <c r="D2484" i="5"/>
  <c r="D2189" i="5"/>
  <c r="D460" i="5"/>
  <c r="D2946" i="5"/>
  <c r="D3543" i="5"/>
  <c r="D260" i="5"/>
  <c r="D1307" i="5"/>
  <c r="D1034" i="5"/>
  <c r="D722" i="5"/>
  <c r="D2469" i="5"/>
  <c r="D815" i="5"/>
  <c r="D2305" i="5"/>
  <c r="D830" i="5"/>
  <c r="D199" i="5"/>
  <c r="D728" i="5"/>
  <c r="D3106" i="5"/>
  <c r="D811" i="5"/>
  <c r="D2994" i="5"/>
  <c r="D1982" i="5"/>
  <c r="D3290" i="5"/>
  <c r="D1341" i="5"/>
  <c r="D2169" i="5"/>
  <c r="D192" i="5"/>
  <c r="D1404" i="5"/>
  <c r="D2486" i="5"/>
  <c r="D1895" i="5"/>
  <c r="D2858" i="5"/>
  <c r="D3768" i="5"/>
  <c r="D3913" i="5"/>
  <c r="D540" i="5"/>
  <c r="D2496" i="5"/>
  <c r="D3101" i="5"/>
  <c r="D182" i="5"/>
  <c r="D486" i="5"/>
  <c r="D845" i="5"/>
  <c r="D2651" i="5"/>
  <c r="D3152" i="5"/>
  <c r="D3672" i="5"/>
  <c r="D2392" i="5"/>
  <c r="D1886" i="5"/>
  <c r="D2146" i="5"/>
  <c r="D1047" i="5"/>
  <c r="D2371" i="5"/>
  <c r="D1658" i="5"/>
  <c r="D3386" i="5"/>
  <c r="D3602" i="5"/>
  <c r="D3469" i="5"/>
  <c r="D1503" i="5"/>
  <c r="D176" i="5"/>
  <c r="D2794" i="5"/>
  <c r="D2540" i="5"/>
  <c r="D3477" i="5"/>
  <c r="D2173" i="5"/>
  <c r="D1469" i="5"/>
  <c r="D3199" i="5"/>
  <c r="D2393" i="5"/>
  <c r="D2007" i="5"/>
  <c r="D3493" i="5"/>
  <c r="D533" i="5"/>
  <c r="D1235" i="5"/>
  <c r="D1799" i="5"/>
  <c r="D3855" i="5"/>
  <c r="D1837" i="5"/>
  <c r="D951" i="5"/>
  <c r="D2333" i="5"/>
  <c r="D682" i="5"/>
  <c r="D2145" i="5"/>
  <c r="D2714" i="5"/>
  <c r="D2071" i="5"/>
  <c r="D3511" i="5"/>
  <c r="D1640" i="5"/>
  <c r="D3456" i="5"/>
  <c r="D1821" i="5"/>
  <c r="D3527" i="5"/>
  <c r="D1771" i="5"/>
  <c r="D42" i="5"/>
  <c r="D3128" i="5"/>
  <c r="D1537" i="5"/>
  <c r="D3737" i="5"/>
  <c r="D605" i="5"/>
  <c r="D1137" i="5"/>
  <c r="D1572" i="5"/>
  <c r="D172" i="5"/>
  <c r="D2397" i="5"/>
  <c r="D1854" i="5"/>
  <c r="D586" i="5"/>
  <c r="D3934" i="5"/>
  <c r="D2389" i="5"/>
  <c r="D1635" i="5"/>
  <c r="D3490" i="5"/>
  <c r="D1402" i="5"/>
  <c r="D820" i="5"/>
  <c r="D1349" i="5"/>
  <c r="D1883" i="5"/>
  <c r="D3832" i="5"/>
  <c r="D39" i="5"/>
  <c r="D1134" i="5"/>
  <c r="D307" i="5"/>
  <c r="D347" i="5"/>
  <c r="D1434" i="5"/>
  <c r="D2836" i="5"/>
  <c r="D1251" i="5"/>
  <c r="D3194" i="5"/>
  <c r="D3357" i="5"/>
  <c r="D3039" i="5"/>
  <c r="D2924" i="5"/>
  <c r="D1415" i="5"/>
  <c r="D2825" i="5"/>
  <c r="D873" i="5"/>
  <c r="D1140" i="5"/>
  <c r="D1541" i="5"/>
  <c r="D2539" i="5"/>
  <c r="D1292" i="5"/>
  <c r="D3824" i="5"/>
  <c r="D1449" i="5"/>
  <c r="D344" i="5"/>
  <c r="D2198" i="5"/>
  <c r="D1807" i="5"/>
  <c r="D706" i="5"/>
  <c r="D33" i="5"/>
  <c r="D367" i="5"/>
  <c r="D3465" i="5"/>
  <c r="D342" i="5"/>
  <c r="D427" i="5"/>
  <c r="D749" i="5"/>
  <c r="D3802" i="5"/>
  <c r="D2194" i="5"/>
  <c r="D1875" i="5"/>
  <c r="D965" i="5"/>
  <c r="D1176" i="5"/>
  <c r="D1368" i="5"/>
  <c r="D3570" i="5"/>
  <c r="D1375" i="5"/>
  <c r="D3747" i="5"/>
  <c r="D2947" i="5"/>
  <c r="D1623" i="5"/>
  <c r="D1708" i="5"/>
  <c r="D423" i="5"/>
  <c r="D2159" i="5"/>
  <c r="D1361" i="5"/>
  <c r="D943" i="5"/>
  <c r="D3717" i="5"/>
  <c r="D1005" i="5"/>
  <c r="D794" i="5"/>
  <c r="D1463" i="5"/>
  <c r="D3828" i="5"/>
  <c r="D784" i="5"/>
  <c r="D2166" i="5"/>
  <c r="D105" i="5"/>
  <c r="D2109" i="5"/>
  <c r="D3598" i="5"/>
  <c r="D881" i="5"/>
  <c r="D131" i="5"/>
  <c r="D880" i="5"/>
  <c r="D1987" i="5"/>
  <c r="D871" i="5"/>
  <c r="D1102" i="5"/>
  <c r="D2229" i="5"/>
  <c r="D2488" i="5"/>
  <c r="D3906" i="5"/>
  <c r="D1504" i="5"/>
  <c r="D3792" i="5"/>
  <c r="D3234" i="5"/>
  <c r="D3282" i="5"/>
  <c r="D2790" i="5"/>
  <c r="D1647" i="5"/>
  <c r="D807" i="5"/>
  <c r="D1660" i="5"/>
  <c r="D3839" i="5"/>
  <c r="D2237" i="5"/>
  <c r="D1234" i="5"/>
  <c r="D2637" i="5"/>
  <c r="D2839" i="5"/>
  <c r="D3425" i="5"/>
  <c r="D1072" i="5"/>
  <c r="D2212" i="5"/>
  <c r="D1211" i="5"/>
  <c r="D1900" i="5"/>
  <c r="D2347" i="5"/>
  <c r="D1976" i="5"/>
  <c r="D1170" i="5"/>
  <c r="D3373" i="5"/>
  <c r="D3597" i="5"/>
  <c r="D3256" i="5"/>
  <c r="D245" i="5"/>
  <c r="D1564" i="5"/>
  <c r="D3407" i="5"/>
  <c r="D893" i="5"/>
  <c r="D3740" i="5"/>
  <c r="D3190" i="5"/>
  <c r="D1093" i="5"/>
  <c r="D371" i="5"/>
  <c r="D3522" i="5"/>
  <c r="D3361" i="5"/>
  <c r="D1793" i="5"/>
  <c r="D3536" i="5"/>
  <c r="D372" i="5"/>
  <c r="D125" i="5"/>
  <c r="D229" i="5"/>
  <c r="D2467" i="5"/>
  <c r="D2724" i="5"/>
  <c r="D2508" i="5"/>
  <c r="D2048" i="5"/>
  <c r="D1066" i="5"/>
  <c r="D482" i="5"/>
  <c r="D3889" i="5"/>
  <c r="D1686" i="5"/>
  <c r="D564" i="5"/>
  <c r="D2798" i="5"/>
  <c r="D868" i="5"/>
  <c r="D436" i="5"/>
  <c r="D3575" i="5"/>
  <c r="D852" i="5"/>
  <c r="D1380" i="5"/>
  <c r="D3140" i="5"/>
  <c r="D724" i="5"/>
  <c r="D3685" i="5"/>
  <c r="D3530" i="5"/>
  <c r="D674" i="5"/>
  <c r="D3941" i="5"/>
  <c r="D704" i="5"/>
  <c r="D647" i="5"/>
  <c r="D3207" i="5"/>
  <c r="D2348" i="5"/>
  <c r="D963" i="5"/>
  <c r="D3476" i="5"/>
  <c r="D3215" i="5"/>
  <c r="D3643" i="5"/>
  <c r="D414" i="5"/>
  <c r="D3283" i="5"/>
  <c r="D3391" i="5"/>
  <c r="D1169" i="5"/>
  <c r="D142" i="5"/>
  <c r="D1263" i="5"/>
  <c r="D3731" i="5"/>
  <c r="D2217" i="5"/>
  <c r="D1588" i="5"/>
  <c r="D1416" i="5"/>
  <c r="D2761" i="5"/>
  <c r="D782" i="5"/>
  <c r="D1205" i="5"/>
  <c r="D3383" i="5"/>
  <c r="D2130" i="5"/>
  <c r="D2192" i="5"/>
  <c r="D2735" i="5"/>
  <c r="D2663" i="5"/>
  <c r="D870" i="5"/>
  <c r="D625" i="5"/>
  <c r="D710" i="5"/>
  <c r="D1508" i="5"/>
  <c r="D1189" i="5"/>
  <c r="D153" i="5"/>
  <c r="D3180" i="5"/>
  <c r="D574" i="5"/>
  <c r="D3350" i="5"/>
  <c r="D3414" i="5"/>
  <c r="D596" i="5"/>
  <c r="D3959" i="5"/>
  <c r="D3980" i="5"/>
  <c r="D1049" i="5"/>
  <c r="D2771" i="5"/>
  <c r="D290" i="5"/>
  <c r="D1342" i="5"/>
  <c r="D1456" i="5"/>
  <c r="D3333" i="5"/>
  <c r="D1459" i="5"/>
  <c r="D392" i="5"/>
  <c r="D3624" i="5"/>
  <c r="D3925" i="5"/>
  <c r="D3349" i="5"/>
  <c r="D1412" i="5"/>
  <c r="D2243" i="5"/>
  <c r="D3321" i="5"/>
  <c r="D2143" i="5"/>
  <c r="D3314" i="5"/>
  <c r="D3854" i="5"/>
  <c r="D613" i="5"/>
  <c r="D581" i="5"/>
  <c r="D3141" i="5"/>
  <c r="D761" i="5"/>
  <c r="D390" i="5"/>
  <c r="D1179" i="5"/>
  <c r="D1227" i="5"/>
  <c r="D2630" i="5"/>
  <c r="D2259" i="5"/>
  <c r="D578" i="5"/>
  <c r="D1656" i="5"/>
  <c r="D879" i="5"/>
  <c r="D2885" i="5"/>
  <c r="D1372" i="5"/>
  <c r="D2762" i="5"/>
  <c r="D3614" i="5"/>
  <c r="D3202" i="5"/>
  <c r="D2583" i="5"/>
  <c r="D3165" i="5"/>
  <c r="D3571" i="5"/>
  <c r="D1413" i="5"/>
  <c r="D1495" i="5"/>
  <c r="D151" i="5"/>
  <c r="D2911" i="5"/>
  <c r="D3547" i="5"/>
  <c r="D2688" i="5"/>
  <c r="D1701" i="5"/>
  <c r="D1777" i="5"/>
  <c r="D3564" i="5"/>
  <c r="D2441" i="5"/>
  <c r="D1065" i="5"/>
  <c r="D3474" i="5"/>
  <c r="D3620" i="5"/>
  <c r="D82" i="5"/>
  <c r="D269" i="5"/>
  <c r="D3436" i="5"/>
  <c r="D1453" i="5"/>
  <c r="D3316" i="5"/>
  <c r="D2940" i="5"/>
  <c r="D1330" i="5"/>
  <c r="D3872" i="5"/>
  <c r="D1945" i="5"/>
  <c r="D3296" i="5"/>
  <c r="D3286" i="5"/>
  <c r="D3521" i="5"/>
  <c r="D1845" i="5"/>
  <c r="D665" i="5"/>
  <c r="D2150" i="5"/>
  <c r="D543" i="5"/>
  <c r="D2084" i="5"/>
  <c r="D3753" i="5"/>
  <c r="D2395" i="5"/>
  <c r="D1661" i="5"/>
  <c r="D1610" i="5"/>
  <c r="D291" i="5"/>
  <c r="D3975" i="5"/>
  <c r="D2842" i="5"/>
  <c r="D3882" i="5"/>
  <c r="D3302" i="5"/>
  <c r="D353" i="5"/>
  <c r="D1776" i="5"/>
  <c r="D692" i="5"/>
  <c r="D1851" i="5"/>
  <c r="D69" i="5"/>
  <c r="D2482" i="5"/>
  <c r="D1224" i="5"/>
  <c r="D3419" i="5"/>
  <c r="D1085" i="5"/>
  <c r="D2674" i="5"/>
  <c r="D721" i="5"/>
  <c r="D73" i="5"/>
  <c r="D1710" i="5"/>
  <c r="D3919" i="5"/>
  <c r="D3760" i="5"/>
  <c r="D2738" i="5"/>
  <c r="D130" i="5"/>
  <c r="D719" i="5"/>
  <c r="D908" i="5"/>
  <c r="D3818" i="5"/>
  <c r="D1979" i="5"/>
  <c r="D64" i="5"/>
  <c r="D358" i="5"/>
  <c r="D3488" i="5"/>
  <c r="D972" i="5"/>
  <c r="D648" i="5"/>
  <c r="D3163" i="5"/>
  <c r="D935" i="5"/>
  <c r="D3075" i="5"/>
  <c r="D1303" i="5"/>
  <c r="D1154" i="5"/>
  <c r="D3668" i="5"/>
  <c r="D462" i="5"/>
  <c r="D580" i="5"/>
  <c r="D340" i="5"/>
  <c r="D359" i="5"/>
  <c r="D3254" i="5"/>
  <c r="D3027" i="5"/>
  <c r="D1423" i="5"/>
  <c r="D3550" i="5"/>
  <c r="D1596" i="5"/>
  <c r="D2937" i="5"/>
  <c r="D696" i="5"/>
  <c r="D709" i="5"/>
  <c r="D141" i="5"/>
  <c r="D1731" i="5"/>
  <c r="D2363" i="5"/>
  <c r="D556" i="5"/>
  <c r="D2960" i="5"/>
  <c r="D2843" i="5"/>
  <c r="D1027" i="5"/>
  <c r="D3273" i="5"/>
  <c r="D3867" i="5"/>
  <c r="D3385" i="5"/>
  <c r="D2852" i="5"/>
  <c r="D2658" i="5"/>
  <c r="D1971" i="5"/>
  <c r="D982" i="5"/>
  <c r="D1943" i="5"/>
  <c r="D2610" i="5"/>
  <c r="D3473" i="5"/>
  <c r="D2868" i="5"/>
  <c r="D1840" i="5"/>
  <c r="D3569" i="5"/>
  <c r="D83" i="5"/>
  <c r="D3090" i="5"/>
  <c r="D2378" i="5"/>
  <c r="D1740" i="5"/>
  <c r="D1004" i="5"/>
  <c r="D997" i="5"/>
  <c r="D1657" i="5"/>
  <c r="D2175" i="5"/>
  <c r="D3881" i="5"/>
  <c r="D3966" i="5"/>
  <c r="D171" i="5"/>
  <c r="D1555" i="5"/>
  <c r="D2002" i="5"/>
  <c r="D113" i="5"/>
  <c r="D3794" i="5"/>
  <c r="D2001" i="5"/>
  <c r="D2515" i="5"/>
  <c r="D3759" i="5"/>
  <c r="D2744" i="5"/>
  <c r="D1616" i="5"/>
  <c r="D203" i="5"/>
  <c r="D437" i="5"/>
  <c r="D628" i="5"/>
  <c r="D1193" i="5"/>
  <c r="D181" i="5"/>
  <c r="D2818" i="5"/>
  <c r="D1729" i="5"/>
  <c r="D3233" i="5"/>
  <c r="D2929" i="5"/>
  <c r="D384" i="5"/>
  <c r="D3432" i="5"/>
  <c r="D1347" i="5"/>
  <c r="D3197" i="5"/>
  <c r="D2612" i="5"/>
  <c r="D2899" i="5"/>
  <c r="D3939" i="5"/>
  <c r="D1736" i="5"/>
  <c r="D1697" i="5"/>
  <c r="D452" i="5"/>
  <c r="D3060" i="5"/>
  <c r="D3280" i="5"/>
  <c r="D2670" i="5"/>
  <c r="D2477" i="5"/>
  <c r="D2" i="5"/>
  <c r="D2136" i="5"/>
  <c r="D3471" i="5"/>
  <c r="D1433" i="5"/>
  <c r="D1908" i="5"/>
  <c r="D2102" i="5"/>
  <c r="D2270" i="5"/>
  <c r="D3032" i="5"/>
  <c r="D3091" i="5"/>
  <c r="D3500" i="5"/>
  <c r="D2468" i="5"/>
  <c r="D357" i="5"/>
  <c r="D1977" i="5"/>
  <c r="D1621" i="5"/>
  <c r="D2474" i="5"/>
  <c r="D2187" i="5"/>
  <c r="D3504" i="5"/>
  <c r="D953" i="5"/>
  <c r="D3435" i="5"/>
  <c r="D3284" i="5"/>
  <c r="D2277" i="5"/>
  <c r="D672" i="5"/>
  <c r="D3907" i="5"/>
  <c r="D989" i="5"/>
  <c r="D1565" i="5"/>
  <c r="D3928" i="5"/>
  <c r="D1082" i="5"/>
  <c r="D337" i="5"/>
  <c r="D2926" i="5"/>
  <c r="D3878" i="5"/>
  <c r="D1718" i="5"/>
  <c r="D1408" i="5"/>
  <c r="D1913" i="5"/>
  <c r="D3652" i="5"/>
  <c r="D1401" i="5"/>
  <c r="D350" i="5"/>
  <c r="D2025" i="5"/>
  <c r="D194" i="5"/>
  <c r="D783" i="5"/>
  <c r="D1753" i="5"/>
  <c r="D3260" i="5"/>
  <c r="D3292" i="5"/>
  <c r="D896" i="5"/>
  <c r="D35" i="5"/>
  <c r="D510" i="5"/>
  <c r="D1618" i="5"/>
  <c r="D2116" i="5"/>
  <c r="D2792" i="5"/>
  <c r="D3023" i="5"/>
  <c r="D863" i="5"/>
  <c r="D237" i="5"/>
  <c r="D3720" i="5"/>
  <c r="D2478" i="5"/>
  <c r="D1719" i="5"/>
  <c r="D1407" i="5"/>
  <c r="D806" i="5"/>
  <c r="D817" i="5"/>
  <c r="D2440" i="5"/>
  <c r="D1008" i="5"/>
  <c r="D2795" i="5"/>
  <c r="D1928" i="5"/>
  <c r="D3631" i="5"/>
  <c r="D3599" i="5"/>
  <c r="D1597" i="5"/>
  <c r="D2522" i="5"/>
  <c r="D872" i="5"/>
  <c r="D3177" i="5"/>
  <c r="D1497" i="5"/>
  <c r="D2932" i="5"/>
  <c r="D918" i="5"/>
  <c r="D1756" i="5"/>
  <c r="D2865" i="5"/>
  <c r="D327" i="5"/>
  <c r="D2671" i="5"/>
  <c r="D3880" i="5"/>
  <c r="D1109" i="5"/>
  <c r="D3791" i="5"/>
  <c r="D2959" i="5"/>
  <c r="D1021" i="5"/>
  <c r="D3422" i="5"/>
  <c r="D1000" i="5"/>
  <c r="D26" i="5"/>
  <c r="D3554" i="5"/>
  <c r="D616" i="5"/>
  <c r="D1148" i="5"/>
  <c r="D1464" i="5"/>
  <c r="D2009" i="5"/>
  <c r="D398" i="5"/>
  <c r="D3670" i="5"/>
  <c r="D2507" i="5"/>
  <c r="D1355" i="5"/>
  <c r="D1558" i="5"/>
  <c r="D2834" i="5"/>
  <c r="D3958" i="5"/>
  <c r="D2856" i="5"/>
  <c r="D561" i="5"/>
  <c r="D3820" i="5"/>
  <c r="D927" i="5"/>
  <c r="D3167" i="5"/>
  <c r="D2934" i="5"/>
  <c r="D94" i="5"/>
  <c r="D2180" i="5"/>
  <c r="D1476" i="5"/>
  <c r="D3359" i="5"/>
  <c r="D964" i="5"/>
  <c r="D3769" i="5"/>
  <c r="D771" i="5"/>
  <c r="D1988" i="5"/>
  <c r="D1546" i="5"/>
  <c r="D915" i="5"/>
  <c r="D1871" i="5"/>
  <c r="D3404" i="5"/>
  <c r="D3635" i="5"/>
  <c r="D249" i="5"/>
  <c r="D3311" i="5"/>
  <c r="D2165" i="5"/>
  <c r="D3411" i="5"/>
  <c r="D3857" i="5"/>
  <c r="D713" i="5"/>
  <c r="D3037" i="5"/>
  <c r="D2563" i="5"/>
  <c r="D583" i="5"/>
  <c r="D2144" i="5"/>
  <c r="D1288" i="5"/>
  <c r="D1377" i="5"/>
  <c r="D2964" i="5"/>
  <c r="D1951" i="5"/>
  <c r="D2636" i="5"/>
  <c r="D3031" i="5"/>
  <c r="D2930" i="5"/>
  <c r="D2292" i="5"/>
  <c r="D2382" i="5"/>
  <c r="D2657" i="5"/>
  <c r="D1680" i="5"/>
  <c r="D1362" i="5"/>
  <c r="D2871" i="5"/>
  <c r="D296" i="5"/>
  <c r="D2944" i="5"/>
  <c r="D1763" i="5"/>
  <c r="D630" i="5"/>
  <c r="D1598" i="5"/>
  <c r="D776" i="5"/>
  <c r="D272" i="5"/>
  <c r="D2439" i="5"/>
  <c r="D1539" i="5"/>
  <c r="D742" i="5"/>
  <c r="D2253" i="5"/>
  <c r="D2093" i="5"/>
  <c r="D1431" i="5"/>
  <c r="D1594" i="5"/>
  <c r="D718" i="5"/>
  <c r="D1613" i="5"/>
  <c r="D1261" i="5"/>
  <c r="D3702" i="5"/>
  <c r="D2534" i="5"/>
  <c r="D480" i="5"/>
  <c r="D3205" i="5"/>
  <c r="D3749" i="5"/>
  <c r="D3393" i="5"/>
  <c r="D992" i="5"/>
  <c r="D3879" i="5"/>
  <c r="D2876" i="5"/>
  <c r="D1340" i="5"/>
  <c r="D3266" i="5"/>
  <c r="D2888" i="5"/>
  <c r="D1500" i="5"/>
  <c r="D1788" i="5"/>
  <c r="D2014" i="5"/>
  <c r="D1545" i="5"/>
  <c r="D1187" i="5"/>
  <c r="D2797" i="5"/>
  <c r="D1496" i="5"/>
  <c r="D3905" i="5"/>
  <c r="D2339" i="5"/>
  <c r="D1180" i="5"/>
  <c r="D2642" i="5"/>
  <c r="D232" i="5"/>
  <c r="D1357" i="5"/>
  <c r="D2646" i="5"/>
  <c r="D2513" i="5"/>
  <c r="D1131" i="5"/>
  <c r="D1010" i="5"/>
  <c r="D2773" i="5"/>
  <c r="D1816" i="5"/>
  <c r="D3118" i="5"/>
  <c r="D233" i="5"/>
  <c r="D167" i="5"/>
  <c r="D2596" i="5"/>
  <c r="D200" i="5"/>
  <c r="D3546" i="5"/>
  <c r="D1095" i="5"/>
  <c r="D3042" i="5"/>
  <c r="D36" i="5"/>
  <c r="D3807" i="5"/>
  <c r="D1458" i="5"/>
  <c r="D259" i="5"/>
  <c r="D3355" i="5"/>
  <c r="D643" i="5"/>
  <c r="D3682" i="5"/>
  <c r="D3381" i="5"/>
  <c r="D2078" i="5"/>
  <c r="D279" i="5"/>
  <c r="D3268" i="5"/>
  <c r="D1844" i="5"/>
  <c r="D360" i="5"/>
  <c r="D2564" i="5"/>
  <c r="D3026" i="5"/>
  <c r="D1855" i="5"/>
  <c r="D3512" i="5"/>
  <c r="D3064" i="5"/>
  <c r="D3371" i="5"/>
  <c r="D3351" i="5"/>
  <c r="D3944" i="5"/>
  <c r="D2581" i="5"/>
  <c r="D754" i="5"/>
  <c r="D2559" i="5"/>
  <c r="D1903" i="5"/>
  <c r="D3801" i="5"/>
  <c r="D2942" i="5"/>
  <c r="D2174" i="5"/>
  <c r="D3087" i="5"/>
  <c r="D765" i="5"/>
  <c r="D1926" i="5"/>
  <c r="D3590" i="5"/>
  <c r="D1301" i="5"/>
  <c r="D2457" i="5"/>
  <c r="D733" i="5"/>
  <c r="D3884" i="5"/>
  <c r="D1222" i="5"/>
  <c r="D1242" i="5"/>
  <c r="D2311" i="5"/>
  <c r="D1078" i="5"/>
  <c r="D453" i="5"/>
  <c r="D434" i="5"/>
  <c r="D2613" i="5"/>
  <c r="D2966" i="5"/>
  <c r="D2230" i="5"/>
  <c r="D3468" i="5"/>
  <c r="D2396" i="5"/>
  <c r="D3306" i="5"/>
  <c r="D2632" i="5"/>
  <c r="D1601" i="5"/>
  <c r="D1957" i="5"/>
  <c r="D1794" i="5"/>
  <c r="D86" i="5"/>
  <c r="D3191" i="5"/>
  <c r="D2387" i="5"/>
  <c r="D790" i="5"/>
  <c r="D641" i="5"/>
  <c r="D2053" i="5"/>
  <c r="D1296" i="5"/>
  <c r="D1076" i="5"/>
  <c r="D2289" i="5"/>
  <c r="D1562" i="5"/>
  <c r="D3119" i="5"/>
  <c r="D1864" i="5"/>
  <c r="D3965" i="5"/>
  <c r="D3176" i="5"/>
  <c r="D2746" i="5"/>
  <c r="D2869" i="5"/>
  <c r="D944" i="5"/>
  <c r="D3200" i="5"/>
  <c r="D740" i="5"/>
  <c r="D2501" i="5"/>
  <c r="D798" i="5"/>
  <c r="D3498" i="5"/>
  <c r="D942" i="5"/>
  <c r="D378" i="5"/>
  <c r="D2472" i="5"/>
  <c r="D1213" i="5"/>
  <c r="D1560" i="5"/>
  <c r="D2485" i="5"/>
  <c r="D1466" i="5"/>
  <c r="D1975" i="5"/>
  <c r="D1363" i="5"/>
  <c r="D712" i="5"/>
  <c r="D1778" i="5"/>
  <c r="D422" i="5"/>
  <c r="D3345" i="5"/>
  <c r="D2137" i="5"/>
  <c r="D3400" i="5"/>
  <c r="D2294" i="5"/>
  <c r="D2058" i="5"/>
  <c r="D2383" i="5"/>
  <c r="D1889" i="5"/>
  <c r="D3587" i="5"/>
  <c r="D1273" i="5"/>
  <c r="D209" i="5"/>
  <c r="D3541" i="5"/>
  <c r="D3214" i="5"/>
  <c r="D3088" i="5"/>
  <c r="D3367" i="5"/>
  <c r="D391" i="5"/>
  <c r="D241" i="5"/>
  <c r="D2196" i="5"/>
  <c r="D969" i="5"/>
  <c r="D2758" i="5"/>
  <c r="D440" i="5"/>
  <c r="D234" i="5"/>
  <c r="D3560" i="5"/>
  <c r="D3277" i="5"/>
  <c r="D2600" i="5"/>
  <c r="D1055" i="5"/>
  <c r="D226" i="5"/>
  <c r="D3638" i="5"/>
  <c r="D1629" i="5"/>
  <c r="D3909" i="5"/>
  <c r="D91" i="5"/>
  <c r="D1202" i="5"/>
  <c r="D3946" i="5"/>
  <c r="D2625" i="5"/>
  <c r="D1600" i="5"/>
  <c r="D1802" i="5"/>
  <c r="D3275" i="5"/>
  <c r="D3673" i="5"/>
  <c r="D2653" i="5"/>
  <c r="D2870" i="5"/>
  <c r="D3507" i="5"/>
  <c r="D3428" i="5"/>
  <c r="D2857" i="5"/>
  <c r="D2070" i="5"/>
  <c r="D455" i="5"/>
  <c r="D1024" i="5"/>
  <c r="D3103" i="5"/>
  <c r="D967" i="5"/>
  <c r="D1104" i="5"/>
  <c r="D591" i="5"/>
  <c r="D1327" i="5"/>
  <c r="D3810" i="5"/>
  <c r="D1119" i="5"/>
  <c r="D3681" i="5"/>
  <c r="D2817" i="5"/>
  <c r="D3978" i="5"/>
  <c r="D723" i="5"/>
  <c r="D2611" i="5"/>
  <c r="D3301" i="5"/>
  <c r="D3646" i="5"/>
  <c r="D3904" i="5"/>
  <c r="D2369" i="5"/>
  <c r="D3674" i="5"/>
  <c r="D837" i="5"/>
  <c r="D1255" i="5"/>
  <c r="D508" i="5"/>
  <c r="D1201" i="5"/>
  <c r="D2723" i="5"/>
  <c r="D116" i="5"/>
  <c r="D112" i="5"/>
  <c r="D2346" i="5"/>
  <c r="D1246" i="5"/>
  <c r="D98" i="5"/>
  <c r="D1199" i="5"/>
  <c r="D3971" i="5"/>
  <c r="D1628" i="5"/>
  <c r="D1967" i="5"/>
  <c r="D3697" i="5"/>
  <c r="D3709" i="5"/>
  <c r="D775" i="5"/>
  <c r="D156" i="5"/>
  <c r="D1857" i="5"/>
  <c r="D3690" i="5"/>
  <c r="D2813" i="5"/>
  <c r="D1020" i="5"/>
  <c r="D3795" i="5"/>
  <c r="D2967" i="5"/>
  <c r="D1300" i="5"/>
  <c r="D3972" i="5"/>
  <c r="D789" i="5"/>
  <c r="D207" i="5"/>
  <c r="D700" i="5"/>
  <c r="D3317" i="5"/>
  <c r="D2017" i="5"/>
  <c r="D2411" i="5"/>
  <c r="D3365" i="5"/>
  <c r="D546" i="5"/>
  <c r="D1611" i="5"/>
  <c r="D265" i="5"/>
  <c r="D1023" i="5"/>
  <c r="D2216" i="5"/>
  <c r="D1016" i="5"/>
  <c r="D1044" i="5"/>
  <c r="D370" i="5"/>
  <c r="D2874" i="5"/>
  <c r="D2231" i="5"/>
  <c r="D445" i="5"/>
  <c r="D2725" i="5"/>
  <c r="D3816" i="5"/>
  <c r="D448" i="5"/>
  <c r="D2719" i="5"/>
  <c r="D2110" i="5"/>
  <c r="D3942" i="5"/>
  <c r="D651" i="5"/>
  <c r="D2838" i="5"/>
  <c r="D1033" i="5"/>
  <c r="D2247" i="5"/>
  <c r="D3312" i="5"/>
  <c r="D3616" i="5"/>
  <c r="D3539" i="5"/>
  <c r="D1990" i="5"/>
  <c r="D1462" i="5"/>
  <c r="D637" i="5"/>
  <c r="D822" i="5"/>
  <c r="D805" i="5"/>
  <c r="D2000" i="5"/>
  <c r="D1973" i="5"/>
  <c r="D3960" i="5"/>
  <c r="D571" i="5"/>
  <c r="D120" i="5"/>
  <c r="D115" i="5"/>
  <c r="D887" i="5"/>
  <c r="D2954" i="5"/>
  <c r="D3389" i="5"/>
  <c r="D3327" i="5"/>
  <c r="D287" i="5"/>
  <c r="D2460" i="5"/>
  <c r="D3781" i="5"/>
  <c r="D888" i="5"/>
  <c r="D847" i="5"/>
  <c r="D3535" i="5"/>
  <c r="D2824" i="5"/>
  <c r="D485" i="5"/>
  <c r="D1022" i="5"/>
  <c r="D3147" i="5"/>
  <c r="D2042" i="5"/>
  <c r="D3688" i="5"/>
  <c r="D3840" i="5"/>
  <c r="D3076" i="5"/>
  <c r="D521" i="5"/>
  <c r="D2931" i="5"/>
  <c r="D1039" i="5"/>
  <c r="D109" i="5"/>
  <c r="D2284" i="5"/>
  <c r="D1785" i="5"/>
  <c r="D72" i="5"/>
  <c r="D2708" i="5"/>
  <c r="D2650" i="5"/>
  <c r="D3146" i="5"/>
  <c r="D3796" i="5"/>
  <c r="D2246" i="5"/>
  <c r="D1446" i="5"/>
  <c r="D1822" i="5"/>
  <c r="D2142" i="5"/>
  <c r="D1654" i="5"/>
  <c r="D1266" i="5"/>
  <c r="D3136" i="5"/>
  <c r="D1041" i="5"/>
  <c r="D2244" i="5"/>
  <c r="D3610" i="5"/>
  <c r="D2132" i="5"/>
  <c r="D3406" i="5"/>
  <c r="D954" i="5"/>
  <c r="D3244" i="5"/>
  <c r="D3077" i="5"/>
  <c r="D3645" i="5"/>
  <c r="D21" i="5"/>
  <c r="D2551" i="5"/>
  <c r="D386" i="5"/>
  <c r="D3291" i="5"/>
  <c r="D1265" i="5"/>
  <c r="D1852" i="5"/>
  <c r="D3696" i="5"/>
  <c r="D329" i="5"/>
  <c r="D3866" i="5"/>
  <c r="D2274" i="5"/>
  <c r="D140" i="5"/>
  <c r="D1757" i="5"/>
  <c r="D1968" i="5"/>
  <c r="D3013" i="5"/>
  <c r="D910" i="5"/>
  <c r="D2036" i="5"/>
  <c r="D2982" i="5"/>
  <c r="D2831" i="5"/>
  <c r="D2704" i="5"/>
  <c r="D3916" i="5"/>
  <c r="D1114" i="5"/>
  <c r="D1931" i="5"/>
  <c r="D609" i="5"/>
  <c r="D1335" i="5"/>
  <c r="D2327" i="5"/>
  <c r="D2358" i="5"/>
  <c r="D2004" i="5"/>
  <c r="D2729" i="5"/>
  <c r="D2828" i="5"/>
  <c r="D857" i="5"/>
  <c r="D737" i="5"/>
  <c r="D831" i="5"/>
  <c r="D3772" i="5"/>
  <c r="D285" i="5"/>
  <c r="D1051" i="5"/>
  <c r="D2356" i="5"/>
  <c r="D769" i="5"/>
  <c r="D3859" i="5"/>
  <c r="D1959" i="5"/>
  <c r="D1146" i="5"/>
  <c r="D3324" i="5"/>
  <c r="D1081" i="5"/>
  <c r="D1352" i="5"/>
  <c r="D2462" i="5"/>
  <c r="D3047" i="5"/>
  <c r="D3043" i="5"/>
  <c r="D3506" i="5"/>
  <c r="D1320" i="5"/>
  <c r="D1874" i="5"/>
  <c r="D2890" i="5"/>
  <c r="D1030" i="5"/>
  <c r="D2254" i="5"/>
  <c r="D2008" i="5"/>
  <c r="D906" i="5"/>
  <c r="D1939" i="5"/>
  <c r="D334" i="5"/>
  <c r="D2252" i="5"/>
  <c r="D2456" i="5"/>
  <c r="D2549" i="5"/>
  <c r="D2404" i="5"/>
  <c r="D487" i="5"/>
  <c r="D3841" i="5"/>
  <c r="D2498" i="5"/>
  <c r="D1896" i="5"/>
  <c r="D3745" i="5"/>
  <c r="D127" i="5"/>
  <c r="D731" i="5"/>
  <c r="D1870" i="5"/>
  <c r="D3127" i="5"/>
  <c r="D1475" i="5"/>
  <c r="D3374" i="5"/>
  <c r="D933" i="5"/>
  <c r="D3780" i="5"/>
  <c r="D1162" i="5"/>
  <c r="D2024" i="5"/>
  <c r="D3764" i="5"/>
  <c r="D3860" i="5"/>
  <c r="D3973" i="5"/>
  <c r="D1938" i="5"/>
  <c r="D43" i="5"/>
  <c r="D2157" i="5"/>
  <c r="D2473" i="5"/>
  <c r="D2385" i="5"/>
  <c r="D2444" i="5"/>
  <c r="D3484" i="5"/>
  <c r="D3003" i="5"/>
  <c r="D1289" i="5"/>
  <c r="D2712" i="5"/>
  <c r="D1358" i="5"/>
  <c r="D2112" i="5"/>
  <c r="D1106" i="5"/>
  <c r="D1525" i="5"/>
  <c r="D2643" i="5"/>
  <c r="D1438" i="5"/>
  <c r="D1128" i="5"/>
  <c r="D980" i="5"/>
  <c r="D3870" i="5"/>
  <c r="D2649" i="5"/>
  <c r="D1257" i="5"/>
  <c r="D484" i="5"/>
  <c r="D3516" i="5"/>
  <c r="D262" i="5"/>
  <c r="D3295" i="5"/>
  <c r="D479" i="5"/>
  <c r="D3640" i="5"/>
  <c r="D292" i="5"/>
  <c r="D1248" i="5"/>
  <c r="D3773" i="5"/>
  <c r="D2987" i="5"/>
  <c r="D2470" i="5"/>
  <c r="D3170" i="5"/>
  <c r="D3072" i="5"/>
  <c r="D2689" i="5"/>
  <c r="D2043" i="5"/>
  <c r="D767" i="5"/>
  <c r="D3574" i="5"/>
  <c r="D3112" i="5"/>
  <c r="D3467" i="5"/>
  <c r="D920" i="5"/>
  <c r="D170" i="5"/>
  <c r="D2117" i="5"/>
  <c r="D3007" i="5"/>
  <c r="D3036" i="5"/>
  <c r="D2519" i="5"/>
  <c r="D255" i="5"/>
  <c r="D2408" i="5"/>
  <c r="D3319" i="5"/>
  <c r="D568" i="5"/>
  <c r="D3108" i="5"/>
  <c r="D3226" i="5"/>
  <c r="D1223" i="5"/>
  <c r="D624" i="5"/>
  <c r="D1582" i="5"/>
  <c r="D898" i="5"/>
  <c r="D2342" i="5"/>
  <c r="D76" i="5"/>
  <c r="D3151" i="5"/>
  <c r="D1015" i="5"/>
  <c r="D356" i="5"/>
  <c r="D1676" i="5"/>
  <c r="D838" i="5"/>
  <c r="D3726" i="5"/>
  <c r="D3853" i="5"/>
  <c r="D351" i="5"/>
  <c r="D2873" i="5"/>
  <c r="D812" i="5"/>
  <c r="D1983" i="5"/>
  <c r="D3196" i="5"/>
  <c r="D766" i="5"/>
  <c r="D2985" i="5"/>
  <c r="D3665" i="5"/>
  <c r="D2057" i="5"/>
  <c r="D3605" i="5"/>
  <c r="D2531" i="5"/>
  <c r="D1421" i="5"/>
  <c r="D2910" i="5"/>
  <c r="D2149" i="5"/>
  <c r="D861" i="5"/>
  <c r="D1090" i="5"/>
  <c r="D117" i="5"/>
  <c r="D3408" i="5"/>
  <c r="D1915" i="5"/>
  <c r="D3656" i="5"/>
  <c r="D3250" i="5"/>
  <c r="D3586" i="5"/>
  <c r="D3224" i="5"/>
  <c r="D2710" i="5"/>
  <c r="D349" i="5"/>
  <c r="D2592" i="5"/>
  <c r="D3793" i="5"/>
  <c r="D1812" i="5"/>
  <c r="D1638" i="5"/>
  <c r="D2850" i="5"/>
  <c r="D1644" i="5"/>
  <c r="D3242" i="5"/>
  <c r="D3416" i="5"/>
  <c r="D331" i="5"/>
  <c r="D3819" i="5"/>
  <c r="D3218" i="5"/>
  <c r="D3308" i="5"/>
  <c r="D1996" i="5"/>
  <c r="D2022" i="5"/>
  <c r="D2998" i="5"/>
  <c r="D786" i="5"/>
  <c r="D1285" i="5"/>
  <c r="D1481" i="5"/>
  <c r="D2616" i="5"/>
  <c r="D2506" i="5"/>
  <c r="D1101" i="5"/>
  <c r="D2791" i="5"/>
  <c r="D1006" i="5"/>
  <c r="D2523" i="5"/>
  <c r="D188" i="5"/>
  <c r="D2623" i="5"/>
  <c r="D2894" i="5"/>
  <c r="D1774" i="5"/>
  <c r="D3863" i="5"/>
  <c r="D3644" i="5"/>
  <c r="D695" i="5"/>
  <c r="D702" i="5"/>
  <c r="D3336" i="5"/>
  <c r="D528" i="5"/>
  <c r="D1271" i="5"/>
  <c r="D2847" i="5"/>
  <c r="D971" i="5"/>
  <c r="D3496" i="5"/>
  <c r="D3208" i="5"/>
  <c r="D3526" i="5"/>
  <c r="D3693" i="5"/>
  <c r="D2278" i="5"/>
  <c r="D277" i="5"/>
  <c r="D2677" i="5"/>
  <c r="D3264" i="5"/>
  <c r="D2631" i="5"/>
  <c r="D1440" i="5"/>
  <c r="D2421" i="5"/>
  <c r="D1059" i="5"/>
  <c r="D1712" i="5"/>
  <c r="D464" i="5"/>
  <c r="D204" i="5"/>
  <c r="D597" i="5"/>
  <c r="D921" i="5"/>
  <c r="D409" i="5"/>
  <c r="D2608" i="5"/>
  <c r="D1604" i="5"/>
  <c r="D1724" i="5"/>
  <c r="D328" i="5"/>
  <c r="D2234" i="5"/>
  <c r="D421" i="5"/>
  <c r="D979" i="5"/>
  <c r="D27" i="5"/>
  <c r="D2916" i="5"/>
  <c r="D490" i="5"/>
  <c r="D522" i="5"/>
  <c r="D889" i="5"/>
  <c r="D2550" i="5"/>
  <c r="D3323" i="5"/>
  <c r="D2700" i="5"/>
  <c r="D2893" i="5"/>
  <c r="D3936" i="5"/>
  <c r="D1742" i="5"/>
  <c r="D1717" i="5"/>
  <c r="D54" i="5"/>
  <c r="D1831" i="5"/>
  <c r="D2684" i="5"/>
  <c r="D2685" i="5"/>
  <c r="D1439" i="5"/>
  <c r="D2267" i="5"/>
  <c r="D2417" i="5"/>
  <c r="D228" i="5"/>
  <c r="D1048" i="5"/>
  <c r="D1542" i="5"/>
  <c r="D900" i="5"/>
  <c r="D58" i="5"/>
  <c r="D2388" i="5"/>
  <c r="D3486" i="5"/>
  <c r="D2413" i="5"/>
  <c r="D2176" i="5"/>
  <c r="D1949" i="5"/>
  <c r="D962" i="5"/>
  <c r="D1172" i="5"/>
  <c r="D3461" i="5"/>
  <c r="D2936" i="5"/>
  <c r="D59" i="5"/>
  <c r="D3358" i="5"/>
  <c r="D3578" i="5"/>
  <c r="D3559" i="5"/>
  <c r="D2178" i="5"/>
  <c r="D3201" i="5"/>
  <c r="D3850" i="5"/>
  <c r="D3708" i="5"/>
  <c r="D1417" i="5"/>
  <c r="D573" i="5"/>
  <c r="D362" i="5"/>
  <c r="D2023" i="5"/>
  <c r="D3120" i="5"/>
  <c r="D222" i="5"/>
  <c r="D3272" i="5"/>
  <c r="D3328" i="5"/>
  <c r="D2148" i="5"/>
  <c r="D3433" i="5"/>
  <c r="D24" i="5"/>
  <c r="D3388" i="5"/>
  <c r="D582" i="5"/>
  <c r="D2221" i="5"/>
  <c r="D3209" i="5"/>
  <c r="D1279" i="5"/>
  <c r="D1087" i="5"/>
  <c r="D2591" i="5"/>
  <c r="D326" i="5"/>
  <c r="D1484" i="5"/>
  <c r="D1741" i="5"/>
  <c r="D3779" i="5"/>
  <c r="D313" i="5"/>
  <c r="D1212" i="5"/>
  <c r="D2703" i="5"/>
  <c r="D1911" i="5"/>
  <c r="D1046" i="5"/>
  <c r="D1553" i="5"/>
  <c r="D126" i="5"/>
  <c r="D1856" i="5"/>
  <c r="D2323" i="5"/>
  <c r="D3160" i="5"/>
  <c r="D675" i="5"/>
  <c r="D1744" i="5"/>
  <c r="D824" i="5"/>
  <c r="D502" i="5"/>
  <c r="D3667" i="5"/>
  <c r="D2190" i="5"/>
  <c r="D2776" i="5"/>
  <c r="D2860" i="5"/>
  <c r="D2331" i="5"/>
  <c r="D3096" i="5"/>
  <c r="D2709" i="5"/>
  <c r="D1518" i="5"/>
  <c r="D381" i="5"/>
  <c r="D498" i="5"/>
  <c r="D1381" i="5"/>
  <c r="D2574" i="5"/>
  <c r="D3015" i="5"/>
  <c r="D657" i="5"/>
  <c r="D133" i="5"/>
  <c r="D2412" i="5"/>
  <c r="D2307" i="5"/>
  <c r="D3862" i="5"/>
  <c r="D3877" i="5"/>
  <c r="D3375" i="5"/>
  <c r="D493" i="5"/>
  <c r="D1262" i="5"/>
  <c r="D1426" i="5"/>
  <c r="D336" i="5"/>
  <c r="D1556" i="5"/>
  <c r="D517" i="5"/>
  <c r="D3812" i="5"/>
  <c r="D3363" i="5"/>
  <c r="D715" i="5"/>
  <c r="D3289" i="5"/>
  <c r="D834" i="5"/>
  <c r="D3813" i="5"/>
  <c r="D1665" i="5"/>
  <c r="D183" i="5"/>
  <c r="D698" i="5"/>
  <c r="D3021" i="5"/>
  <c r="D1994" i="5"/>
  <c r="D1429" i="5"/>
  <c r="D3192" i="5"/>
  <c r="D3945" i="5"/>
  <c r="D2451" i="5"/>
  <c r="D2215" i="5"/>
  <c r="D3107" i="5"/>
  <c r="D3259" i="5"/>
  <c r="D1904" i="5"/>
  <c r="D2571" i="5"/>
  <c r="D642" i="5"/>
  <c r="D3181" i="5"/>
  <c r="D1329" i="5"/>
  <c r="D3767" i="5"/>
  <c r="D1683" i="5"/>
  <c r="D2866" i="5"/>
  <c r="D1624" i="5"/>
  <c r="D1317" i="5"/>
  <c r="D219" i="5"/>
  <c r="D1366" i="5"/>
  <c r="D1323" i="5"/>
  <c r="D506" i="5"/>
  <c r="D2541" i="5"/>
  <c r="D1781" i="5"/>
  <c r="D3613" i="5"/>
  <c r="D2429" i="5"/>
  <c r="D1007" i="5"/>
  <c r="D2296" i="5"/>
  <c r="D2298" i="5"/>
  <c r="D3347" i="5"/>
  <c r="D1978" i="5"/>
  <c r="D832" i="5"/>
  <c r="D2741" i="5"/>
  <c r="D1461" i="5"/>
  <c r="D2901" i="5"/>
  <c r="D801" i="5"/>
  <c r="D254" i="5"/>
  <c r="D3370" i="5"/>
  <c r="D1064" i="5"/>
  <c r="D499" i="5"/>
  <c r="D374" i="5"/>
  <c r="D1445" i="5"/>
  <c r="D600" i="5"/>
  <c r="D2880" i="5"/>
  <c r="D778" i="5"/>
  <c r="D1344" i="5"/>
  <c r="D2423" i="5"/>
  <c r="D2263" i="5"/>
  <c r="D449" i="5"/>
  <c r="D299" i="5"/>
  <c r="D671" i="5"/>
  <c r="D34" i="5"/>
  <c r="D3211" i="5"/>
  <c r="D1383" i="5"/>
  <c r="D388" i="5"/>
  <c r="D3379" i="5"/>
  <c r="D235" i="5"/>
  <c r="D375" i="5"/>
  <c r="D2493" i="5"/>
  <c r="D3038" i="5"/>
  <c r="D2121" i="5"/>
  <c r="D159" i="5"/>
  <c r="D220" i="5"/>
  <c r="D976" i="5"/>
  <c r="D3171" i="5"/>
  <c r="D1625" i="5"/>
  <c r="D1970" i="5"/>
  <c r="D3680" i="5"/>
  <c r="D760" i="5"/>
  <c r="D3700" i="5"/>
  <c r="D12" i="5"/>
  <c r="D2624" i="5"/>
  <c r="D1910" i="5"/>
  <c r="D3221" i="5"/>
  <c r="D2573" i="5"/>
  <c r="D557" i="5"/>
  <c r="D1110" i="5"/>
  <c r="D1936" i="5"/>
  <c r="D3168" i="5"/>
  <c r="D3050" i="5"/>
  <c r="D483" i="5"/>
  <c r="D3926" i="5"/>
  <c r="D3918" i="5"/>
  <c r="D632" i="5"/>
  <c r="D2266" i="5"/>
  <c r="D1797" i="5"/>
  <c r="D196" i="5"/>
  <c r="D2667" i="5"/>
  <c r="D2301" i="5"/>
  <c r="D476" i="5"/>
  <c r="D1946" i="5"/>
  <c r="D473" i="5"/>
  <c r="D2589" i="5"/>
  <c r="D3510" i="5"/>
  <c r="D2989" i="5"/>
  <c r="D3703" i="5"/>
  <c r="D2041" i="5"/>
  <c r="D161" i="5"/>
  <c r="D634" i="5"/>
  <c r="D2179" i="5"/>
  <c r="D3683" i="5"/>
  <c r="D2903" i="5"/>
  <c r="D903" i="5"/>
  <c r="D745" i="5"/>
  <c r="D1465" i="5"/>
  <c r="D2125" i="5"/>
  <c r="D866" i="5"/>
  <c r="D3482" i="5"/>
  <c r="D2530" i="5"/>
  <c r="D3057" i="5"/>
  <c r="D1011" i="5"/>
  <c r="D2418" i="5"/>
  <c r="D788" i="5"/>
  <c r="D2281" i="5"/>
  <c r="D1185" i="5"/>
  <c r="D2693" i="5"/>
  <c r="D1783" i="5"/>
  <c r="D1451" i="5"/>
  <c r="D247" i="5"/>
  <c r="D1569" i="5"/>
  <c r="D1591" i="5"/>
  <c r="D3413" i="5"/>
  <c r="D3725" i="5"/>
  <c r="D236" i="5"/>
  <c r="D1396" i="5"/>
  <c r="D3778" i="5"/>
  <c r="D1501" i="5"/>
  <c r="D2673" i="5"/>
  <c r="D835" i="5"/>
  <c r="D3837" i="5"/>
  <c r="D922" i="5"/>
  <c r="D2545" i="5"/>
  <c r="D948" i="5"/>
  <c r="D3825" i="5"/>
  <c r="D859" i="5"/>
  <c r="D654" i="5"/>
  <c r="D441" i="5"/>
  <c r="D470" i="5"/>
  <c r="D1780" i="5"/>
  <c r="D3915" i="5"/>
  <c r="D2012" i="5"/>
  <c r="D3733" i="5"/>
  <c r="D401" i="5"/>
  <c r="D2516" i="5"/>
  <c r="D3020" i="5"/>
  <c r="D3929" i="5"/>
  <c r="D2914" i="5"/>
  <c r="D734" i="5"/>
  <c r="D2609" i="5"/>
  <c r="D825" i="5"/>
  <c r="D886" i="5"/>
  <c r="D1399" i="5"/>
  <c r="D1784" i="5"/>
  <c r="D3251" i="5"/>
  <c r="D2766" i="5"/>
  <c r="D2645" i="5"/>
  <c r="D2810" i="5"/>
  <c r="D883" i="5"/>
  <c r="D123" i="5"/>
  <c r="D2872" i="5"/>
  <c r="D3104" i="5"/>
  <c r="D3727" i="5"/>
  <c r="D996" i="5"/>
  <c r="D3852" i="5"/>
  <c r="D1551" i="5"/>
  <c r="D1152" i="5"/>
  <c r="D2706" i="5"/>
  <c r="D1052" i="5"/>
  <c r="D2566" i="5"/>
  <c r="D1267" i="5"/>
  <c r="D1373" i="5"/>
  <c r="D2635" i="5"/>
  <c r="D3947" i="5"/>
  <c r="D2742" i="5"/>
  <c r="D397" i="5"/>
  <c r="D1432" i="5"/>
  <c r="D3369" i="5"/>
  <c r="D1268" i="5"/>
  <c r="D2309" i="5"/>
  <c r="D1338" i="5"/>
  <c r="D3470" i="5"/>
  <c r="D2373" i="5"/>
  <c r="D3145" i="5"/>
  <c r="D2204" i="5"/>
  <c r="D1191" i="5"/>
  <c r="D2961" i="5"/>
  <c r="D3457" i="5"/>
  <c r="D1892" i="5"/>
  <c r="D2565" i="5"/>
  <c r="D2694" i="5"/>
  <c r="D3392" i="5"/>
  <c r="D3246" i="5"/>
  <c r="D2271" i="5"/>
  <c r="D3811" i="5"/>
  <c r="D1364" i="5"/>
  <c r="D3397" i="5"/>
  <c r="D3538" i="5"/>
  <c r="D1156" i="5"/>
  <c r="D10" i="5"/>
  <c r="D1902" i="5"/>
  <c r="D3678" i="5"/>
  <c r="D1158" i="5"/>
  <c r="D3485" i="5"/>
  <c r="D2431" i="5"/>
  <c r="D1088" i="5"/>
  <c r="D415" i="5"/>
  <c r="D361" i="5"/>
  <c r="D3577" i="5"/>
  <c r="D3356" i="5"/>
  <c r="D3331" i="5"/>
  <c r="D3255" i="5"/>
  <c r="D936" i="5"/>
  <c r="D975" i="5"/>
  <c r="D3188" i="5"/>
  <c r="D947" i="5"/>
  <c r="D3220" i="5"/>
  <c r="D3431" i="5"/>
  <c r="D189" i="5"/>
  <c r="D1593" i="5"/>
  <c r="D1333" i="5"/>
  <c r="D2072" i="5"/>
  <c r="D1960" i="5"/>
  <c r="D3662" i="5"/>
  <c r="D780" i="5"/>
  <c r="D626" i="5"/>
  <c r="D1514" i="5"/>
  <c r="D1025" i="5"/>
  <c r="D2669" i="5"/>
  <c r="D2503" i="5"/>
  <c r="D2986" i="5"/>
  <c r="D107" i="5"/>
  <c r="D701" i="5"/>
  <c r="D773" i="5"/>
  <c r="D1479" i="5"/>
  <c r="D2434" i="5"/>
  <c r="D3751" i="5"/>
  <c r="D2970" i="5"/>
  <c r="D1725" i="5"/>
  <c r="D1791" i="5"/>
  <c r="D3922" i="5"/>
  <c r="D1850" i="5"/>
  <c r="D744" i="5"/>
  <c r="D1165" i="5"/>
  <c r="D3627" i="5"/>
  <c r="D3949" i="5"/>
  <c r="D3479" i="5"/>
  <c r="D3426" i="5"/>
  <c r="D2749" i="5"/>
  <c r="D1811" i="5"/>
  <c r="D3113" i="5"/>
  <c r="D2891" i="5"/>
  <c r="D2027" i="5"/>
  <c r="D2005" i="5"/>
  <c r="D2360" i="5"/>
  <c r="D2391" i="5"/>
  <c r="D3548" i="5"/>
  <c r="D3394" i="5"/>
  <c r="D1932" i="5"/>
  <c r="D2200" i="5"/>
  <c r="D3861" i="5"/>
  <c r="D1595" i="5"/>
  <c r="D620" i="5"/>
  <c r="D2227" i="5"/>
  <c r="D1219" i="5"/>
  <c r="D892" i="5"/>
  <c r="D3123" i="5"/>
  <c r="D1953" i="5"/>
  <c r="D2521" i="5"/>
  <c r="D2732" i="5"/>
  <c r="D904" i="5"/>
  <c r="D1133" i="5"/>
  <c r="D1325" i="5"/>
  <c r="D2951" i="5"/>
  <c r="D1758" i="5"/>
  <c r="D3962" i="5"/>
  <c r="D1126" i="5"/>
  <c r="D531" i="5"/>
  <c r="D1096" i="5"/>
  <c r="D2282" i="5"/>
  <c r="D2214" i="5"/>
  <c r="D85" i="5"/>
  <c r="D1017" i="5"/>
  <c r="D3337" i="5"/>
  <c r="D1548" i="5"/>
  <c r="D1474" i="5"/>
  <c r="D50" i="5"/>
  <c r="D697" i="5"/>
  <c r="D2182" i="5"/>
  <c r="D2245" i="5"/>
  <c r="D496" i="5"/>
  <c r="D1912" i="5"/>
  <c r="D3195" i="5"/>
  <c r="D2377" i="5"/>
  <c r="D3059" i="5"/>
  <c r="D659" i="5"/>
  <c r="D2218" i="5"/>
  <c r="D560" i="5"/>
  <c r="D52" i="5"/>
  <c r="D1298" i="5"/>
  <c r="D1879" i="5"/>
  <c r="D2409" i="5"/>
  <c r="D3883" i="5"/>
  <c r="D1037" i="5"/>
  <c r="D854" i="5"/>
  <c r="D3122" i="5"/>
  <c r="D2191" i="5"/>
  <c r="D3086" i="5"/>
  <c r="D3155" i="5"/>
  <c r="D2430" i="5"/>
  <c r="D3150" i="5"/>
  <c r="D2718" i="5"/>
  <c r="D2049" i="5"/>
  <c r="D289" i="5"/>
  <c r="D2160" i="5"/>
  <c r="D1641" i="5"/>
  <c r="D2463" i="5"/>
  <c r="D3890" i="5"/>
  <c r="D2034" i="5"/>
  <c r="D288" i="5"/>
  <c r="D14" i="5"/>
  <c r="D201" i="5"/>
  <c r="D2104" i="5"/>
  <c r="D2968" i="5"/>
  <c r="D3935" i="5"/>
  <c r="D3281" i="5"/>
  <c r="D3799" i="5"/>
  <c r="D1750" i="5"/>
  <c r="D716" i="5"/>
  <c r="D1651" i="5"/>
  <c r="D129" i="5"/>
  <c r="D2915" i="5"/>
  <c r="D2379" i="5"/>
  <c r="D3892" i="5"/>
  <c r="D566" i="5"/>
  <c r="D1726" i="5"/>
  <c r="D2210" i="5"/>
  <c r="D1316" i="5"/>
  <c r="D3963" i="5"/>
  <c r="D1348" i="5"/>
  <c r="D611" i="5"/>
  <c r="D1079" i="5"/>
  <c r="D1045" i="5"/>
  <c r="D2897" i="5"/>
  <c r="D816" i="5"/>
  <c r="D759" i="5"/>
  <c r="D2949" i="5"/>
  <c r="D3953" i="5"/>
  <c r="D3770" i="5"/>
  <c r="D2996" i="5"/>
  <c r="D1924" i="5"/>
  <c r="D3111" i="5"/>
  <c r="D1177" i="5"/>
  <c r="D3489" i="5"/>
  <c r="D3804" i="5"/>
  <c r="D406" i="5"/>
  <c r="D1319" i="5"/>
  <c r="D1067" i="5"/>
  <c r="D878" i="5"/>
  <c r="D984" i="5"/>
  <c r="D1795" i="5"/>
  <c r="D973" i="5"/>
  <c r="D2308" i="5"/>
  <c r="D1365" i="5"/>
  <c r="D2115" i="5"/>
  <c r="D2878" i="5"/>
  <c r="D2466" i="5"/>
  <c r="D2079" i="5"/>
  <c r="D3533" i="5"/>
  <c r="D3001" i="5"/>
  <c r="D2494" i="5"/>
  <c r="D310" i="5"/>
  <c r="D22" i="5"/>
  <c r="D1681" i="5"/>
  <c r="D1862" i="5"/>
  <c r="D2276" i="5"/>
  <c r="D793" i="5"/>
  <c r="D49" i="5"/>
  <c r="D577" i="5"/>
  <c r="D1182" i="5"/>
  <c r="D3887" i="5"/>
  <c r="D3748" i="5"/>
  <c r="D3710" i="5"/>
  <c r="D3847" i="5"/>
  <c r="D814" i="5"/>
  <c r="D2031" i="5"/>
  <c r="D1898" i="5"/>
  <c r="D2381" i="5"/>
  <c r="D800" i="5"/>
  <c r="D1304" i="5"/>
  <c r="D1649" i="5"/>
  <c r="D2844" i="5"/>
  <c r="D2981" i="5"/>
  <c r="D867" i="5"/>
  <c r="D2020" i="5"/>
  <c r="D1324" i="5"/>
  <c r="D534" i="5"/>
  <c r="D3895" i="5"/>
  <c r="D2060" i="5"/>
  <c r="D610" i="5"/>
  <c r="D934" i="5"/>
  <c r="D128" i="5"/>
  <c r="D463" i="5"/>
  <c r="D1218" i="5"/>
  <c r="D1084" i="5"/>
  <c r="D1873" i="5"/>
  <c r="D407" i="5"/>
  <c r="D572" i="5"/>
  <c r="D2535" i="5"/>
  <c r="D1754" i="5"/>
  <c r="D1074" i="5"/>
  <c r="D974" i="5"/>
  <c r="D2280" i="5"/>
  <c r="D3299" i="5"/>
  <c r="D1370" i="5"/>
  <c r="D3420" i="5"/>
  <c r="D505" i="5"/>
  <c r="D512" i="5"/>
  <c r="D179" i="5"/>
  <c r="D132" i="5"/>
  <c r="D1209" i="5"/>
  <c r="D2922" i="5"/>
  <c r="D2655" i="5"/>
  <c r="D3380" i="5"/>
  <c r="D446" i="5"/>
  <c r="D3387" i="5"/>
  <c r="D2585" i="5"/>
  <c r="D2988" i="5"/>
  <c r="D2118" i="5"/>
  <c r="D214" i="5"/>
  <c r="D955" i="5"/>
  <c r="D3187" i="5"/>
  <c r="D2737" i="5"/>
  <c r="D3573" i="5"/>
  <c r="D63" i="5"/>
  <c r="D1534" i="5"/>
  <c r="D239" i="5"/>
  <c r="D511" i="5"/>
  <c r="D2660" i="5"/>
  <c r="D227" i="5"/>
  <c r="D1331" i="5"/>
  <c r="D3774" i="5"/>
  <c r="D2168" i="5"/>
  <c r="D3343" i="5"/>
  <c r="D354" i="5"/>
  <c r="D3826" i="5"/>
  <c r="D2753" i="5"/>
  <c r="D3982" i="5"/>
  <c r="D2595" i="5"/>
  <c r="D3124" i="5"/>
  <c r="D2711" i="5"/>
  <c r="D2849" i="5"/>
  <c r="D468" i="5"/>
  <c r="D544" i="5"/>
  <c r="D3206" i="5"/>
  <c r="D1129" i="5"/>
  <c r="D3957" i="5"/>
  <c r="D2329" i="5"/>
  <c r="D2805" i="5"/>
  <c r="D846" i="5"/>
  <c r="D2240" i="5"/>
  <c r="D84" i="5"/>
  <c r="D1321" i="5"/>
  <c r="D902" i="5"/>
  <c r="D725" i="5"/>
  <c r="D3382" i="5"/>
  <c r="D3932" i="5"/>
  <c r="D535" i="5"/>
  <c r="D1184" i="5"/>
  <c r="D404" i="5"/>
  <c r="D1737" i="5"/>
  <c r="D1630" i="5"/>
  <c r="D1536" i="5"/>
  <c r="D1775" i="5"/>
  <c r="D1678" i="5"/>
  <c r="D2943" i="5"/>
  <c r="D1360" i="5"/>
  <c r="D1773" i="5"/>
  <c r="D3809" i="5"/>
  <c r="D3649" i="5"/>
  <c r="D1494" i="5"/>
  <c r="D164" i="5"/>
  <c r="D3608" i="5"/>
  <c r="D1817" i="5"/>
  <c r="D3927" i="5"/>
  <c r="D1282" i="5"/>
  <c r="D492" i="5"/>
  <c r="D3617" i="5"/>
  <c r="D3335" i="5"/>
  <c r="D777" i="5"/>
  <c r="D2453" i="5"/>
  <c r="D941" i="5"/>
  <c r="D2875" i="5"/>
  <c r="D2920" i="5"/>
  <c r="D1890" i="5"/>
  <c r="D2652" i="5"/>
  <c r="D1891" i="5"/>
  <c r="D1599" i="5"/>
  <c r="D3153" i="5"/>
  <c r="D1984" i="5"/>
  <c r="D1467" i="5"/>
  <c r="D1863" i="5"/>
  <c r="D322" i="5"/>
  <c r="D2923" i="5"/>
  <c r="D3409" i="5"/>
  <c r="D1225" i="5"/>
  <c r="D3449" i="5"/>
  <c r="D809" i="5"/>
  <c r="D467" i="5"/>
  <c r="D2696" i="5"/>
  <c r="D3741" i="5"/>
  <c r="D3441" i="5"/>
  <c r="D3217" i="5"/>
  <c r="D2505" i="5"/>
  <c r="D1632" i="5"/>
  <c r="D187" i="5"/>
  <c r="D314" i="5"/>
  <c r="D2547" i="5"/>
  <c r="D343" i="5"/>
  <c r="D309" i="5"/>
  <c r="D2350" i="5"/>
  <c r="D2099" i="5"/>
  <c r="D2097" i="5"/>
  <c r="D3360" i="5"/>
  <c r="D2500" i="5"/>
  <c r="D708" i="5"/>
  <c r="D679" i="5"/>
  <c r="D3814" i="5"/>
  <c r="D2863" i="5"/>
  <c r="D1645" i="5"/>
  <c r="D799" i="5"/>
  <c r="D1917" i="5"/>
  <c r="D304" i="5"/>
  <c r="D2854" i="5"/>
  <c r="D1603" i="5"/>
  <c r="D1302" i="5"/>
  <c r="D1371" i="5"/>
  <c r="D2068" i="5"/>
  <c r="D2113" i="5"/>
  <c r="D3285" i="5"/>
  <c r="D2275" i="5"/>
  <c r="D994" i="5"/>
  <c r="D655" i="5"/>
  <c r="D1561" i="5"/>
  <c r="D3938" i="5"/>
  <c r="D3024" i="5"/>
  <c r="D2913" i="5"/>
  <c r="D2887" i="5"/>
  <c r="D1220" i="5"/>
  <c r="D3684" i="5"/>
  <c r="D2883" i="5"/>
  <c r="D242" i="5"/>
  <c r="D1369" i="5"/>
  <c r="D1163" i="5"/>
  <c r="D1236" i="5"/>
  <c r="D157" i="5"/>
  <c r="D1746" i="5"/>
  <c r="D442" i="5"/>
  <c r="D191" i="5"/>
  <c r="D2140" i="5"/>
  <c r="D1860" i="5"/>
  <c r="D752" i="5"/>
  <c r="D3974" i="5"/>
  <c r="D1244" i="5"/>
  <c r="D3704" i="5"/>
  <c r="D2755" i="5"/>
  <c r="D615" i="5"/>
  <c r="D377" i="5"/>
  <c r="D2927" i="5"/>
  <c r="D2823" i="5"/>
  <c r="D2232" i="5"/>
  <c r="D970" i="5"/>
  <c r="D1805" i="5"/>
  <c r="D3455" i="5"/>
  <c r="D1308" i="5"/>
  <c r="D2760" i="5"/>
  <c r="D268" i="5"/>
  <c r="D3143" i="5"/>
  <c r="D2424" i="5"/>
  <c r="D2167" i="5"/>
  <c r="D341" i="5"/>
  <c r="D1042" i="5"/>
  <c r="D2593" i="5"/>
  <c r="D1942" i="5"/>
  <c r="D408" i="5"/>
  <c r="D143" i="5"/>
  <c r="D2785" i="5"/>
  <c r="D3025" i="5"/>
  <c r="D2092" i="5"/>
  <c r="D843" i="5"/>
  <c r="D3762" i="5"/>
  <c r="D2026" i="5"/>
  <c r="D757" i="5"/>
  <c r="D2990" i="5"/>
  <c r="D2661" i="5"/>
  <c r="D2532" i="5"/>
  <c r="D1652" i="5"/>
  <c r="D78" i="5"/>
  <c r="D1760" i="5"/>
  <c r="D1589" i="5"/>
  <c r="D2059" i="5"/>
  <c r="D813" i="5"/>
  <c r="D3012" i="5"/>
  <c r="D3276" i="5"/>
  <c r="D3115" i="5"/>
  <c r="D1312" i="5"/>
  <c r="D2626" i="5"/>
  <c r="D1367" i="5"/>
  <c r="D3838" i="5"/>
  <c r="D3048" i="5"/>
  <c r="D3298" i="5"/>
  <c r="D3765" i="5"/>
  <c r="D1306" i="5"/>
  <c r="D11" i="5"/>
  <c r="D2151" i="5"/>
  <c r="D1356" i="5"/>
  <c r="D3066" i="5"/>
  <c r="D1061" i="5"/>
  <c r="D2427" i="5"/>
  <c r="D2094" i="5"/>
  <c r="D316" i="5"/>
  <c r="D2203" i="5"/>
  <c r="D2407" i="5"/>
  <c r="D1437" i="5"/>
  <c r="D3785" i="5"/>
  <c r="D1100" i="5"/>
  <c r="D1723" i="5"/>
  <c r="D320" i="5"/>
  <c r="D1586" i="5"/>
  <c r="D1989" i="5"/>
  <c r="D2128" i="5"/>
  <c r="D2269" i="5"/>
  <c r="D2213" i="5"/>
  <c r="D1354" i="5"/>
  <c r="D1018" i="5"/>
  <c r="D3777" i="5"/>
  <c r="D3606" i="5"/>
  <c r="D2752" i="5"/>
  <c r="D1748" i="5"/>
  <c r="D1954" i="5"/>
  <c r="D3083" i="5"/>
  <c r="D2122" i="5"/>
  <c r="D2764" i="5"/>
  <c r="D2628" i="5"/>
  <c r="D457" i="5"/>
  <c r="D223" i="5"/>
  <c r="D748" i="5"/>
  <c r="D2900" i="5"/>
  <c r="D2715" i="5"/>
  <c r="D3591" i="5"/>
  <c r="D30" i="5"/>
  <c r="D589" i="5"/>
  <c r="D2272" i="5"/>
  <c r="D2098" i="5"/>
  <c r="D3808" i="5"/>
  <c r="D717" i="5"/>
  <c r="D1838" i="5"/>
  <c r="D2312" i="5"/>
  <c r="D2362" i="5"/>
  <c r="D3829" i="5"/>
  <c r="D2089" i="5"/>
  <c r="D1214" i="5"/>
  <c r="D379" i="5"/>
  <c r="D1728" i="5"/>
  <c r="D1675" i="5"/>
  <c r="D3159" i="5"/>
  <c r="D1836" i="5"/>
  <c r="D2040" i="5"/>
  <c r="D2775" i="5"/>
  <c r="D2772" i="5"/>
  <c r="D633" i="5"/>
  <c r="D96" i="5"/>
  <c r="D1099" i="5"/>
  <c r="D3603" i="5"/>
  <c r="D1772" i="5"/>
  <c r="D3833" i="5"/>
  <c r="D3532" i="5"/>
  <c r="D3073" i="5"/>
  <c r="D2399" i="5"/>
  <c r="D3" i="5"/>
  <c r="D1444" i="5"/>
  <c r="D456" i="5"/>
  <c r="D1636" i="5"/>
  <c r="D2448" i="5"/>
  <c r="D2080" i="5"/>
  <c r="D2443" i="5"/>
  <c r="D2606" i="5"/>
  <c r="D2722" i="5"/>
  <c r="D346" i="5"/>
  <c r="D169" i="5"/>
  <c r="D1395" i="5"/>
  <c r="D3121" i="5"/>
  <c r="D3225" i="5"/>
  <c r="D1866" i="5"/>
  <c r="D2770" i="5"/>
  <c r="D1543" i="5"/>
  <c r="D2634" i="5"/>
  <c r="D1972" i="5"/>
  <c r="D3210" i="5"/>
  <c r="D55" i="5"/>
  <c r="D1489" i="5"/>
  <c r="D2343" i="5"/>
  <c r="D1328" i="5"/>
  <c r="D662" i="5"/>
  <c r="D114" i="5"/>
  <c r="D1909" i="5"/>
  <c r="D1488" i="5"/>
  <c r="D1531" i="5"/>
  <c r="D2754" i="5"/>
  <c r="D2659" i="5"/>
  <c r="D1677" i="5"/>
  <c r="D3129" i="5"/>
  <c r="D1275" i="5"/>
  <c r="D1587" i="5"/>
  <c r="D1615" i="5"/>
  <c r="D520" i="5"/>
  <c r="D450" i="5"/>
  <c r="D1058" i="5"/>
  <c r="D1527" i="5"/>
  <c r="D1642" i="5"/>
  <c r="D1818" i="5"/>
  <c r="D3873" i="5"/>
  <c r="D420" i="5"/>
  <c r="D2233" i="5"/>
  <c r="D1672" i="5"/>
  <c r="D2748" i="5"/>
  <c r="D2774" i="5"/>
  <c r="D949" i="5"/>
  <c r="D3783" i="5"/>
  <c r="D416" i="5"/>
  <c r="D15" i="5"/>
  <c r="D364" i="5"/>
  <c r="D3552" i="5"/>
  <c r="D2455" i="5"/>
  <c r="D751" i="5"/>
  <c r="D3344" i="5"/>
  <c r="D4" i="5"/>
  <c r="D3139" i="5"/>
  <c r="D2984" i="5"/>
  <c r="D2917" i="5"/>
  <c r="D3632" i="5"/>
  <c r="D3679" i="5"/>
  <c r="D2731" i="5"/>
  <c r="D3576" i="5"/>
  <c r="D3184" i="5"/>
  <c r="D554" i="5"/>
  <c r="D97" i="5"/>
  <c r="D3835" i="5"/>
  <c r="D2287" i="5"/>
  <c r="D3444" i="5"/>
  <c r="D1682" i="5"/>
  <c r="D2364" i="5"/>
  <c r="D555" i="5"/>
  <c r="D3173" i="5"/>
  <c r="D3310" i="5"/>
  <c r="D1155" i="5"/>
  <c r="D2337" i="5"/>
  <c r="D3659" i="5"/>
  <c r="D425" i="5"/>
  <c r="D1668" i="5"/>
  <c r="D1995" i="5"/>
  <c r="D1907" i="5"/>
  <c r="D185" i="5"/>
  <c r="D2572" i="5"/>
  <c r="D267" i="5"/>
  <c r="D1568" i="5"/>
  <c r="D3755" i="5"/>
  <c r="D3353" i="5"/>
  <c r="D3497" i="5"/>
  <c r="D3743" i="5"/>
  <c r="D102" i="5"/>
  <c r="D2055" i="5"/>
  <c r="D3466" i="5"/>
  <c r="D3056" i="5"/>
  <c r="D746" i="5"/>
  <c r="D2556" i="5"/>
  <c r="D1002" i="5"/>
  <c r="D2529" i="5"/>
  <c r="D3134" i="5"/>
  <c r="D3803" i="5"/>
  <c r="D656" i="5"/>
  <c r="D640" i="5"/>
  <c r="D2355" i="5"/>
  <c r="D1839" i="5"/>
  <c r="D1804" i="5"/>
  <c r="D909" i="5"/>
  <c r="D2570" i="5"/>
  <c r="D2605" i="5"/>
  <c r="D1585" i="5"/>
  <c r="D2320" i="5"/>
  <c r="D3622" i="5"/>
  <c r="D478" i="5"/>
  <c r="D1150" i="5"/>
  <c r="D1789" i="5"/>
  <c r="D595" i="5"/>
  <c r="D3478" i="5"/>
  <c r="D2802" i="5"/>
  <c r="D1999" i="5"/>
  <c r="D1216" i="5"/>
  <c r="D3019" i="5"/>
  <c r="D3069" i="5"/>
  <c r="D1841" i="5"/>
  <c r="D3615" i="5"/>
  <c r="D3262" i="5"/>
  <c r="D3738" i="5"/>
  <c r="D3630" i="5"/>
  <c r="D661" i="5"/>
  <c r="D174" i="5"/>
  <c r="D3691" i="5"/>
  <c r="D2819" i="5"/>
  <c r="D1259" i="5"/>
  <c r="D1877" i="5"/>
  <c r="D2800" i="5"/>
  <c r="D1732" i="5"/>
  <c r="D1120" i="5"/>
  <c r="D598" i="5"/>
  <c r="D1934" i="5"/>
  <c r="D444" i="5"/>
  <c r="D1669" i="5"/>
  <c r="D1986" i="5"/>
  <c r="D2406" i="5"/>
  <c r="D274" i="5"/>
  <c r="D2786" i="5"/>
  <c r="D3689" i="5"/>
  <c r="D1814" i="5"/>
  <c r="D18" i="5"/>
  <c r="D2354" i="5"/>
  <c r="D3452" i="5"/>
  <c r="D2100" i="5"/>
  <c r="D1706" i="5"/>
  <c r="D1192" i="5"/>
  <c r="D1198" i="5"/>
  <c r="D2075" i="5"/>
  <c r="D3908" i="5"/>
  <c r="D491" i="5"/>
  <c r="D3619" i="5"/>
  <c r="D330" i="5"/>
  <c r="D1107" i="5"/>
  <c r="D211" i="5"/>
  <c r="D1820" i="5"/>
  <c r="D1519" i="5"/>
  <c r="D565" i="5"/>
  <c r="D1032" i="5"/>
  <c r="D1751" i="5"/>
  <c r="D1003" i="5"/>
  <c r="D205" i="5"/>
  <c r="D2845" i="5"/>
  <c r="D3893" i="5"/>
  <c r="D2767" i="5"/>
  <c r="D3429" i="5"/>
  <c r="D3424" i="5"/>
  <c r="D901" i="5"/>
  <c r="D67" i="5"/>
  <c r="D1766" i="5"/>
  <c r="D3562" i="5"/>
  <c r="D2107" i="5"/>
  <c r="D2220" i="5"/>
  <c r="D2799" i="5"/>
  <c r="D1530" i="5"/>
  <c r="D2726" i="5"/>
  <c r="D2975" i="5"/>
  <c r="D1470" i="5"/>
  <c r="D3352" i="5"/>
  <c r="D3817" i="5"/>
  <c r="D2853" i="5"/>
  <c r="D3565" i="5"/>
  <c r="D454" i="5"/>
  <c r="D2768" i="5"/>
  <c r="D3715" i="5"/>
  <c r="D2325" i="5"/>
  <c r="D1291" i="5"/>
  <c r="D1113" i="5"/>
  <c r="D293" i="5"/>
  <c r="D2702" i="5"/>
  <c r="D3600" i="5"/>
  <c r="D1159" i="5"/>
  <c r="D2640" i="5"/>
  <c r="D221" i="5"/>
  <c r="D1392" i="5"/>
  <c r="D2090" i="5"/>
  <c r="D1689" i="5"/>
  <c r="D3270" i="5"/>
  <c r="D1573" i="5"/>
  <c r="D162" i="5"/>
  <c r="D1075" i="5"/>
  <c r="D2841" i="5"/>
  <c r="D1387" i="5"/>
  <c r="D2881" i="5"/>
  <c r="D74" i="5"/>
  <c r="D240" i="5"/>
  <c r="D1827" i="5"/>
  <c r="D1671" i="5"/>
  <c r="D1876" i="5"/>
  <c r="D514" i="5"/>
  <c r="D3084" i="5"/>
  <c r="D1036" i="5"/>
  <c r="D588" i="5"/>
  <c r="D394" i="5"/>
  <c r="D1232" i="5"/>
  <c r="D1521" i="5"/>
  <c r="D3372" i="5"/>
  <c r="D355" i="5"/>
  <c r="D3149" i="5"/>
  <c r="D649" i="5"/>
  <c r="D988" i="5"/>
  <c r="D667" i="5"/>
  <c r="D31" i="5"/>
  <c r="D1935" i="5"/>
  <c r="D2135" i="5"/>
  <c r="D1609" i="5"/>
  <c r="D2045" i="5"/>
  <c r="D3080" i="5"/>
  <c r="D61" i="5"/>
  <c r="D7" i="5"/>
  <c r="D1547" i="5"/>
  <c r="D3924" i="5"/>
  <c r="D3402" i="5"/>
  <c r="D3986" i="5"/>
  <c r="D1278" i="5"/>
  <c r="D2877" i="5"/>
  <c r="D432" i="5"/>
  <c r="D1679" i="5"/>
  <c r="D2682" i="5"/>
  <c r="D1619" i="5"/>
  <c r="D3537" i="5"/>
  <c r="D3856" i="5"/>
  <c r="D1239" i="5"/>
  <c r="D1443" i="5"/>
  <c r="D3094" i="5"/>
  <c r="D639" i="5"/>
  <c r="D3142" i="5"/>
  <c r="D2489" i="5"/>
  <c r="D1702" i="5"/>
  <c r="D3135" i="5"/>
  <c r="D623" i="5"/>
  <c r="D1513" i="5"/>
  <c r="D2324" i="5"/>
  <c r="D1622" i="5"/>
  <c r="D764" i="5"/>
  <c r="D3131" i="5"/>
  <c r="D1105" i="5"/>
  <c r="D376" i="5"/>
  <c r="D1637" i="5"/>
  <c r="D1260" i="5"/>
  <c r="D135" i="5"/>
  <c r="D536" i="5"/>
  <c r="D215" i="5"/>
  <c r="D549" i="5"/>
  <c r="D2044" i="5"/>
  <c r="D173" i="5"/>
  <c r="D3304" i="5"/>
  <c r="D2699" i="5"/>
  <c r="D2518" i="5"/>
  <c r="D298" i="5"/>
  <c r="D110" i="5"/>
  <c r="D387" i="5"/>
  <c r="D3815" i="5"/>
  <c r="D3601" i="5"/>
  <c r="D3952" i="5"/>
  <c r="D99" i="5"/>
  <c r="D1887" i="5"/>
  <c r="D3983" i="5"/>
  <c r="D1144" i="5"/>
  <c r="D2172" i="5"/>
  <c r="D163" i="5"/>
  <c r="D3821" i="5"/>
  <c r="D2941" i="5"/>
  <c r="D3483" i="5"/>
  <c r="D1490" i="5"/>
  <c r="D1286" i="5"/>
  <c r="D2788" i="5"/>
  <c r="D913" i="5"/>
  <c r="D1400" i="5"/>
  <c r="D3288" i="5"/>
  <c r="D2812" i="5"/>
  <c r="D3109" i="5"/>
  <c r="D2050" i="5"/>
  <c r="D3460" i="5"/>
  <c r="D70" i="5"/>
  <c r="D2686" i="5"/>
  <c r="D1829" i="5"/>
  <c r="D2386" i="5"/>
  <c r="D252" i="5"/>
  <c r="D2330" i="5"/>
  <c r="D250" i="5"/>
  <c r="D3739" i="5"/>
  <c r="D2415" i="5"/>
  <c r="D2134" i="5"/>
  <c r="D2972" i="5"/>
  <c r="D3193" i="5"/>
  <c r="D3232" i="5"/>
  <c r="D3797" i="5"/>
  <c r="D1171" i="5"/>
  <c r="D393" i="5"/>
  <c r="D2716" i="5"/>
  <c r="D3423" i="5"/>
  <c r="D224" i="5"/>
  <c r="D3377" i="5"/>
  <c r="D844" i="5"/>
  <c r="D8" i="5"/>
  <c r="D3396" i="5"/>
  <c r="D2983" i="5"/>
  <c r="D833" i="5"/>
  <c r="D435" i="5"/>
  <c r="D28" i="5"/>
  <c r="D579" i="5"/>
  <c r="D1250" i="5"/>
  <c r="D1834" i="5"/>
  <c r="D2543" i="5"/>
  <c r="D1540" i="5"/>
  <c r="D960" i="5"/>
  <c r="D3438" i="5"/>
  <c r="D2183" i="5"/>
  <c r="D3950" i="5"/>
  <c r="D3326" i="5"/>
  <c r="D2268" i="5"/>
  <c r="D3669" i="5"/>
  <c r="D840" i="5"/>
  <c r="D2957" i="5"/>
  <c r="D1091" i="5"/>
  <c r="D627" i="5"/>
  <c r="D1492" i="5"/>
  <c r="D2310" i="5"/>
  <c r="D2375" i="5"/>
  <c r="D286" i="5"/>
  <c r="D3556" i="5"/>
  <c r="D3070" i="5"/>
  <c r="D1803" i="5"/>
  <c r="D1069" i="5"/>
  <c r="D684" i="5"/>
  <c r="D2619" i="5"/>
  <c r="D1964" i="5"/>
  <c r="D3126" i="5"/>
  <c r="D3049" i="5"/>
  <c r="D3712" i="5"/>
  <c r="D3517" i="5"/>
  <c r="D3303" i="5"/>
  <c r="D3178" i="5"/>
  <c r="D1761" i="5"/>
  <c r="D677" i="5"/>
  <c r="D2349" i="5"/>
  <c r="D2208" i="5"/>
  <c r="D2793" i="5"/>
  <c r="D2091" i="5"/>
  <c r="D3651" i="5"/>
  <c r="D3018" i="5"/>
  <c r="D673" i="5"/>
  <c r="D3269" i="5"/>
  <c r="D297" i="5"/>
  <c r="D3898" i="5"/>
  <c r="D2096" i="5"/>
  <c r="D1510" i="5"/>
  <c r="D2365" i="5"/>
  <c r="D2604" i="5"/>
  <c r="D3611" i="5"/>
  <c r="D526" i="5"/>
  <c r="D802" i="5"/>
  <c r="D1486" i="5"/>
  <c r="D958" i="5"/>
  <c r="D1848" i="5"/>
  <c r="D3454" i="5"/>
  <c r="D3714" i="5"/>
  <c r="D884" i="5"/>
  <c r="D1752" i="5"/>
  <c r="D3719" i="5"/>
  <c r="D2225" i="5"/>
  <c r="D278" i="5"/>
  <c r="D2939" i="5"/>
  <c r="D3492" i="5"/>
  <c r="D3216" i="5"/>
  <c r="D1627" i="5"/>
  <c r="D686" i="5"/>
  <c r="D2332" i="5"/>
  <c r="D1571" i="5"/>
  <c r="D1422" i="5"/>
  <c r="D3093" i="5"/>
  <c r="D1125" i="5"/>
  <c r="D1765" i="5"/>
  <c r="D428" i="5"/>
  <c r="D562" i="5"/>
  <c r="D150" i="5"/>
  <c r="D459" i="5"/>
  <c r="D1867" i="5"/>
  <c r="D3415" i="5"/>
  <c r="D3871" i="5"/>
  <c r="D3247" i="5"/>
  <c r="D1764" i="5"/>
  <c r="D2641" i="5"/>
  <c r="D2830" i="5"/>
  <c r="D2633" i="5"/>
  <c r="D3568" i="5"/>
  <c r="D2816" i="5"/>
  <c r="D779" i="5"/>
  <c r="D1653" i="5"/>
  <c r="D550" i="5"/>
  <c r="D248" i="5"/>
  <c r="D1092" i="5"/>
  <c r="D1455" i="5"/>
  <c r="D338" i="5"/>
  <c r="D513" i="5"/>
  <c r="D3009" i="5"/>
  <c r="D3930" i="5"/>
  <c r="D1108" i="5"/>
  <c r="D1258" i="5"/>
  <c r="D2912" i="5"/>
  <c r="D2928" i="5"/>
  <c r="D919" i="5"/>
  <c r="D991" i="5"/>
  <c r="D3900" i="5"/>
  <c r="D318" i="5"/>
  <c r="D3183" i="5"/>
  <c r="D3706" i="5"/>
  <c r="D451" i="5"/>
  <c r="D2164" i="5"/>
  <c r="D3642" i="5"/>
  <c r="D926" i="5"/>
  <c r="D1925" i="5"/>
  <c r="D3405" i="5"/>
  <c r="D2321" i="5"/>
  <c r="D1405" i="5"/>
  <c r="D2855" i="5"/>
  <c r="D3540" i="5"/>
  <c r="D1403" i="5"/>
  <c r="D529" i="5"/>
  <c r="D1878" i="5"/>
  <c r="D1698" i="5"/>
  <c r="D2950" i="5"/>
  <c r="D1963" i="5"/>
  <c r="D876" i="5"/>
  <c r="D3985" i="5"/>
  <c r="D2756" i="5"/>
  <c r="D961" i="5"/>
  <c r="D680" i="5"/>
  <c r="D592" i="5"/>
  <c r="D399" i="5"/>
  <c r="D1115" i="5"/>
  <c r="D3967" i="5"/>
  <c r="D1552" i="5"/>
  <c r="D3707" i="5"/>
  <c r="D175" i="5"/>
  <c r="D1768" i="5"/>
  <c r="D68" i="5"/>
  <c r="D3508" i="5"/>
  <c r="D3430" i="5"/>
  <c r="D1993" i="5"/>
  <c r="D155" i="5"/>
  <c r="D509" i="5"/>
  <c r="D2426" i="5"/>
  <c r="D2864" i="5"/>
  <c r="D2833" i="5"/>
  <c r="D3102" i="5"/>
  <c r="D1991" i="5"/>
  <c r="D2394" i="5"/>
  <c r="D1961" i="5"/>
  <c r="D3701" i="5"/>
  <c r="D2807" i="5"/>
  <c r="D197" i="5"/>
  <c r="D154" i="5"/>
  <c r="D2808" i="5"/>
  <c r="D3842" i="5"/>
  <c r="D2509" i="5"/>
  <c r="D2351" i="5"/>
  <c r="D882" i="5"/>
  <c r="D2687" i="5"/>
  <c r="D3114" i="5"/>
  <c r="D1073" i="5"/>
  <c r="D3628" i="5"/>
  <c r="D858" i="5"/>
  <c r="D2892" i="5"/>
  <c r="D2745" i="5"/>
  <c r="D2664" i="5"/>
  <c r="D2615" i="5"/>
  <c r="D2438" i="5"/>
  <c r="D3633" i="5"/>
  <c r="D1390" i="5"/>
  <c r="D1452" i="5"/>
  <c r="D1310" i="5"/>
  <c r="D284" i="5"/>
  <c r="D3339" i="5"/>
  <c r="D2621" i="5"/>
  <c r="D2599" i="5"/>
  <c r="D3030" i="5"/>
  <c r="D850" i="5"/>
  <c r="D2979" i="5"/>
  <c r="D2705" i="5"/>
  <c r="D2588" i="5"/>
  <c r="D685" i="5"/>
  <c r="D1700" i="5"/>
  <c r="D246" i="5"/>
  <c r="D303" i="5"/>
  <c r="D1833" i="5"/>
  <c r="D40" i="5"/>
  <c r="D2884" i="5"/>
  <c r="D1311" i="5"/>
  <c r="D1472" i="5"/>
  <c r="D477" i="5"/>
</calcChain>
</file>

<file path=xl/sharedStrings.xml><?xml version="1.0" encoding="utf-8"?>
<sst xmlns="http://schemas.openxmlformats.org/spreadsheetml/2006/main" count="11959" uniqueCount="9599">
  <si>
    <t>Beth</t>
  </si>
  <si>
    <t>Pariseau</t>
  </si>
  <si>
    <t>D5NQ5YN8NL4</t>
  </si>
  <si>
    <t>Ioannis</t>
  </si>
  <si>
    <t>Valasakis</t>
  </si>
  <si>
    <t>X5NCV4GCLPP</t>
  </si>
  <si>
    <t>Gottfried</t>
  </si>
  <si>
    <t>Schipfer</t>
  </si>
  <si>
    <t>FPNNTB2X8TZ</t>
  </si>
  <si>
    <t>Philippe</t>
  </si>
  <si>
    <t>CARRE</t>
  </si>
  <si>
    <t>VYNNFR3KFKN</t>
  </si>
  <si>
    <t>Aboubakar</t>
  </si>
  <si>
    <t>Koïta</t>
  </si>
  <si>
    <t>G7N8V3GJ6JK</t>
  </si>
  <si>
    <t>Joseph</t>
  </si>
  <si>
    <t>Naghdi</t>
  </si>
  <si>
    <t>V7NS2QQMMDH</t>
  </si>
  <si>
    <t>Ankur</t>
  </si>
  <si>
    <t>Tyagi</t>
  </si>
  <si>
    <t>F7NG7V6SBH5</t>
  </si>
  <si>
    <t>Andreas</t>
  </si>
  <si>
    <t>Scheuchl</t>
  </si>
  <si>
    <t>FVNQ5MLBVM9</t>
  </si>
  <si>
    <t>Jim</t>
  </si>
  <si>
    <t>Mignano</t>
  </si>
  <si>
    <t>NLNJW9B6V3C</t>
  </si>
  <si>
    <t>Chris</t>
  </si>
  <si>
    <t>Kanthan</t>
  </si>
  <si>
    <t>JTNQRBXLQCK</t>
  </si>
  <si>
    <t>Muhammed Mustafa</t>
  </si>
  <si>
    <t>Akdeniz</t>
  </si>
  <si>
    <t>ZFNHMK5FGXM</t>
  </si>
  <si>
    <t>Nimisha</t>
  </si>
  <si>
    <t>Goel</t>
  </si>
  <si>
    <t>GHNWN5NLJ6Z</t>
  </si>
  <si>
    <t>Rajapandian</t>
  </si>
  <si>
    <t>Chellimuthu</t>
  </si>
  <si>
    <t>JNN8W4PP99V</t>
  </si>
  <si>
    <t>Darren</t>
  </si>
  <si>
    <t>Lissimore</t>
  </si>
  <si>
    <t>PZNVM6NKJCB</t>
  </si>
  <si>
    <t>Renato</t>
  </si>
  <si>
    <t>Severo</t>
  </si>
  <si>
    <t>LLNVB64WKVT</t>
  </si>
  <si>
    <t>Mustafa</t>
  </si>
  <si>
    <t>KIYAR</t>
  </si>
  <si>
    <t>JRNQ75WYB7B</t>
  </si>
  <si>
    <t>Natasha</t>
  </si>
  <si>
    <t>Murashkina</t>
  </si>
  <si>
    <t>VKNSTZKB3NX</t>
  </si>
  <si>
    <t>Shahir</t>
  </si>
  <si>
    <t>Daya</t>
  </si>
  <si>
    <t>FHNNXW2W283</t>
  </si>
  <si>
    <t>Ángel</t>
  </si>
  <si>
    <t>Ramos</t>
  </si>
  <si>
    <t>V7NZ8XN59D8</t>
  </si>
  <si>
    <t>Gordon</t>
  </si>
  <si>
    <t>Lee</t>
  </si>
  <si>
    <t>JRNHMG4SHRH</t>
  </si>
  <si>
    <t>Ignacio</t>
  </si>
  <si>
    <t>Herranz</t>
  </si>
  <si>
    <t>Z4NKBW7G56S</t>
  </si>
  <si>
    <t>Heiko</t>
  </si>
  <si>
    <t>Pohlmann</t>
  </si>
  <si>
    <t>JXNGL5JS5B9</t>
  </si>
  <si>
    <t>Thang</t>
  </si>
  <si>
    <t>Dao Duy</t>
  </si>
  <si>
    <t>LMNSK7NHMBW</t>
  </si>
  <si>
    <t>Md. Imad</t>
  </si>
  <si>
    <t>Uddin</t>
  </si>
  <si>
    <t>GKNWJRX88RY</t>
  </si>
  <si>
    <t>Naohito</t>
  </si>
  <si>
    <t>Taga</t>
  </si>
  <si>
    <t>FHN2LWFF9F4</t>
  </si>
  <si>
    <t>Nguyen</t>
  </si>
  <si>
    <t>Phuong Nam</t>
  </si>
  <si>
    <t>KBNQVPLMC95</t>
  </si>
  <si>
    <t>Oliver</t>
  </si>
  <si>
    <t>Wendt</t>
  </si>
  <si>
    <t>XBN6N5WN5BD</t>
  </si>
  <si>
    <t>Pietro</t>
  </si>
  <si>
    <t>Marini</t>
  </si>
  <si>
    <t>LCN278DRSR5</t>
  </si>
  <si>
    <t>Dave</t>
  </si>
  <si>
    <t>Page</t>
  </si>
  <si>
    <t>V2NCCYYTJV3</t>
  </si>
  <si>
    <t>Teresa</t>
  </si>
  <si>
    <t>Terasaki</t>
  </si>
  <si>
    <t>KPNTHRX3XLN</t>
  </si>
  <si>
    <t>EMILIO</t>
  </si>
  <si>
    <t>CACERES</t>
  </si>
  <si>
    <t>PHNC4TYK57N</t>
  </si>
  <si>
    <t>Roberto Emmanuel</t>
  </si>
  <si>
    <t>Valenzuela Armenta</t>
  </si>
  <si>
    <t>L2NNDGJCBV3</t>
  </si>
  <si>
    <t>Nicolas</t>
  </si>
  <si>
    <t>Pettiaux</t>
  </si>
  <si>
    <t>LNNBCZ9GNG9</t>
  </si>
  <si>
    <t>David</t>
  </si>
  <si>
    <t>Reid</t>
  </si>
  <si>
    <t>MSNBVRYBLQH</t>
  </si>
  <si>
    <t>Martin</t>
  </si>
  <si>
    <t>Thaler</t>
  </si>
  <si>
    <t>KQNXJMDTC57</t>
  </si>
  <si>
    <t>Michele</t>
  </si>
  <si>
    <t>Pallaro</t>
  </si>
  <si>
    <t>DBNWDBX8V2Z</t>
  </si>
  <si>
    <t>Viresh</t>
  </si>
  <si>
    <t>Kumar</t>
  </si>
  <si>
    <t>FWN9YLVJ6BK</t>
  </si>
  <si>
    <t>Paul</t>
  </si>
  <si>
    <t>Muzungu</t>
  </si>
  <si>
    <t>LHNGQG6G7FN</t>
  </si>
  <si>
    <t>Alexandre</t>
  </si>
  <si>
    <t>Belloni</t>
  </si>
  <si>
    <t>PTND3KSN3VQ</t>
  </si>
  <si>
    <t>Amarjit</t>
  </si>
  <si>
    <t>Singh</t>
  </si>
  <si>
    <t>X8N9K7TT2VZ</t>
  </si>
  <si>
    <t>Czarkowski</t>
  </si>
  <si>
    <t>DMN7R3Z45QJ</t>
  </si>
  <si>
    <t>Todd</t>
  </si>
  <si>
    <t>Moore</t>
  </si>
  <si>
    <t>ZWNP9CLM77M</t>
  </si>
  <si>
    <t>Kathy</t>
  </si>
  <si>
    <t>Giori</t>
  </si>
  <si>
    <t>M3NSK822JMB</t>
  </si>
  <si>
    <t>Matt</t>
  </si>
  <si>
    <t>ODonnell</t>
  </si>
  <si>
    <t>KJNQPDX2ZY6</t>
  </si>
  <si>
    <t>Ken Swee Caleb</t>
  </si>
  <si>
    <t>Khor</t>
  </si>
  <si>
    <t>PBNYYH99Z2L</t>
  </si>
  <si>
    <t>Robert</t>
  </si>
  <si>
    <t>Melia</t>
  </si>
  <si>
    <t>H8NZZH44SCG</t>
  </si>
  <si>
    <t>Payam</t>
  </si>
  <si>
    <t>Samimi</t>
  </si>
  <si>
    <t>MXNZLDL7JDK</t>
  </si>
  <si>
    <t>Pham</t>
  </si>
  <si>
    <t>Trung</t>
  </si>
  <si>
    <t>JWN7N5JH4SW</t>
  </si>
  <si>
    <t>Mauritz</t>
  </si>
  <si>
    <t>Mälzer</t>
  </si>
  <si>
    <t>JGN7YGZ8QVZ</t>
  </si>
  <si>
    <t>Boris</t>
  </si>
  <si>
    <t>Petrov</t>
  </si>
  <si>
    <t>DBNZ8RM397R</t>
  </si>
  <si>
    <t>Létourneau</t>
  </si>
  <si>
    <t>MXNHPZ5VJJ2</t>
  </si>
  <si>
    <t>Kenichi</t>
  </si>
  <si>
    <t>Nagai</t>
  </si>
  <si>
    <t>JDNH7C8N2XG</t>
  </si>
  <si>
    <t>sleepy</t>
  </si>
  <si>
    <t>elsleepyloco</t>
  </si>
  <si>
    <t>H5NZX6SQ4ZQ</t>
  </si>
  <si>
    <t>Stephen</t>
  </si>
  <si>
    <t>Berry</t>
  </si>
  <si>
    <t>DPNBGHF6JC9</t>
  </si>
  <si>
    <t>Adrien</t>
  </si>
  <si>
    <t>Leravat</t>
  </si>
  <si>
    <t>MSN5FZWRGPF</t>
  </si>
  <si>
    <t>John</t>
  </si>
  <si>
    <t>Sedig</t>
  </si>
  <si>
    <t>HTNY664G522</t>
  </si>
  <si>
    <t>Alison</t>
  </si>
  <si>
    <t>Asher</t>
  </si>
  <si>
    <t>M4ND6MT8KSV</t>
  </si>
  <si>
    <t>Tom</t>
  </si>
  <si>
    <t>Lever</t>
  </si>
  <si>
    <t>X6NQLB5LJ22</t>
  </si>
  <si>
    <t>James</t>
  </si>
  <si>
    <t>Martino</t>
  </si>
  <si>
    <t>MVNZW2QXHDS</t>
  </si>
  <si>
    <t>Zack</t>
  </si>
  <si>
    <t>Luo</t>
  </si>
  <si>
    <t>PKNMJ428SD6</t>
  </si>
  <si>
    <t>Eric</t>
  </si>
  <si>
    <t>Snowberg</t>
  </si>
  <si>
    <t>PWNRKC3K8VL</t>
  </si>
  <si>
    <t>Aubrey</t>
  </si>
  <si>
    <t>Backscheider</t>
  </si>
  <si>
    <t>VGN4VLQDC9F</t>
  </si>
  <si>
    <t>Caleb</t>
  </si>
  <si>
    <t>Knoll</t>
  </si>
  <si>
    <t>GJN5NR2RV4R</t>
  </si>
  <si>
    <t>Fair</t>
  </si>
  <si>
    <t>L7NF4XR6T4T</t>
  </si>
  <si>
    <t>Diego</t>
  </si>
  <si>
    <t>Jorquera</t>
  </si>
  <si>
    <t>VNNXYLV855N</t>
  </si>
  <si>
    <t>orit</t>
  </si>
  <si>
    <t>gruber</t>
  </si>
  <si>
    <t>J8NH99F3VSC</t>
  </si>
  <si>
    <t>淑燕</t>
  </si>
  <si>
    <t>王</t>
  </si>
  <si>
    <t>L9NBFJ2LCN7</t>
  </si>
  <si>
    <t>Freeman</t>
  </si>
  <si>
    <t>XCNYFHMGTHK</t>
  </si>
  <si>
    <t>Katie</t>
  </si>
  <si>
    <t>Fejer</t>
  </si>
  <si>
    <t>FRNRXDC4BPW</t>
  </si>
  <si>
    <t>Rachael</t>
  </si>
  <si>
    <t>Taylor</t>
  </si>
  <si>
    <t>NSNBCC77ZTV</t>
  </si>
  <si>
    <t>ZBN5L746W9B</t>
  </si>
  <si>
    <t>Judicael</t>
  </si>
  <si>
    <t>Tombo</t>
  </si>
  <si>
    <t>H2NCQR6ZXFN</t>
  </si>
  <si>
    <t>Brayan</t>
  </si>
  <si>
    <t>Almonte</t>
  </si>
  <si>
    <t>VDNN3Z6YQ7F</t>
  </si>
  <si>
    <t>Henry</t>
  </si>
  <si>
    <t>Griffiths</t>
  </si>
  <si>
    <t>NSNRYZD8TZ4</t>
  </si>
  <si>
    <t>Subha</t>
  </si>
  <si>
    <t>Madapusi</t>
  </si>
  <si>
    <t>K6NW9XB3H43</t>
  </si>
  <si>
    <t>Peter</t>
  </si>
  <si>
    <t>R</t>
  </si>
  <si>
    <t>ZYN8YHHMM7J</t>
  </si>
  <si>
    <t>Badgery</t>
  </si>
  <si>
    <t>KCNBB5NCDJD</t>
  </si>
  <si>
    <t>Mark</t>
  </si>
  <si>
    <t>Thornton</t>
  </si>
  <si>
    <t>LQNQMBTYHPQ</t>
  </si>
  <si>
    <t>Sid</t>
  </si>
  <si>
    <t>Choudhury</t>
  </si>
  <si>
    <t>ZTNH7XT8K8P</t>
  </si>
  <si>
    <t>Kandan</t>
  </si>
  <si>
    <t>Kathirvel</t>
  </si>
  <si>
    <t>FQNBBPPLGKG</t>
  </si>
  <si>
    <t>Deirdre</t>
  </si>
  <si>
    <t>Straughan</t>
  </si>
  <si>
    <t>JJNQ2VYHHPS</t>
  </si>
  <si>
    <t>Theodora</t>
  </si>
  <si>
    <t>Cheng</t>
  </si>
  <si>
    <t>1993</t>
  </si>
  <si>
    <t>GYNT8THSPCT</t>
  </si>
  <si>
    <t>Liz</t>
  </si>
  <si>
    <t>Lonsbrough</t>
  </si>
  <si>
    <t>NDNNDP7BL8Z</t>
  </si>
  <si>
    <t>Bela</t>
  </si>
  <si>
    <t>Krapfel</t>
  </si>
  <si>
    <t>GYNX2YG7HZB</t>
  </si>
  <si>
    <t>Ebert</t>
  </si>
  <si>
    <t>XSN6GRT56JN</t>
  </si>
  <si>
    <t>s</t>
  </si>
  <si>
    <t>iveland</t>
  </si>
  <si>
    <t>NYNF9299LLQ</t>
  </si>
  <si>
    <t>Anne</t>
  </si>
  <si>
    <t>Hopkins</t>
  </si>
  <si>
    <t>FVN45KSFJGN</t>
  </si>
  <si>
    <t>Wilson</t>
  </si>
  <si>
    <t>Talaugon</t>
  </si>
  <si>
    <t>P2N9KRRNKDN</t>
  </si>
  <si>
    <t>DoangJoo</t>
  </si>
  <si>
    <t>Synn</t>
  </si>
  <si>
    <t>LMNFDWNP4FR</t>
  </si>
  <si>
    <t>Debora</t>
  </si>
  <si>
    <t>Babb</t>
  </si>
  <si>
    <t>XQNNJH22NM3</t>
  </si>
  <si>
    <t>Praveen</t>
  </si>
  <si>
    <t>Balasubramanian</t>
  </si>
  <si>
    <t>P2NHZWHR827</t>
  </si>
  <si>
    <t>Prakash</t>
  </si>
  <si>
    <t>Jagwani</t>
  </si>
  <si>
    <t>VSNN75FF24W</t>
  </si>
  <si>
    <t>George</t>
  </si>
  <si>
    <t>Lathrop</t>
  </si>
  <si>
    <t>H4N7DLM23F8</t>
  </si>
  <si>
    <t>Schneider</t>
  </si>
  <si>
    <t>DFNHD682S5B</t>
  </si>
  <si>
    <t>Yehonatan</t>
  </si>
  <si>
    <t>Elentok</t>
  </si>
  <si>
    <t>F5N68LJ5XQD</t>
  </si>
  <si>
    <t>Raphael</t>
  </si>
  <si>
    <t>Simmons</t>
  </si>
  <si>
    <t>K8NDBBWDNSS</t>
  </si>
  <si>
    <t>Feinstein</t>
  </si>
  <si>
    <t>ZPNVMZNT26D</t>
  </si>
  <si>
    <t>Anton</t>
  </si>
  <si>
    <t>Nayshtut</t>
  </si>
  <si>
    <t>VTNW9C2J79N</t>
  </si>
  <si>
    <t>Igor</t>
  </si>
  <si>
    <t>Mitsyanko</t>
  </si>
  <si>
    <t>NBN5PP82HT9</t>
  </si>
  <si>
    <t>Eran</t>
  </si>
  <si>
    <t>Barak</t>
  </si>
  <si>
    <t>VNNJVYGT9PK</t>
  </si>
  <si>
    <t>Dannenberg</t>
  </si>
  <si>
    <t>G9N2SXFVCFZ</t>
  </si>
  <si>
    <t>Brian</t>
  </si>
  <si>
    <t>Gelly</t>
  </si>
  <si>
    <t>FVNVKN6CH6B</t>
  </si>
  <si>
    <t>Jeremy</t>
  </si>
  <si>
    <t>Twete</t>
  </si>
  <si>
    <t>NCNYVNM5N4F</t>
  </si>
  <si>
    <t>Crystal</t>
  </si>
  <si>
    <t>Altidor</t>
  </si>
  <si>
    <t>G7NZQWDTQVR</t>
  </si>
  <si>
    <t>Mindeman</t>
  </si>
  <si>
    <t>J2NC6G88YJ2</t>
  </si>
  <si>
    <t>Sunil</t>
  </si>
  <si>
    <t>Gharat</t>
  </si>
  <si>
    <t>J4NB4YLGJPY</t>
  </si>
  <si>
    <t>Nathan</t>
  </si>
  <si>
    <t>Pipe</t>
  </si>
  <si>
    <t>FBN9N57QPJF</t>
  </si>
  <si>
    <t>Pawan</t>
  </si>
  <si>
    <t>Gupta</t>
  </si>
  <si>
    <t>VCNLWC9CCYM</t>
  </si>
  <si>
    <t>Nazmus</t>
  </si>
  <si>
    <t>Sakib</t>
  </si>
  <si>
    <t>NXNRZFFJG2S</t>
  </si>
  <si>
    <t>Coggeshall</t>
  </si>
  <si>
    <t>NLNK72LXXS4</t>
  </si>
  <si>
    <t>Sanil Kumar</t>
  </si>
  <si>
    <t>Divakaran</t>
  </si>
  <si>
    <t>JGNNMXH4WMX</t>
  </si>
  <si>
    <t>Wei-Chun</t>
  </si>
  <si>
    <t>Wang</t>
  </si>
  <si>
    <t>VMNGY9LM6NF</t>
  </si>
  <si>
    <t>simon</t>
  </si>
  <si>
    <t>roche</t>
  </si>
  <si>
    <t>X2NFF45S8SN</t>
  </si>
  <si>
    <t>Joyce</t>
  </si>
  <si>
    <t>Welkenhuysen</t>
  </si>
  <si>
    <t>LRN5635SNCM</t>
  </si>
  <si>
    <t>Ben</t>
  </si>
  <si>
    <t>Brewer</t>
  </si>
  <si>
    <t>HSND4VWD7KK</t>
  </si>
  <si>
    <t>Alexandra</t>
  </si>
  <si>
    <t>KYNWJSJHJV2</t>
  </si>
  <si>
    <t>Brittany</t>
  </si>
  <si>
    <t>Istenes</t>
  </si>
  <si>
    <t>K6NLW3PB5KM</t>
  </si>
  <si>
    <t>Balaji</t>
  </si>
  <si>
    <t>Ethirajulu</t>
  </si>
  <si>
    <t>Ericsson</t>
  </si>
  <si>
    <t>LBN43Y963HN</t>
  </si>
  <si>
    <t>Round</t>
  </si>
  <si>
    <t>DTND5B2YFPD</t>
  </si>
  <si>
    <t>Erik</t>
  </si>
  <si>
    <t>Ziegenbalg</t>
  </si>
  <si>
    <t>FFNY7X78G4J</t>
  </si>
  <si>
    <t>Wolfington</t>
  </si>
  <si>
    <t>ZDNZD4286MN</t>
  </si>
  <si>
    <t>Hongji</t>
  </si>
  <si>
    <t>N3NRNFXX339</t>
  </si>
  <si>
    <t>Jason</t>
  </si>
  <si>
    <t>Roche</t>
  </si>
  <si>
    <t>LYN7JLHNVF9</t>
  </si>
  <si>
    <t>Mandel</t>
  </si>
  <si>
    <t>KCN7VNVGV24</t>
  </si>
  <si>
    <t>McNab</t>
  </si>
  <si>
    <t>HZNLG27RYGD</t>
  </si>
  <si>
    <t>Jeff</t>
  </si>
  <si>
    <t>Majka</t>
  </si>
  <si>
    <t>V9NSBP3HZ8W</t>
  </si>
  <si>
    <t>Samantha</t>
  </si>
  <si>
    <t>Grumdahl</t>
  </si>
  <si>
    <t>VWNPVMNH2HM</t>
  </si>
  <si>
    <t>Stephanie</t>
  </si>
  <si>
    <t>Markowski</t>
  </si>
  <si>
    <t>MGN8GNZS52F</t>
  </si>
  <si>
    <t>Qswain2@gmail.com</t>
  </si>
  <si>
    <t>G7N6NK9PQJX</t>
  </si>
  <si>
    <t>Andy</t>
  </si>
  <si>
    <t>Davidson</t>
  </si>
  <si>
    <t>KDNX5H5PCV6</t>
  </si>
  <si>
    <t>Magdalena</t>
  </si>
  <si>
    <t>Stepien</t>
  </si>
  <si>
    <t>PTNG7CB7Y2D</t>
  </si>
  <si>
    <t>Tony</t>
  </si>
  <si>
    <t>Schutz</t>
  </si>
  <si>
    <t>NWNXTWPXTQB</t>
  </si>
  <si>
    <t>Kinsella</t>
  </si>
  <si>
    <t>VPNPKHKHQTY</t>
  </si>
  <si>
    <t>Langdon</t>
  </si>
  <si>
    <t>ZMNCLBBTGK2</t>
  </si>
  <si>
    <t>Tomer</t>
  </si>
  <si>
    <t>Sagi</t>
  </si>
  <si>
    <t>FGND2KT4PBB</t>
  </si>
  <si>
    <t>Srinath</t>
  </si>
  <si>
    <t>Ramachandran</t>
  </si>
  <si>
    <t>ZMN4YXKRD8P</t>
  </si>
  <si>
    <t>Josh</t>
  </si>
  <si>
    <t>Gaweda</t>
  </si>
  <si>
    <t>DNNJMCKMSDW</t>
  </si>
  <si>
    <t>Diana</t>
  </si>
  <si>
    <t>Ruiz-Olvera</t>
  </si>
  <si>
    <t>KSN37775WX9</t>
  </si>
  <si>
    <t>Islam</t>
  </si>
  <si>
    <t>Musleh</t>
  </si>
  <si>
    <t>FRN9GWCGRZX</t>
  </si>
  <si>
    <t>Dan</t>
  </si>
  <si>
    <t>Cauchy</t>
  </si>
  <si>
    <t>D4NNX5GYRQD</t>
  </si>
  <si>
    <t>Brandon</t>
  </si>
  <si>
    <t>Wick</t>
  </si>
  <si>
    <t>ZVN8F65ZYQJ</t>
  </si>
  <si>
    <t>Tara</t>
  </si>
  <si>
    <t>Gu</t>
  </si>
  <si>
    <t>K4NTC34T5VL</t>
  </si>
  <si>
    <t>Myles</t>
  </si>
  <si>
    <t>Grindon</t>
  </si>
  <si>
    <t>JLNJ283LZYV</t>
  </si>
  <si>
    <t>Marylyn</t>
  </si>
  <si>
    <t>Harris</t>
  </si>
  <si>
    <t>P8NJ6MQDWT3</t>
  </si>
  <si>
    <t>Jack</t>
  </si>
  <si>
    <t>Gallagher</t>
  </si>
  <si>
    <t>K8N6DKWCVFQ</t>
  </si>
  <si>
    <t>Kyle</t>
  </si>
  <si>
    <t>Smith</t>
  </si>
  <si>
    <t>GXN6LW78SJV</t>
  </si>
  <si>
    <t>William</t>
  </si>
  <si>
    <t>Evans</t>
  </si>
  <si>
    <t>P3N6MYS7FGS</t>
  </si>
  <si>
    <t>Anjaneya "Reddy"</t>
  </si>
  <si>
    <t>Chagam</t>
  </si>
  <si>
    <t>M4NX7CRJMGZ</t>
  </si>
  <si>
    <t>Sasha</t>
  </si>
  <si>
    <t>Levin</t>
  </si>
  <si>
    <t>ZPN6JTL8R7F</t>
  </si>
  <si>
    <t>Rosen</t>
  </si>
  <si>
    <t>HJN8L4ZZXHJ</t>
  </si>
  <si>
    <t>Ray</t>
  </si>
  <si>
    <t>Paik</t>
  </si>
  <si>
    <t>LHNWZGYXM9V</t>
  </si>
  <si>
    <t>Thomas</t>
  </si>
  <si>
    <t>Munn</t>
  </si>
  <si>
    <t>L9NKQZ2HYGD</t>
  </si>
  <si>
    <t>Kuo-Lang</t>
  </si>
  <si>
    <t>Tseng</t>
  </si>
  <si>
    <t>X8NFR299QN7</t>
  </si>
  <si>
    <t>Patrick</t>
  </si>
  <si>
    <t>Titzler</t>
  </si>
  <si>
    <t>LKNSTPSCLQ6</t>
  </si>
  <si>
    <t>Luke</t>
  </si>
  <si>
    <t>Gagnon</t>
  </si>
  <si>
    <t>DKNTZMHSRK4</t>
  </si>
  <si>
    <t>Hansson</t>
  </si>
  <si>
    <t>JBNFPX8SRPJ</t>
  </si>
  <si>
    <t>Baughman</t>
  </si>
  <si>
    <t>PVN9GTPVBVR</t>
  </si>
  <si>
    <t>McKinney</t>
  </si>
  <si>
    <t>DFND7G2BLKB</t>
  </si>
  <si>
    <t>Ryan</t>
  </si>
  <si>
    <t>LaRoy</t>
  </si>
  <si>
    <t>PVNBGKM5YNF</t>
  </si>
  <si>
    <t>Sean</t>
  </si>
  <si>
    <t>Thomson</t>
  </si>
  <si>
    <t>LSNNMK5JLY2</t>
  </si>
  <si>
    <t>Steve</t>
  </si>
  <si>
    <t>Smiley</t>
  </si>
  <si>
    <t>LMNDG3YZH4P</t>
  </si>
  <si>
    <t>Tomasz</t>
  </si>
  <si>
    <t>Kępczyński</t>
  </si>
  <si>
    <t>JSNTFSDD4T8</t>
  </si>
  <si>
    <t>Rich</t>
  </si>
  <si>
    <t>Bowen</t>
  </si>
  <si>
    <t>VSNL2TBX88X</t>
  </si>
  <si>
    <t>Roger</t>
  </si>
  <si>
    <t>Best</t>
  </si>
  <si>
    <t>JBN26YNTQ66</t>
  </si>
  <si>
    <t>Schultz</t>
  </si>
  <si>
    <t>LMNJWBBTHVT</t>
  </si>
  <si>
    <t>Narin</t>
  </si>
  <si>
    <t>Suphasindhu</t>
  </si>
  <si>
    <t>NNN6VX3QNR4</t>
  </si>
  <si>
    <t>Steck</t>
  </si>
  <si>
    <t>DMN5YPT927V</t>
  </si>
  <si>
    <t>Elna</t>
  </si>
  <si>
    <t>Vogel</t>
  </si>
  <si>
    <t>LQN9RYV7P66</t>
  </si>
  <si>
    <t>Jonathan</t>
  </si>
  <si>
    <t>Boley</t>
  </si>
  <si>
    <t>ZYN53VSHYT2</t>
  </si>
  <si>
    <t>Rick</t>
  </si>
  <si>
    <t>Pufky</t>
  </si>
  <si>
    <t>NBNRK42XXQY</t>
  </si>
  <si>
    <t>Sukrut</t>
  </si>
  <si>
    <t>Bellary</t>
  </si>
  <si>
    <t>XDNKXMGGJFH</t>
  </si>
  <si>
    <t>Angelina</t>
  </si>
  <si>
    <t>Tsai</t>
  </si>
  <si>
    <t>MKN6PHGBYK2</t>
  </si>
  <si>
    <t>Massyl yacine</t>
  </si>
  <si>
    <t>KHELIL</t>
  </si>
  <si>
    <t>NKN7GTJNWKZ</t>
  </si>
  <si>
    <t>Mariusz</t>
  </si>
  <si>
    <t>Drost</t>
  </si>
  <si>
    <t>HYN8PGNWH6C</t>
  </si>
  <si>
    <t>ivan</t>
  </si>
  <si>
    <t>Portilla</t>
  </si>
  <si>
    <t>JMNNCNFRC65</t>
  </si>
  <si>
    <t>Cassandra</t>
  </si>
  <si>
    <t>Rodano</t>
  </si>
  <si>
    <t>GVNC2QJZF6D</t>
  </si>
  <si>
    <t>Haggiag</t>
  </si>
  <si>
    <t>H9N5BTYB7RM</t>
  </si>
  <si>
    <t>Rachit</t>
  </si>
  <si>
    <t>Mathur</t>
  </si>
  <si>
    <t>X4N6HWDN68W</t>
  </si>
  <si>
    <t>Daniel</t>
  </si>
  <si>
    <t>Beerbohm</t>
  </si>
  <si>
    <t>VJN9D3SS4WT</t>
  </si>
  <si>
    <t>Tibor</t>
  </si>
  <si>
    <t>Dezse</t>
  </si>
  <si>
    <t>FDNBHXP39RK</t>
  </si>
  <si>
    <t>Marcel</t>
  </si>
  <si>
    <t>Ziswiler</t>
  </si>
  <si>
    <t>XMNP25YM7KM</t>
  </si>
  <si>
    <t>Sergio</t>
  </si>
  <si>
    <t>Prado</t>
  </si>
  <si>
    <t>PDNG3TS8QV9</t>
  </si>
  <si>
    <t>Yuji</t>
  </si>
  <si>
    <t>Yazawa</t>
  </si>
  <si>
    <t>ZKNW7T9M79L</t>
  </si>
  <si>
    <t>Ludovic</t>
  </si>
  <si>
    <t>Gasc</t>
  </si>
  <si>
    <t>NRN97TR9RDP</t>
  </si>
  <si>
    <t>Sofía</t>
  </si>
  <si>
    <t>Dorta</t>
  </si>
  <si>
    <t>KDN36HNDLJR</t>
  </si>
  <si>
    <t>Didier</t>
  </si>
  <si>
    <t>Criss</t>
  </si>
  <si>
    <t>H7NZ78HWK2L</t>
  </si>
  <si>
    <t>Wheatley</t>
  </si>
  <si>
    <t>KVNS9ZJ2JT5</t>
  </si>
  <si>
    <t>Miquel</t>
  </si>
  <si>
    <t>Raynal</t>
  </si>
  <si>
    <t>H7NL99NCQLZ</t>
  </si>
  <si>
    <t>Wenninger</t>
  </si>
  <si>
    <t>JPN69FPNMXX</t>
  </si>
  <si>
    <t>Geert</t>
  </si>
  <si>
    <t>Uytterhoeven</t>
  </si>
  <si>
    <t>FRNMK8599LV</t>
  </si>
  <si>
    <t>Budimir</t>
  </si>
  <si>
    <t>Miljkovic</t>
  </si>
  <si>
    <t>DGN8J94VMMM</t>
  </si>
  <si>
    <t>Abhijit</t>
  </si>
  <si>
    <t>M</t>
  </si>
  <si>
    <t>D3N97S4F99C</t>
  </si>
  <si>
    <t>BANKOLE</t>
  </si>
  <si>
    <t>AYODEJI</t>
  </si>
  <si>
    <t>DVN4C9HFYFQ</t>
  </si>
  <si>
    <t>De Matos lima</t>
  </si>
  <si>
    <t>DMN2LSXSFLW</t>
  </si>
  <si>
    <t>Rakesh</t>
  </si>
  <si>
    <t>Sharma</t>
  </si>
  <si>
    <t>HSNVX3CLDHW</t>
  </si>
  <si>
    <t>Shubham</t>
  </si>
  <si>
    <t>Mishra</t>
  </si>
  <si>
    <t>DHN4647B4WX</t>
  </si>
  <si>
    <t>Aamir</t>
  </si>
  <si>
    <t>Khan</t>
  </si>
  <si>
    <t>J3NZ38HQRPD</t>
  </si>
  <si>
    <t>Danielle</t>
  </si>
  <si>
    <t>Almeida Watai</t>
  </si>
  <si>
    <t>JLNYCT5QDKD</t>
  </si>
  <si>
    <t>Shivangi</t>
  </si>
  <si>
    <t>C</t>
  </si>
  <si>
    <t>LHN64HTMVN7</t>
  </si>
  <si>
    <t>Anand</t>
  </si>
  <si>
    <t>Jain</t>
  </si>
  <si>
    <t>D3N4PBVZ4R2</t>
  </si>
  <si>
    <t>Simran</t>
  </si>
  <si>
    <t>Koul</t>
  </si>
  <si>
    <t>KNN9TKPGT2Y</t>
  </si>
  <si>
    <t>Nizam</t>
  </si>
  <si>
    <t>uddin</t>
  </si>
  <si>
    <t>VTN8MGRQDVB</t>
  </si>
  <si>
    <t>Atharv</t>
  </si>
  <si>
    <t>Pandit</t>
  </si>
  <si>
    <t>VCNQWNW3T3N</t>
  </si>
  <si>
    <t>FERNANDO</t>
  </si>
  <si>
    <t>ECKHARDT VALLE</t>
  </si>
  <si>
    <t>V6NWDSZCV73</t>
  </si>
  <si>
    <t>Vasanth</t>
  </si>
  <si>
    <t>Sundaravelu</t>
  </si>
  <si>
    <t>XWNGGZPQBBJ</t>
  </si>
  <si>
    <t>SANCHIT</t>
  </si>
  <si>
    <t>MISHRA</t>
  </si>
  <si>
    <t>NJNWPNV2SNT</t>
  </si>
  <si>
    <t>Sagar</t>
  </si>
  <si>
    <t>Mittal</t>
  </si>
  <si>
    <t>H6NL9H3PY2G</t>
  </si>
  <si>
    <t>Rahul</t>
  </si>
  <si>
    <t>Kundani</t>
  </si>
  <si>
    <t>MJN6G9D9Q45</t>
  </si>
  <si>
    <t>Leonardo</t>
  </si>
  <si>
    <t>Rangel Augusto</t>
  </si>
  <si>
    <t>KLN5C2M65YF</t>
  </si>
  <si>
    <t>Matthias</t>
  </si>
  <si>
    <t>Bühler</t>
  </si>
  <si>
    <t>PYNYGXSWSS2</t>
  </si>
  <si>
    <t>Trevor</t>
  </si>
  <si>
    <t>Gamblin</t>
  </si>
  <si>
    <t>FCNM6332K7T</t>
  </si>
  <si>
    <t>Seidl</t>
  </si>
  <si>
    <t>V9ND7NHKM8V</t>
  </si>
  <si>
    <t>Filion</t>
  </si>
  <si>
    <t>XPNBCV4VQ9W</t>
  </si>
  <si>
    <t>Andrei</t>
  </si>
  <si>
    <t>Gherghescu</t>
  </si>
  <si>
    <t>JJNRWWF7LT7</t>
  </si>
  <si>
    <t>Mats</t>
  </si>
  <si>
    <t>Persson</t>
  </si>
  <si>
    <t>D5NM8WZYKRP</t>
  </si>
  <si>
    <t>Jose Manuel</t>
  </si>
  <si>
    <t>Garcia</t>
  </si>
  <si>
    <t>QWNKJQQW3B5</t>
  </si>
  <si>
    <t>NICOLAE</t>
  </si>
  <si>
    <t>IOTU</t>
  </si>
  <si>
    <t>PVNZNN459R4</t>
  </si>
  <si>
    <t>Agustin Benito</t>
  </si>
  <si>
    <t>Bethencourt</t>
  </si>
  <si>
    <t>M3NKKXKKBZT</t>
  </si>
  <si>
    <t>Srinivas</t>
  </si>
  <si>
    <t>Marakala</t>
  </si>
  <si>
    <t>VXN42S3CVY9</t>
  </si>
  <si>
    <t>kohei</t>
  </si>
  <si>
    <t>sekine</t>
  </si>
  <si>
    <t>NXN5FM5JCPR</t>
  </si>
  <si>
    <t>Nyamugada</t>
  </si>
  <si>
    <t>P8NCSPWHQT9</t>
  </si>
  <si>
    <t>Szabo</t>
  </si>
  <si>
    <t>P5NQCK9WDGC</t>
  </si>
  <si>
    <t>Scott</t>
  </si>
  <si>
    <t>Murray</t>
  </si>
  <si>
    <t>LYNL4DBMBQF</t>
  </si>
  <si>
    <t>Henrique</t>
  </si>
  <si>
    <t>Canto Duarte</t>
  </si>
  <si>
    <t>K9NRYKR464X</t>
  </si>
  <si>
    <t>Daviny</t>
  </si>
  <si>
    <t>Vidal</t>
  </si>
  <si>
    <t>MGNGQ6LVQ2L</t>
  </si>
  <si>
    <t>Doherty</t>
  </si>
  <si>
    <t>NKNC57W2PYN</t>
  </si>
  <si>
    <t>Gino</t>
  </si>
  <si>
    <t>Avanzini</t>
  </si>
  <si>
    <t>PGNKYZ7C37N</t>
  </si>
  <si>
    <t>Ivan</t>
  </si>
  <si>
    <t>Ivanov</t>
  </si>
  <si>
    <t>H3NK8HRTZ8H</t>
  </si>
  <si>
    <t>Stefano</t>
  </si>
  <si>
    <t>Babic</t>
  </si>
  <si>
    <t>XQNXZZRHZDH</t>
  </si>
  <si>
    <t>Quan</t>
  </si>
  <si>
    <t>Dao Quang</t>
  </si>
  <si>
    <t>DHNG7TYF92Z</t>
  </si>
  <si>
    <t>VICTOR</t>
  </si>
  <si>
    <t>DUAN</t>
  </si>
  <si>
    <t>DSNPT4JFGL3</t>
  </si>
  <si>
    <t>Alexis</t>
  </si>
  <si>
    <t>JHN2FJSLYHF</t>
  </si>
  <si>
    <t>Louis-Martin</t>
  </si>
  <si>
    <t>Cote</t>
  </si>
  <si>
    <t>J3NXSKQFGL7</t>
  </si>
  <si>
    <t>Eva</t>
  </si>
  <si>
    <t>Rio</t>
  </si>
  <si>
    <t>J3N54XNGBCN</t>
  </si>
  <si>
    <t>Севилия</t>
  </si>
  <si>
    <t>Кучук</t>
  </si>
  <si>
    <t>F7NTYWTPDJ8</t>
  </si>
  <si>
    <t>Julian</t>
  </si>
  <si>
    <t>KFN8PBSXTDN</t>
  </si>
  <si>
    <t>Alaa</t>
  </si>
  <si>
    <t>Sarhan</t>
  </si>
  <si>
    <t>FPN3QWTP8SS</t>
  </si>
  <si>
    <t>Yukiya</t>
  </si>
  <si>
    <t>Ishioka</t>
  </si>
  <si>
    <t>PTNZQG8XTCX</t>
  </si>
  <si>
    <t>Takahiro</t>
  </si>
  <si>
    <t>Ono</t>
  </si>
  <si>
    <t>XGN8X4MZYP3</t>
  </si>
  <si>
    <t>Victor</t>
  </si>
  <si>
    <t>Rodriguez</t>
  </si>
  <si>
    <t>J7NZXP2HSYV</t>
  </si>
  <si>
    <t>Ashley</t>
  </si>
  <si>
    <t>Hromatko</t>
  </si>
  <si>
    <t>XZNDFYH6SLR</t>
  </si>
  <si>
    <t>Albiona</t>
  </si>
  <si>
    <t>DHN7LP3D6P4</t>
  </si>
  <si>
    <t>Anjo</t>
  </si>
  <si>
    <t>Vahldiek-Oberwagner</t>
  </si>
  <si>
    <t>HNNQLBYR5TK</t>
  </si>
  <si>
    <t>Mike</t>
  </si>
  <si>
    <t>Jang</t>
  </si>
  <si>
    <t>PFNRV3L2S52</t>
  </si>
  <si>
    <t>Nikita</t>
  </si>
  <si>
    <t>Galki</t>
  </si>
  <si>
    <t>H5NFKLYBZPJ</t>
  </si>
  <si>
    <t>MWNV4467FDL</t>
  </si>
  <si>
    <t>Coman</t>
  </si>
  <si>
    <t>Test</t>
  </si>
  <si>
    <t>ZQNF2YGGZ22</t>
  </si>
  <si>
    <t>Kiril</t>
  </si>
  <si>
    <t>Aleksovski</t>
  </si>
  <si>
    <t>MLN49TLWS9L</t>
  </si>
  <si>
    <t>Ward</t>
  </si>
  <si>
    <t>JQN2LKWTLQQ</t>
  </si>
  <si>
    <t>Amrish</t>
  </si>
  <si>
    <t>Chopra</t>
  </si>
  <si>
    <t>PSNKK6SD54Z</t>
  </si>
  <si>
    <t>Brent</t>
  </si>
  <si>
    <t>Roman</t>
  </si>
  <si>
    <t>JLNT4L4636M</t>
  </si>
  <si>
    <t>Alex</t>
  </si>
  <si>
    <t>Cornila</t>
  </si>
  <si>
    <t>LKNTJ6GLPFX</t>
  </si>
  <si>
    <t>McCollister</t>
  </si>
  <si>
    <t>XDN7T2VJGD3</t>
  </si>
  <si>
    <t>Jennifer</t>
  </si>
  <si>
    <t>Tucker</t>
  </si>
  <si>
    <t>NZNZCTJQ6W3</t>
  </si>
  <si>
    <t>Arvind</t>
  </si>
  <si>
    <t>Nagarajan</t>
  </si>
  <si>
    <t>HRNZVXJ2K5B</t>
  </si>
  <si>
    <t>Gediman</t>
  </si>
  <si>
    <t>HTN2WYHJ4NG</t>
  </si>
  <si>
    <t>Rohit</t>
  </si>
  <si>
    <t>Ainapure</t>
  </si>
  <si>
    <t>FFN8NHPMBW2</t>
  </si>
  <si>
    <t>Connor</t>
  </si>
  <si>
    <t>Dack</t>
  </si>
  <si>
    <t>P2N23C7FHTT</t>
  </si>
  <si>
    <t>Dileo</t>
  </si>
  <si>
    <t>VLNTTVYHMNN</t>
  </si>
  <si>
    <t>Matyas</t>
  </si>
  <si>
    <t>X3N8JFLZCLC</t>
  </si>
  <si>
    <t>Jacob</t>
  </si>
  <si>
    <t>Bates</t>
  </si>
  <si>
    <t>QYN7VVKH94L</t>
  </si>
  <si>
    <t>Casey</t>
  </si>
  <si>
    <t>Schaufler</t>
  </si>
  <si>
    <t>JPNN4T94H6Z</t>
  </si>
  <si>
    <t>Ronald</t>
  </si>
  <si>
    <t>Kongi</t>
  </si>
  <si>
    <t>VFNZXY4YQP5</t>
  </si>
  <si>
    <t>Jinesh</t>
  </si>
  <si>
    <t>Jayakumar</t>
  </si>
  <si>
    <t>P3NQKBYMDSH</t>
  </si>
  <si>
    <t>Michael</t>
  </si>
  <si>
    <t>Eager</t>
  </si>
  <si>
    <t>XCNZZ9TCBCN</t>
  </si>
  <si>
    <t>Ross</t>
  </si>
  <si>
    <t>Foard</t>
  </si>
  <si>
    <t>LMNTB2JZSTL</t>
  </si>
  <si>
    <t>Chad</t>
  </si>
  <si>
    <t>Mayfield</t>
  </si>
  <si>
    <t>GFNP9K3PRVQ</t>
  </si>
  <si>
    <t>Curry</t>
  </si>
  <si>
    <t>J2NMPM6GPXL</t>
  </si>
  <si>
    <t>Ian</t>
  </si>
  <si>
    <t>Egland</t>
  </si>
  <si>
    <t>XSN5H8W5GL8</t>
  </si>
  <si>
    <t>Ganesh</t>
  </si>
  <si>
    <t>Raju</t>
  </si>
  <si>
    <t>DYNMV979G9Y</t>
  </si>
  <si>
    <t>Vladimir</t>
  </si>
  <si>
    <t>Kurylovich</t>
  </si>
  <si>
    <t>MCNNLNG6D36</t>
  </si>
  <si>
    <t>Steven</t>
  </si>
  <si>
    <t>Correa</t>
  </si>
  <si>
    <t>ZWNRCD8LMKS</t>
  </si>
  <si>
    <t>Jeferson</t>
  </si>
  <si>
    <t>Moreira</t>
  </si>
  <si>
    <t>JNN7GDBRNDP</t>
  </si>
  <si>
    <t>nick</t>
  </si>
  <si>
    <t>lynch-jonely</t>
  </si>
  <si>
    <t>XZNJM3RC6HD</t>
  </si>
  <si>
    <t>Jian Yi</t>
  </si>
  <si>
    <t>Kok</t>
  </si>
  <si>
    <t>KFNNRHQS2JT</t>
  </si>
  <si>
    <t>Balakanagaram</t>
  </si>
  <si>
    <t>Jayaraman</t>
  </si>
  <si>
    <t>LWNBNL4WPNZ</t>
  </si>
  <si>
    <t>Philip</t>
  </si>
  <si>
    <t>Roberts</t>
  </si>
  <si>
    <t>MRNXM95XMCQ</t>
  </si>
  <si>
    <t>Gilbert</t>
  </si>
  <si>
    <t>Swinkels</t>
  </si>
  <si>
    <t>KHN99JG54LT</t>
  </si>
  <si>
    <t>珮中</t>
  </si>
  <si>
    <t>羅</t>
  </si>
  <si>
    <t>KCNMSMRP47S</t>
  </si>
  <si>
    <t>Siarhei</t>
  </si>
  <si>
    <t>Melnik</t>
  </si>
  <si>
    <t>KKN2LG3JNL2</t>
  </si>
  <si>
    <t>YASH</t>
  </si>
  <si>
    <t>SINGH</t>
  </si>
  <si>
    <t>J6NWM3LD89P</t>
  </si>
  <si>
    <t>Choa</t>
  </si>
  <si>
    <t>H6NV2ZKNG5X</t>
  </si>
  <si>
    <t>Aakash</t>
  </si>
  <si>
    <t>Baranwal</t>
  </si>
  <si>
    <t>NNNTXDXZH8X</t>
  </si>
  <si>
    <t>Aditya</t>
  </si>
  <si>
    <t>Soni</t>
  </si>
  <si>
    <t>KQNMRCT57RS</t>
  </si>
  <si>
    <t>Ritesh</t>
  </si>
  <si>
    <t>Harjani</t>
  </si>
  <si>
    <t>GYNS6C2PNNK</t>
  </si>
  <si>
    <t>Kirti</t>
  </si>
  <si>
    <t>Wankhede</t>
  </si>
  <si>
    <t>JYN6JT39YH8</t>
  </si>
  <si>
    <t>Jaydeep</t>
  </si>
  <si>
    <t>Rajpurohit</t>
  </si>
  <si>
    <t>PLNPGG8X3MN</t>
  </si>
  <si>
    <t>Leonidas</t>
  </si>
  <si>
    <t>Barbosa</t>
  </si>
  <si>
    <t>JSND4LRX2B4</t>
  </si>
  <si>
    <t>karen</t>
  </si>
  <si>
    <t>goh</t>
  </si>
  <si>
    <t>KRNX525YZC4</t>
  </si>
  <si>
    <t>Abhineet</t>
  </si>
  <si>
    <t>Saxena</t>
  </si>
  <si>
    <t>GVNCD8PZ39G</t>
  </si>
  <si>
    <t>Chin Hwee</t>
  </si>
  <si>
    <t>Ong</t>
  </si>
  <si>
    <t>FRN3P5BCM85</t>
  </si>
  <si>
    <t>Dmitry</t>
  </si>
  <si>
    <t>Surin</t>
  </si>
  <si>
    <t>F4ND52M5Z7X</t>
  </si>
  <si>
    <t>Chantelle</t>
  </si>
  <si>
    <t>Dubois</t>
  </si>
  <si>
    <t>PBNG7VYSK4B</t>
  </si>
  <si>
    <t>Rudi</t>
  </si>
  <si>
    <t>van Drunen</t>
  </si>
  <si>
    <t>VMN4BHSV3DX</t>
  </si>
  <si>
    <t>Ari</t>
  </si>
  <si>
    <t>Tähti</t>
  </si>
  <si>
    <t>X4NM55DX5NK</t>
  </si>
  <si>
    <t>Shinsuke</t>
  </si>
  <si>
    <t>Kato</t>
  </si>
  <si>
    <t>ZQNJ6MCNW3B</t>
  </si>
  <si>
    <t>Jacques</t>
  </si>
  <si>
    <t>Marchildon</t>
  </si>
  <si>
    <t>KFNQMLXC32V</t>
  </si>
  <si>
    <t>Gabriel</t>
  </si>
  <si>
    <t>Ware</t>
  </si>
  <si>
    <t>PFN6BN65Z2W</t>
  </si>
  <si>
    <t>Atif</t>
  </si>
  <si>
    <t>Rahman</t>
  </si>
  <si>
    <t>LLNDBH399N3</t>
  </si>
  <si>
    <t>C.</t>
  </si>
  <si>
    <t>XBNHX7MNQ7W</t>
  </si>
  <si>
    <t>Edmundo</t>
  </si>
  <si>
    <t>Ferreira</t>
  </si>
  <si>
    <t>F4NNNNHF75R</t>
  </si>
  <si>
    <t>Rob</t>
  </si>
  <si>
    <t>Woolley</t>
  </si>
  <si>
    <t>MHN8DC9NXBS</t>
  </si>
  <si>
    <t>Brad</t>
  </si>
  <si>
    <t>Peters</t>
  </si>
  <si>
    <t>M4N7KZHBCHK</t>
  </si>
  <si>
    <t>Juan Pablo</t>
  </si>
  <si>
    <t>Mateos</t>
  </si>
  <si>
    <t>L4NY79GBPDD</t>
  </si>
  <si>
    <t>Jesus</t>
  </si>
  <si>
    <t>Flores Acuña</t>
  </si>
  <si>
    <t>N7NGTWNPJN7</t>
  </si>
  <si>
    <t>Jose Alejandro</t>
  </si>
  <si>
    <t>Balderas Figueroa</t>
  </si>
  <si>
    <t>KQN6VS37FM8</t>
  </si>
  <si>
    <t>Andrea</t>
  </si>
  <si>
    <t>Galbusera</t>
  </si>
  <si>
    <t>D2N53HQC637</t>
  </si>
  <si>
    <t>Ahmat</t>
  </si>
  <si>
    <t>Mahamat Hamdan</t>
  </si>
  <si>
    <t>VKNGN5X8QZK</t>
  </si>
  <si>
    <t>Ombredanne</t>
  </si>
  <si>
    <t>JVN2JVQS6LD</t>
  </si>
  <si>
    <t>Heather</t>
  </si>
  <si>
    <t>Miller</t>
  </si>
  <si>
    <t>L6NL324Z28W</t>
  </si>
  <si>
    <t>peter</t>
  </si>
  <si>
    <t>Pouliot</t>
  </si>
  <si>
    <t>LZNKVBJPNCB</t>
  </si>
  <si>
    <t>Emily</t>
  </si>
  <si>
    <t>Ratliff</t>
  </si>
  <si>
    <t>VMNG3T3CQSK</t>
  </si>
  <si>
    <t>Alexia</t>
  </si>
  <si>
    <t>Henrie</t>
  </si>
  <si>
    <t>G2NRCRVXJTW</t>
  </si>
  <si>
    <t>Plum</t>
  </si>
  <si>
    <t>VQNL7TDGC9S</t>
  </si>
  <si>
    <t>Kipervarg</t>
  </si>
  <si>
    <t>JWNML4BH9MT</t>
  </si>
  <si>
    <t>Spohrer</t>
  </si>
  <si>
    <t>HZN2B29HND9</t>
  </si>
  <si>
    <t>Kunal</t>
  </si>
  <si>
    <t>Kushwaha</t>
  </si>
  <si>
    <t>PLNRXXDPQQD</t>
  </si>
  <si>
    <t>Heinrich</t>
  </si>
  <si>
    <t>Schuchardt</t>
  </si>
  <si>
    <t>LMNT72W2489</t>
  </si>
  <si>
    <t>Ana Carolina</t>
  </si>
  <si>
    <t>Riekstin</t>
  </si>
  <si>
    <t>Bell</t>
  </si>
  <si>
    <t>MMNJQ9FRQ29</t>
  </si>
  <si>
    <t>Nazmul</t>
  </si>
  <si>
    <t>Ahmed</t>
  </si>
  <si>
    <t>VNNF4WHTYGG</t>
  </si>
  <si>
    <t>Facu</t>
  </si>
  <si>
    <t>Keller</t>
  </si>
  <si>
    <t>J8N6PN8VJG2</t>
  </si>
  <si>
    <t>Yamaguchi</t>
  </si>
  <si>
    <t>XKNL8X75SS4</t>
  </si>
  <si>
    <t>Nikolay</t>
  </si>
  <si>
    <t>Papazov</t>
  </si>
  <si>
    <t>MRN2P9HY8YL</t>
  </si>
  <si>
    <t>Anil</t>
  </si>
  <si>
    <t>Belur</t>
  </si>
  <si>
    <t>LGNKKRVJP8B</t>
  </si>
  <si>
    <t>Fahey</t>
  </si>
  <si>
    <t>GRN4ZVFYKD7</t>
  </si>
  <si>
    <t>github.com@koumanos.com</t>
  </si>
  <si>
    <t>ZCN2SG2SVST</t>
  </si>
  <si>
    <t>Soelman</t>
  </si>
  <si>
    <t>LGNMNM4KT67</t>
  </si>
  <si>
    <t>Tommi</t>
  </si>
  <si>
    <t>Pihlajaniemi</t>
  </si>
  <si>
    <t>Z8NZS954SP8</t>
  </si>
  <si>
    <t>Pablo</t>
  </si>
  <si>
    <t>Puente</t>
  </si>
  <si>
    <t>H9N8494BSMT</t>
  </si>
  <si>
    <t>Gardiner</t>
  </si>
  <si>
    <t>LTN49F9J3S7</t>
  </si>
  <si>
    <t>Sumit</t>
  </si>
  <si>
    <t>H7NNQ76X8T5</t>
  </si>
  <si>
    <t>Scheie</t>
  </si>
  <si>
    <t>FNNCQF3CRXJ</t>
  </si>
  <si>
    <t>Aworetan</t>
  </si>
  <si>
    <t>PBNPWNMPQN8</t>
  </si>
  <si>
    <t>Shannon</t>
  </si>
  <si>
    <t>Kuehn</t>
  </si>
  <si>
    <t>NPN26MWRQ6C</t>
  </si>
  <si>
    <t>Insop</t>
  </si>
  <si>
    <t>Song</t>
  </si>
  <si>
    <t>NXNGX9D44SM</t>
  </si>
  <si>
    <t>Raj</t>
  </si>
  <si>
    <t>Krishnamurthy</t>
  </si>
  <si>
    <t>VWNWYFHJ6JD</t>
  </si>
  <si>
    <t>Norman</t>
  </si>
  <si>
    <t>Scroggins</t>
  </si>
  <si>
    <t>GTNWMCFHVFC</t>
  </si>
  <si>
    <t>Jakub</t>
  </si>
  <si>
    <t>Dzúrik</t>
  </si>
  <si>
    <t>JKNB2TSFFL3</t>
  </si>
  <si>
    <t>Lassa</t>
  </si>
  <si>
    <t>FBNSX3LZ9D7</t>
  </si>
  <si>
    <t>Madhuri</t>
  </si>
  <si>
    <t>Javiya</t>
  </si>
  <si>
    <t>D8NZDCF49PY</t>
  </si>
  <si>
    <t>Laszlo</t>
  </si>
  <si>
    <t>Toth</t>
  </si>
  <si>
    <t>F8NPLPM45DD</t>
  </si>
  <si>
    <t>Sumesh</t>
  </si>
  <si>
    <t>Malhotra</t>
  </si>
  <si>
    <t>M6NNTCXPR73</t>
  </si>
  <si>
    <t>Lehmann</t>
  </si>
  <si>
    <t>N3N2TWGJCHS</t>
  </si>
  <si>
    <t>Adrianne</t>
  </si>
  <si>
    <t>ZBN7SQ7Z89K</t>
  </si>
  <si>
    <t>Paterson</t>
  </si>
  <si>
    <t>DGNY8CZW3LG</t>
  </si>
  <si>
    <t>Sinan</t>
  </si>
  <si>
    <t>Kaya</t>
  </si>
  <si>
    <t>JPN7H7VQCBH</t>
  </si>
  <si>
    <t>SIVA SAI KUMAR</t>
  </si>
  <si>
    <t>PAMUJULA</t>
  </si>
  <si>
    <t>GWNRHW8ZWWD</t>
  </si>
  <si>
    <t>owen</t>
  </si>
  <si>
    <t>kent</t>
  </si>
  <si>
    <t>VLNGZGMDMPX</t>
  </si>
  <si>
    <t>Porthouse</t>
  </si>
  <si>
    <t>XHNPF24GVTB</t>
  </si>
  <si>
    <t>Gielda</t>
  </si>
  <si>
    <t>P3NCSNZ27SS</t>
  </si>
  <si>
    <t>Amirul</t>
  </si>
  <si>
    <t>Asyraf</t>
  </si>
  <si>
    <t>GDNNM8Q9HZ2</t>
  </si>
  <si>
    <t>Donna</t>
  </si>
  <si>
    <t>Wehan</t>
  </si>
  <si>
    <t>NKNYHCGJ68C</t>
  </si>
  <si>
    <t>Stultz</t>
  </si>
  <si>
    <t>DRNS67YL37Q</t>
  </si>
  <si>
    <t>eden</t>
  </si>
  <si>
    <t>afek</t>
  </si>
  <si>
    <t>VSNL7HF2FMR</t>
  </si>
  <si>
    <t>Brooke</t>
  </si>
  <si>
    <t>Basile</t>
  </si>
  <si>
    <t>V3NHNY5LT9P</t>
  </si>
  <si>
    <t>Jacqueline</t>
  </si>
  <si>
    <t>Ore</t>
  </si>
  <si>
    <t>LPNWS9RWDCL</t>
  </si>
  <si>
    <t>Jose</t>
  </si>
  <si>
    <t>Duarte</t>
  </si>
  <si>
    <t>J5NW7MVQ667</t>
  </si>
  <si>
    <t>Amitay</t>
  </si>
  <si>
    <t>Grinspan</t>
  </si>
  <si>
    <t>HNNTT2LXK7B</t>
  </si>
  <si>
    <t>Chang</t>
  </si>
  <si>
    <t>F3NBW3VRHWF</t>
  </si>
  <si>
    <t>Anthony</t>
  </si>
  <si>
    <t>Barber</t>
  </si>
  <si>
    <t>ZMNPB5H7KJW</t>
  </si>
  <si>
    <t>Tawanna</t>
  </si>
  <si>
    <t>Hester</t>
  </si>
  <si>
    <t>MPNXZ9XL5BN</t>
  </si>
  <si>
    <t>Bindu</t>
  </si>
  <si>
    <t>Kanneganti</t>
  </si>
  <si>
    <t>K8N92QV2XPQ</t>
  </si>
  <si>
    <t>Xin</t>
  </si>
  <si>
    <t>Zhao</t>
  </si>
  <si>
    <t>J6N8LV3NKR8</t>
  </si>
  <si>
    <t>Kristopher</t>
  </si>
  <si>
    <t>Wolff</t>
  </si>
  <si>
    <t>XWNRL69Z7XQ</t>
  </si>
  <si>
    <t>Francisco</t>
  </si>
  <si>
    <t>Ruiz</t>
  </si>
  <si>
    <t>NDNDL8GF958</t>
  </si>
  <si>
    <t>Foster</t>
  </si>
  <si>
    <t>Gorman</t>
  </si>
  <si>
    <t>NTNHR9P7N2K</t>
  </si>
  <si>
    <t>Joanna</t>
  </si>
  <si>
    <t>Farley</t>
  </si>
  <si>
    <t>X7NQSN9562W</t>
  </si>
  <si>
    <t>Lance</t>
  </si>
  <si>
    <t>Albertson</t>
  </si>
  <si>
    <t>JPNHWHQHSFR</t>
  </si>
  <si>
    <t>Sree</t>
  </si>
  <si>
    <t>Sarva</t>
  </si>
  <si>
    <t>HFNJNL46FX7</t>
  </si>
  <si>
    <t>Jäger</t>
  </si>
  <si>
    <t>K8N7ZS77M2D</t>
  </si>
  <si>
    <t>Abdellah</t>
  </si>
  <si>
    <t>Mouskite</t>
  </si>
  <si>
    <t>PVN78NYYR75</t>
  </si>
  <si>
    <t>Jörg</t>
  </si>
  <si>
    <t>Hofrichter</t>
  </si>
  <si>
    <t>Z3N2ZHJVXM9</t>
  </si>
  <si>
    <t>Timothy</t>
  </si>
  <si>
    <t>Forbes</t>
  </si>
  <si>
    <t>F4NG657NTW8</t>
  </si>
  <si>
    <t>Patricia</t>
  </si>
  <si>
    <t>Moura</t>
  </si>
  <si>
    <t>ZKNWL7V3DPH</t>
  </si>
  <si>
    <t>Andrews</t>
  </si>
  <si>
    <t>Oppong Jnr</t>
  </si>
  <si>
    <t>PGN6P7FSHCL</t>
  </si>
  <si>
    <t>Matthew</t>
  </si>
  <si>
    <t>Tung</t>
  </si>
  <si>
    <t>L4NBGB5QWJJ</t>
  </si>
  <si>
    <t>Ken</t>
  </si>
  <si>
    <t>Tough</t>
  </si>
  <si>
    <t>VPNGWMHLLLP</t>
  </si>
  <si>
    <t>Jessica</t>
  </si>
  <si>
    <t>DeBord</t>
  </si>
  <si>
    <t>ZXNX6J3XT44</t>
  </si>
  <si>
    <t>Bartosz</t>
  </si>
  <si>
    <t>Zator</t>
  </si>
  <si>
    <t>PZNZ3RMPXG9</t>
  </si>
  <si>
    <t>Karen</t>
  </si>
  <si>
    <t>Noel</t>
  </si>
  <si>
    <t>MVN37RBQDLL</t>
  </si>
  <si>
    <t>Cameron</t>
  </si>
  <si>
    <t>Greenburg</t>
  </si>
  <si>
    <t>DQNTK9HKZP4</t>
  </si>
  <si>
    <t>Erick</t>
  </si>
  <si>
    <t>Van Dam</t>
  </si>
  <si>
    <t>LYNG9Z4TF57</t>
  </si>
  <si>
    <t>Joe</t>
  </si>
  <si>
    <t>Gomes</t>
  </si>
  <si>
    <t>L5N8P482B9F</t>
  </si>
  <si>
    <t>Parkinson</t>
  </si>
  <si>
    <t>LDNXJP8LDN4</t>
  </si>
  <si>
    <t>Jubin</t>
  </si>
  <si>
    <t>Mehta</t>
  </si>
  <si>
    <t>JTNB7MYTLDN</t>
  </si>
  <si>
    <t>HRNL8WQHDBK</t>
  </si>
  <si>
    <t>Paula</t>
  </si>
  <si>
    <t>Guzman</t>
  </si>
  <si>
    <t>D4NKM3X28GQ</t>
  </si>
  <si>
    <t>Shockley</t>
  </si>
  <si>
    <t>FZNKKLM2B96</t>
  </si>
  <si>
    <t>Chaiken</t>
  </si>
  <si>
    <t>PTNVTCRFC9C</t>
  </si>
  <si>
    <t>Cherry</t>
  </si>
  <si>
    <t>Chen</t>
  </si>
  <si>
    <t>XCNX48G7N97</t>
  </si>
  <si>
    <t>Terry</t>
  </si>
  <si>
    <t>Fritz</t>
  </si>
  <si>
    <t>ZRNN4D634R8</t>
  </si>
  <si>
    <t>Trent</t>
  </si>
  <si>
    <t>Brown</t>
  </si>
  <si>
    <t>MPNSD5YWVJS</t>
  </si>
  <si>
    <t>Sarang</t>
  </si>
  <si>
    <t>Mairal</t>
  </si>
  <si>
    <t>ZLNVBC5BXD7</t>
  </si>
  <si>
    <t>Tatenda</t>
  </si>
  <si>
    <t>H3NHTVX983T</t>
  </si>
  <si>
    <t>O'Banion</t>
  </si>
  <si>
    <t>JZNQJMDX394</t>
  </si>
  <si>
    <t>Lupton</t>
  </si>
  <si>
    <t>F2N7HBGWDKJ</t>
  </si>
  <si>
    <t>Rayees</t>
  </si>
  <si>
    <t>Shamsuddin</t>
  </si>
  <si>
    <t>MYNRJ2FQXPW</t>
  </si>
  <si>
    <t>Frederick</t>
  </si>
  <si>
    <t>Kautz</t>
  </si>
  <si>
    <t>P4NMJPSS9H8</t>
  </si>
  <si>
    <t>Kenton</t>
  </si>
  <si>
    <t>Brazelle</t>
  </si>
  <si>
    <t>XLN7T36N3LM</t>
  </si>
  <si>
    <t>Kohout</t>
  </si>
  <si>
    <t>GNNPLWNZ27Q</t>
  </si>
  <si>
    <t>Stefan</t>
  </si>
  <si>
    <t>Andersson</t>
  </si>
  <si>
    <t>V2NDGF8TXVN</t>
  </si>
  <si>
    <t>Calvin</t>
  </si>
  <si>
    <t>Johnson</t>
  </si>
  <si>
    <t>ZTNRB9W8B6S</t>
  </si>
  <si>
    <t>Jon</t>
  </si>
  <si>
    <t>Piccola</t>
  </si>
  <si>
    <t>V3N4WXJYYT8</t>
  </si>
  <si>
    <t>Ewa</t>
  </si>
  <si>
    <t>Wiman</t>
  </si>
  <si>
    <t>D5NQQ6ZFXJ7</t>
  </si>
  <si>
    <t>Bhaskar</t>
  </si>
  <si>
    <t>Chaganti</t>
  </si>
  <si>
    <t>FHNX3R4B4KD</t>
  </si>
  <si>
    <t>Udell</t>
  </si>
  <si>
    <t>P9N2NLHMFB6</t>
  </si>
  <si>
    <t>Wollschlager</t>
  </si>
  <si>
    <t>D7NWZ7SBWSR</t>
  </si>
  <si>
    <t>Baietto</t>
  </si>
  <si>
    <t>JSNCN77ZV8S</t>
  </si>
  <si>
    <t>Bulla</t>
  </si>
  <si>
    <t>LHNRTSCKPX8</t>
  </si>
  <si>
    <t>Monte</t>
  </si>
  <si>
    <t>McGuire</t>
  </si>
  <si>
    <t>FNNQVMZD3SP</t>
  </si>
  <si>
    <t>Abdurachmanov</t>
  </si>
  <si>
    <t>X9NV33JLRDJ</t>
  </si>
  <si>
    <t>Odgis</t>
  </si>
  <si>
    <t>Z4NXJQ7J6JS</t>
  </si>
  <si>
    <t>Bessette-Denwood</t>
  </si>
  <si>
    <t>DQNRC2RNQ72</t>
  </si>
  <si>
    <t>Mao</t>
  </si>
  <si>
    <t>XVNCVJJYS6M</t>
  </si>
  <si>
    <t>ZFNV7274HP2</t>
  </si>
  <si>
    <t>Charles</t>
  </si>
  <si>
    <t>Rose</t>
  </si>
  <si>
    <t>F7NFF84TQJT</t>
  </si>
  <si>
    <t>VASUDHA</t>
  </si>
  <si>
    <t>PRABHALA</t>
  </si>
  <si>
    <t>LPNSM3CY33D</t>
  </si>
  <si>
    <t>Ron</t>
  </si>
  <si>
    <t>Parachoniak</t>
  </si>
  <si>
    <t>XYNZJ3YM8YJ</t>
  </si>
  <si>
    <t>Mikhail</t>
  </si>
  <si>
    <t>Malygin</t>
  </si>
  <si>
    <t>KRNLRJRGQ8X</t>
  </si>
  <si>
    <t>Dongsheng</t>
  </si>
  <si>
    <t>X7NKFDCB3XC</t>
  </si>
  <si>
    <t>Mohammad</t>
  </si>
  <si>
    <t>Shojaei</t>
  </si>
  <si>
    <t>LNNQHSJ4BF2</t>
  </si>
  <si>
    <t>Claudia</t>
  </si>
  <si>
    <t>Rauch</t>
  </si>
  <si>
    <t>ZGN3YCLRHXD</t>
  </si>
  <si>
    <t>Richard</t>
  </si>
  <si>
    <t>McLay</t>
  </si>
  <si>
    <t>ZTNSZVPBZQK</t>
  </si>
  <si>
    <t>Sriram</t>
  </si>
  <si>
    <t>Varadhan</t>
  </si>
  <si>
    <t>PNNMHLHYNBM</t>
  </si>
  <si>
    <t>Komla</t>
  </si>
  <si>
    <t>Adzam</t>
  </si>
  <si>
    <t>ZSNXGD8WXVR</t>
  </si>
  <si>
    <t>Alan</t>
  </si>
  <si>
    <t>Perry</t>
  </si>
  <si>
    <t>V4NFZJXYHCD</t>
  </si>
  <si>
    <t>Tricia</t>
  </si>
  <si>
    <t>Barker</t>
  </si>
  <si>
    <t>KSN637FYN49</t>
  </si>
  <si>
    <t>Gilardi</t>
  </si>
  <si>
    <t>HGNBFZR4PX3</t>
  </si>
  <si>
    <t>Jin</t>
  </si>
  <si>
    <t>LXN4X4J66YC</t>
  </si>
  <si>
    <t>Tsahi</t>
  </si>
  <si>
    <t>Elkayam</t>
  </si>
  <si>
    <t>VHN8N8RL8XW</t>
  </si>
  <si>
    <t>Jari</t>
  </si>
  <si>
    <t>Honkanen</t>
  </si>
  <si>
    <t>ZTNJG56DJ6N</t>
  </si>
  <si>
    <t>Andrew</t>
  </si>
  <si>
    <t>Van Uitert</t>
  </si>
  <si>
    <t>GMN7ZV824TZ</t>
  </si>
  <si>
    <t>Moreno</t>
  </si>
  <si>
    <t>Ambrosin</t>
  </si>
  <si>
    <t>XDNCJH5XTRS</t>
  </si>
  <si>
    <t>Ally</t>
  </si>
  <si>
    <t>Sillins</t>
  </si>
  <si>
    <t>ZXNQPPQTK58</t>
  </si>
  <si>
    <t>Justin</t>
  </si>
  <si>
    <t>Hadella</t>
  </si>
  <si>
    <t>N6N39CV2F65</t>
  </si>
  <si>
    <t>Kent</t>
  </si>
  <si>
    <t>Headley</t>
  </si>
  <si>
    <t>HSNFKVGQXXS</t>
  </si>
  <si>
    <t>Kim</t>
  </si>
  <si>
    <t>L7N86VNQ9MZ</t>
  </si>
  <si>
    <t>Bala</t>
  </si>
  <si>
    <t>Desinghu</t>
  </si>
  <si>
    <t>H8NK55MBPDX</t>
  </si>
  <si>
    <t>Propst</t>
  </si>
  <si>
    <t>VLNMGFFNX47</t>
  </si>
  <si>
    <t>Bonicillo</t>
  </si>
  <si>
    <t>JXNBM2VHKK4</t>
  </si>
  <si>
    <t>Fabio</t>
  </si>
  <si>
    <t>Pagani</t>
  </si>
  <si>
    <t>NLNH2NZTVDC</t>
  </si>
  <si>
    <t>Sebastian</t>
  </si>
  <si>
    <t>Borza</t>
  </si>
  <si>
    <t>DDN2M4T4NHQ</t>
  </si>
  <si>
    <t>Buls</t>
  </si>
  <si>
    <t>GKNRHTFKYNL</t>
  </si>
  <si>
    <t>Burgin</t>
  </si>
  <si>
    <t>DMNGLLG3VVC</t>
  </si>
  <si>
    <t>Mary</t>
  </si>
  <si>
    <t>Radomile</t>
  </si>
  <si>
    <t>DRNDTJYKB2J</t>
  </si>
  <si>
    <t>Jianzhu</t>
  </si>
  <si>
    <t>Zhang</t>
  </si>
  <si>
    <t>K9NPJTV82S4</t>
  </si>
  <si>
    <t>song</t>
  </si>
  <si>
    <t>li</t>
  </si>
  <si>
    <t>NNNPY4X8MLC</t>
  </si>
  <si>
    <t>Marek</t>
  </si>
  <si>
    <t>Kuhn</t>
  </si>
  <si>
    <t>GDNQ4V88FZM</t>
  </si>
  <si>
    <t>Vincent</t>
  </si>
  <si>
    <t>McGarry</t>
  </si>
  <si>
    <t>MKN86ZCB4YG</t>
  </si>
  <si>
    <t>Al</t>
  </si>
  <si>
    <t>Gray</t>
  </si>
  <si>
    <t>LLNKXY4NBKP</t>
  </si>
  <si>
    <t>Woods</t>
  </si>
  <si>
    <t>ZCNGF2WHVG9</t>
  </si>
  <si>
    <t>S</t>
  </si>
  <si>
    <t>Riluvan</t>
  </si>
  <si>
    <t>K4N7F7YVVFZ</t>
  </si>
  <si>
    <t>Susan</t>
  </si>
  <si>
    <t>Wolber</t>
  </si>
  <si>
    <t>HKN35S3CRH9</t>
  </si>
  <si>
    <t>O'Ryan</t>
  </si>
  <si>
    <t>Kelch</t>
  </si>
  <si>
    <t>ZSNHPKFCW58</t>
  </si>
  <si>
    <t>Tim</t>
  </si>
  <si>
    <t>Orling</t>
  </si>
  <si>
    <t>ZXNTPHXLMPW</t>
  </si>
  <si>
    <t>thabang</t>
  </si>
  <si>
    <t>ronnie</t>
  </si>
  <si>
    <t>QWN7KSLK7W9</t>
  </si>
  <si>
    <t>Pranamika</t>
  </si>
  <si>
    <t>Pandey</t>
  </si>
  <si>
    <t>VDNSM5TH5TV</t>
  </si>
  <si>
    <t>Rakshith</t>
  </si>
  <si>
    <t>Venkatesh</t>
  </si>
  <si>
    <t>HMN8QVGYWCD</t>
  </si>
  <si>
    <t>Roshan</t>
  </si>
  <si>
    <t>DKNVS2RHG24</t>
  </si>
  <si>
    <t>38</t>
  </si>
  <si>
    <t>Abdullah</t>
  </si>
  <si>
    <t>KZN7687QX2Y</t>
  </si>
  <si>
    <t>Shakeeb</t>
  </si>
  <si>
    <t>B K</t>
  </si>
  <si>
    <t>DTN5BBXD6HG</t>
  </si>
  <si>
    <t>Cleber</t>
  </si>
  <si>
    <t>Takahito Kawamorita</t>
  </si>
  <si>
    <t>LGN7DY5CFXM</t>
  </si>
  <si>
    <t>Mercy</t>
  </si>
  <si>
    <t>Tum</t>
  </si>
  <si>
    <t>LCNRVRPY6V6</t>
  </si>
  <si>
    <t>Suhail</t>
  </si>
  <si>
    <t>Mlmuzaffar</t>
  </si>
  <si>
    <t>MWN2W3R6SDF</t>
  </si>
  <si>
    <t>Aroma</t>
  </si>
  <si>
    <t>Rodrigues</t>
  </si>
  <si>
    <t>DKNXCYWH8HZ</t>
  </si>
  <si>
    <t>Aashish</t>
  </si>
  <si>
    <t>Minson</t>
  </si>
  <si>
    <t>M9NDSG3VVHV</t>
  </si>
  <si>
    <t>Ayush</t>
  </si>
  <si>
    <t>das</t>
  </si>
  <si>
    <t>H5NBJRTK59N</t>
  </si>
  <si>
    <t>Vaibhav</t>
  </si>
  <si>
    <t>Valvaiker</t>
  </si>
  <si>
    <t>VRNHFF576RC</t>
  </si>
  <si>
    <t>Devansh</t>
  </si>
  <si>
    <t>Aggarwal</t>
  </si>
  <si>
    <t>K6NWMTCTRDW</t>
  </si>
  <si>
    <t>Pali</t>
  </si>
  <si>
    <t>Surdhar</t>
  </si>
  <si>
    <t>ZZNC33W78MW</t>
  </si>
  <si>
    <t>olivier</t>
  </si>
  <si>
    <t>beyler</t>
  </si>
  <si>
    <t>DHNBNBRBF5C</t>
  </si>
  <si>
    <t>Silva</t>
  </si>
  <si>
    <t>DVNF4G9BSK8</t>
  </si>
  <si>
    <t>Mahmoud</t>
  </si>
  <si>
    <t>Saada</t>
  </si>
  <si>
    <t>V7NW2S4VJZM</t>
  </si>
  <si>
    <t>ba360</t>
  </si>
  <si>
    <t>Viana</t>
  </si>
  <si>
    <t>HMNWWYGQMZJ</t>
  </si>
  <si>
    <t>Wen</t>
  </si>
  <si>
    <t>GXN4HQ8NWYV</t>
  </si>
  <si>
    <t>Jorge E</t>
  </si>
  <si>
    <t>Haros</t>
  </si>
  <si>
    <t>FLNK3D9SK5L</t>
  </si>
  <si>
    <t>Jens-Christoph</t>
  </si>
  <si>
    <t>Brendel</t>
  </si>
  <si>
    <t>FBNWQ49DZSG</t>
  </si>
  <si>
    <t>Jake</t>
  </si>
  <si>
    <t>Edge</t>
  </si>
  <si>
    <t>X3NSZKMS8KD</t>
  </si>
  <si>
    <t>Elena</t>
  </si>
  <si>
    <t>Reshetova</t>
  </si>
  <si>
    <t>JMNZQPJYXV3</t>
  </si>
  <si>
    <t>Behan</t>
  </si>
  <si>
    <t>Webster</t>
  </si>
  <si>
    <t>FYNQSZC87FP</t>
  </si>
  <si>
    <t>Brahadambal</t>
  </si>
  <si>
    <t>Srinivasan</t>
  </si>
  <si>
    <t>DBN76LY7XWR</t>
  </si>
  <si>
    <t>Jean-Denis</t>
  </si>
  <si>
    <t>Girard</t>
  </si>
  <si>
    <t>JZNX5GXNKDW</t>
  </si>
  <si>
    <t>Wangsadinata</t>
  </si>
  <si>
    <t>XGNPWFMJ6CZ</t>
  </si>
  <si>
    <t>ghanshyam</t>
  </si>
  <si>
    <t>khetan</t>
  </si>
  <si>
    <t>JFNLBXNVYC9</t>
  </si>
  <si>
    <t>Dubey</t>
  </si>
  <si>
    <t>KFNDH2VPXMP</t>
  </si>
  <si>
    <t>jia</t>
  </si>
  <si>
    <t>chen</t>
  </si>
  <si>
    <t>GVNB6D5ZCS3</t>
  </si>
  <si>
    <t>Nelson</t>
  </si>
  <si>
    <t>Guedes Paulo Junior</t>
  </si>
  <si>
    <t>KJN6RRF8FM4</t>
  </si>
  <si>
    <t>Onyejiaku</t>
  </si>
  <si>
    <t>Kelechukwu</t>
  </si>
  <si>
    <t>MMN6T8WRCRN</t>
  </si>
  <si>
    <t>Jamal</t>
  </si>
  <si>
    <t>Anjum</t>
  </si>
  <si>
    <t>F4NGLNDD8KR</t>
  </si>
  <si>
    <t>Italo</t>
  </si>
  <si>
    <t>Yeltsin</t>
  </si>
  <si>
    <t>FKN3HCHQDC3</t>
  </si>
  <si>
    <t>Standring</t>
  </si>
  <si>
    <t>G9N296VBRGN</t>
  </si>
  <si>
    <t>Alejandro</t>
  </si>
  <si>
    <t>Lucero</t>
  </si>
  <si>
    <t>XLNQPSFQLTW</t>
  </si>
  <si>
    <t>Cheryl</t>
  </si>
  <si>
    <t>Hung</t>
  </si>
  <si>
    <t>XRN5MYLP29G</t>
  </si>
  <si>
    <t>Greg</t>
  </si>
  <si>
    <t>PLNYTJB4TF8</t>
  </si>
  <si>
    <t>Marta</t>
  </si>
  <si>
    <t>Rybczynska</t>
  </si>
  <si>
    <t>MZNNRR28G3C</t>
  </si>
  <si>
    <t>Grimaldi</t>
  </si>
  <si>
    <t>FJNRPJ7T98K</t>
  </si>
  <si>
    <t>Adelino</t>
  </si>
  <si>
    <t>Dos Santos</t>
  </si>
  <si>
    <t>MTNXD9J5N66</t>
  </si>
  <si>
    <t>Sajith</t>
  </si>
  <si>
    <t>Balraj</t>
  </si>
  <si>
    <t>L2NPQG533V9</t>
  </si>
  <si>
    <t>Kees</t>
  </si>
  <si>
    <t>Cook</t>
  </si>
  <si>
    <t>XFNT2LBVZJ5</t>
  </si>
  <si>
    <t>Nathaniel</t>
  </si>
  <si>
    <t>McCallum</t>
  </si>
  <si>
    <t>V5NW44JMST6</t>
  </si>
  <si>
    <t>Kulina</t>
  </si>
  <si>
    <t>MVN3TJYPYRG</t>
  </si>
  <si>
    <t>Pablo Ariel</t>
  </si>
  <si>
    <t>Gonzalez</t>
  </si>
  <si>
    <t>NLNFFBGW7SL</t>
  </si>
  <si>
    <t>Joyabrata</t>
  </si>
  <si>
    <t>Ghosh</t>
  </si>
  <si>
    <t>NBNYGYFCNC3</t>
  </si>
  <si>
    <t>Samudaya</t>
  </si>
  <si>
    <t>Nanayakkara</t>
  </si>
  <si>
    <t>PGN37DYQQYX</t>
  </si>
  <si>
    <t>Rocky</t>
  </si>
  <si>
    <t>Lebapotswe</t>
  </si>
  <si>
    <t>NLNCRLNYGH2</t>
  </si>
  <si>
    <t>Helge</t>
  </si>
  <si>
    <t>Mader</t>
  </si>
  <si>
    <t>KSNMKD8MXDS</t>
  </si>
  <si>
    <t>Alina</t>
  </si>
  <si>
    <t>Mirion</t>
  </si>
  <si>
    <t>LXNB5FNND7T</t>
  </si>
  <si>
    <t>Anuraj</t>
  </si>
  <si>
    <t>Rajendraprakash</t>
  </si>
  <si>
    <t>LNNFDQRV78L</t>
  </si>
  <si>
    <t>Noriko</t>
  </si>
  <si>
    <t>Otake</t>
  </si>
  <si>
    <t>P5NBSHQ6V3S</t>
  </si>
  <si>
    <t>Nacho</t>
  </si>
  <si>
    <t>Cursos</t>
  </si>
  <si>
    <t>LPN7LGGB9Z6</t>
  </si>
  <si>
    <t>Mehmet</t>
  </si>
  <si>
    <t>Bulut</t>
  </si>
  <si>
    <t>HSNRDRPPKWF</t>
  </si>
  <si>
    <t>Krzysztof</t>
  </si>
  <si>
    <t>Gątarski</t>
  </si>
  <si>
    <t>GNN4MFK9W5Z</t>
  </si>
  <si>
    <t>Melissa</t>
  </si>
  <si>
    <t>Klein</t>
  </si>
  <si>
    <t>QWN7C7WSX52</t>
  </si>
  <si>
    <t>Crowley</t>
  </si>
  <si>
    <t>GTNTR3LYD5M</t>
  </si>
  <si>
    <t>ben</t>
  </si>
  <si>
    <t>levinsky</t>
  </si>
  <si>
    <t>V9NSVJLY5LV</t>
  </si>
  <si>
    <t>Coffey</t>
  </si>
  <si>
    <t>MFNR75Z78Y5</t>
  </si>
  <si>
    <t>0</t>
  </si>
  <si>
    <t>FMNWMC342Z3</t>
  </si>
  <si>
    <t>Asay</t>
  </si>
  <si>
    <t>J6NH46JB7CK</t>
  </si>
  <si>
    <t>Riley</t>
  </si>
  <si>
    <t>Chapman</t>
  </si>
  <si>
    <t>HNNYPMF64FR</t>
  </si>
  <si>
    <t>Blachman</t>
  </si>
  <si>
    <t>Z9NJQ2MGGFH</t>
  </si>
  <si>
    <t>Vince</t>
  </si>
  <si>
    <t>Cox</t>
  </si>
  <si>
    <t>JWN4TVMF5M9</t>
  </si>
  <si>
    <t>Haroian</t>
  </si>
  <si>
    <t>XXNXNKHTWRH</t>
  </si>
  <si>
    <t>Takashi</t>
  </si>
  <si>
    <t>Aida</t>
  </si>
  <si>
    <t>XDNH2QP4QBL</t>
  </si>
  <si>
    <t>Markowicz</t>
  </si>
  <si>
    <t>GJN73CHLTKH</t>
  </si>
  <si>
    <t>FPNLPP9YRXL</t>
  </si>
  <si>
    <t>Catrina</t>
  </si>
  <si>
    <t>Klossner</t>
  </si>
  <si>
    <t>FBNXJKNN66F</t>
  </si>
  <si>
    <t>PADMANABHAN</t>
  </si>
  <si>
    <t>NARAYANAN</t>
  </si>
  <si>
    <t>ZFND2GTSCVF</t>
  </si>
  <si>
    <t>Pallav</t>
  </si>
  <si>
    <t>Joshi</t>
  </si>
  <si>
    <t>JMNN5QCR3MK</t>
  </si>
  <si>
    <t>Kimberly</t>
  </si>
  <si>
    <t>VSNX6DT7FVY</t>
  </si>
  <si>
    <t>Szep</t>
  </si>
  <si>
    <t>G3N864HGG3R</t>
  </si>
  <si>
    <t>Russell</t>
  </si>
  <si>
    <t>Robinson</t>
  </si>
  <si>
    <t>V6NKY9GLPHV</t>
  </si>
  <si>
    <t>Jhan Carlos</t>
  </si>
  <si>
    <t>P8NJL9NK9KQ</t>
  </si>
  <si>
    <t>Komlodi</t>
  </si>
  <si>
    <t>GGN49D5BY9Y</t>
  </si>
  <si>
    <t>Ash</t>
  </si>
  <si>
    <t>Fox</t>
  </si>
  <si>
    <t>H6NLCRLD8FT</t>
  </si>
  <si>
    <t>Borden</t>
  </si>
  <si>
    <t>PDNYZSXHTRW</t>
  </si>
  <si>
    <t>Patel</t>
  </si>
  <si>
    <t>VDNZJN8M974</t>
  </si>
  <si>
    <t>Vikram</t>
  </si>
  <si>
    <t>Garhwal</t>
  </si>
  <si>
    <t>GWN5H6J2Y2R</t>
  </si>
  <si>
    <t>Campbell</t>
  </si>
  <si>
    <t>JSN7D6CZ7H2</t>
  </si>
  <si>
    <t>Burwinkel</t>
  </si>
  <si>
    <t>JCNX2QQ6Q4R</t>
  </si>
  <si>
    <t>Young</t>
  </si>
  <si>
    <t>H5N5WVZXQLX</t>
  </si>
  <si>
    <t>Christine</t>
  </si>
  <si>
    <t>Rehm</t>
  </si>
  <si>
    <t>JHNDHPNQDG5</t>
  </si>
  <si>
    <t>Venkata Kiran Kumar</t>
  </si>
  <si>
    <t>Darbha</t>
  </si>
  <si>
    <t>ZDNB22XNKXD</t>
  </si>
  <si>
    <t>Lahcen</t>
  </si>
  <si>
    <t>Zbair</t>
  </si>
  <si>
    <t>X2NZS3JKFKL</t>
  </si>
  <si>
    <t>Marcelo</t>
  </si>
  <si>
    <t>Ca</t>
  </si>
  <si>
    <t>ZHNYW98RDX2</t>
  </si>
  <si>
    <t>Caglar</t>
  </si>
  <si>
    <t>Kilimci</t>
  </si>
  <si>
    <t>D5N9X95HK7Y</t>
  </si>
  <si>
    <t>Abhik</t>
  </si>
  <si>
    <t>Chakraborty</t>
  </si>
  <si>
    <t>JZNNTYZNMJ7</t>
  </si>
  <si>
    <t>Syed Humaid</t>
  </si>
  <si>
    <t>Bin Haroon</t>
  </si>
  <si>
    <t>VHNTXWDKNXH</t>
  </si>
  <si>
    <t>Nivan</t>
  </si>
  <si>
    <t>VPN2JXYW6ZV</t>
  </si>
  <si>
    <t>Piyush</t>
  </si>
  <si>
    <t>Thange</t>
  </si>
  <si>
    <t>GSNZ6CMC2YD</t>
  </si>
  <si>
    <t>Claudio</t>
  </si>
  <si>
    <t>Carvalho</t>
  </si>
  <si>
    <t>J4N5567N23J</t>
  </si>
  <si>
    <t>Anagha</t>
  </si>
  <si>
    <t>Sivadas</t>
  </si>
  <si>
    <t>J5NTPNCDZK7</t>
  </si>
  <si>
    <t>dooks</t>
  </si>
  <si>
    <t>H2NPF8BNV4Q</t>
  </si>
  <si>
    <t>B.</t>
  </si>
  <si>
    <t>HTNL6ZL94YQ</t>
  </si>
  <si>
    <t>Osmiller Christian</t>
  </si>
  <si>
    <t>Guimaraes</t>
  </si>
  <si>
    <t>KQN9BTMXNK4</t>
  </si>
  <si>
    <t>Gibson</t>
  </si>
  <si>
    <t>FTN4F6XPHS7</t>
  </si>
  <si>
    <t>Richardson</t>
  </si>
  <si>
    <t>Z7NRBWB5QWR</t>
  </si>
  <si>
    <t>Kate</t>
  </si>
  <si>
    <t>Stewart</t>
  </si>
  <si>
    <t>VTNH85SLHDH</t>
  </si>
  <si>
    <t>Mertic</t>
  </si>
  <si>
    <t>M2NSDL46X64</t>
  </si>
  <si>
    <t>ome</t>
  </si>
  <si>
    <t>chukwuemeka</t>
  </si>
  <si>
    <t>JSNFWXZ8V6F</t>
  </si>
  <si>
    <t>Takeo</t>
  </si>
  <si>
    <t>Komiyama</t>
  </si>
  <si>
    <t>D8NSNZWHBV7</t>
  </si>
  <si>
    <t>Ute</t>
  </si>
  <si>
    <t>Gappa</t>
  </si>
  <si>
    <t>H5NMLXJ2LDG</t>
  </si>
  <si>
    <t>Dwayne</t>
  </si>
  <si>
    <t>Ifill</t>
  </si>
  <si>
    <t>D6NC7TWG3ZF</t>
  </si>
  <si>
    <t>Guy</t>
  </si>
  <si>
    <t>Harriman</t>
  </si>
  <si>
    <t>ZWN3N62CKMN</t>
  </si>
  <si>
    <t>M.O</t>
  </si>
  <si>
    <t>Akindayo</t>
  </si>
  <si>
    <t>V6NR2CD76BK</t>
  </si>
  <si>
    <t>Scholze</t>
  </si>
  <si>
    <t>NLNKJ7VQKJW</t>
  </si>
  <si>
    <t>Leon</t>
  </si>
  <si>
    <t>PHNL6D83LRQ</t>
  </si>
  <si>
    <t>Kowaliuk</t>
  </si>
  <si>
    <t>NLN7FGZ98JF</t>
  </si>
  <si>
    <t>Perlow</t>
  </si>
  <si>
    <t>Z2NBL2PMV3W</t>
  </si>
  <si>
    <t>Annie</t>
  </si>
  <si>
    <t>Lei</t>
  </si>
  <si>
    <t>MDNXJCGC4XB</t>
  </si>
  <si>
    <t>Fleishman</t>
  </si>
  <si>
    <t>NVNFCRFNSQM</t>
  </si>
  <si>
    <t>Pereira</t>
  </si>
  <si>
    <t>HFN97XSL5RQ</t>
  </si>
  <si>
    <t>valenciabaileyrichards@outlook</t>
  </si>
  <si>
    <t>valenciabaileyrichards@outlook.com</t>
  </si>
  <si>
    <t>K7NTS489XG5</t>
  </si>
  <si>
    <t>Hui Ling</t>
  </si>
  <si>
    <t>Thung</t>
  </si>
  <si>
    <t>DHNJC7XRX4D</t>
  </si>
  <si>
    <t>Emond</t>
  </si>
  <si>
    <t>PTNTDCHS6JW</t>
  </si>
  <si>
    <t>Lukasz</t>
  </si>
  <si>
    <t>Sawicki</t>
  </si>
  <si>
    <t>VFNVQHLF6MQ</t>
  </si>
  <si>
    <t>Annania</t>
  </si>
  <si>
    <t>DFND4ZCR8HR</t>
  </si>
  <si>
    <t>Rivers</t>
  </si>
  <si>
    <t>JPNS8PNW8QY</t>
  </si>
  <si>
    <t>Max</t>
  </si>
  <si>
    <t>JGN2SSZ37VN</t>
  </si>
  <si>
    <t>Elijah</t>
  </si>
  <si>
    <t>Houle</t>
  </si>
  <si>
    <t>GFN2J7MJQHX</t>
  </si>
  <si>
    <t>Feliciano</t>
  </si>
  <si>
    <t>VQNSNWS3RNZ</t>
  </si>
  <si>
    <t>Starner</t>
  </si>
  <si>
    <t>KSN7BGYLXSL</t>
  </si>
  <si>
    <t>Linjia</t>
  </si>
  <si>
    <t>P7NLNDXGJD6</t>
  </si>
  <si>
    <t>Aaron</t>
  </si>
  <si>
    <t>Morrison</t>
  </si>
  <si>
    <t>FXNNF4GN795</t>
  </si>
  <si>
    <t>Goran</t>
  </si>
  <si>
    <t>Martic</t>
  </si>
  <si>
    <t>XPN3LVC955M</t>
  </si>
  <si>
    <t>Tyler</t>
  </si>
  <si>
    <t>Haywood</t>
  </si>
  <si>
    <t>MSNDFZF7RZH</t>
  </si>
  <si>
    <t>Kelley</t>
  </si>
  <si>
    <t>JNNXZT9R3HT</t>
  </si>
  <si>
    <t>Ricardo</t>
  </si>
  <si>
    <t>Ramirez</t>
  </si>
  <si>
    <t>J8N6BYCHPP4</t>
  </si>
  <si>
    <t>Vinnie</t>
  </si>
  <si>
    <t>Finn</t>
  </si>
  <si>
    <t>J7NPN662VHF</t>
  </si>
  <si>
    <t>Hanik</t>
  </si>
  <si>
    <t>fhanik</t>
  </si>
  <si>
    <t>N7NGB2J97JH</t>
  </si>
  <si>
    <t>Nathalie</t>
  </si>
  <si>
    <t>D'Amours</t>
  </si>
  <si>
    <t>PBNYHTYBLHQ</t>
  </si>
  <si>
    <t>Govinda</t>
  </si>
  <si>
    <t>Tatti</t>
  </si>
  <si>
    <t>KHNQ5B6CXL6</t>
  </si>
  <si>
    <t>Robin</t>
  </si>
  <si>
    <t>Garner</t>
  </si>
  <si>
    <t>P2NQLMDXYG3</t>
  </si>
  <si>
    <t>saumil</t>
  </si>
  <si>
    <t>aggarwal</t>
  </si>
  <si>
    <t>HDNNQX53F77</t>
  </si>
  <si>
    <t>Rashed</t>
  </si>
  <si>
    <t>Talukder</t>
  </si>
  <si>
    <t>MHNJQHZLYXF</t>
  </si>
  <si>
    <t>Schaeffer</t>
  </si>
  <si>
    <t>FLNQVP3K5HJ</t>
  </si>
  <si>
    <t>Konrad</t>
  </si>
  <si>
    <t>Wilk</t>
  </si>
  <si>
    <t>F8N56G4X9JS</t>
  </si>
  <si>
    <t>Goscinski</t>
  </si>
  <si>
    <t>N4N7J2G3RQ2</t>
  </si>
  <si>
    <t>Z4NSCJBVX76</t>
  </si>
  <si>
    <t>Rivas</t>
  </si>
  <si>
    <t>N2NTVD4BNBR</t>
  </si>
  <si>
    <t>Solt</t>
  </si>
  <si>
    <t>XCNYNFM99G4</t>
  </si>
  <si>
    <t>Milena</t>
  </si>
  <si>
    <t>Milenkovic</t>
  </si>
  <si>
    <t>L4NR7SN2F22</t>
  </si>
  <si>
    <t>Neukum</t>
  </si>
  <si>
    <t>geneukum</t>
  </si>
  <si>
    <t>N8NDJB9CLTN</t>
  </si>
  <si>
    <t>Ram</t>
  </si>
  <si>
    <t>Kothapalli</t>
  </si>
  <si>
    <t>NCNB2VBYJZT</t>
  </si>
  <si>
    <t>Coby B</t>
  </si>
  <si>
    <t>Stinson</t>
  </si>
  <si>
    <t>PMN39BR98ZS</t>
  </si>
  <si>
    <t>Kevin</t>
  </si>
  <si>
    <t>Myers</t>
  </si>
  <si>
    <t>FXNH8WDF6H4</t>
  </si>
  <si>
    <t>Robertson</t>
  </si>
  <si>
    <t>P9NXQP29HWR</t>
  </si>
  <si>
    <t>Daniela</t>
  </si>
  <si>
    <t>DDNQNGJ9BQH</t>
  </si>
  <si>
    <t>Kusunoki</t>
  </si>
  <si>
    <t>Kei</t>
  </si>
  <si>
    <t>MBNGYT8GTN5</t>
  </si>
  <si>
    <t>Reinhard</t>
  </si>
  <si>
    <t>Buendgen</t>
  </si>
  <si>
    <t>MZNQ9RY3WLG</t>
  </si>
  <si>
    <t>Parthiban</t>
  </si>
  <si>
    <t>Nallathambi</t>
  </si>
  <si>
    <t>KCNKS73K9KK</t>
  </si>
  <si>
    <t>Alexander</t>
  </si>
  <si>
    <t>Popov</t>
  </si>
  <si>
    <t>J4NPXT7WFS9</t>
  </si>
  <si>
    <t>Avni</t>
  </si>
  <si>
    <t>XFN7MWY3T6K</t>
  </si>
  <si>
    <t>Karma</t>
  </si>
  <si>
    <t>Dolkar</t>
  </si>
  <si>
    <t>M2NDRN7CV9M</t>
  </si>
  <si>
    <t>Mukund</t>
  </si>
  <si>
    <t>Ajmera</t>
  </si>
  <si>
    <t>D5N2GGHCPCM</t>
  </si>
  <si>
    <t>Eduardo</t>
  </si>
  <si>
    <t>PSNLXFMBFT4</t>
  </si>
  <si>
    <t>Antonio</t>
  </si>
  <si>
    <t>Gómez</t>
  </si>
  <si>
    <t>DVNP7626TP8</t>
  </si>
  <si>
    <t>Lorenzo</t>
  </si>
  <si>
    <t>Boldarino</t>
  </si>
  <si>
    <t>H6NG7V8PFFD</t>
  </si>
  <si>
    <t>Mauricio</t>
  </si>
  <si>
    <t>Quijada</t>
  </si>
  <si>
    <t>HWNSS77JGDC</t>
  </si>
  <si>
    <t>Roy</t>
  </si>
  <si>
    <t>HJNXSZ2PD4K</t>
  </si>
  <si>
    <t>Ells</t>
  </si>
  <si>
    <t>H4NY88CP2HN</t>
  </si>
  <si>
    <t>Oscar</t>
  </si>
  <si>
    <t>Lara</t>
  </si>
  <si>
    <t>GDNVS6FBGKM</t>
  </si>
  <si>
    <t>Haff</t>
  </si>
  <si>
    <t>NNNV64QN563</t>
  </si>
  <si>
    <t>Srini</t>
  </si>
  <si>
    <t>Penchikala</t>
  </si>
  <si>
    <t>FZNY3QQV4TW</t>
  </si>
  <si>
    <t>Corbet</t>
  </si>
  <si>
    <t>DCNLPLSHRPH</t>
  </si>
  <si>
    <t>Dinesh</t>
  </si>
  <si>
    <t>LMNJJMK8HLN</t>
  </si>
  <si>
    <t>Mahima</t>
  </si>
  <si>
    <t>KTNYHZYQN8S</t>
  </si>
  <si>
    <t>Paulo</t>
  </si>
  <si>
    <t>Passos Junior</t>
  </si>
  <si>
    <t>ZPNCFV2KNQF</t>
  </si>
  <si>
    <t>Pratyush</t>
  </si>
  <si>
    <t>Bhatnagar</t>
  </si>
  <si>
    <t>VCNLZ7CJTHH</t>
  </si>
  <si>
    <t>Salve</t>
  </si>
  <si>
    <t>P5NGS4F8HB9</t>
  </si>
  <si>
    <t>Carmicael</t>
  </si>
  <si>
    <t>Domingo</t>
  </si>
  <si>
    <t>HFN4CMXJ3R5</t>
  </si>
  <si>
    <t>Ore-Aruwaji</t>
  </si>
  <si>
    <t>Tola</t>
  </si>
  <si>
    <t>VTNT73MLXF8</t>
  </si>
  <si>
    <t>Toko</t>
  </si>
  <si>
    <t>Emmanuel</t>
  </si>
  <si>
    <t>DVN8Z4RLGX8</t>
  </si>
  <si>
    <t>Gauthier</t>
  </si>
  <si>
    <t>de Valensart</t>
  </si>
  <si>
    <t>VMNVDN6H9LW</t>
  </si>
  <si>
    <t>Zhanibek</t>
  </si>
  <si>
    <t>Bakin</t>
  </si>
  <si>
    <t>XFNL6ZTYY5X</t>
  </si>
  <si>
    <t>Clément</t>
  </si>
  <si>
    <t>Jacquemin</t>
  </si>
  <si>
    <t>V3N3V4B8F4Z</t>
  </si>
  <si>
    <t>Josip</t>
  </si>
  <si>
    <t>Sagaj</t>
  </si>
  <si>
    <t>FKNTR26GZFS</t>
  </si>
  <si>
    <t>Leticia</t>
  </si>
  <si>
    <t>Pautasio</t>
  </si>
  <si>
    <t>J9NHZZQZKV2</t>
  </si>
  <si>
    <t>Amanda</t>
  </si>
  <si>
    <t>Moran</t>
  </si>
  <si>
    <t>VXN5D2BBNB9</t>
  </si>
  <si>
    <t>Barton</t>
  </si>
  <si>
    <t>KNN7YXJKHGP</t>
  </si>
  <si>
    <t>Johann</t>
  </si>
  <si>
    <t>Pfefferl</t>
  </si>
  <si>
    <t>JSNJSR62YVW</t>
  </si>
  <si>
    <t>Alexandros</t>
  </si>
  <si>
    <t>Emmanouil</t>
  </si>
  <si>
    <t>Z7NM4Q376XF</t>
  </si>
  <si>
    <t>Gael</t>
  </si>
  <si>
    <t>Feliciant</t>
  </si>
  <si>
    <t>X4NNJNG9KCZ</t>
  </si>
  <si>
    <t>Faye</t>
  </si>
  <si>
    <t>Tandog</t>
  </si>
  <si>
    <t>PGN8JD6KTN2</t>
  </si>
  <si>
    <t>Hans-Edgar</t>
  </si>
  <si>
    <t>Koechling</t>
  </si>
  <si>
    <t>VHNSRTMVZQH</t>
  </si>
  <si>
    <t>Jochens</t>
  </si>
  <si>
    <t>PJN5XDRR7WF</t>
  </si>
  <si>
    <t>Moisan</t>
  </si>
  <si>
    <t>LSNDYRQ47CJ</t>
  </si>
  <si>
    <t>Bennett</t>
  </si>
  <si>
    <t>N9N8JRT2J53</t>
  </si>
  <si>
    <t>Friedrich</t>
  </si>
  <si>
    <t>Ensslin</t>
  </si>
  <si>
    <t>P3NPQ2JZQML</t>
  </si>
  <si>
    <t>Phuoc</t>
  </si>
  <si>
    <t>Le</t>
  </si>
  <si>
    <t>PDNSQXMJZ75</t>
  </si>
  <si>
    <t>Ayyagari</t>
  </si>
  <si>
    <t>DHNKG4JV73X</t>
  </si>
  <si>
    <t>Reda</t>
  </si>
  <si>
    <t>Fathia</t>
  </si>
  <si>
    <t>KLN8DBFWT7F</t>
  </si>
  <si>
    <t>Yohann</t>
  </si>
  <si>
    <t>DESILES</t>
  </si>
  <si>
    <t>PPNX8FCMH77</t>
  </si>
  <si>
    <t>Jan</t>
  </si>
  <si>
    <t>Petrous</t>
  </si>
  <si>
    <t>VMNVV5XSRZG</t>
  </si>
  <si>
    <t>Simson</t>
  </si>
  <si>
    <t>GJNXGTZNCTJ</t>
  </si>
  <si>
    <t>Dominick</t>
  </si>
  <si>
    <t>Ropella</t>
  </si>
  <si>
    <t>P5NXWYW3SS7</t>
  </si>
  <si>
    <t>Marcin</t>
  </si>
  <si>
    <t>Mąka</t>
  </si>
  <si>
    <t>V3NGB6YLXCX</t>
  </si>
  <si>
    <t>Burns</t>
  </si>
  <si>
    <t>GXN2K9FDRQJ</t>
  </si>
  <si>
    <t>Lauren</t>
  </si>
  <si>
    <t>Britton</t>
  </si>
  <si>
    <t>XLNWCGLFXZ5</t>
  </si>
  <si>
    <t>Krishna</t>
  </si>
  <si>
    <t>Elango</t>
  </si>
  <si>
    <t>LHNCYWW5GYK</t>
  </si>
  <si>
    <t>Hanuman</t>
  </si>
  <si>
    <t>Vakalapudi</t>
  </si>
  <si>
    <t>XMNRTXDSJSQ</t>
  </si>
  <si>
    <t>Goksel</t>
  </si>
  <si>
    <t>Dedeoglu</t>
  </si>
  <si>
    <t>MTNV4HRS592</t>
  </si>
  <si>
    <t>Jay</t>
  </si>
  <si>
    <t>Zach</t>
  </si>
  <si>
    <t>GXNBYM7YM82</t>
  </si>
  <si>
    <t>FZNFGW5MNRS</t>
  </si>
  <si>
    <t>Chowdhary</t>
  </si>
  <si>
    <t>M8NSFR3HW2L</t>
  </si>
  <si>
    <t>Jyotsna</t>
  </si>
  <si>
    <t>Penumaka</t>
  </si>
  <si>
    <t>NGNF4VJWVPS</t>
  </si>
  <si>
    <t>Mihai</t>
  </si>
  <si>
    <t>LDNZCWYS45K</t>
  </si>
  <si>
    <t>Pallotta</t>
  </si>
  <si>
    <t>LFNTMBF6JHB</t>
  </si>
  <si>
    <t>Petrica</t>
  </si>
  <si>
    <t>Ruta</t>
  </si>
  <si>
    <t>MYN8YL743J6</t>
  </si>
  <si>
    <t>Veselin</t>
  </si>
  <si>
    <t>Georgiev</t>
  </si>
  <si>
    <t>K6NXCDFHHNZ</t>
  </si>
  <si>
    <t>Waldon</t>
  </si>
  <si>
    <t>VQN3BM7924H</t>
  </si>
  <si>
    <t>Christian</t>
  </si>
  <si>
    <t>Bechette</t>
  </si>
  <si>
    <t>ZCNTC5MKBWQ</t>
  </si>
  <si>
    <t>Guo</t>
  </si>
  <si>
    <t>LMN2ZPZM3GH</t>
  </si>
  <si>
    <t>Shashi</t>
  </si>
  <si>
    <t>Rao</t>
  </si>
  <si>
    <t>MBNHF46RWQ6</t>
  </si>
  <si>
    <t>P</t>
  </si>
  <si>
    <t>HNNLDMPPQJZ</t>
  </si>
  <si>
    <t>Laisa</t>
  </si>
  <si>
    <t>Barros</t>
  </si>
  <si>
    <t>LLNTCCVG68D</t>
  </si>
  <si>
    <t>Gach</t>
  </si>
  <si>
    <t>H9NKCN4FDW2</t>
  </si>
  <si>
    <t>Anna</t>
  </si>
  <si>
    <t>Liao</t>
  </si>
  <si>
    <t>MKNPP6JGBVB</t>
  </si>
  <si>
    <t>Anubhav</t>
  </si>
  <si>
    <t>Aeron</t>
  </si>
  <si>
    <t>HMNJQDKTVGW</t>
  </si>
  <si>
    <t>Misty</t>
  </si>
  <si>
    <t>Knight</t>
  </si>
  <si>
    <t>LTN5SXXHXJR</t>
  </si>
  <si>
    <t>Demidova</t>
  </si>
  <si>
    <t>M5N7JJQGM9K</t>
  </si>
  <si>
    <t>Alolita</t>
  </si>
  <si>
    <t>V5NB5SLDHZN</t>
  </si>
  <si>
    <t>Jeffrey</t>
  </si>
  <si>
    <t>Osier-Mixon</t>
  </si>
  <si>
    <t>VDN9HSMC8F6</t>
  </si>
  <si>
    <t>Michał</t>
  </si>
  <si>
    <t>Janiszewski</t>
  </si>
  <si>
    <t>GKN9JZCXPNR</t>
  </si>
  <si>
    <t>Logan</t>
  </si>
  <si>
    <t>HSNZKN57GY5</t>
  </si>
  <si>
    <t>Sohrab</t>
  </si>
  <si>
    <t>Modi</t>
  </si>
  <si>
    <t>LDNCLVWNKQ6</t>
  </si>
  <si>
    <t>Flowers</t>
  </si>
  <si>
    <t>PQNYP2JL3FQ</t>
  </si>
  <si>
    <t>Nik</t>
  </si>
  <si>
    <t>Livic</t>
  </si>
  <si>
    <t>L3NW7FS4BHN</t>
  </si>
  <si>
    <t>Benjamin</t>
  </si>
  <si>
    <t>LaRoque</t>
  </si>
  <si>
    <t>MPN9R4KCB87</t>
  </si>
  <si>
    <t>Izquierdo</t>
  </si>
  <si>
    <t>ZJNLGSH9STQ</t>
  </si>
  <si>
    <t>Souptick</t>
  </si>
  <si>
    <t>Joarder</t>
  </si>
  <si>
    <t>V6N943DH7H9</t>
  </si>
  <si>
    <t>Martins</t>
  </si>
  <si>
    <t>LSNTX8HTXT8</t>
  </si>
  <si>
    <t>Sikandar</t>
  </si>
  <si>
    <t>Ali</t>
  </si>
  <si>
    <t>VQNY284MC39</t>
  </si>
  <si>
    <t>Prashanto</t>
  </si>
  <si>
    <t>P8NT4TFHX2Y</t>
  </si>
  <si>
    <t>Annu</t>
  </si>
  <si>
    <t>ZNN8JG8ZZHS</t>
  </si>
  <si>
    <t>Josué</t>
  </si>
  <si>
    <t>Dias</t>
  </si>
  <si>
    <t>JKNFPDC9J4P</t>
  </si>
  <si>
    <t>Ime</t>
  </si>
  <si>
    <t>NCNR728P9R3</t>
  </si>
  <si>
    <t>Kelvin</t>
  </si>
  <si>
    <t>Galabuzi</t>
  </si>
  <si>
    <t>FRN88SYV4JC</t>
  </si>
  <si>
    <t>Rui</t>
  </si>
  <si>
    <t>Durão</t>
  </si>
  <si>
    <t>DZN843XFHHR</t>
  </si>
  <si>
    <t>Jawy Andres</t>
  </si>
  <si>
    <t>Romero Pinto</t>
  </si>
  <si>
    <t>P7NRVRK3FMS</t>
  </si>
  <si>
    <t>Julio</t>
  </si>
  <si>
    <t>Tencio</t>
  </si>
  <si>
    <t>NNN86BRK7FM</t>
  </si>
  <si>
    <t>Neil</t>
  </si>
  <si>
    <t>Armstrong</t>
  </si>
  <si>
    <t>N6NFL9BS628</t>
  </si>
  <si>
    <t>Julien</t>
  </si>
  <si>
    <t>Sobrier</t>
  </si>
  <si>
    <t>F5NQ87VVPSW</t>
  </si>
  <si>
    <t>Prasanth</t>
  </si>
  <si>
    <t>Pulavarthi</t>
  </si>
  <si>
    <t>XCN5285JQZY</t>
  </si>
  <si>
    <t>Balister</t>
  </si>
  <si>
    <t>FPNK5KC6X4Z</t>
  </si>
  <si>
    <t>Derek</t>
  </si>
  <si>
    <t>Teay</t>
  </si>
  <si>
    <t>JJN77PZNL4V</t>
  </si>
  <si>
    <t>Mendy</t>
  </si>
  <si>
    <t>Furmanek</t>
  </si>
  <si>
    <t>DNNVJZR5PDK</t>
  </si>
  <si>
    <t>Craig</t>
  </si>
  <si>
    <t>Sharpe</t>
  </si>
  <si>
    <t>XPN68NPM5CN</t>
  </si>
  <si>
    <t>sethuraman</t>
  </si>
  <si>
    <t>j</t>
  </si>
  <si>
    <t>LHNGJGJGRBM</t>
  </si>
  <si>
    <t>Tatsuyuki</t>
  </si>
  <si>
    <t>Ikegami</t>
  </si>
  <si>
    <t>FHNP6TC9XB4</t>
  </si>
  <si>
    <t>Binita</t>
  </si>
  <si>
    <t>VRNDR4D7S2X</t>
  </si>
  <si>
    <t>Gilberto</t>
  </si>
  <si>
    <t>Müller</t>
  </si>
  <si>
    <t>FNNNP3K5CP2</t>
  </si>
  <si>
    <t>Yasunori</t>
  </si>
  <si>
    <t>Goto</t>
  </si>
  <si>
    <t>N6NMGV3H8QB</t>
  </si>
  <si>
    <t>Jorge</t>
  </si>
  <si>
    <t>Muñoz</t>
  </si>
  <si>
    <t>LWNPRG3KQNL</t>
  </si>
  <si>
    <t>Takuma</t>
  </si>
  <si>
    <t>Ueba</t>
  </si>
  <si>
    <t>DGN3C94YW39</t>
  </si>
  <si>
    <t>Salinas</t>
  </si>
  <si>
    <t>GFNYTNT673P</t>
  </si>
  <si>
    <t>Tchoub</t>
  </si>
  <si>
    <t>H6NYGJC8FPT</t>
  </si>
  <si>
    <t>Eliason</t>
  </si>
  <si>
    <t>XMNR9J4ZMDW</t>
  </si>
  <si>
    <t>Venkatraman</t>
  </si>
  <si>
    <t>Sathiyamoorthy</t>
  </si>
  <si>
    <t>J6N5RJHVK9T</t>
  </si>
  <si>
    <t>Walicki</t>
  </si>
  <si>
    <t>HFNMKJSKYRG</t>
  </si>
  <si>
    <t>Gwyn</t>
  </si>
  <si>
    <t>K3NYL4DHR8K</t>
  </si>
  <si>
    <t>Quentin</t>
  </si>
  <si>
    <t>Barnes</t>
  </si>
  <si>
    <t>MGNFYKL259G</t>
  </si>
  <si>
    <t>Jian</t>
  </si>
  <si>
    <t>PPN7FK4FB3L</t>
  </si>
  <si>
    <t>john</t>
  </si>
  <si>
    <t>meisner</t>
  </si>
  <si>
    <t>KFNRQBWQXML</t>
  </si>
  <si>
    <t>Perkins</t>
  </si>
  <si>
    <t>G7N5RMKD3ZK</t>
  </si>
  <si>
    <t>Caplan</t>
  </si>
  <si>
    <t>DCN6C6YNP7Z</t>
  </si>
  <si>
    <t>Joel</t>
  </si>
  <si>
    <t>Markham</t>
  </si>
  <si>
    <t>NPNLGN75F9Y</t>
  </si>
  <si>
    <t>Avery</t>
  </si>
  <si>
    <t>Dorgan</t>
  </si>
  <si>
    <t>J4NCSH4KJNX</t>
  </si>
  <si>
    <t>Flavia</t>
  </si>
  <si>
    <t>Cioanca</t>
  </si>
  <si>
    <t>MMNT6HM9Y38</t>
  </si>
  <si>
    <t>Brennan</t>
  </si>
  <si>
    <t>Lamoreaux</t>
  </si>
  <si>
    <t>LTN7QVZR27L</t>
  </si>
  <si>
    <t>Yibo</t>
  </si>
  <si>
    <t>ZBND66LLY9R</t>
  </si>
  <si>
    <t>Shlesh</t>
  </si>
  <si>
    <t>Tiwari</t>
  </si>
  <si>
    <t>F8N8J8FFG9M</t>
  </si>
  <si>
    <t>Christopher</t>
  </si>
  <si>
    <t>Casebeer</t>
  </si>
  <si>
    <t>JBNQ9TQTB9V</t>
  </si>
  <si>
    <t>Lind</t>
  </si>
  <si>
    <t>KCNW6MGCKPY</t>
  </si>
  <si>
    <t>Farnsworth</t>
  </si>
  <si>
    <t>PVNCM79C56K</t>
  </si>
  <si>
    <t>Ajay</t>
  </si>
  <si>
    <t>Mahagaokar</t>
  </si>
  <si>
    <t>LMNZWYFLGYC</t>
  </si>
  <si>
    <t>Mallikarjun</t>
  </si>
  <si>
    <t>Avula</t>
  </si>
  <si>
    <t>G7NLTJQNST7</t>
  </si>
  <si>
    <t>Daren</t>
  </si>
  <si>
    <t>LCNFTT4D6BT</t>
  </si>
  <si>
    <t>PJNCKLMMPBS</t>
  </si>
  <si>
    <t>Saiia</t>
  </si>
  <si>
    <t>J5NMRL43829</t>
  </si>
  <si>
    <t>Yuval</t>
  </si>
  <si>
    <t>Avrahami</t>
  </si>
  <si>
    <t>NGN9JTVZDRZ</t>
  </si>
  <si>
    <t>Erin</t>
  </si>
  <si>
    <t>Fitzgerald</t>
  </si>
  <si>
    <t>P3NDXDP434T</t>
  </si>
  <si>
    <t>Saicharan</t>
  </si>
  <si>
    <t>Reddy</t>
  </si>
  <si>
    <t>VLN7KZJDWR3</t>
  </si>
  <si>
    <t>Schubert</t>
  </si>
  <si>
    <t>V9NC37W639T</t>
  </si>
  <si>
    <t>McMahon</t>
  </si>
  <si>
    <t>FHNVB3J6XJN</t>
  </si>
  <si>
    <t>Swain</t>
  </si>
  <si>
    <t>VQNGZBJQ6N3</t>
  </si>
  <si>
    <t>Niteesh</t>
  </si>
  <si>
    <t>Babu</t>
  </si>
  <si>
    <t>FSNKB9HZFDX</t>
  </si>
  <si>
    <t>Rodrigo</t>
  </si>
  <si>
    <t>Zaccara</t>
  </si>
  <si>
    <t>HYNX58X8DDY</t>
  </si>
  <si>
    <t>Muralidhar</t>
  </si>
  <si>
    <t>Vakkalagadda</t>
  </si>
  <si>
    <t>XZNXWWFSW3C</t>
  </si>
  <si>
    <t>Дмитрий</t>
  </si>
  <si>
    <t>Батиевский</t>
  </si>
  <si>
    <t>ZDN82RMKFYJ</t>
  </si>
  <si>
    <t>Omowunmi</t>
  </si>
  <si>
    <t>Lawal</t>
  </si>
  <si>
    <t>X4NQC2YDHNH</t>
  </si>
  <si>
    <t>Vijayant</t>
  </si>
  <si>
    <t>Yadav</t>
  </si>
  <si>
    <t>DKNP5JZGKT8</t>
  </si>
  <si>
    <t>Argho</t>
  </si>
  <si>
    <t>ZLNVSFBRCXG</t>
  </si>
  <si>
    <t>Shaila</t>
  </si>
  <si>
    <t>Thakur</t>
  </si>
  <si>
    <t>XWN2W8JV47R</t>
  </si>
  <si>
    <t>Giuliani</t>
  </si>
  <si>
    <t>VFNK69ZW8MP</t>
  </si>
  <si>
    <t>Uriah</t>
  </si>
  <si>
    <t>Ryken</t>
  </si>
  <si>
    <t>JZNF33XH9GQ</t>
  </si>
  <si>
    <t>Gregg</t>
  </si>
  <si>
    <t>PBNNQN3HH6D</t>
  </si>
  <si>
    <t>Anas</t>
  </si>
  <si>
    <t>Ayman</t>
  </si>
  <si>
    <t>FTNJV5V62F3</t>
  </si>
  <si>
    <t>Nestor</t>
  </si>
  <si>
    <t>Campos</t>
  </si>
  <si>
    <t>GVNY4SYHP6L</t>
  </si>
  <si>
    <t>Tamba</t>
  </si>
  <si>
    <t>MLNW5V68Y5H</t>
  </si>
  <si>
    <t>Gallo</t>
  </si>
  <si>
    <t>NJNJ4ZLN3BB</t>
  </si>
  <si>
    <t>Hui</t>
  </si>
  <si>
    <t>F8N38LNF6FW</t>
  </si>
  <si>
    <t>L8NFQK2TN8H</t>
  </si>
  <si>
    <t>Suranjan</t>
  </si>
  <si>
    <t>Bhattacharjee</t>
  </si>
  <si>
    <t>DPNJFGHBTR5</t>
  </si>
  <si>
    <t>Olajuwon</t>
  </si>
  <si>
    <t>Owoseni</t>
  </si>
  <si>
    <t>HYNT88BCDB5</t>
  </si>
  <si>
    <t>Sachin</t>
  </si>
  <si>
    <t>NQNWLVQR846</t>
  </si>
  <si>
    <t>Dhinakar</t>
  </si>
  <si>
    <t>Kalyanasundaram</t>
  </si>
  <si>
    <t>ZPN6Y5FBYJQ</t>
  </si>
  <si>
    <t>Amr</t>
  </si>
  <si>
    <t>Abdelsalam</t>
  </si>
  <si>
    <t>LJNXHXQSDQK</t>
  </si>
  <si>
    <t>LEANDRO</t>
  </si>
  <si>
    <t>RODRIGUES MAGALHAES DE MARCO</t>
  </si>
  <si>
    <t>X3NY5VWWGQQ</t>
  </si>
  <si>
    <t>JTNV7QN6DYB</t>
  </si>
  <si>
    <t>Muhammad Ilham</t>
  </si>
  <si>
    <t>Syarifuddin</t>
  </si>
  <si>
    <t>XZNPP7TYSLS</t>
  </si>
  <si>
    <t>Shreesh</t>
  </si>
  <si>
    <t>Adiga</t>
  </si>
  <si>
    <t>VGN5MWW9YMD</t>
  </si>
  <si>
    <t>Basil</t>
  </si>
  <si>
    <t>Poulose</t>
  </si>
  <si>
    <t>DHNH2TC7BWR</t>
  </si>
  <si>
    <t>Shivani</t>
  </si>
  <si>
    <t>GVNBRNB8X69</t>
  </si>
  <si>
    <t>NEIL LOHIT</t>
  </si>
  <si>
    <t>BOSE</t>
  </si>
  <si>
    <t>PDNYQ3P8F65</t>
  </si>
  <si>
    <t>Prashant</t>
  </si>
  <si>
    <t>Advani</t>
  </si>
  <si>
    <t>DGNSL6BXFKG</t>
  </si>
  <si>
    <t>Frankie</t>
  </si>
  <si>
    <t>Lai</t>
  </si>
  <si>
    <t>XBNKYLD63VQ</t>
  </si>
  <si>
    <t>Scammon</t>
  </si>
  <si>
    <t>DQN7WSDJXF2</t>
  </si>
  <si>
    <t>Allan</t>
  </si>
  <si>
    <t>Lira</t>
  </si>
  <si>
    <t>GWNRRX46CNQ</t>
  </si>
  <si>
    <t>boris</t>
  </si>
  <si>
    <t>vanhoof</t>
  </si>
  <si>
    <t>KDN6H95VLWJ</t>
  </si>
  <si>
    <t>Bob</t>
  </si>
  <si>
    <t>Lewis</t>
  </si>
  <si>
    <t>DPN7RTBDD73</t>
  </si>
  <si>
    <t>Simon</t>
  </si>
  <si>
    <t>Forster</t>
  </si>
  <si>
    <t>LKNBZHZ692T</t>
  </si>
  <si>
    <t>Hans-Wolfgang</t>
  </si>
  <si>
    <t>Loidl</t>
  </si>
  <si>
    <t>PPN33BH7X3S</t>
  </si>
  <si>
    <t>Z8NFX7Z3X6M</t>
  </si>
  <si>
    <t>Marco</t>
  </si>
  <si>
    <t>Pantaleoni</t>
  </si>
  <si>
    <t>FFNT7KS8B95</t>
  </si>
  <si>
    <t>Dirk</t>
  </si>
  <si>
    <t>Hohndel</t>
  </si>
  <si>
    <t>FLNXG5BWG6K</t>
  </si>
  <si>
    <t>Shaffer</t>
  </si>
  <si>
    <t>VJNW92FQHGY</t>
  </si>
  <si>
    <t>Hawley</t>
  </si>
  <si>
    <t>FPN5BXYL5TM</t>
  </si>
  <si>
    <t>Mimi</t>
  </si>
  <si>
    <t>Zohar</t>
  </si>
  <si>
    <t>JXNRR7RCG9R</t>
  </si>
  <si>
    <t>Bryan</t>
  </si>
  <si>
    <t>Knouse</t>
  </si>
  <si>
    <t>QYNGPF73DH2</t>
  </si>
  <si>
    <t>Aviv</t>
  </si>
  <si>
    <t>Sasson</t>
  </si>
  <si>
    <t>ZFN5Y3GP3V6</t>
  </si>
  <si>
    <t>Juan</t>
  </si>
  <si>
    <t>Penas</t>
  </si>
  <si>
    <t>ZLN6NV939RX</t>
  </si>
  <si>
    <t>Robidas</t>
  </si>
  <si>
    <t>MMNVXNYSF4G</t>
  </si>
  <si>
    <t>Frederik</t>
  </si>
  <si>
    <t>Timmermann</t>
  </si>
  <si>
    <t>X2NZ6MKYZQF</t>
  </si>
  <si>
    <t>Hansmann</t>
  </si>
  <si>
    <t>J6NC6Q8M7BF</t>
  </si>
  <si>
    <t>van Toren</t>
  </si>
  <si>
    <t>GBN4FD3K74N</t>
  </si>
  <si>
    <t>Deniz</t>
  </si>
  <si>
    <t>Caliskan</t>
  </si>
  <si>
    <t>PJNM8BCWJSD</t>
  </si>
  <si>
    <t>Carlos</t>
  </si>
  <si>
    <t>Miguens</t>
  </si>
  <si>
    <t>GFN6YBSWL3H</t>
  </si>
  <si>
    <t>Konstantin</t>
  </si>
  <si>
    <t>Boyanov</t>
  </si>
  <si>
    <t>GCNX3VNGWCZ</t>
  </si>
  <si>
    <t>Diaz</t>
  </si>
  <si>
    <t>GKN2SZCJSWQ</t>
  </si>
  <si>
    <t>Brenna</t>
  </si>
  <si>
    <t>VPNH2K594TL</t>
  </si>
  <si>
    <t>Hargis</t>
  </si>
  <si>
    <t>HSNDQKP8CYR</t>
  </si>
  <si>
    <t>Herbert</t>
  </si>
  <si>
    <t>VHN729B77DF</t>
  </si>
  <si>
    <t>Boswell</t>
  </si>
  <si>
    <t>FVNM9Q847X3</t>
  </si>
  <si>
    <t>Ginjupalli</t>
  </si>
  <si>
    <t>NRNGKX78W6Q</t>
  </si>
  <si>
    <t>Leven</t>
  </si>
  <si>
    <t>HQNTNHCV43P</t>
  </si>
  <si>
    <t>Jameson</t>
  </si>
  <si>
    <t>F9NPWVD8D85</t>
  </si>
  <si>
    <t>Gonzalo</t>
  </si>
  <si>
    <t>Delgado</t>
  </si>
  <si>
    <t>XPNWQ4ZYQ8V</t>
  </si>
  <si>
    <t>Sorensen</t>
  </si>
  <si>
    <t>FSNLDT7H7DW</t>
  </si>
  <si>
    <t>Mateusz</t>
  </si>
  <si>
    <t>Malisz</t>
  </si>
  <si>
    <t>V3NTMM3PN5V</t>
  </si>
  <si>
    <t>Junji</t>
  </si>
  <si>
    <t>Katto</t>
  </si>
  <si>
    <t>MLNTFSVM23V</t>
  </si>
  <si>
    <t>Khoa</t>
  </si>
  <si>
    <t>PWNH9XLM88P</t>
  </si>
  <si>
    <t>Lázaro Cuadrado</t>
  </si>
  <si>
    <t>FZN5YK48ZKW</t>
  </si>
  <si>
    <t>Vitaly</t>
  </si>
  <si>
    <t>Kuznetsov</t>
  </si>
  <si>
    <t>ZQNFGQSDWDN</t>
  </si>
  <si>
    <t>Wheeler</t>
  </si>
  <si>
    <t>G6N5ZF8PWM2</t>
  </si>
  <si>
    <t>Troy</t>
  </si>
  <si>
    <t>Dawson</t>
  </si>
  <si>
    <t>GHNFQFYB4T7</t>
  </si>
  <si>
    <t>Lavender</t>
  </si>
  <si>
    <t>JKNFKPMXND6</t>
  </si>
  <si>
    <t>findlay</t>
  </si>
  <si>
    <t>shearer</t>
  </si>
  <si>
    <t>FRNYTW7HMV5</t>
  </si>
  <si>
    <t>Bryn</t>
  </si>
  <si>
    <t>Schulke</t>
  </si>
  <si>
    <t>LKNV3PMS5M3</t>
  </si>
  <si>
    <t>Adam</t>
  </si>
  <si>
    <t>N9N9GWPFPX8</t>
  </si>
  <si>
    <t>Maxim</t>
  </si>
  <si>
    <t>LHNG77LJXLC</t>
  </si>
  <si>
    <t>Glinski</t>
  </si>
  <si>
    <t>DMN4ZLN4FG7</t>
  </si>
  <si>
    <t>Josue</t>
  </si>
  <si>
    <t>Villanueva</t>
  </si>
  <si>
    <t>PSNRG6QFNRJ</t>
  </si>
  <si>
    <t>Jianxiong</t>
  </si>
  <si>
    <t>Gao</t>
  </si>
  <si>
    <t>JDN899TLWGG</t>
  </si>
  <si>
    <t>A. Jassim</t>
  </si>
  <si>
    <t>D5NXPM9CYG6</t>
  </si>
  <si>
    <t>Jung</t>
  </si>
  <si>
    <t>D2N3D8SL7NX</t>
  </si>
  <si>
    <t>KVNK84F4TPS</t>
  </si>
  <si>
    <t>rand</t>
  </si>
  <si>
    <t>hidayah</t>
  </si>
  <si>
    <t>K6NCRQHZ8G8</t>
  </si>
  <si>
    <t>Tobar</t>
  </si>
  <si>
    <t>HKNQDWM3GGJ</t>
  </si>
  <si>
    <t>Krystian</t>
  </si>
  <si>
    <t>Kieczka</t>
  </si>
  <si>
    <t>XWN8FRN45BC</t>
  </si>
  <si>
    <t>McCann</t>
  </si>
  <si>
    <t>ZCNXL94ZQ44</t>
  </si>
  <si>
    <t>Farris</t>
  </si>
  <si>
    <t>KWNXBYMQHPN</t>
  </si>
  <si>
    <t>Lavi</t>
  </si>
  <si>
    <t>Lazarovitz</t>
  </si>
  <si>
    <t>H9NBBZWVRYJ</t>
  </si>
  <si>
    <t>Hani</t>
  </si>
  <si>
    <t>Nemati</t>
  </si>
  <si>
    <t>JTNYWVMWVLY</t>
  </si>
  <si>
    <t>Marisa</t>
  </si>
  <si>
    <t>Viveros</t>
  </si>
  <si>
    <t>MBNKW27VT94</t>
  </si>
  <si>
    <t>Van Slyke</t>
  </si>
  <si>
    <t>FDNM87ZNLPQ</t>
  </si>
  <si>
    <t>Gold</t>
  </si>
  <si>
    <t>DHN4K6N3ZJ6</t>
  </si>
  <si>
    <t>Dmitrii</t>
  </si>
  <si>
    <t>Kuvaiskii</t>
  </si>
  <si>
    <t>GBNHN4LX9XV</t>
  </si>
  <si>
    <t>Aronchick</t>
  </si>
  <si>
    <t>MVN4Q4TL76R</t>
  </si>
  <si>
    <t>Ell</t>
  </si>
  <si>
    <t>Marquez</t>
  </si>
  <si>
    <t>X4NJ4STKWBN</t>
  </si>
  <si>
    <t>Gratian</t>
  </si>
  <si>
    <t>Crisan</t>
  </si>
  <si>
    <t>XYNMRRPKR53</t>
  </si>
  <si>
    <t>Avin</t>
  </si>
  <si>
    <t>Datt</t>
  </si>
  <si>
    <t>FQNB2S965KV</t>
  </si>
  <si>
    <t>Vatsal</t>
  </si>
  <si>
    <t>Shah</t>
  </si>
  <si>
    <t>JVNJ42NF54K</t>
  </si>
  <si>
    <t>Stephan</t>
  </si>
  <si>
    <t>Arndt</t>
  </si>
  <si>
    <t>L7N2QX4PDVW</t>
  </si>
  <si>
    <t>Fernando Federico</t>
  </si>
  <si>
    <t>Pinillos Pérez</t>
  </si>
  <si>
    <t>FSNK5V6K9YL</t>
  </si>
  <si>
    <t>DDNMYX32HVR</t>
  </si>
  <si>
    <t>Kamrul</t>
  </si>
  <si>
    <t>Hasan</t>
  </si>
  <si>
    <t>J2NTD4K7VD4</t>
  </si>
  <si>
    <t>Ramasubramanian</t>
  </si>
  <si>
    <t>Subramanian</t>
  </si>
  <si>
    <t>KGNQ6KCQ4Y9</t>
  </si>
  <si>
    <t>Ulrich</t>
  </si>
  <si>
    <t>Hecht</t>
  </si>
  <si>
    <t>FLNL9PKVLN2</t>
  </si>
  <si>
    <t>Yulay</t>
  </si>
  <si>
    <t>Rakhmangulov</t>
  </si>
  <si>
    <t>PVNY88KGRWX</t>
  </si>
  <si>
    <t>Rabia</t>
  </si>
  <si>
    <t>Nadjib</t>
  </si>
  <si>
    <t>VFN49ZRKZS3</t>
  </si>
  <si>
    <t>Colin</t>
  </si>
  <si>
    <t>McDermott</t>
  </si>
  <si>
    <t>VXNKTMVD9QL</t>
  </si>
  <si>
    <t>KJN542ZZFQG</t>
  </si>
  <si>
    <t>Pitichai</t>
  </si>
  <si>
    <t>Pitimaneeyakul</t>
  </si>
  <si>
    <t>ZMNN89M3DFV</t>
  </si>
  <si>
    <t>Edward</t>
  </si>
  <si>
    <t>Krueger</t>
  </si>
  <si>
    <t>NSNLS9MNH5V</t>
  </si>
  <si>
    <t>Emily Kaslin</t>
  </si>
  <si>
    <t>Fields</t>
  </si>
  <si>
    <t>LFNVM8RFL8F</t>
  </si>
  <si>
    <t>Mendoza-Cardenas</t>
  </si>
  <si>
    <t>HWN6S525VL8</t>
  </si>
  <si>
    <t>Gulzat</t>
  </si>
  <si>
    <t>MCNVWRZRYMY</t>
  </si>
  <si>
    <t>Zachary</t>
  </si>
  <si>
    <t>Booth</t>
  </si>
  <si>
    <t>KXNVRL3FFG2</t>
  </si>
  <si>
    <t>Graeme</t>
  </si>
  <si>
    <t>Hay</t>
  </si>
  <si>
    <t>GDNH3R96JFH</t>
  </si>
  <si>
    <t>Lynn</t>
  </si>
  <si>
    <t>Burke</t>
  </si>
  <si>
    <t>X8NFPFTYWZJ</t>
  </si>
  <si>
    <t>Watza</t>
  </si>
  <si>
    <t>FWNYT74BGLT</t>
  </si>
  <si>
    <t>Bruce</t>
  </si>
  <si>
    <t>McFarland</t>
  </si>
  <si>
    <t>F4N9MP6RGZ3</t>
  </si>
  <si>
    <t>Mills</t>
  </si>
  <si>
    <t>KXNTX84YK4S</t>
  </si>
  <si>
    <t>Włudarski</t>
  </si>
  <si>
    <t>PJN9FVKBKKW</t>
  </si>
  <si>
    <t>Prakhar</t>
  </si>
  <si>
    <t>Srivastava</t>
  </si>
  <si>
    <t>HBNYZXLN9D3</t>
  </si>
  <si>
    <t>Toia</t>
  </si>
  <si>
    <t>GMNG9CB9YR2</t>
  </si>
  <si>
    <t>LQNWR3RLJ5P</t>
  </si>
  <si>
    <t>Savadel</t>
  </si>
  <si>
    <t>N3N5L2Z5DR4</t>
  </si>
  <si>
    <t>Kelly</t>
  </si>
  <si>
    <t>L6NM3F6T3T5</t>
  </si>
  <si>
    <t>Vasiliy</t>
  </si>
  <si>
    <t>Z8NK7QJZRGR</t>
  </si>
  <si>
    <t>Crockard</t>
  </si>
  <si>
    <t>XQNQKVKDBFN</t>
  </si>
  <si>
    <t>Yin</t>
  </si>
  <si>
    <t>Ding</t>
  </si>
  <si>
    <t>P9NR77R572S</t>
  </si>
  <si>
    <t>Raghavendra</t>
  </si>
  <si>
    <t>Manjunath</t>
  </si>
  <si>
    <t>HBNC8YTW4V8</t>
  </si>
  <si>
    <t>Larry</t>
  </si>
  <si>
    <t>Wallace</t>
  </si>
  <si>
    <t>HVNB9MY33B9</t>
  </si>
  <si>
    <t>Ameer</t>
  </si>
  <si>
    <t>Kashani</t>
  </si>
  <si>
    <t>HWNG9M5STPD</t>
  </si>
  <si>
    <t>Griswold</t>
  </si>
  <si>
    <t>V9NBTDWTRND</t>
  </si>
  <si>
    <t>Angie</t>
  </si>
  <si>
    <t>Casarez</t>
  </si>
  <si>
    <t>QWN3CWDV3N6</t>
  </si>
  <si>
    <t>khouloud</t>
  </si>
  <si>
    <t>touil</t>
  </si>
  <si>
    <t>D8NT9JLGL9F</t>
  </si>
  <si>
    <t>Christensen</t>
  </si>
  <si>
    <t>HTNWKXPH6QX</t>
  </si>
  <si>
    <t>Welling</t>
  </si>
  <si>
    <t>Z6NX46NL59C</t>
  </si>
  <si>
    <t>Jens</t>
  </si>
  <si>
    <t>Fisseler</t>
  </si>
  <si>
    <t>K4NWN2H36QM</t>
  </si>
  <si>
    <t>Lisa</t>
  </si>
  <si>
    <t>Cao</t>
  </si>
  <si>
    <t>F3NY928DS45</t>
  </si>
  <si>
    <t>Angus</t>
  </si>
  <si>
    <t>Short</t>
  </si>
  <si>
    <t>MVNH95YM4HX</t>
  </si>
  <si>
    <t>Klaus</t>
  </si>
  <si>
    <t>Rentel</t>
  </si>
  <si>
    <t>H5NNGRLF38K</t>
  </si>
  <si>
    <t>Nobuyoshi</t>
  </si>
  <si>
    <t>Nishi</t>
  </si>
  <si>
    <t>V8NWDJ35WTL</t>
  </si>
  <si>
    <t>Rudolf</t>
  </si>
  <si>
    <t>Coetzee</t>
  </si>
  <si>
    <t>QYNH3YWLKSX</t>
  </si>
  <si>
    <t>Maxime</t>
  </si>
  <si>
    <t>Roussin-Bélanger</t>
  </si>
  <si>
    <t>FMN4CTSFZP3</t>
  </si>
  <si>
    <t>Ruka</t>
  </si>
  <si>
    <t>Sakurai</t>
  </si>
  <si>
    <t>DBNRLZ66GPL</t>
  </si>
  <si>
    <t>Day</t>
  </si>
  <si>
    <t>NVN8GV3YCLJ</t>
  </si>
  <si>
    <t>Luis</t>
  </si>
  <si>
    <t>Lopez</t>
  </si>
  <si>
    <t>F3N97DTXGWT</t>
  </si>
  <si>
    <t>Roderick</t>
  </si>
  <si>
    <t>Kieley</t>
  </si>
  <si>
    <t>LFNBP92R8VG</t>
  </si>
  <si>
    <t>Dashi</t>
  </si>
  <si>
    <t>MKNCP9R6VL9</t>
  </si>
  <si>
    <t>Eduard</t>
  </si>
  <si>
    <t>Ionescu</t>
  </si>
  <si>
    <t>DSN39BF4YT6</t>
  </si>
  <si>
    <t>Wiktor</t>
  </si>
  <si>
    <t>Guź</t>
  </si>
  <si>
    <t>P6NPGRJKZ6V</t>
  </si>
  <si>
    <t>Beisser</t>
  </si>
  <si>
    <t>KMNB5KQPGQQ</t>
  </si>
  <si>
    <t>Judy</t>
  </si>
  <si>
    <t>Barkal</t>
  </si>
  <si>
    <t>LPNC6TRKSPP</t>
  </si>
  <si>
    <t>Glenn</t>
  </si>
  <si>
    <t>Clapp</t>
  </si>
  <si>
    <t>D2NB4RVJN72</t>
  </si>
  <si>
    <t>Adebayo</t>
  </si>
  <si>
    <t>Dawodu</t>
  </si>
  <si>
    <t>K5N68Y887SG</t>
  </si>
  <si>
    <t>Brice</t>
  </si>
  <si>
    <t>Dobry</t>
  </si>
  <si>
    <t>G9NTNWSSJ9B</t>
  </si>
  <si>
    <t>Madeline</t>
  </si>
  <si>
    <t>Peck</t>
  </si>
  <si>
    <t>PPNTFRY3TY9</t>
  </si>
  <si>
    <t>Charlotte</t>
  </si>
  <si>
    <t>Purdy</t>
  </si>
  <si>
    <t>FPN9SBK93N2</t>
  </si>
  <si>
    <t>Barry</t>
  </si>
  <si>
    <t>NYN7K2JVQGC</t>
  </si>
  <si>
    <t>Dzierzecki</t>
  </si>
  <si>
    <t>FWNNV3JQJLC</t>
  </si>
  <si>
    <t>Sagit</t>
  </si>
  <si>
    <t>Ben Tsur</t>
  </si>
  <si>
    <t>ZRNG2KT4PN6</t>
  </si>
  <si>
    <t>Waters</t>
  </si>
  <si>
    <t>LQN3WCL54HK</t>
  </si>
  <si>
    <t>Bjorn</t>
  </si>
  <si>
    <t>JFN55DX24QL</t>
  </si>
  <si>
    <t>Mandar</t>
  </si>
  <si>
    <t>Patil</t>
  </si>
  <si>
    <t>KMNL9CYGGNR</t>
  </si>
  <si>
    <t>Lucina</t>
  </si>
  <si>
    <t>Stricko</t>
  </si>
  <si>
    <t>Z5NTWKMFC5H</t>
  </si>
  <si>
    <t>Francica</t>
  </si>
  <si>
    <t>XGN8CJY3ZQ5</t>
  </si>
  <si>
    <t>Ford</t>
  </si>
  <si>
    <t>KPNGFJZNBD5</t>
  </si>
  <si>
    <t>IOURI</t>
  </si>
  <si>
    <t>GORDON</t>
  </si>
  <si>
    <t>DZNBLD327W8</t>
  </si>
  <si>
    <t>Houston</t>
  </si>
  <si>
    <t>JXNSVXTXH6F</t>
  </si>
  <si>
    <t>Shafiullah</t>
  </si>
  <si>
    <t>VNNSSYFDV52</t>
  </si>
  <si>
    <t>DW</t>
  </si>
  <si>
    <t>Talton</t>
  </si>
  <si>
    <t>DMN3F3BYSHM</t>
  </si>
  <si>
    <t>Ajit</t>
  </si>
  <si>
    <t>Mukund Hunsur</t>
  </si>
  <si>
    <t>FRNV8LJTY7T</t>
  </si>
  <si>
    <t>m.spandiel@gmail.com</t>
  </si>
  <si>
    <t>M4NKBQ9CPWM</t>
  </si>
  <si>
    <t>Marcos Antonio</t>
  </si>
  <si>
    <t>de Jesus Filho</t>
  </si>
  <si>
    <t>NDNLKZS2F3F</t>
  </si>
  <si>
    <t>Crenshaw</t>
  </si>
  <si>
    <t>NKN7548YG3V</t>
  </si>
  <si>
    <t>Bree</t>
  </si>
  <si>
    <t>Hart</t>
  </si>
  <si>
    <t>XVNLN8B3962</t>
  </si>
  <si>
    <t>Riedel</t>
  </si>
  <si>
    <t>ZLN4TG3NM4G</t>
  </si>
  <si>
    <t>burnMyDread</t>
  </si>
  <si>
    <t>JPNMY8DPCHM</t>
  </si>
  <si>
    <t>DMNWVB8KZRX</t>
  </si>
  <si>
    <t>Rachana</t>
  </si>
  <si>
    <t>ZGN78FB877Z</t>
  </si>
  <si>
    <t>X9NNLG7DM4T</t>
  </si>
  <si>
    <t>Ernie</t>
  </si>
  <si>
    <t>Hadley</t>
  </si>
  <si>
    <t>M5NDJ8G8LCW</t>
  </si>
  <si>
    <t>Dai</t>
  </si>
  <si>
    <t>KQNGJ34GDG2</t>
  </si>
  <si>
    <t>Obinna Chinenye</t>
  </si>
  <si>
    <t>Ibemere-Okenze</t>
  </si>
  <si>
    <t>JYNLB4D5K3G</t>
  </si>
  <si>
    <t>Perez</t>
  </si>
  <si>
    <t>FDN7BZRDVRX</t>
  </si>
  <si>
    <t>Qiu</t>
  </si>
  <si>
    <t>GCN4WG9GK85</t>
  </si>
  <si>
    <t>Rodney</t>
  </si>
  <si>
    <t>Green</t>
  </si>
  <si>
    <t>GLN947R4QMX</t>
  </si>
  <si>
    <t>Matthews</t>
  </si>
  <si>
    <t>VBNL96BQ88X</t>
  </si>
  <si>
    <t>Fredrik</t>
  </si>
  <si>
    <t>Svensson</t>
  </si>
  <si>
    <t>MBNNHX4CP8L</t>
  </si>
  <si>
    <t>Maggie</t>
  </si>
  <si>
    <t>White</t>
  </si>
  <si>
    <t>DCNZV6HXYQG</t>
  </si>
  <si>
    <t>Carson</t>
  </si>
  <si>
    <t>Dew</t>
  </si>
  <si>
    <t>HQNKZ5ZB7BW</t>
  </si>
  <si>
    <t>Javier</t>
  </si>
  <si>
    <t>Luraschi</t>
  </si>
  <si>
    <t>VPNXC84XHPF</t>
  </si>
  <si>
    <t>Walt</t>
  </si>
  <si>
    <t>Miner</t>
  </si>
  <si>
    <t>DJNP49HCRNM</t>
  </si>
  <si>
    <t>Lukas</t>
  </si>
  <si>
    <t>Fittl</t>
  </si>
  <si>
    <t>K3NSVYZMPDB</t>
  </si>
  <si>
    <t>Catlin</t>
  </si>
  <si>
    <t>P4N3WLRGCZ9</t>
  </si>
  <si>
    <t>Shuah</t>
  </si>
  <si>
    <t>FKNZVSLHM7L</t>
  </si>
  <si>
    <t>Sudharsana</t>
  </si>
  <si>
    <t>VRNGQZLYKLF</t>
  </si>
  <si>
    <t>Snell</t>
  </si>
  <si>
    <t>HTN59PZZW7W</t>
  </si>
  <si>
    <t>Marvin</t>
  </si>
  <si>
    <t>Krattenmacher</t>
  </si>
  <si>
    <t>GLN6SLFP466</t>
  </si>
  <si>
    <t>Lemay</t>
  </si>
  <si>
    <t>G9N6VS8NHW7</t>
  </si>
  <si>
    <t>Kevyn-Alexandre</t>
  </si>
  <si>
    <t>Pare</t>
  </si>
  <si>
    <t>LLNGXYZM9TT</t>
  </si>
  <si>
    <t>Pierre-Jean</t>
  </si>
  <si>
    <t>Douillard</t>
  </si>
  <si>
    <t>NPNGFMSW8CY</t>
  </si>
  <si>
    <t>Roberto</t>
  </si>
  <si>
    <t>Sassu</t>
  </si>
  <si>
    <t>GQNJQKCXXYM</t>
  </si>
  <si>
    <t>Jordan</t>
  </si>
  <si>
    <t>Conway</t>
  </si>
  <si>
    <t>NBNL8QBPYCL</t>
  </si>
  <si>
    <t>Olivier</t>
  </si>
  <si>
    <t>Bacon</t>
  </si>
  <si>
    <t>DKNMQKSQ9MR</t>
  </si>
  <si>
    <t>Sinisa</t>
  </si>
  <si>
    <t>FBNN4LL65XF</t>
  </si>
  <si>
    <t>stefan</t>
  </si>
  <si>
    <t>ML</t>
  </si>
  <si>
    <t>DPNSWDT8CSH</t>
  </si>
  <si>
    <t>Yuichi</t>
  </si>
  <si>
    <t>Ito</t>
  </si>
  <si>
    <t>LLNXPN8JYYZ</t>
  </si>
  <si>
    <t>Teppei</t>
  </si>
  <si>
    <t>Asaba</t>
  </si>
  <si>
    <t>NVN3ZSXKZHK</t>
  </si>
  <si>
    <t>Federico</t>
  </si>
  <si>
    <t>Sogaro</t>
  </si>
  <si>
    <t>K8NYFTFRLVL</t>
  </si>
  <si>
    <t>Clark</t>
  </si>
  <si>
    <t>Dunson</t>
  </si>
  <si>
    <t>LWNQ5T7L6RB</t>
  </si>
  <si>
    <t>Joshua</t>
  </si>
  <si>
    <t>Dow</t>
  </si>
  <si>
    <t>JLNNMTBTXFN</t>
  </si>
  <si>
    <t>Yardiel</t>
  </si>
  <si>
    <t>Fuentes</t>
  </si>
  <si>
    <t>FKNBNLLDXZG</t>
  </si>
  <si>
    <t>McDonough</t>
  </si>
  <si>
    <t>P7NFKR24DMC</t>
  </si>
  <si>
    <t>Hamman</t>
  </si>
  <si>
    <t>ZTN26HWVWQ5</t>
  </si>
  <si>
    <t>Rahmanu</t>
  </si>
  <si>
    <t>Hermawan</t>
  </si>
  <si>
    <t>NXNK9GV9LJR</t>
  </si>
  <si>
    <t>Jensen</t>
  </si>
  <si>
    <t>JSN982PNXRT</t>
  </si>
  <si>
    <t>Maya</t>
  </si>
  <si>
    <t>Tampi</t>
  </si>
  <si>
    <t>MPNZNR2DTZS</t>
  </si>
  <si>
    <t>Irenge Jules</t>
  </si>
  <si>
    <t>Bashizi</t>
  </si>
  <si>
    <t>HVN2RFM8WF9</t>
  </si>
  <si>
    <t>Tinnes</t>
  </si>
  <si>
    <t>ZFNLHMB3JYR</t>
  </si>
  <si>
    <t>Mason</t>
  </si>
  <si>
    <t>D3NNPSQFHC8</t>
  </si>
  <si>
    <t>Albert</t>
  </si>
  <si>
    <t>Chiang</t>
  </si>
  <si>
    <t>X5NB5CRDNTF</t>
  </si>
  <si>
    <t>Ralph</t>
  </si>
  <si>
    <t>Siemsen</t>
  </si>
  <si>
    <t>K5N6DYBHSJM</t>
  </si>
  <si>
    <t>MICHAEL</t>
  </si>
  <si>
    <t>MCREYNOLDS</t>
  </si>
  <si>
    <t>KLNCY7899W2</t>
  </si>
  <si>
    <t>Nicholas</t>
  </si>
  <si>
    <t>Carroll</t>
  </si>
  <si>
    <t>L6NGFKFPMYK</t>
  </si>
  <si>
    <t>Earle</t>
  </si>
  <si>
    <t>Stokes</t>
  </si>
  <si>
    <t>KCNTFQ3LFYY</t>
  </si>
  <si>
    <t>Rutherford</t>
  </si>
  <si>
    <t>N9NPBD3JMLZ</t>
  </si>
  <si>
    <t>Reyes-Jones</t>
  </si>
  <si>
    <t>QYNQXM9BNQK</t>
  </si>
  <si>
    <t>crystal</t>
  </si>
  <si>
    <t>zion</t>
  </si>
  <si>
    <t>LZNWFWVKKRL</t>
  </si>
  <si>
    <t>Newport</t>
  </si>
  <si>
    <t>V8NJMNVCRS7</t>
  </si>
  <si>
    <t>Kathryn</t>
  </si>
  <si>
    <t>XLNPQ38MYBP</t>
  </si>
  <si>
    <t>Kristin</t>
  </si>
  <si>
    <t>KMNW37P5SLJ</t>
  </si>
  <si>
    <t>Gregory</t>
  </si>
  <si>
    <t>Veys</t>
  </si>
  <si>
    <t>PDND5X7Z2CZ</t>
  </si>
  <si>
    <t>Javid</t>
  </si>
  <si>
    <t>Mitchell</t>
  </si>
  <si>
    <t>V3NNZD5J982</t>
  </si>
  <si>
    <t>Aman</t>
  </si>
  <si>
    <t>MHN7ZYVNJ94</t>
  </si>
  <si>
    <t>Sneha</t>
  </si>
  <si>
    <t>Saj</t>
  </si>
  <si>
    <t>MBNVK7HNH8T</t>
  </si>
  <si>
    <t>Sambhawam</t>
  </si>
  <si>
    <t>NBNGPDVN7GD</t>
  </si>
  <si>
    <t>Dev</t>
  </si>
  <si>
    <t>VQN4QB5XYY8</t>
  </si>
  <si>
    <t>Pachauri</t>
  </si>
  <si>
    <t>XQN7NL5KNRL</t>
  </si>
  <si>
    <t>Disha</t>
  </si>
  <si>
    <t>-</t>
  </si>
  <si>
    <t>HWNGC77XVPB</t>
  </si>
  <si>
    <t>Dennis</t>
  </si>
  <si>
    <t>Chukwunta</t>
  </si>
  <si>
    <t>G8NXX86TQRR</t>
  </si>
  <si>
    <t>Saquib</t>
  </si>
  <si>
    <t>Akhtar</t>
  </si>
  <si>
    <t>HSNSX4NGLQY</t>
  </si>
  <si>
    <t>Serhan</t>
  </si>
  <si>
    <t>Sekman</t>
  </si>
  <si>
    <t>HJNFBC4Y2W5</t>
  </si>
  <si>
    <t>Sharath</t>
  </si>
  <si>
    <t>ST</t>
  </si>
  <si>
    <t>XMNLMNDNY5L</t>
  </si>
  <si>
    <t>Sushant</t>
  </si>
  <si>
    <t>Agarwal</t>
  </si>
  <si>
    <t>G6NFFXRCGKL</t>
  </si>
  <si>
    <t>Arnab</t>
  </si>
  <si>
    <t>Saha</t>
  </si>
  <si>
    <t>PKNFQNQM9XS</t>
  </si>
  <si>
    <t>Karn</t>
  </si>
  <si>
    <t>QWNDL25BS9Q</t>
  </si>
  <si>
    <t>Enrico</t>
  </si>
  <si>
    <t>Conte</t>
  </si>
  <si>
    <t>L9N7VKX468Q</t>
  </si>
  <si>
    <t>Bittan</t>
  </si>
  <si>
    <t>VJNZ4RKSJR8</t>
  </si>
  <si>
    <t>Pampaloni</t>
  </si>
  <si>
    <t>N5N8HJ53FF9</t>
  </si>
  <si>
    <t>Fabrice</t>
  </si>
  <si>
    <t>Marcelin</t>
  </si>
  <si>
    <t>J9NJJJBSGYL</t>
  </si>
  <si>
    <t>Gaggstatter</t>
  </si>
  <si>
    <t>LTN6FBR5DYW</t>
  </si>
  <si>
    <t>Chao</t>
  </si>
  <si>
    <t>J6NKKQGLLYN</t>
  </si>
  <si>
    <t>Boxer</t>
  </si>
  <si>
    <t>KYNT6JPWSNL</t>
  </si>
  <si>
    <t>Fábio</t>
  </si>
  <si>
    <t>Pacheco</t>
  </si>
  <si>
    <t>K3NKR5WC54N</t>
  </si>
  <si>
    <t>Stuti</t>
  </si>
  <si>
    <t>Verma</t>
  </si>
  <si>
    <t>N2NWWSVD732</t>
  </si>
  <si>
    <t>Karala</t>
  </si>
  <si>
    <t>HNN2KWSFKRG</t>
  </si>
  <si>
    <t>Hamza</t>
  </si>
  <si>
    <t>Boukabache</t>
  </si>
  <si>
    <t>D4NC85H6GMP</t>
  </si>
  <si>
    <t>Venu</t>
  </si>
  <si>
    <t>Vardhan Reddy Tekula</t>
  </si>
  <si>
    <t>GZNM3V5SCLS</t>
  </si>
  <si>
    <t>dos Reis Mansano</t>
  </si>
  <si>
    <t>ZQN3N3TV92L</t>
  </si>
  <si>
    <t>Sanil</t>
  </si>
  <si>
    <t>KRNXWK9FL9L</t>
  </si>
  <si>
    <t>Shristi</t>
  </si>
  <si>
    <t>Negi</t>
  </si>
  <si>
    <t>PCNT9PYQ4XK</t>
  </si>
  <si>
    <t>Franco Rufino Almeida Prado</t>
  </si>
  <si>
    <t>XPNJNSGTZPK</t>
  </si>
  <si>
    <t>Mohd. Aftab</t>
  </si>
  <si>
    <t>Alam</t>
  </si>
  <si>
    <t>M7NT4ZSLCBV</t>
  </si>
  <si>
    <t>Morales</t>
  </si>
  <si>
    <t>F6N535VGCWN</t>
  </si>
  <si>
    <t>Kandagatla</t>
  </si>
  <si>
    <t>GLNGWR3N4HX</t>
  </si>
  <si>
    <t>Raed</t>
  </si>
  <si>
    <t>Ben Said</t>
  </si>
  <si>
    <t>GRNFV5DBS7W</t>
  </si>
  <si>
    <t>Foko</t>
  </si>
  <si>
    <t>Valdes</t>
  </si>
  <si>
    <t>N9N9R58PGLP</t>
  </si>
  <si>
    <t>Kulas</t>
  </si>
  <si>
    <t>XLNNDZ4ZJ6Y</t>
  </si>
  <si>
    <t>Ruben</t>
  </si>
  <si>
    <t>Aszkenasy</t>
  </si>
  <si>
    <t>KXNM6N89SSY</t>
  </si>
  <si>
    <t>Egger</t>
  </si>
  <si>
    <t>ZXNDXKC5JJ2</t>
  </si>
  <si>
    <t>Stacey</t>
  </si>
  <si>
    <t>GZNY33KK482</t>
  </si>
  <si>
    <t>Guedis</t>
  </si>
  <si>
    <t>Cardenas</t>
  </si>
  <si>
    <t>NDNHYPPJQCC</t>
  </si>
  <si>
    <t>Marius</t>
  </si>
  <si>
    <t>Rugan</t>
  </si>
  <si>
    <t>N2NX7XCVKQG</t>
  </si>
  <si>
    <t>Gerd</t>
  </si>
  <si>
    <t>Hoffmann</t>
  </si>
  <si>
    <t>HWN3MFT4PZ3</t>
  </si>
  <si>
    <t>Shigeyuki</t>
  </si>
  <si>
    <t>Oki</t>
  </si>
  <si>
    <t>NBNK53DYJ29</t>
  </si>
  <si>
    <t>Hugh</t>
  </si>
  <si>
    <t>Blemings</t>
  </si>
  <si>
    <t>M9NWR6VXBJ3</t>
  </si>
  <si>
    <t>Atsuo</t>
  </si>
  <si>
    <t>Suzuki</t>
  </si>
  <si>
    <t>JRNXY9MLZQK</t>
  </si>
  <si>
    <t>Kraitschy</t>
  </si>
  <si>
    <t>ZHNCRPX323L</t>
  </si>
  <si>
    <t>Yu</t>
  </si>
  <si>
    <t>KANECHIKA</t>
  </si>
  <si>
    <t>DLNFM39LMSX</t>
  </si>
  <si>
    <t>nauris.sadovskis@king.com</t>
  </si>
  <si>
    <t>MSN434JS7F6</t>
  </si>
  <si>
    <t>Harald</t>
  </si>
  <si>
    <t>Voit</t>
  </si>
  <si>
    <t>XLNMS7SPHPR</t>
  </si>
  <si>
    <t>Gerasimos</t>
  </si>
  <si>
    <t>Dimitriadis</t>
  </si>
  <si>
    <t>XBNSM7SBJF2</t>
  </si>
  <si>
    <t>mohit</t>
  </si>
  <si>
    <t>pant</t>
  </si>
  <si>
    <t>V4NQJW2SQMS</t>
  </si>
  <si>
    <t>Eirini</t>
  </si>
  <si>
    <t>Spanopoulou</t>
  </si>
  <si>
    <t>VMNJHVWJZW5</t>
  </si>
  <si>
    <t>Nina</t>
  </si>
  <si>
    <t>Sverdlenko</t>
  </si>
  <si>
    <t>G8NJJQJRH4M</t>
  </si>
  <si>
    <t>Fabian</t>
  </si>
  <si>
    <t>PDNZMS4VVDJ</t>
  </si>
  <si>
    <t>Zhu</t>
  </si>
  <si>
    <t>V4NH2TZHJWH</t>
  </si>
  <si>
    <t>valxv</t>
  </si>
  <si>
    <t>PMNVGLXTL7H</t>
  </si>
  <si>
    <t>Don</t>
  </si>
  <si>
    <t>Tu</t>
  </si>
  <si>
    <t>LVNRDTYR5KV</t>
  </si>
  <si>
    <t>Tosha</t>
  </si>
  <si>
    <t>Ellison</t>
  </si>
  <si>
    <t>KVNDW9G5RYR</t>
  </si>
  <si>
    <t>Bray</t>
  </si>
  <si>
    <t>LKNZ6BW6PZ5</t>
  </si>
  <si>
    <t>Auld</t>
  </si>
  <si>
    <t>FZNKPSJJHZS</t>
  </si>
  <si>
    <t>LYN44C9S4B9</t>
  </si>
  <si>
    <t>Roethig</t>
  </si>
  <si>
    <t>M3NZHHW5QZS</t>
  </si>
  <si>
    <t>Meharg</t>
  </si>
  <si>
    <t>PDNN7TF38V6</t>
  </si>
  <si>
    <t>Neal</t>
  </si>
  <si>
    <t>Gompa</t>
  </si>
  <si>
    <t>PNNN3KKRZML</t>
  </si>
  <si>
    <t>over</t>
  </si>
  <si>
    <t>monos</t>
  </si>
  <si>
    <t>ZZN855Y7WSM</t>
  </si>
  <si>
    <t>Sanjeev</t>
  </si>
  <si>
    <t>Tarigopula</t>
  </si>
  <si>
    <t>MVN5L6ZYF7S</t>
  </si>
  <si>
    <t>Joman</t>
  </si>
  <si>
    <t>Chu</t>
  </si>
  <si>
    <t>PMNMJ93S4P7</t>
  </si>
  <si>
    <t>Henning</t>
  </si>
  <si>
    <t>Larsen</t>
  </si>
  <si>
    <t>M3NR8DVNGWV</t>
  </si>
  <si>
    <t>Edwards</t>
  </si>
  <si>
    <t>XYNVBXDPGKX</t>
  </si>
  <si>
    <t>Gomez</t>
  </si>
  <si>
    <t>HHNNCY279HR</t>
  </si>
  <si>
    <t>Naeem</t>
  </si>
  <si>
    <t>Maqsud</t>
  </si>
  <si>
    <t>HTNZ4L4DGYG</t>
  </si>
  <si>
    <t>Cifra</t>
  </si>
  <si>
    <t>HGN7Q3DLNYT</t>
  </si>
  <si>
    <t>Ramchandran</t>
  </si>
  <si>
    <t>N2N6VTZDRXF</t>
  </si>
  <si>
    <t>Yavuz</t>
  </si>
  <si>
    <t>Toklu</t>
  </si>
  <si>
    <t>KMN5ND5G8CX</t>
  </si>
  <si>
    <t>Raymond</t>
  </si>
  <si>
    <t>MD</t>
  </si>
  <si>
    <t>JKN324QHWK2</t>
  </si>
  <si>
    <t>Mikael</t>
  </si>
  <si>
    <t>Eriksson</t>
  </si>
  <si>
    <t>MGNK2Y67TBW</t>
  </si>
  <si>
    <t>Austin</t>
  </si>
  <si>
    <t>Buchan</t>
  </si>
  <si>
    <t>ZSN5HSST8V2</t>
  </si>
  <si>
    <t>Travis</t>
  </si>
  <si>
    <t>Avey</t>
  </si>
  <si>
    <t>XBNQ7N66T62</t>
  </si>
  <si>
    <t>Gangi</t>
  </si>
  <si>
    <t>LNNDDPWV787</t>
  </si>
  <si>
    <t>Yanbing</t>
  </si>
  <si>
    <t>Li</t>
  </si>
  <si>
    <t>LTNLR55MLH9</t>
  </si>
  <si>
    <t>Faith</t>
  </si>
  <si>
    <t>ZZNNFSMCJYC</t>
  </si>
  <si>
    <t>Bryant</t>
  </si>
  <si>
    <t>NNNYBZV2CWB</t>
  </si>
  <si>
    <t>Bartłomiej</t>
  </si>
  <si>
    <t>Woźniak</t>
  </si>
  <si>
    <t>DLNCDT36RP3</t>
  </si>
  <si>
    <t>Sharp</t>
  </si>
  <si>
    <t>J5N9B58WLJF</t>
  </si>
  <si>
    <t>Nugent</t>
  </si>
  <si>
    <t>V4NDLNLLMYB</t>
  </si>
  <si>
    <t>Vijaya</t>
  </si>
  <si>
    <t>Yadlapati</t>
  </si>
  <si>
    <t>D7NZLB28LP5</t>
  </si>
  <si>
    <t>Devan</t>
  </si>
  <si>
    <t>Adams</t>
  </si>
  <si>
    <t>DMN28YXCWNX</t>
  </si>
  <si>
    <t>Miriam</t>
  </si>
  <si>
    <t>Ballhausen</t>
  </si>
  <si>
    <t>MPNY5Y2CH6B</t>
  </si>
  <si>
    <t>Deepak</t>
  </si>
  <si>
    <t>Kodihalli</t>
  </si>
  <si>
    <t>VXNVBNGCTN9</t>
  </si>
  <si>
    <t>Vineet</t>
  </si>
  <si>
    <t>Chhabra</t>
  </si>
  <si>
    <t>FNNBYNNRQDM</t>
  </si>
  <si>
    <t>Ouso</t>
  </si>
  <si>
    <t>HDNT69PBMKZ</t>
  </si>
  <si>
    <t>Karimi</t>
  </si>
  <si>
    <t>GKN77WCXP64</t>
  </si>
  <si>
    <t>ivo</t>
  </si>
  <si>
    <t>schindler</t>
  </si>
  <si>
    <t>GSNKS7XBLK4</t>
  </si>
  <si>
    <t>Utkarsh</t>
  </si>
  <si>
    <t>Trivedi</t>
  </si>
  <si>
    <t>X3NJSGLW8Z4</t>
  </si>
  <si>
    <t>Hemanth</t>
  </si>
  <si>
    <t>Kollipara</t>
  </si>
  <si>
    <t>JKNVTPHHFX7</t>
  </si>
  <si>
    <t>André Luiz Alcântara</t>
  </si>
  <si>
    <t>Ostrufka</t>
  </si>
  <si>
    <t>XCNWB82JXH8</t>
  </si>
  <si>
    <t>Torbjörn</t>
  </si>
  <si>
    <t>Österdahl</t>
  </si>
  <si>
    <t>GJN3ZH7RG3K</t>
  </si>
  <si>
    <t>Außerlechner</t>
  </si>
  <si>
    <t>GKNY6H6QGCS</t>
  </si>
  <si>
    <t>Jason Sigfred</t>
  </si>
  <si>
    <t>Seril</t>
  </si>
  <si>
    <t>JSN9W2BD59F</t>
  </si>
  <si>
    <t>Jashaswimalya</t>
  </si>
  <si>
    <t>Acharjee</t>
  </si>
  <si>
    <t>FPNLJJD9DTY</t>
  </si>
  <si>
    <t>Wallimann</t>
  </si>
  <si>
    <t>L8NLFPWV223</t>
  </si>
  <si>
    <t>Ifeanyi</t>
  </si>
  <si>
    <t>Azubuike</t>
  </si>
  <si>
    <t>JNNM3Y5D3VY</t>
  </si>
  <si>
    <t>Joko Sarjono</t>
  </si>
  <si>
    <t>Slameto</t>
  </si>
  <si>
    <t>JLNQV92V5QK</t>
  </si>
  <si>
    <t>KMN9NBQ7N2W</t>
  </si>
  <si>
    <t>Flavio</t>
  </si>
  <si>
    <t>Lombardi</t>
  </si>
  <si>
    <t>HMNK7SLYKJT</t>
  </si>
  <si>
    <t>Panepinto</t>
  </si>
  <si>
    <t>LDNRFKRCT44</t>
  </si>
  <si>
    <t>Dale</t>
  </si>
  <si>
    <t>Chizoma</t>
  </si>
  <si>
    <t>PMN2TDNPT4B</t>
  </si>
  <si>
    <t>Konnerth</t>
  </si>
  <si>
    <t>VPN6QCKPSL2</t>
  </si>
  <si>
    <t>Dragos</t>
  </si>
  <si>
    <t>Crintea</t>
  </si>
  <si>
    <t>NCN4BS9TV78</t>
  </si>
  <si>
    <t>Clarke</t>
  </si>
  <si>
    <t>MGN3GQNSFF6</t>
  </si>
  <si>
    <t>Milan</t>
  </si>
  <si>
    <t>Stevanovic</t>
  </si>
  <si>
    <t>NYNRTB7D8YY</t>
  </si>
  <si>
    <t>Stabellini</t>
  </si>
  <si>
    <t>HSNHZSCFJFV</t>
  </si>
  <si>
    <t>Lapchuk</t>
  </si>
  <si>
    <t>NVNKHCJ4TPT</t>
  </si>
  <si>
    <t>Lena</t>
  </si>
  <si>
    <t>Ellfeldt</t>
  </si>
  <si>
    <t>J8NKSG3F9L2</t>
  </si>
  <si>
    <t>Imanol</t>
  </si>
  <si>
    <t>Mugarza</t>
  </si>
  <si>
    <t>JCNDM5ZVBGP</t>
  </si>
  <si>
    <t>Claude</t>
  </si>
  <si>
    <t>Robitaille</t>
  </si>
  <si>
    <t>XGNCJVSQ4S4</t>
  </si>
  <si>
    <t>Turgeon</t>
  </si>
  <si>
    <t>K9NXY2ZTP5C</t>
  </si>
  <si>
    <t>Platon</t>
  </si>
  <si>
    <t>Efstathiadis</t>
  </si>
  <si>
    <t>P8ND7VFKZNX</t>
  </si>
  <si>
    <t>Timo</t>
  </si>
  <si>
    <t>Aho</t>
  </si>
  <si>
    <t>P2NWTQ9X7ZC</t>
  </si>
  <si>
    <t>Lucas</t>
  </si>
  <si>
    <t>Käldström</t>
  </si>
  <si>
    <t>PNN8ZPN7TFX</t>
  </si>
  <si>
    <t>Cecile</t>
  </si>
  <si>
    <t>Leung</t>
  </si>
  <si>
    <t>VNNFPKYP5KG</t>
  </si>
  <si>
    <t>Alexey</t>
  </si>
  <si>
    <t>Leonov</t>
  </si>
  <si>
    <t>NLNDC2PK5YR</t>
  </si>
  <si>
    <t>Nester</t>
  </si>
  <si>
    <t>D9NX33YS9QF</t>
  </si>
  <si>
    <t>Todor</t>
  </si>
  <si>
    <t>Minchev</t>
  </si>
  <si>
    <t>N6NPZZPHRDJ</t>
  </si>
  <si>
    <t>GBNG85D9FHR</t>
  </si>
  <si>
    <t>LRNVTXM9FY5</t>
  </si>
  <si>
    <t>Muiruri</t>
  </si>
  <si>
    <t>Ngugi</t>
  </si>
  <si>
    <t>ZMNBTQGPR9G</t>
  </si>
  <si>
    <t>Bernardo</t>
  </si>
  <si>
    <t>Gamboa</t>
  </si>
  <si>
    <t>NHNZNQZ7C8R</t>
  </si>
  <si>
    <t>karthik</t>
  </si>
  <si>
    <t>poduval</t>
  </si>
  <si>
    <t>J4N67C5P6KT</t>
  </si>
  <si>
    <t>Hall</t>
  </si>
  <si>
    <t>GHNYNKMHBL2</t>
  </si>
  <si>
    <t>Mario</t>
  </si>
  <si>
    <t>Loria</t>
  </si>
  <si>
    <t>FHN5JR345C5</t>
  </si>
  <si>
    <t>Nic</t>
  </si>
  <si>
    <t>Bernstein</t>
  </si>
  <si>
    <t>H2NSWM9XXDX</t>
  </si>
  <si>
    <t>Amar</t>
  </si>
  <si>
    <t>Gowda</t>
  </si>
  <si>
    <t>Z8NZ5VGCWW4</t>
  </si>
  <si>
    <t>Slobodzian</t>
  </si>
  <si>
    <t>QYNMGG57QFD</t>
  </si>
  <si>
    <t>Marc</t>
  </si>
  <si>
    <t>Matthiensen</t>
  </si>
  <si>
    <t>G9NP8SGX6D2</t>
  </si>
  <si>
    <t>Cathy</t>
  </si>
  <si>
    <t>D5NXLVLYWG2</t>
  </si>
  <si>
    <t>Yaniv</t>
  </si>
  <si>
    <t>Ozerzon</t>
  </si>
  <si>
    <t>KKNPBWRVTXF</t>
  </si>
  <si>
    <t>Yasmin</t>
  </si>
  <si>
    <t>Othman</t>
  </si>
  <si>
    <t>H7N54HJD8SQ</t>
  </si>
  <si>
    <t>Bill</t>
  </si>
  <si>
    <t>Sulzen</t>
  </si>
  <si>
    <t>KRNX6CSL9MF</t>
  </si>
  <si>
    <t>Borroff</t>
  </si>
  <si>
    <t>HMNVDTW3DMV</t>
  </si>
  <si>
    <t>Ruying</t>
  </si>
  <si>
    <t>JFNVBSKG38C</t>
  </si>
  <si>
    <t>K8NQ8FK6S8C</t>
  </si>
  <si>
    <t>Richter</t>
  </si>
  <si>
    <t>P4N64C8KQ6Z</t>
  </si>
  <si>
    <t>Matheson</t>
  </si>
  <si>
    <t>DPNQFQPB74M</t>
  </si>
  <si>
    <t>Moses</t>
  </si>
  <si>
    <t>Yang</t>
  </si>
  <si>
    <t>LLNX2Y2LWKG</t>
  </si>
  <si>
    <t>Samer</t>
  </si>
  <si>
    <t>Darras</t>
  </si>
  <si>
    <t>XMN7P73B5X8</t>
  </si>
  <si>
    <t>Bauer</t>
  </si>
  <si>
    <t>L4N2TFBHPHZ</t>
  </si>
  <si>
    <t>Nate</t>
  </si>
  <si>
    <t>Swenson</t>
  </si>
  <si>
    <t>MWNBPR9H2ZR</t>
  </si>
  <si>
    <t>Kloc</t>
  </si>
  <si>
    <t>HRNLLYZPWXD</t>
  </si>
  <si>
    <t>Muir</t>
  </si>
  <si>
    <t>MMNZNZXVFMY</t>
  </si>
  <si>
    <t>HQNSW5HL6GS</t>
  </si>
  <si>
    <t>Lawrence</t>
  </si>
  <si>
    <t>JNNY7PXM6QJ</t>
  </si>
  <si>
    <t>Kavya</t>
  </si>
  <si>
    <t>Pillutla</t>
  </si>
  <si>
    <t>H2NMNL9BG93</t>
  </si>
  <si>
    <t>ZSNZ7YDW9G3</t>
  </si>
  <si>
    <t>Anderson</t>
  </si>
  <si>
    <t>M5N8N3FQW64</t>
  </si>
  <si>
    <t>Divya</t>
  </si>
  <si>
    <t>JSReddy</t>
  </si>
  <si>
    <t>MBNX3QC6QFR</t>
  </si>
  <si>
    <t>Ana</t>
  </si>
  <si>
    <t>Jimenez Santamaria</t>
  </si>
  <si>
    <t>LLNJR3WJ6K4</t>
  </si>
  <si>
    <t>Alexandru</t>
  </si>
  <si>
    <t>Vochescu</t>
  </si>
  <si>
    <t>LBN4LNPTVHL</t>
  </si>
  <si>
    <t>Elston</t>
  </si>
  <si>
    <t>X8NSZ2R5V26</t>
  </si>
  <si>
    <t>Reynaldo</t>
  </si>
  <si>
    <t>Calub</t>
  </si>
  <si>
    <t>LXNDL9VGXWY</t>
  </si>
  <si>
    <t>Nduati</t>
  </si>
  <si>
    <t>N2NGTLW3MR3</t>
  </si>
  <si>
    <t>Arunav</t>
  </si>
  <si>
    <t>Konwar</t>
  </si>
  <si>
    <t>HWNM6MLF8ZT</t>
  </si>
  <si>
    <t>Andre</t>
  </si>
  <si>
    <t>Hesel</t>
  </si>
  <si>
    <t>XKNC42CSL7M</t>
  </si>
  <si>
    <t>Agrawal</t>
  </si>
  <si>
    <t>ZJNG7878LWX</t>
  </si>
  <si>
    <t>ASHUTOSH</t>
  </si>
  <si>
    <t>lelouchB</t>
  </si>
  <si>
    <t>NCNZ29S7N3B</t>
  </si>
  <si>
    <t>Harsh</t>
  </si>
  <si>
    <t>VFNT6553GKV</t>
  </si>
  <si>
    <t>Sakshi</t>
  </si>
  <si>
    <t>Munjal</t>
  </si>
  <si>
    <t>QYNNW6HJXMP</t>
  </si>
  <si>
    <t>Abhishek</t>
  </si>
  <si>
    <t>Tamrakar</t>
  </si>
  <si>
    <t>K4N9VXYG2KD</t>
  </si>
  <si>
    <t>Chirag</t>
  </si>
  <si>
    <t>Anilkumar</t>
  </si>
  <si>
    <t>NDN726HHDBF</t>
  </si>
  <si>
    <t>Ankit</t>
  </si>
  <si>
    <t>Ranjan</t>
  </si>
  <si>
    <t>J6NX34SL4YX</t>
  </si>
  <si>
    <t>Beatrice</t>
  </si>
  <si>
    <t>P.</t>
  </si>
  <si>
    <t>J8N62VTF2MF</t>
  </si>
  <si>
    <t>Manuel Alejandro</t>
  </si>
  <si>
    <t>Gutierrez</t>
  </si>
  <si>
    <t>PBNVN6MRXVB</t>
  </si>
  <si>
    <t>Caamano</t>
  </si>
  <si>
    <t>QYN6V78D6HT</t>
  </si>
  <si>
    <t>Guillaume</t>
  </si>
  <si>
    <t>J3NVFVK37MB</t>
  </si>
  <si>
    <t>Crt</t>
  </si>
  <si>
    <t>Mori</t>
  </si>
  <si>
    <t>GSNN36W9JYJ</t>
  </si>
  <si>
    <t>Philipp</t>
  </si>
  <si>
    <t>Tomsich</t>
  </si>
  <si>
    <t>X6NKGVSFDL3</t>
  </si>
  <si>
    <t>Camilo</t>
  </si>
  <si>
    <t>Bravo</t>
  </si>
  <si>
    <t>V8NDQ5HK26Z</t>
  </si>
  <si>
    <t>Merrick</t>
  </si>
  <si>
    <t>L9NL4P24VFT</t>
  </si>
  <si>
    <t>Arun Kishor</t>
  </si>
  <si>
    <t>Sahani</t>
  </si>
  <si>
    <t>VXNPXJ69GKZ</t>
  </si>
  <si>
    <t>Blanca</t>
  </si>
  <si>
    <t>Amigot</t>
  </si>
  <si>
    <t>NQNLSKRCM8V</t>
  </si>
  <si>
    <t>Elizabeth</t>
  </si>
  <si>
    <t>Z7NLH9N6MCB</t>
  </si>
  <si>
    <t>Shilla</t>
  </si>
  <si>
    <t>Saebi</t>
  </si>
  <si>
    <t>GWNSM5KRK95</t>
  </si>
  <si>
    <t>Kanner</t>
  </si>
  <si>
    <t>J8NXWCV3YZZ</t>
  </si>
  <si>
    <t>Siemon</t>
  </si>
  <si>
    <t>VTNQHRRWJ3X</t>
  </si>
  <si>
    <t>Plamen</t>
  </si>
  <si>
    <t>Balzhiev</t>
  </si>
  <si>
    <t>ZNNWYRHPVWC</t>
  </si>
  <si>
    <t>Ileana</t>
  </si>
  <si>
    <t>Petrisor</t>
  </si>
  <si>
    <t>H9NJJNF9TN3</t>
  </si>
  <si>
    <t>K3NPZS5ZLYF</t>
  </si>
  <si>
    <t>D9NDB8QWBKQ</t>
  </si>
  <si>
    <t>keith</t>
  </si>
  <si>
    <t>bottrill</t>
  </si>
  <si>
    <t>DNN7FNCSZ8V</t>
  </si>
  <si>
    <t>Shane</t>
  </si>
  <si>
    <t>VKNHD69GGLD</t>
  </si>
  <si>
    <t>Marianne</t>
  </si>
  <si>
    <t>H3N9YKFLSMX</t>
  </si>
  <si>
    <t>Marian</t>
  </si>
  <si>
    <t>Marinov</t>
  </si>
  <si>
    <t>F9NJFGK7QQ9</t>
  </si>
  <si>
    <t>Doug</t>
  </si>
  <si>
    <t>Konkin</t>
  </si>
  <si>
    <t>XJN375DKWDR</t>
  </si>
  <si>
    <t>Körbächer</t>
  </si>
  <si>
    <t>GZNDYN3NS3C</t>
  </si>
  <si>
    <t>TARS</t>
  </si>
  <si>
    <t>TarsCloud</t>
  </si>
  <si>
    <t>GQN5B6GX2XP</t>
  </si>
  <si>
    <t>John Lornel</t>
  </si>
  <si>
    <t>JHNKYNWCFBD</t>
  </si>
  <si>
    <t>Minh</t>
  </si>
  <si>
    <t>Tran</t>
  </si>
  <si>
    <t>HQNWTRVYRYD</t>
  </si>
  <si>
    <t>Bobbi</t>
  </si>
  <si>
    <t>Wood</t>
  </si>
  <si>
    <t>DDNPMCTPGSP</t>
  </si>
  <si>
    <t>Kroah-Hartman</t>
  </si>
  <si>
    <t>HPNWQT3LTYJ</t>
  </si>
  <si>
    <t>Hanif</t>
  </si>
  <si>
    <t>Bharmal</t>
  </si>
  <si>
    <t>DQNKKNML8CY</t>
  </si>
  <si>
    <t>Amye</t>
  </si>
  <si>
    <t>Scavarda</t>
  </si>
  <si>
    <t>H2NFS73TG4Y</t>
  </si>
  <si>
    <t>Graham</t>
  </si>
  <si>
    <t>Bury</t>
  </si>
  <si>
    <t>VGN4GQ7DG3B</t>
  </si>
  <si>
    <t>jeff</t>
  </si>
  <si>
    <t>hewett</t>
  </si>
  <si>
    <t>MRN9FTXHSSH</t>
  </si>
  <si>
    <t>Phil</t>
  </si>
  <si>
    <t>Rasori</t>
  </si>
  <si>
    <t>HLNBK37XX9J</t>
  </si>
  <si>
    <t>Jilayne</t>
  </si>
  <si>
    <t>Lovejoy</t>
  </si>
  <si>
    <t>H5N4Q6D49TW</t>
  </si>
  <si>
    <t>Macartney</t>
  </si>
  <si>
    <t>NRNRPBDP2GZ</t>
  </si>
  <si>
    <t>Dowd</t>
  </si>
  <si>
    <t>VCNH2J89398</t>
  </si>
  <si>
    <t>Chow</t>
  </si>
  <si>
    <t>HHNCFJCRWMH</t>
  </si>
  <si>
    <t>Chaitanya</t>
  </si>
  <si>
    <t>Vadrevu</t>
  </si>
  <si>
    <t>H2NNV2KZG4B</t>
  </si>
  <si>
    <t>Montiean</t>
  </si>
  <si>
    <t>Noktes</t>
  </si>
  <si>
    <t>PFNQTTL763M</t>
  </si>
  <si>
    <t>Reock</t>
  </si>
  <si>
    <t>G3N5XLC9NJT</t>
  </si>
  <si>
    <t>Sarah</t>
  </si>
  <si>
    <t>Signore</t>
  </si>
  <si>
    <t>DYN2Z6L8N2B</t>
  </si>
  <si>
    <t>Palatnick</t>
  </si>
  <si>
    <t>PFN4XSLRG2S</t>
  </si>
  <si>
    <t>MA</t>
  </si>
  <si>
    <t>Howard</t>
  </si>
  <si>
    <t>X7NZL7ZS86L</t>
  </si>
  <si>
    <t>Meltem</t>
  </si>
  <si>
    <t>Ozsoy</t>
  </si>
  <si>
    <t>KRNH9HWH9M4</t>
  </si>
  <si>
    <t>XBNPDXVMSYM</t>
  </si>
  <si>
    <t>Yammiyavar</t>
  </si>
  <si>
    <t>X2NSN9D6286</t>
  </si>
  <si>
    <t>Vihon</t>
  </si>
  <si>
    <t>FMNFMVDVMQ5</t>
  </si>
  <si>
    <t>Kennie</t>
  </si>
  <si>
    <t>Cruz</t>
  </si>
  <si>
    <t>K2NJGY8X4LL</t>
  </si>
  <si>
    <t>D3NH95HNVQY</t>
  </si>
  <si>
    <t>Blum</t>
  </si>
  <si>
    <t>DCNZS28XQBV</t>
  </si>
  <si>
    <t>Allison</t>
  </si>
  <si>
    <t>Rogutich</t>
  </si>
  <si>
    <t>FBNNV873L3S</t>
  </si>
  <si>
    <t>Jesse</t>
  </si>
  <si>
    <t>Greer</t>
  </si>
  <si>
    <t>NRN8W9TZLZZ</t>
  </si>
  <si>
    <t>Veronica</t>
  </si>
  <si>
    <t>Cooley</t>
  </si>
  <si>
    <t>D5NFP3KDRLS</t>
  </si>
  <si>
    <t>McKey</t>
  </si>
  <si>
    <t>H2N6FN575T5</t>
  </si>
  <si>
    <t>Francis</t>
  </si>
  <si>
    <t>KLNG73H254X</t>
  </si>
  <si>
    <t>Christina</t>
  </si>
  <si>
    <t>Harter</t>
  </si>
  <si>
    <t>Z7NQBW8H2RD</t>
  </si>
  <si>
    <t>Sheetal Chetan</t>
  </si>
  <si>
    <t>Singala</t>
  </si>
  <si>
    <t>MYNKMF2BK42</t>
  </si>
  <si>
    <t>Vernon</t>
  </si>
  <si>
    <t>Turner</t>
  </si>
  <si>
    <t>MFNFV2JVBVL</t>
  </si>
  <si>
    <t>Bradley</t>
  </si>
  <si>
    <t>Spengler</t>
  </si>
  <si>
    <t>D8NSJ2MX6FS</t>
  </si>
  <si>
    <t>Jamie</t>
  </si>
  <si>
    <t>O'Sullivan</t>
  </si>
  <si>
    <t>G4NC9DBWPLQ</t>
  </si>
  <si>
    <t>Gerasimov</t>
  </si>
  <si>
    <t>DYNQX9CLLPG</t>
  </si>
  <si>
    <t>Horia</t>
  </si>
  <si>
    <t>Geantă</t>
  </si>
  <si>
    <t>ZXNF6XDP42W</t>
  </si>
  <si>
    <t>Georgi</t>
  </si>
  <si>
    <t>Yanev</t>
  </si>
  <si>
    <t>V3NRMGVLQ46</t>
  </si>
  <si>
    <t>Birgir</t>
  </si>
  <si>
    <t>Stefansson</t>
  </si>
  <si>
    <t>GHNGLCHXJ5T</t>
  </si>
  <si>
    <t>Shivamurthy</t>
  </si>
  <si>
    <t>Shastri</t>
  </si>
  <si>
    <t>DDNP2FQP3JC</t>
  </si>
  <si>
    <t>Wentao</t>
  </si>
  <si>
    <t>Liu</t>
  </si>
  <si>
    <t>PNN522PD4MJ</t>
  </si>
  <si>
    <t>Wanda</t>
  </si>
  <si>
    <t>J2NWDSL2NFR</t>
  </si>
  <si>
    <t>Marion</t>
  </si>
  <si>
    <t>Deveaud</t>
  </si>
  <si>
    <t>MZNTVLVC3KG</t>
  </si>
  <si>
    <t>Gosling</t>
  </si>
  <si>
    <t>MHNFSFC97SV</t>
  </si>
  <si>
    <t>Jiang</t>
  </si>
  <si>
    <t>DCND2JKM97M</t>
  </si>
  <si>
    <t>Charles-Alexis</t>
  </si>
  <si>
    <t>Lefebvre</t>
  </si>
  <si>
    <t>JRN49VDT4FF</t>
  </si>
  <si>
    <t>RAUL E.</t>
  </si>
  <si>
    <t>PENA</t>
  </si>
  <si>
    <t>MFNNKNXJXCB</t>
  </si>
  <si>
    <t>Ukaoma</t>
  </si>
  <si>
    <t>HJNQYRFHL5X</t>
  </si>
  <si>
    <t>Harry</t>
  </si>
  <si>
    <t>Sitorus</t>
  </si>
  <si>
    <t>MCNMLWKHXQF</t>
  </si>
  <si>
    <t>Blake</t>
  </si>
  <si>
    <t>Vermeer</t>
  </si>
  <si>
    <t>HHNQQXM8DRN</t>
  </si>
  <si>
    <t>Ashish</t>
  </si>
  <si>
    <t>Kashinath</t>
  </si>
  <si>
    <t>LGNTFBFBR7F</t>
  </si>
  <si>
    <t>Serafin</t>
  </si>
  <si>
    <t>V3N4SCWWH5B</t>
  </si>
  <si>
    <t>Nishanth</t>
  </si>
  <si>
    <t>Menon</t>
  </si>
  <si>
    <t>FQND7VJGCMJ</t>
  </si>
  <si>
    <t>Bągard</t>
  </si>
  <si>
    <t>DBNQ2VFVBNV</t>
  </si>
  <si>
    <t>Glaisher</t>
  </si>
  <si>
    <t>PDNDZQRH5DX</t>
  </si>
  <si>
    <t>Petr</t>
  </si>
  <si>
    <t>Bokoc</t>
  </si>
  <si>
    <t>GSN74B3MHK4</t>
  </si>
  <si>
    <t>Pam</t>
  </si>
  <si>
    <t>MCNP7T33DQ2</t>
  </si>
  <si>
    <t>Gracia</t>
  </si>
  <si>
    <t>F2N9DHHX3BT</t>
  </si>
  <si>
    <t>Tia</t>
  </si>
  <si>
    <t>Louden</t>
  </si>
  <si>
    <t>KNNHD2HJXSW</t>
  </si>
  <si>
    <t>Boaz</t>
  </si>
  <si>
    <t>Harrosh</t>
  </si>
  <si>
    <t>L3NFNNW88NK</t>
  </si>
  <si>
    <t>McIlvaney</t>
  </si>
  <si>
    <t>VRND8GBDK5Q</t>
  </si>
  <si>
    <t>Joey</t>
  </si>
  <si>
    <t>Looney</t>
  </si>
  <si>
    <t>LLNN4SZNG3Q</t>
  </si>
  <si>
    <t>Delaney</t>
  </si>
  <si>
    <t>NSN8J62SWG2</t>
  </si>
  <si>
    <t>Pekrul</t>
  </si>
  <si>
    <t>LGNQDNKPV49</t>
  </si>
  <si>
    <t>McCain</t>
  </si>
  <si>
    <t>ZTN5B87GFH3</t>
  </si>
  <si>
    <t>McKown</t>
  </si>
  <si>
    <t>FRNZ2D3WDRC</t>
  </si>
  <si>
    <t>ZDN8JZL69QD</t>
  </si>
  <si>
    <t>Gaul</t>
  </si>
  <si>
    <t>Z2NVZSLDS35</t>
  </si>
  <si>
    <t>L8N98PH8C5J</t>
  </si>
  <si>
    <t>Rackliffe</t>
  </si>
  <si>
    <t>JQNCV3V5RVS</t>
  </si>
  <si>
    <t>Nikunj</t>
  </si>
  <si>
    <t>Kela</t>
  </si>
  <si>
    <t>LVNCHR7ZXKY</t>
  </si>
  <si>
    <t>Frederic</t>
  </si>
  <si>
    <t>Branczyk</t>
  </si>
  <si>
    <t>FPNPZFLMP5V</t>
  </si>
  <si>
    <t>e só</t>
  </si>
  <si>
    <t>GPNWCRKC7QV</t>
  </si>
  <si>
    <t>Utsav</t>
  </si>
  <si>
    <t>Akruwala</t>
  </si>
  <si>
    <t>PWN7B8RXXH2</t>
  </si>
  <si>
    <t>Joerg</t>
  </si>
  <si>
    <t>Kuenstner</t>
  </si>
  <si>
    <t>F2NDGFBFHFT</t>
  </si>
  <si>
    <t>Isah</t>
  </si>
  <si>
    <t>Idris</t>
  </si>
  <si>
    <t>Z5NKZYS98YF</t>
  </si>
  <si>
    <t>FDN7DJ68FF2</t>
  </si>
  <si>
    <t>Muki</t>
  </si>
  <si>
    <t>V S</t>
  </si>
  <si>
    <t>ZGNH9238PP2</t>
  </si>
  <si>
    <t>Emre</t>
  </si>
  <si>
    <t>Bayram</t>
  </si>
  <si>
    <t>DVNRFZNG7HM</t>
  </si>
  <si>
    <t>GILBERT</t>
  </si>
  <si>
    <t>IMBAYI</t>
  </si>
  <si>
    <t>MFNYGJK2CK6</t>
  </si>
  <si>
    <t>saiyam</t>
  </si>
  <si>
    <t>pathak</t>
  </si>
  <si>
    <t>H3NZDBDQ8H3</t>
  </si>
  <si>
    <t>Madhusudanan</t>
  </si>
  <si>
    <t>GK</t>
  </si>
  <si>
    <t>V7NLW66CFTB</t>
  </si>
  <si>
    <t>Bupe</t>
  </si>
  <si>
    <t>Mvula</t>
  </si>
  <si>
    <t>JXNH739FHRG</t>
  </si>
  <si>
    <t>Shri</t>
  </si>
  <si>
    <t>Sawant</t>
  </si>
  <si>
    <t>P4NNWGNN4Z3</t>
  </si>
  <si>
    <t>Alnajem</t>
  </si>
  <si>
    <t>H9NHH9SXD8Y</t>
  </si>
  <si>
    <t>Snehal</t>
  </si>
  <si>
    <t>Wadode</t>
  </si>
  <si>
    <t>HNNS5NVW94K</t>
  </si>
  <si>
    <t>LINDOLFO</t>
  </si>
  <si>
    <t>REINERT</t>
  </si>
  <si>
    <t>NNN5DV45489</t>
  </si>
  <si>
    <t>Andrade</t>
  </si>
  <si>
    <t>MYN2WD7XBPL</t>
  </si>
  <si>
    <t>Satish</t>
  </si>
  <si>
    <t>Jadhav</t>
  </si>
  <si>
    <t>FTNHRP59Z7R</t>
  </si>
  <si>
    <t>anadi</t>
  </si>
  <si>
    <t>sharma</t>
  </si>
  <si>
    <t>H7NLY45D45Z</t>
  </si>
  <si>
    <t>Rocco</t>
  </si>
  <si>
    <t>Folino</t>
  </si>
  <si>
    <t>L8NSGLWGD4T</t>
  </si>
  <si>
    <t>Townsend</t>
  </si>
  <si>
    <t>P2NMBLVNNKZ</t>
  </si>
  <si>
    <t>Arnd</t>
  </si>
  <si>
    <t>Bergmann</t>
  </si>
  <si>
    <t>G6N7Y5H2XQV</t>
  </si>
  <si>
    <t>Boreham</t>
  </si>
  <si>
    <t>X5NNMG7J2XF</t>
  </si>
  <si>
    <t>Hiroshi</t>
  </si>
  <si>
    <t>Kosaka</t>
  </si>
  <si>
    <t>GTN436C4TVZ</t>
  </si>
  <si>
    <t>Fenton</t>
  </si>
  <si>
    <t>M9NTB5MZX5G</t>
  </si>
  <si>
    <t>Vivian</t>
  </si>
  <si>
    <t>P4NC55NFGVK</t>
  </si>
  <si>
    <t>Sai</t>
  </si>
  <si>
    <t>ZPNN5PQCBZK</t>
  </si>
  <si>
    <t>Queiroz Corrêa</t>
  </si>
  <si>
    <t>MSNSRMDL6N3</t>
  </si>
  <si>
    <t>Sumanta</t>
  </si>
  <si>
    <t>Banerjee</t>
  </si>
  <si>
    <t>N3NJXTVK4KH</t>
  </si>
  <si>
    <t>sushantha</t>
  </si>
  <si>
    <t>kumar</t>
  </si>
  <si>
    <t>Z9NNP2L3PRF</t>
  </si>
  <si>
    <t>shashank</t>
  </si>
  <si>
    <t>kanojiya</t>
  </si>
  <si>
    <t>MQNC5BJST8G</t>
  </si>
  <si>
    <t>HLNFRPXHPYQ</t>
  </si>
  <si>
    <t>Pushpinder Pal</t>
  </si>
  <si>
    <t>KTNDRBHCT8Y</t>
  </si>
  <si>
    <t>srinivas</t>
  </si>
  <si>
    <t>tadepalli</t>
  </si>
  <si>
    <t>P3NVLLK92S8</t>
  </si>
  <si>
    <t>Fernando</t>
  </si>
  <si>
    <t>Pedraza</t>
  </si>
  <si>
    <t>LBNSSWQC87S</t>
  </si>
  <si>
    <t>Carrillo</t>
  </si>
  <si>
    <t>H5NFBVW66WM</t>
  </si>
  <si>
    <t>Kashyap</t>
  </si>
  <si>
    <t>Chamarthy</t>
  </si>
  <si>
    <t>XKNWRVTGW5T</t>
  </si>
  <si>
    <t>Galvanini</t>
  </si>
  <si>
    <t>M3NGJPQYDQZ</t>
  </si>
  <si>
    <t>GKN5XNYFGNX</t>
  </si>
  <si>
    <t>Maffulli</t>
  </si>
  <si>
    <t>G4NDYKW2FF2</t>
  </si>
  <si>
    <t>Fornero</t>
  </si>
  <si>
    <t>FFNCRSQGVXL</t>
  </si>
  <si>
    <t>ZVNPJXM2F9G</t>
  </si>
  <si>
    <t>Asem</t>
  </si>
  <si>
    <t>M2NQVL6CSLW</t>
  </si>
  <si>
    <t>Cabrera</t>
  </si>
  <si>
    <t>V3NR34SSB6J</t>
  </si>
  <si>
    <t>Egil</t>
  </si>
  <si>
    <t>Ølberg</t>
  </si>
  <si>
    <t>XYN5K4VTJSD</t>
  </si>
  <si>
    <t>Anastasia</t>
  </si>
  <si>
    <t>Dimakopoulou</t>
  </si>
  <si>
    <t>F2NQBBT7GF5</t>
  </si>
  <si>
    <t>Schoepfer</t>
  </si>
  <si>
    <t>FYNFGQJRPP7</t>
  </si>
  <si>
    <t>Marc-Antoine</t>
  </si>
  <si>
    <t>HWNXVNN6NWX</t>
  </si>
  <si>
    <t>Humam</t>
  </si>
  <si>
    <t>Alkinani</t>
  </si>
  <si>
    <t>GLN2BCFJ2T9</t>
  </si>
  <si>
    <t>Nico</t>
  </si>
  <si>
    <t>Boehr</t>
  </si>
  <si>
    <t>HWN38FSBL8J</t>
  </si>
  <si>
    <t>Niclas</t>
  </si>
  <si>
    <t>Grande</t>
  </si>
  <si>
    <t>PBNFJ9334Y8</t>
  </si>
  <si>
    <t>Josef</t>
  </si>
  <si>
    <t>Holzmayr-Khosh Amoz</t>
  </si>
  <si>
    <t>G9NZ5HMLH8N</t>
  </si>
  <si>
    <t>Adele</t>
  </si>
  <si>
    <t>D</t>
  </si>
  <si>
    <t>P5NXZNZK64W</t>
  </si>
  <si>
    <t>Bowser</t>
  </si>
  <si>
    <t>FBNZD8FHFKV</t>
  </si>
  <si>
    <t>Bartel</t>
  </si>
  <si>
    <t>PVNL6D9DRJ8</t>
  </si>
  <si>
    <t>Yiyang</t>
  </si>
  <si>
    <t>Su</t>
  </si>
  <si>
    <t>FVNGFDPTVKJ</t>
  </si>
  <si>
    <t>Pinte</t>
  </si>
  <si>
    <t>Laurentiu</t>
  </si>
  <si>
    <t>K8NN8WNG7Y3</t>
  </si>
  <si>
    <t>Nikola</t>
  </si>
  <si>
    <t>Trajic</t>
  </si>
  <si>
    <t>NSNC3K4JBNC</t>
  </si>
  <si>
    <t>Serge</t>
  </si>
  <si>
    <t>Hallyn</t>
  </si>
  <si>
    <t>G9NBX2PHCYB</t>
  </si>
  <si>
    <t>Tasman</t>
  </si>
  <si>
    <t>PLNMRFL8ZPV</t>
  </si>
  <si>
    <t>Burch</t>
  </si>
  <si>
    <t>XLN6YR6JYRL</t>
  </si>
  <si>
    <t>Streiff</t>
  </si>
  <si>
    <t>NSNGSRDNGPF</t>
  </si>
  <si>
    <t>Bitner</t>
  </si>
  <si>
    <t>DFN648YY467</t>
  </si>
  <si>
    <t>Pramod Raghavendra</t>
  </si>
  <si>
    <t>Jayathirth</t>
  </si>
  <si>
    <t>JRNJTH3CMRQ</t>
  </si>
  <si>
    <t>Tikekar</t>
  </si>
  <si>
    <t>HYNCDKH38KR</t>
  </si>
  <si>
    <t>dj</t>
  </si>
  <si>
    <t>spry</t>
  </si>
  <si>
    <t>HMNR7J7PWQT</t>
  </si>
  <si>
    <t>Baba</t>
  </si>
  <si>
    <t>Seidu</t>
  </si>
  <si>
    <t>VWNCZ7H39LQ</t>
  </si>
  <si>
    <t>Maia</t>
  </si>
  <si>
    <t>Kelner</t>
  </si>
  <si>
    <t>FMN6C63MRY4</t>
  </si>
  <si>
    <t>Doko</t>
  </si>
  <si>
    <t>DNNDZDZNNDW</t>
  </si>
  <si>
    <t>Hershberger</t>
  </si>
  <si>
    <t>GNNDWKT3CP2</t>
  </si>
  <si>
    <t>Nair</t>
  </si>
  <si>
    <t>NGNF2CQM46K</t>
  </si>
  <si>
    <t>Nadia</t>
  </si>
  <si>
    <t>Yudina</t>
  </si>
  <si>
    <t>VKN7GHVLGWX</t>
  </si>
  <si>
    <t>Avraham</t>
  </si>
  <si>
    <t>Shukron</t>
  </si>
  <si>
    <t>PGNT3BSV46N</t>
  </si>
  <si>
    <t>Declan</t>
  </si>
  <si>
    <t>Feathr</t>
  </si>
  <si>
    <t>XPNLCR2LC23</t>
  </si>
  <si>
    <t>Pizarro</t>
  </si>
  <si>
    <t>PKNJPT26V5V</t>
  </si>
  <si>
    <t>Amir</t>
  </si>
  <si>
    <t>Leopold</t>
  </si>
  <si>
    <t>HHNFSVVSP7H</t>
  </si>
  <si>
    <t>Biram</t>
  </si>
  <si>
    <t>NWNW8GYZ974</t>
  </si>
  <si>
    <t>Jocelyn</t>
  </si>
  <si>
    <t>XDNHT6SM3VQ</t>
  </si>
  <si>
    <t>eli</t>
  </si>
  <si>
    <t>berry</t>
  </si>
  <si>
    <t>VKNYJ2V6B7G</t>
  </si>
  <si>
    <t>Maureen</t>
  </si>
  <si>
    <t>Helm</t>
  </si>
  <si>
    <t>DGNXHGQ7TSG</t>
  </si>
  <si>
    <t>Huseyin</t>
  </si>
  <si>
    <t>Kandir</t>
  </si>
  <si>
    <t>MGN2NDC62JP</t>
  </si>
  <si>
    <t>Elger</t>
  </si>
  <si>
    <t>NJN59ZTNYGX</t>
  </si>
  <si>
    <t>Saravanan</t>
  </si>
  <si>
    <t>Somasundaram</t>
  </si>
  <si>
    <t>K5NJWSVG2TQ</t>
  </si>
  <si>
    <t>Nick</t>
  </si>
  <si>
    <t>Neisen</t>
  </si>
  <si>
    <t>GQNDPLPL2SN</t>
  </si>
  <si>
    <t>Andrzej</t>
  </si>
  <si>
    <t>Szelemetko</t>
  </si>
  <si>
    <t>VKNJGHRTXN2</t>
  </si>
  <si>
    <t>Massenzio</t>
  </si>
  <si>
    <t>VWNLDTWWPCK</t>
  </si>
  <si>
    <t>Tin</t>
  </si>
  <si>
    <t>Matienzo</t>
  </si>
  <si>
    <t>H5NZJK6XYZQ</t>
  </si>
  <si>
    <t>Rostedt</t>
  </si>
  <si>
    <t>MPNKPBR4XDL</t>
  </si>
  <si>
    <t>Saikiran</t>
  </si>
  <si>
    <t>Yerram</t>
  </si>
  <si>
    <t>N8NJ4NGHY9B</t>
  </si>
  <si>
    <t>Stephano</t>
  </si>
  <si>
    <t>Cetola</t>
  </si>
  <si>
    <t>VJN77VRKYPM</t>
  </si>
  <si>
    <t>Dionym</t>
  </si>
  <si>
    <t>Medrano</t>
  </si>
  <si>
    <t>G6N4YRRFYFF</t>
  </si>
  <si>
    <t>Poljak</t>
  </si>
  <si>
    <t>NGNW9W5V5TB</t>
  </si>
  <si>
    <t>Germán</t>
  </si>
  <si>
    <t>Poo-Caamaño</t>
  </si>
  <si>
    <t>NFNWS6RNF52</t>
  </si>
  <si>
    <t>Braunson</t>
  </si>
  <si>
    <t>Mazoka</t>
  </si>
  <si>
    <t>JBNKYKLHVK7</t>
  </si>
  <si>
    <t>Seyed Mohammad</t>
  </si>
  <si>
    <t>Hosseini</t>
  </si>
  <si>
    <t>M4NNRJH948Q</t>
  </si>
  <si>
    <t>Karaplis</t>
  </si>
  <si>
    <t>KGNC6PDWY9S</t>
  </si>
  <si>
    <t>Botha</t>
  </si>
  <si>
    <t>PZNGJFXPBH2</t>
  </si>
  <si>
    <t>Theodotos</t>
  </si>
  <si>
    <t>Andreou</t>
  </si>
  <si>
    <t>VLNQJKJBTD2</t>
  </si>
  <si>
    <t>Wandering</t>
  </si>
  <si>
    <t>Glitch</t>
  </si>
  <si>
    <t>GDNKK3B9BBJ</t>
  </si>
  <si>
    <t>Cromartie</t>
  </si>
  <si>
    <t>MZN82X2PNNM</t>
  </si>
  <si>
    <t>Piotr</t>
  </si>
  <si>
    <t>Kasierski</t>
  </si>
  <si>
    <t>M4NFDLTDJZT</t>
  </si>
  <si>
    <t>Schneweis</t>
  </si>
  <si>
    <t>HTNVJN8GSBL</t>
  </si>
  <si>
    <t>Alpesh</t>
  </si>
  <si>
    <t>FKNVHN8PR62</t>
  </si>
  <si>
    <t>H5N8FPG5FTX</t>
  </si>
  <si>
    <t>Whitfield</t>
  </si>
  <si>
    <t>PMN4FFZ34J7</t>
  </si>
  <si>
    <t>Dwyer</t>
  </si>
  <si>
    <t>PHNBTP85JGJ</t>
  </si>
  <si>
    <t>ZRN98QR965M</t>
  </si>
  <si>
    <t>Orzeł</t>
  </si>
  <si>
    <t>MTN2YVG4FDY</t>
  </si>
  <si>
    <t>Naomi</t>
  </si>
  <si>
    <t>Washington</t>
  </si>
  <si>
    <t>DJNVC4KWX7V</t>
  </si>
  <si>
    <t>Isaac</t>
  </si>
  <si>
    <t>Hillard</t>
  </si>
  <si>
    <t>LNNZ9RX5WTB</t>
  </si>
  <si>
    <t>Gina</t>
  </si>
  <si>
    <t>Helfrich</t>
  </si>
  <si>
    <t>F9NYR8R2F27</t>
  </si>
  <si>
    <t>Da</t>
  </si>
  <si>
    <t>Xue</t>
  </si>
  <si>
    <t>VGN8VZ5TJPM</t>
  </si>
  <si>
    <t>Raminder</t>
  </si>
  <si>
    <t>Chhatwal</t>
  </si>
  <si>
    <t>M2NFJ5XQSFW</t>
  </si>
  <si>
    <t>Leffew</t>
  </si>
  <si>
    <t>M5NSRDXTFY9</t>
  </si>
  <si>
    <t>Wimmer</t>
  </si>
  <si>
    <t>H5NYB54GGCB</t>
  </si>
  <si>
    <t>Birunt</t>
  </si>
  <si>
    <t>X9N2RXMSSD9</t>
  </si>
  <si>
    <t>Montgomery</t>
  </si>
  <si>
    <t>ZVNBTD6VZDJ</t>
  </si>
  <si>
    <t>Inzunza</t>
  </si>
  <si>
    <t>ZWNLBZ2Z9RB</t>
  </si>
  <si>
    <t>FMNRZYRVHFG</t>
  </si>
  <si>
    <t>Butler</t>
  </si>
  <si>
    <t>X3NMP6KQJZY</t>
  </si>
  <si>
    <t>Sandrine</t>
  </si>
  <si>
    <t>Sienche</t>
  </si>
  <si>
    <t>G6NGW6BXMC8</t>
  </si>
  <si>
    <t>Jeremiah</t>
  </si>
  <si>
    <t>HJN4H6WQHLH</t>
  </si>
  <si>
    <t>Gonda</t>
  </si>
  <si>
    <t>LTNF7VJYV24</t>
  </si>
  <si>
    <t>Madriaga</t>
  </si>
  <si>
    <t>P9NBHR92QPV</t>
  </si>
  <si>
    <t>Morris</t>
  </si>
  <si>
    <t>MDNPVDYTXD8</t>
  </si>
  <si>
    <t>Vandana</t>
  </si>
  <si>
    <t>MXN9TTSK2TS</t>
  </si>
  <si>
    <t>Mukul</t>
  </si>
  <si>
    <t>Maheshwari</t>
  </si>
  <si>
    <t>JBNS6F7C72Y</t>
  </si>
  <si>
    <t>Apeksha</t>
  </si>
  <si>
    <t>Manchanda</t>
  </si>
  <si>
    <t>LYNF8KKZGRZ</t>
  </si>
  <si>
    <t>Nishin</t>
  </si>
  <si>
    <t>Vasu</t>
  </si>
  <si>
    <t>MQNMZC8TNT3</t>
  </si>
  <si>
    <t>Samieullah</t>
  </si>
  <si>
    <t>Rana</t>
  </si>
  <si>
    <t>G6N44GX6NPB</t>
  </si>
  <si>
    <t>Swapnil</t>
  </si>
  <si>
    <t>Jha</t>
  </si>
  <si>
    <t>V5N2V9LTTDV</t>
  </si>
  <si>
    <t>Sanjaya</t>
  </si>
  <si>
    <t>Poudel</t>
  </si>
  <si>
    <t>NNNGRM6GZKW</t>
  </si>
  <si>
    <t>D2NG6F6C9WB</t>
  </si>
  <si>
    <t>DCN6FXGDJFV</t>
  </si>
  <si>
    <t>Sigurdur</t>
  </si>
  <si>
    <t>Skulason</t>
  </si>
  <si>
    <t>G6NRFNMQQLK</t>
  </si>
  <si>
    <t>Alejandro Fabian</t>
  </si>
  <si>
    <t>Salido Valdez</t>
  </si>
  <si>
    <t>X7NRQJ6PWXS</t>
  </si>
  <si>
    <t>Ephraim</t>
  </si>
  <si>
    <t>Efison</t>
  </si>
  <si>
    <t>GKN34WWDXJC</t>
  </si>
  <si>
    <t>NVN9PVKWVTZ</t>
  </si>
  <si>
    <t>Lindsey</t>
  </si>
  <si>
    <t>Thorne</t>
  </si>
  <si>
    <t>F8NZKD9SB5Q</t>
  </si>
  <si>
    <t>Prageeth</t>
  </si>
  <si>
    <t>KS</t>
  </si>
  <si>
    <t>K3NKTZL4C8Z</t>
  </si>
  <si>
    <t>Hoa</t>
  </si>
  <si>
    <t>Dang</t>
  </si>
  <si>
    <t>FKNTFVLC4QP</t>
  </si>
  <si>
    <t>Mažec</t>
  </si>
  <si>
    <t>FVN4LD9DPWB</t>
  </si>
  <si>
    <t>Takehisa</t>
  </si>
  <si>
    <t>Katayama</t>
  </si>
  <si>
    <t>KXNJ4NR3P9L</t>
  </si>
  <si>
    <t>Scherer</t>
  </si>
  <si>
    <t>MBN648HR8CW</t>
  </si>
  <si>
    <t>Steenbergen</t>
  </si>
  <si>
    <t>DJNL2P4MJQS</t>
  </si>
  <si>
    <t>ralfrachinger@gmail.com</t>
  </si>
  <si>
    <t>LVNZWFTXSY4</t>
  </si>
  <si>
    <t>Cord</t>
  </si>
  <si>
    <t>Elias</t>
  </si>
  <si>
    <t>FPNF4LHFC7L</t>
  </si>
  <si>
    <t>Saheed</t>
  </si>
  <si>
    <t>Bolarinwa</t>
  </si>
  <si>
    <t>F5N3PSXX7L2</t>
  </si>
  <si>
    <t>Vanderlip</t>
  </si>
  <si>
    <t>VDN9KRB2GZ9</t>
  </si>
  <si>
    <t>Shadeckd</t>
  </si>
  <si>
    <t>DQNWZKHTBKP</t>
  </si>
  <si>
    <t>Rothbauer</t>
  </si>
  <si>
    <t>GNNLCXH6XDK</t>
  </si>
  <si>
    <t>April</t>
  </si>
  <si>
    <t>Kyle Nassi</t>
  </si>
  <si>
    <t>DHNP52W9MKN</t>
  </si>
  <si>
    <t>Vivien</t>
  </si>
  <si>
    <t>PTNDQP55RH7</t>
  </si>
  <si>
    <t>Torsten</t>
  </si>
  <si>
    <t>Stein</t>
  </si>
  <si>
    <t>GLNGM7C6PBR</t>
  </si>
  <si>
    <t>Esguerra</t>
  </si>
  <si>
    <t>DBNTPBKLR39</t>
  </si>
  <si>
    <t>Ji</t>
  </si>
  <si>
    <t>PFNM8CWZ4MG</t>
  </si>
  <si>
    <t>Arianna</t>
  </si>
  <si>
    <t>Brandstetter</t>
  </si>
  <si>
    <t>PSN5LGKKRSS</t>
  </si>
  <si>
    <t>Dustin</t>
  </si>
  <si>
    <t>Dejesus</t>
  </si>
  <si>
    <t>N4NGNQD9TCW</t>
  </si>
  <si>
    <t>Streif</t>
  </si>
  <si>
    <t>ZDN5NRWK2L9</t>
  </si>
  <si>
    <t>Arif</t>
  </si>
  <si>
    <t>J8N9FY73T3V</t>
  </si>
  <si>
    <t>Marshall</t>
  </si>
  <si>
    <t>Massengill</t>
  </si>
  <si>
    <t>X9NSXFP2QZ7</t>
  </si>
  <si>
    <t>Klann</t>
  </si>
  <si>
    <t>LPNYDR7XRFM</t>
  </si>
  <si>
    <t>Bartz</t>
  </si>
  <si>
    <t>MNN2FZR52SW</t>
  </si>
  <si>
    <t>Preuss</t>
  </si>
  <si>
    <t>V5NR8DT2R36</t>
  </si>
  <si>
    <t>Furquan</t>
  </si>
  <si>
    <t>Shaikh</t>
  </si>
  <si>
    <t>DQNQ87QF52Z</t>
  </si>
  <si>
    <t>Samuel</t>
  </si>
  <si>
    <t>McGraw</t>
  </si>
  <si>
    <t>DXNNX44G7ST</t>
  </si>
  <si>
    <t>Hammett</t>
  </si>
  <si>
    <t>FJNJN82QBD4</t>
  </si>
  <si>
    <t>bruce</t>
  </si>
  <si>
    <t>hanson</t>
  </si>
  <si>
    <t>K6NNTTV6P9D</t>
  </si>
  <si>
    <t>Senthil</t>
  </si>
  <si>
    <t>Rajaram</t>
  </si>
  <si>
    <t>ZMNYQBJYTFK</t>
  </si>
  <si>
    <t>KQN5M828MB3</t>
  </si>
  <si>
    <t>andrei</t>
  </si>
  <si>
    <t>danin</t>
  </si>
  <si>
    <t>HQNDKKSKFJF</t>
  </si>
  <si>
    <t>Bunch</t>
  </si>
  <si>
    <t>HJN7JC9ZB6M</t>
  </si>
  <si>
    <t>Reshama</t>
  </si>
  <si>
    <t>P3NDCW54JMK</t>
  </si>
  <si>
    <t>Randy</t>
  </si>
  <si>
    <t>Rausch</t>
  </si>
  <si>
    <t>NYNBC4YP5RP</t>
  </si>
  <si>
    <t>Le.</t>
  </si>
  <si>
    <t>Nielsen</t>
  </si>
  <si>
    <t>J4NX4YM4ZWW</t>
  </si>
  <si>
    <t>Geormaneanu</t>
  </si>
  <si>
    <t>F3NTZXVMGVC</t>
  </si>
  <si>
    <t>Deborah</t>
  </si>
  <si>
    <t>Giles</t>
  </si>
  <si>
    <t>V8NWHJ5JDF3</t>
  </si>
  <si>
    <t>Ramkrishna</t>
  </si>
  <si>
    <t>JKNNW56LGGY</t>
  </si>
  <si>
    <t>Robertino</t>
  </si>
  <si>
    <t>Benis</t>
  </si>
  <si>
    <t>X7N9GS5WJLB</t>
  </si>
  <si>
    <t>Surjith</t>
  </si>
  <si>
    <t>Bhagavath Singh</t>
  </si>
  <si>
    <t>PRNH2TR9XTR</t>
  </si>
  <si>
    <t>Corey</t>
  </si>
  <si>
    <t>Ramirez-Gomez</t>
  </si>
  <si>
    <t>P2NM2QLVP5C</t>
  </si>
  <si>
    <t>Kiran</t>
  </si>
  <si>
    <t>Mova</t>
  </si>
  <si>
    <t>PQNT2LFJ73L</t>
  </si>
  <si>
    <t>Dufresne</t>
  </si>
  <si>
    <t>LCN6BZGFYSP</t>
  </si>
  <si>
    <t>Rikki</t>
  </si>
  <si>
    <t>Endsley</t>
  </si>
  <si>
    <t>Z7NB44LD25R</t>
  </si>
  <si>
    <t>J5N86F52MDB</t>
  </si>
  <si>
    <t>Lacroce</t>
  </si>
  <si>
    <t>MFNX6755QW3</t>
  </si>
  <si>
    <t>Chandrasekar</t>
  </si>
  <si>
    <t>VYN3PDQK585</t>
  </si>
  <si>
    <t>UNNIKRISHNAN</t>
  </si>
  <si>
    <t>ALATHADY MALOOR</t>
  </si>
  <si>
    <t>JPNMY5ZZN82</t>
  </si>
  <si>
    <t>Gayatri</t>
  </si>
  <si>
    <t>Mestry</t>
  </si>
  <si>
    <t>M9N3R48WKTY</t>
  </si>
  <si>
    <t>Vishnoi</t>
  </si>
  <si>
    <t>JQN7Z7WN8B3</t>
  </si>
  <si>
    <t>Thea</t>
  </si>
  <si>
    <t>Aldrich</t>
  </si>
  <si>
    <t>HJNCG7T8G5D</t>
  </si>
  <si>
    <t>Biao</t>
  </si>
  <si>
    <t>MRN36K93W4J</t>
  </si>
  <si>
    <t>NBNTHBHRCYK</t>
  </si>
  <si>
    <t>PTNGNDHF9KM</t>
  </si>
  <si>
    <t>Schwarm</t>
  </si>
  <si>
    <t>GKN5RGJDJDY</t>
  </si>
  <si>
    <t>Frank</t>
  </si>
  <si>
    <t>KSN5578ZFRW</t>
  </si>
  <si>
    <t>FXNHC22LVLM</t>
  </si>
  <si>
    <t>Neel</t>
  </si>
  <si>
    <t>Sendas</t>
  </si>
  <si>
    <t>HCNK57ZBMZS</t>
  </si>
  <si>
    <t>Wei</t>
  </si>
  <si>
    <t>Peng</t>
  </si>
  <si>
    <t>N5NZJ23XF9W</t>
  </si>
  <si>
    <t>Djifa</t>
  </si>
  <si>
    <t>Tchala</t>
  </si>
  <si>
    <t>DPNCSFFHCFN</t>
  </si>
  <si>
    <t>Atkinson</t>
  </si>
  <si>
    <t>P4NSQ55DQFT</t>
  </si>
  <si>
    <t>Hulya</t>
  </si>
  <si>
    <t>Karakaya</t>
  </si>
  <si>
    <t>XLNBWNGP8W8</t>
  </si>
  <si>
    <t>Roessler</t>
  </si>
  <si>
    <t>ZTNQDZZRT2G</t>
  </si>
  <si>
    <t>jaiju</t>
  </si>
  <si>
    <t>yesudasan</t>
  </si>
  <si>
    <t>GQN3PYKH7NB</t>
  </si>
  <si>
    <t>Maheo</t>
  </si>
  <si>
    <t>H2N5M6QX3MF</t>
  </si>
  <si>
    <t>laura</t>
  </si>
  <si>
    <t>nayman</t>
  </si>
  <si>
    <t>NNN79RM2MY3</t>
  </si>
  <si>
    <t>Lunardi</t>
  </si>
  <si>
    <t>VVNBYSKQSVH</t>
  </si>
  <si>
    <t>Nithya</t>
  </si>
  <si>
    <t>Ruff</t>
  </si>
  <si>
    <t>FYNNJ3NB6WB</t>
  </si>
  <si>
    <t>Girish</t>
  </si>
  <si>
    <t>Mahadevan</t>
  </si>
  <si>
    <t>QYNJMRVCGGG</t>
  </si>
  <si>
    <t>Lockridge</t>
  </si>
  <si>
    <t>HFNRNY86L73</t>
  </si>
  <si>
    <t>HDNGZV8Q6YK</t>
  </si>
  <si>
    <t>Meikeerthi</t>
  </si>
  <si>
    <t>Chinnasamy</t>
  </si>
  <si>
    <t>L4NK74LJB63</t>
  </si>
  <si>
    <t>Matjaka</t>
  </si>
  <si>
    <t>Ketsi</t>
  </si>
  <si>
    <t>N5NF2WCZRMV</t>
  </si>
  <si>
    <t>Shulman</t>
  </si>
  <si>
    <t>JXNS3FHJYGQ</t>
  </si>
  <si>
    <t>JYNCX5NRDZ5</t>
  </si>
  <si>
    <t>Mooers</t>
  </si>
  <si>
    <t>XBNHST5S44B</t>
  </si>
  <si>
    <t>Karl</t>
  </si>
  <si>
    <t>Weinmeister</t>
  </si>
  <si>
    <t>L3NM7WZTB5R</t>
  </si>
  <si>
    <t>Zane</t>
  </si>
  <si>
    <t>Beckwith</t>
  </si>
  <si>
    <t>X8NCZLVNJ7W</t>
  </si>
  <si>
    <t>W.</t>
  </si>
  <si>
    <t>Watson</t>
  </si>
  <si>
    <t>F7NM8KHRJTB</t>
  </si>
  <si>
    <t>Mestery</t>
  </si>
  <si>
    <t>K4NHPR6RJDV</t>
  </si>
  <si>
    <t>Fenzi</t>
  </si>
  <si>
    <t>VWNG599NFNG</t>
  </si>
  <si>
    <t>Farzad</t>
  </si>
  <si>
    <t>Lak</t>
  </si>
  <si>
    <t>K7N6YBXGPVP</t>
  </si>
  <si>
    <t>Uyen</t>
  </si>
  <si>
    <t>Z9NP87SQ277</t>
  </si>
  <si>
    <t>Denise</t>
  </si>
  <si>
    <t>McMillan</t>
  </si>
  <si>
    <t>LWNGCDMZJ9Z</t>
  </si>
  <si>
    <t>SHIRLEY</t>
  </si>
  <si>
    <t>BAILES</t>
  </si>
  <si>
    <t>LSNDNMB49ZC</t>
  </si>
  <si>
    <t>Ira</t>
  </si>
  <si>
    <t>McDonald</t>
  </si>
  <si>
    <t>ZDNFCXJD39Z</t>
  </si>
  <si>
    <t>Levasseur</t>
  </si>
  <si>
    <t>DRNSTXJ44ZS</t>
  </si>
  <si>
    <t>Flores,</t>
  </si>
  <si>
    <t>V9NK9LLTBG8</t>
  </si>
  <si>
    <t>HMN5MNZPQHC</t>
  </si>
  <si>
    <t>ZHNJV87MPP2</t>
  </si>
  <si>
    <t>TRILOKKUMAR</t>
  </si>
  <si>
    <t>soni</t>
  </si>
  <si>
    <t>VRN68XWQCW9</t>
  </si>
  <si>
    <t>JUN HO</t>
  </si>
  <si>
    <t>JUNG</t>
  </si>
  <si>
    <t>ZGNNKTRKLXB</t>
  </si>
  <si>
    <t>Hammel</t>
  </si>
  <si>
    <t>DZNMG5BQWTN</t>
  </si>
  <si>
    <t>Virendra</t>
  </si>
  <si>
    <t>Kakade</t>
  </si>
  <si>
    <t>NGNFK5G3XXH</t>
  </si>
  <si>
    <t>Wasserman</t>
  </si>
  <si>
    <t>ZLNWJGKFJ86</t>
  </si>
  <si>
    <t>Duffy</t>
  </si>
  <si>
    <t>HPN6MMGQPCL</t>
  </si>
  <si>
    <t>Mitch</t>
  </si>
  <si>
    <t>Souders</t>
  </si>
  <si>
    <t>ZBNHDP4S4P9</t>
  </si>
  <si>
    <t>Merlin</t>
  </si>
  <si>
    <t>Mathesius</t>
  </si>
  <si>
    <t>KZNJ346P94K</t>
  </si>
  <si>
    <t>Manish</t>
  </si>
  <si>
    <t>Mahajan</t>
  </si>
  <si>
    <t>ZYNKYYNHG8Q</t>
  </si>
  <si>
    <t>Lin</t>
  </si>
  <si>
    <t>ZWNCQFN3S66</t>
  </si>
  <si>
    <t>Nordstrom</t>
  </si>
  <si>
    <t>L5ND2X2XL65</t>
  </si>
  <si>
    <t>Wilkinson</t>
  </si>
  <si>
    <t>NQN7FMWSV4R</t>
  </si>
  <si>
    <t>Tang</t>
  </si>
  <si>
    <t>XMNQ8HL9NPM</t>
  </si>
  <si>
    <t>Manjula</t>
  </si>
  <si>
    <t>Dharmaraj</t>
  </si>
  <si>
    <t>FXNC868Q3JV</t>
  </si>
  <si>
    <t>Edd</t>
  </si>
  <si>
    <t>Wilder-James</t>
  </si>
  <si>
    <t>LQN4LGYVD7F</t>
  </si>
  <si>
    <t>Pierre</t>
  </si>
  <si>
    <t>Larsson</t>
  </si>
  <si>
    <t>D6NZRRT3L4K</t>
  </si>
  <si>
    <t>Capilla</t>
  </si>
  <si>
    <t>ZKNPBNQ5VBV</t>
  </si>
  <si>
    <t>Drake</t>
  </si>
  <si>
    <t>Z4NWLBXPJWW</t>
  </si>
  <si>
    <t>Nadas</t>
  </si>
  <si>
    <t>L5N4VVFPCWL</t>
  </si>
  <si>
    <t>Aravena</t>
  </si>
  <si>
    <t>FJN58RHH4JQ</t>
  </si>
  <si>
    <t>NWN489Y8CPD</t>
  </si>
  <si>
    <t>Downey</t>
  </si>
  <si>
    <t>N4NKLCXSB25</t>
  </si>
  <si>
    <t>Guvanch</t>
  </si>
  <si>
    <t>Nurgeldiyev</t>
  </si>
  <si>
    <t>ZGNX8MM99KZ</t>
  </si>
  <si>
    <t>Nwolisa</t>
  </si>
  <si>
    <t>LPNCYRNNG2P</t>
  </si>
  <si>
    <t>Sergey</t>
  </si>
  <si>
    <t>Sobko</t>
  </si>
  <si>
    <t>L9NSDQ3J5CK</t>
  </si>
  <si>
    <t>Eveline</t>
  </si>
  <si>
    <t>Oehrlich</t>
  </si>
  <si>
    <t>VRNTJPQBG8R</t>
  </si>
  <si>
    <t>Kathleen</t>
  </si>
  <si>
    <t>Chiu</t>
  </si>
  <si>
    <t>X8N3F32STHK</t>
  </si>
  <si>
    <t>Vyacheslav</t>
  </si>
  <si>
    <t>Yurkov</t>
  </si>
  <si>
    <t>V2NF7B66XV7</t>
  </si>
  <si>
    <t>Cornelius</t>
  </si>
  <si>
    <t>Schumacher</t>
  </si>
  <si>
    <t>NSNJ4YJZRGN</t>
  </si>
  <si>
    <t>Rioux</t>
  </si>
  <si>
    <t>L8NQQVPV6BK</t>
  </si>
  <si>
    <t>Eike</t>
  </si>
  <si>
    <t>Thaden</t>
  </si>
  <si>
    <t>XPN8VJ6TD9B</t>
  </si>
  <si>
    <t>Angela</t>
  </si>
  <si>
    <t>ZXN45DS28NK</t>
  </si>
  <si>
    <t>Umesh</t>
  </si>
  <si>
    <t>JSNXXTPTZFJ</t>
  </si>
  <si>
    <t>K9N2J855HPZ</t>
  </si>
  <si>
    <t>Chuck</t>
  </si>
  <si>
    <t>Reidmiller</t>
  </si>
  <si>
    <t>KHNV92SQYQ3</t>
  </si>
  <si>
    <t>Neary</t>
  </si>
  <si>
    <t>N8NMBGCT8DW</t>
  </si>
  <si>
    <t>Pavel</t>
  </si>
  <si>
    <t>Machek</t>
  </si>
  <si>
    <t>KCNFDSS529D</t>
  </si>
  <si>
    <t>Nuritzi</t>
  </si>
  <si>
    <t>Sanchez</t>
  </si>
  <si>
    <t>MCN3QRLFZB4</t>
  </si>
  <si>
    <t>Ansberry</t>
  </si>
  <si>
    <t>MSN7SZSY2BF</t>
  </si>
  <si>
    <t>Martine</t>
  </si>
  <si>
    <t>Celestin</t>
  </si>
  <si>
    <t>DKNZ3PHJYHN</t>
  </si>
  <si>
    <t>Stanislawek</t>
  </si>
  <si>
    <t>VXNFXPM64SB</t>
  </si>
  <si>
    <t>Kehoe</t>
  </si>
  <si>
    <t>X3N5GNPHRCQ</t>
  </si>
  <si>
    <t>Caicedo</t>
  </si>
  <si>
    <t>LQNGY5BLS2Q</t>
  </si>
  <si>
    <t>Karan</t>
  </si>
  <si>
    <t>Suthar</t>
  </si>
  <si>
    <t>PSN3WQYLW4S</t>
  </si>
  <si>
    <t>KJND5GX669S</t>
  </si>
  <si>
    <t>VTN833Z33DN</t>
  </si>
  <si>
    <t>Doshi</t>
  </si>
  <si>
    <t>DCN3QQ4HL4F</t>
  </si>
  <si>
    <t>Pawel</t>
  </si>
  <si>
    <t>Winogrodzki</t>
  </si>
  <si>
    <t>N8NB6MDBWZW</t>
  </si>
  <si>
    <t>JNNX5ZSSFVL</t>
  </si>
  <si>
    <t>Gokce</t>
  </si>
  <si>
    <t>V4NKLTMMKKL</t>
  </si>
  <si>
    <t>Leach</t>
  </si>
  <si>
    <t>DQNF84NLRVS</t>
  </si>
  <si>
    <t>Rashmy</t>
  </si>
  <si>
    <t>Parimi</t>
  </si>
  <si>
    <t>FJNBGZDL768</t>
  </si>
  <si>
    <t>Kaumini</t>
  </si>
  <si>
    <t>Hansika</t>
  </si>
  <si>
    <t>HKNWB7693K4</t>
  </si>
  <si>
    <t>Westover</t>
  </si>
  <si>
    <t>DQNZ8XX37DP</t>
  </si>
  <si>
    <t>XQNPSRLXZQJ</t>
  </si>
  <si>
    <t>Danilewicz</t>
  </si>
  <si>
    <t>NFNLB5QVLCQ</t>
  </si>
  <si>
    <t>Warren</t>
  </si>
  <si>
    <t>Weber</t>
  </si>
  <si>
    <t>NWNDNHWDP8Y</t>
  </si>
  <si>
    <t>Krezel</t>
  </si>
  <si>
    <t>J6NXZNLYMFG</t>
  </si>
  <si>
    <t>LZN65JCVZ9G</t>
  </si>
  <si>
    <t>Urlaub</t>
  </si>
  <si>
    <t>X9NQ3FDLPYF</t>
  </si>
  <si>
    <t>Gerardo</t>
  </si>
  <si>
    <t>L9NP5TQPRRL</t>
  </si>
  <si>
    <t>Gustafson</t>
  </si>
  <si>
    <t>P7NGKLM2ZM3</t>
  </si>
  <si>
    <t>Mayra</t>
  </si>
  <si>
    <t>FSNJHVWC2CG</t>
  </si>
  <si>
    <t>mitesh</t>
  </si>
  <si>
    <t>goplani</t>
  </si>
  <si>
    <t>NVND8ZMZ8BL</t>
  </si>
  <si>
    <t>Abdul Raheem</t>
  </si>
  <si>
    <t>VHN9FH5SBKT</t>
  </si>
  <si>
    <t>Thiago</t>
  </si>
  <si>
    <t>Bonotto</t>
  </si>
  <si>
    <t>Z8NWPRRB5FM</t>
  </si>
  <si>
    <t>Rishabh</t>
  </si>
  <si>
    <t>Shakya</t>
  </si>
  <si>
    <t>NCNCX9H6RQQ</t>
  </si>
  <si>
    <t>Sangeetha</t>
  </si>
  <si>
    <t>Damagalla</t>
  </si>
  <si>
    <t>Z8NP6JG69PN</t>
  </si>
  <si>
    <t>dharmeshpoddar3@gmail.com</t>
  </si>
  <si>
    <t>DTNDS5B5XNW</t>
  </si>
  <si>
    <t>siddh.315@gmail.com</t>
  </si>
  <si>
    <t>X4NT8ZVRXY2</t>
  </si>
  <si>
    <t>Rossetti</t>
  </si>
  <si>
    <t>F7NYYJPBTWV</t>
  </si>
  <si>
    <t>Talles</t>
  </si>
  <si>
    <t>Viana Vargas</t>
  </si>
  <si>
    <t>VYNGF2LDYK4</t>
  </si>
  <si>
    <t>Manas</t>
  </si>
  <si>
    <t>Dash</t>
  </si>
  <si>
    <t>LFNWNSMTPXW</t>
  </si>
  <si>
    <t>Lima</t>
  </si>
  <si>
    <t>JPNCN2HK9LV</t>
  </si>
  <si>
    <t>Criollo</t>
  </si>
  <si>
    <t>LTN4SNH6LRY</t>
  </si>
  <si>
    <t>Moreno Lankenau</t>
  </si>
  <si>
    <t>PFN9RZ66MYY</t>
  </si>
  <si>
    <t>Jérémy</t>
  </si>
  <si>
    <t>Barascut</t>
  </si>
  <si>
    <t>J7N2GCTXFXD</t>
  </si>
  <si>
    <t>Levison</t>
  </si>
  <si>
    <t>Daka</t>
  </si>
  <si>
    <t>KCNNFMGNNLZ</t>
  </si>
  <si>
    <t>Ceñal</t>
  </si>
  <si>
    <t>GXNLWVWV3Q2</t>
  </si>
  <si>
    <t>Ibai</t>
  </si>
  <si>
    <t>Erkiaga</t>
  </si>
  <si>
    <t>JZNQJ8JCTPW</t>
  </si>
  <si>
    <t>Mandeep</t>
  </si>
  <si>
    <t>Gandhi</t>
  </si>
  <si>
    <t>MYNY9ZN5VBK</t>
  </si>
  <si>
    <t>Vaniel Felipe</t>
  </si>
  <si>
    <t>da Silva</t>
  </si>
  <si>
    <t>PKNB8ZFCDVD</t>
  </si>
  <si>
    <t>RUCHIKA</t>
  </si>
  <si>
    <t>GUPTA</t>
  </si>
  <si>
    <t>MZNKRJ2NC7C</t>
  </si>
  <si>
    <t>Neelaksh</t>
  </si>
  <si>
    <t>K7N256H9ZT3</t>
  </si>
  <si>
    <t>Nishant</t>
  </si>
  <si>
    <t>Malpani</t>
  </si>
  <si>
    <t>PXN4MYN8XV3</t>
  </si>
  <si>
    <t>Ahmad</t>
  </si>
  <si>
    <t>Hassan</t>
  </si>
  <si>
    <t>LDNX8XBL3MV</t>
  </si>
  <si>
    <t>Jomar</t>
  </si>
  <si>
    <t>LQNQMHN8D3L</t>
  </si>
  <si>
    <t>Marcus</t>
  </si>
  <si>
    <t>Holthaus</t>
  </si>
  <si>
    <t>NTNQ58F7QN4</t>
  </si>
  <si>
    <t>Alberto</t>
  </si>
  <si>
    <t>Kulminare</t>
  </si>
  <si>
    <t>PJNXX8Y9CHJ</t>
  </si>
  <si>
    <t>MFNLHB73TKF</t>
  </si>
  <si>
    <t>Prosper</t>
  </si>
  <si>
    <t>Opara</t>
  </si>
  <si>
    <t>P4NW5SDWNR8</t>
  </si>
  <si>
    <t>Brahma</t>
  </si>
  <si>
    <t>Vella</t>
  </si>
  <si>
    <t>XWNRYF4DLQT</t>
  </si>
  <si>
    <t>DVN9R55FNCQ</t>
  </si>
  <si>
    <t>Vipul</t>
  </si>
  <si>
    <t>Siddharth</t>
  </si>
  <si>
    <t>G7NSBTFB3ZF</t>
  </si>
  <si>
    <t>Olaleke</t>
  </si>
  <si>
    <t>M5NL8VMDGVK</t>
  </si>
  <si>
    <t>kiran</t>
  </si>
  <si>
    <t>gopalan</t>
  </si>
  <si>
    <t>NFNSZVMVSBW</t>
  </si>
  <si>
    <t>Ruchika</t>
  </si>
  <si>
    <t>PRNCD5TTDC9</t>
  </si>
  <si>
    <t>Dylan</t>
  </si>
  <si>
    <t>Mathews</t>
  </si>
  <si>
    <t>MFNXYBSCP6H</t>
  </si>
  <si>
    <t>Fletcher</t>
  </si>
  <si>
    <t>HZN6MY9S2VD</t>
  </si>
  <si>
    <t>pjbgf</t>
  </si>
  <si>
    <t>N2NZ74HXHCC</t>
  </si>
  <si>
    <t>Shiau</t>
  </si>
  <si>
    <t>L2NLBVX4LZW</t>
  </si>
  <si>
    <t>Dario</t>
  </si>
  <si>
    <t>Faggioli</t>
  </si>
  <si>
    <t>XPNJQR22Y5Q</t>
  </si>
  <si>
    <t>Z8NNBMM6BZL</t>
  </si>
  <si>
    <t>va</t>
  </si>
  <si>
    <t>barbosa</t>
  </si>
  <si>
    <t>GDNV7GX2KHZ</t>
  </si>
  <si>
    <t>Jaeger</t>
  </si>
  <si>
    <t>V3NY77JWL6K</t>
  </si>
  <si>
    <t>Angga Agia</t>
  </si>
  <si>
    <t>Wardhana</t>
  </si>
  <si>
    <t>G6N8Q7KKNST</t>
  </si>
  <si>
    <t>de Carvalho</t>
  </si>
  <si>
    <t>M7NZ8MDHTQH</t>
  </si>
  <si>
    <t>Shriprajwal</t>
  </si>
  <si>
    <t>J8NYYRQR7MX</t>
  </si>
  <si>
    <t>Rachel</t>
  </si>
  <si>
    <t>Diong</t>
  </si>
  <si>
    <t>KBNX9BL2L2C</t>
  </si>
  <si>
    <t>O'Doherty</t>
  </si>
  <si>
    <t>KRNCJK84GLV</t>
  </si>
  <si>
    <t>De Leon</t>
  </si>
  <si>
    <t>XQNP79V3ZQQ</t>
  </si>
  <si>
    <t>Alen</t>
  </si>
  <si>
    <t>F5NRXHXZ77F</t>
  </si>
  <si>
    <t>Bruno</t>
  </si>
  <si>
    <t>Muniz</t>
  </si>
  <si>
    <t>Z4NLSFLNN5B</t>
  </si>
  <si>
    <t>Yvette</t>
  </si>
  <si>
    <t>LaMar</t>
  </si>
  <si>
    <t>GMNBJYJXHMF</t>
  </si>
  <si>
    <t>PMNRXHMP6JL</t>
  </si>
  <si>
    <t>Ketan</t>
  </si>
  <si>
    <t>Umare</t>
  </si>
  <si>
    <t>XFNH3QCPFP4</t>
  </si>
  <si>
    <t>Berliner</t>
  </si>
  <si>
    <t>KSNGMSHC2JP</t>
  </si>
  <si>
    <t>Iziourov</t>
  </si>
  <si>
    <t>KWN2KCY2NRY</t>
  </si>
  <si>
    <t>Cesar</t>
  </si>
  <si>
    <t>Montesinos</t>
  </si>
  <si>
    <t>VQNXV6ZNBYP</t>
  </si>
  <si>
    <t>Ilhan</t>
  </si>
  <si>
    <t>Gurel</t>
  </si>
  <si>
    <t>JSNCFLZKJMQ</t>
  </si>
  <si>
    <t>Mayhew</t>
  </si>
  <si>
    <t>PQNNK24VYXB</t>
  </si>
  <si>
    <t>Win</t>
  </si>
  <si>
    <t>NRN36FMCM98</t>
  </si>
  <si>
    <t>Tatsuya</t>
  </si>
  <si>
    <t>Iwanari</t>
  </si>
  <si>
    <t>HQNW8FF8JWK</t>
  </si>
  <si>
    <t>Karlsen</t>
  </si>
  <si>
    <t>ZCN8LG7WHTZ</t>
  </si>
  <si>
    <t>Bahra</t>
  </si>
  <si>
    <t>QYN2D8TGNF2</t>
  </si>
  <si>
    <t>Edgar</t>
  </si>
  <si>
    <t>Tolentino</t>
  </si>
  <si>
    <t>GXNVCFMS3YD</t>
  </si>
  <si>
    <t>Peixin</t>
  </si>
  <si>
    <t>Hou</t>
  </si>
  <si>
    <t>K8NQ7P6X58D</t>
  </si>
  <si>
    <t>Xie</t>
  </si>
  <si>
    <t>M2NKJ88ZS74</t>
  </si>
  <si>
    <t>Yoshiya</t>
  </si>
  <si>
    <t>ETO</t>
  </si>
  <si>
    <t>PHNWBT8WHMS</t>
  </si>
  <si>
    <t>Laura</t>
  </si>
  <si>
    <t>F2N26SLBDH6</t>
  </si>
  <si>
    <t>Nobuyuki</t>
  </si>
  <si>
    <t>Tanaka</t>
  </si>
  <si>
    <t>XZNTJSGYMGW</t>
  </si>
  <si>
    <t>Batchunag</t>
  </si>
  <si>
    <t>Dashdemberel</t>
  </si>
  <si>
    <t>DBN6VKVLB4J</t>
  </si>
  <si>
    <t>Martinez</t>
  </si>
  <si>
    <t>MDNVKTM8QJP</t>
  </si>
  <si>
    <t>Lorrain</t>
  </si>
  <si>
    <t>J6N46NZNNY3</t>
  </si>
  <si>
    <t>Bashier</t>
  </si>
  <si>
    <t>Kaddoura</t>
  </si>
  <si>
    <t>LXNRBW3P5D5</t>
  </si>
  <si>
    <t>Mahesh</t>
  </si>
  <si>
    <t>Palakodety</t>
  </si>
  <si>
    <t>KQN6PVMLNPS</t>
  </si>
  <si>
    <t>Kasiecki</t>
  </si>
  <si>
    <t>FZNFCYTJZY7</t>
  </si>
  <si>
    <t>Art</t>
  </si>
  <si>
    <t>KDNCWJTYBNH</t>
  </si>
  <si>
    <t>Peralta</t>
  </si>
  <si>
    <t>FSNPPDD8RKH</t>
  </si>
  <si>
    <t>Szpaicher</t>
  </si>
  <si>
    <t>F6NJ72N43VM</t>
  </si>
  <si>
    <t>Maciej</t>
  </si>
  <si>
    <t>Owczarek</t>
  </si>
  <si>
    <t>DCN9BDHPLT2</t>
  </si>
  <si>
    <t>DynamicPacific</t>
  </si>
  <si>
    <t>GCN922PNFPQ</t>
  </si>
  <si>
    <t>Kedi</t>
  </si>
  <si>
    <t>PNNSP82TJNJ</t>
  </si>
  <si>
    <t>JD</t>
  </si>
  <si>
    <t>SCHROEDER</t>
  </si>
  <si>
    <t>Z4NM45J59JJ</t>
  </si>
  <si>
    <t>Scharles</t>
  </si>
  <si>
    <t>DNNDNXNTB67</t>
  </si>
  <si>
    <t>Sheldon</t>
  </si>
  <si>
    <t>H9NZ8N4YBX9</t>
  </si>
  <si>
    <t>Stanlake</t>
  </si>
  <si>
    <t>XCNCYJJFHTN</t>
  </si>
  <si>
    <t>Spring</t>
  </si>
  <si>
    <t>KZNP5J653XJ</t>
  </si>
  <si>
    <t>Semahegn Abayneh</t>
  </si>
  <si>
    <t>Tariku</t>
  </si>
  <si>
    <t>Z8NKMPP43K2</t>
  </si>
  <si>
    <t>ZGNV5D5MTPP</t>
  </si>
  <si>
    <t>Amit</t>
  </si>
  <si>
    <t>Raut</t>
  </si>
  <si>
    <t>MKNRQF7M395</t>
  </si>
  <si>
    <t>Dale D</t>
  </si>
  <si>
    <t>F2NLB9JMWLB</t>
  </si>
  <si>
    <t>Zakiuddin</t>
  </si>
  <si>
    <t>Ghouse</t>
  </si>
  <si>
    <t>N7N6FLGMMYS</t>
  </si>
  <si>
    <t>Larson</t>
  </si>
  <si>
    <t>V2NHNHX99J8</t>
  </si>
  <si>
    <t>Raghavan</t>
  </si>
  <si>
    <t>ZTN2CL39688</t>
  </si>
  <si>
    <t>Vanessa</t>
  </si>
  <si>
    <t>Heric</t>
  </si>
  <si>
    <t>KXN4WVYYXB5</t>
  </si>
  <si>
    <t>Yip</t>
  </si>
  <si>
    <t>M2NT22ZZ6G8</t>
  </si>
  <si>
    <t>PVNW5C2CGMV</t>
  </si>
  <si>
    <t>Mertz</t>
  </si>
  <si>
    <t>JXNHV3RCJG3</t>
  </si>
  <si>
    <t>Brindle</t>
  </si>
  <si>
    <t>LGNMPZM3Z8C</t>
  </si>
  <si>
    <t>Alexandria</t>
  </si>
  <si>
    <t>XVNMB937Q4J</t>
  </si>
  <si>
    <t>Brust</t>
  </si>
  <si>
    <t>ZJN3TSV2YPL</t>
  </si>
  <si>
    <t>Zanussi</t>
  </si>
  <si>
    <t>JHN6Y5NVM8P</t>
  </si>
  <si>
    <t>Doucet</t>
  </si>
  <si>
    <t>P4N52SHM5X6</t>
  </si>
  <si>
    <t>Katy</t>
  </si>
  <si>
    <t>Farmer</t>
  </si>
  <si>
    <t>XNNZV65FK65</t>
  </si>
  <si>
    <t>Reser</t>
  </si>
  <si>
    <t>HFN7WF4C3GC</t>
  </si>
  <si>
    <t>Zakia</t>
  </si>
  <si>
    <t>Bouachraoui</t>
  </si>
  <si>
    <t>VVNZY6SFYK9</t>
  </si>
  <si>
    <t>N2NKYQK5QZ9</t>
  </si>
  <si>
    <t>Gillen</t>
  </si>
  <si>
    <t>MTNB4H5HHFD</t>
  </si>
  <si>
    <t>Gavin</t>
  </si>
  <si>
    <t>LWN8DNX6P8C</t>
  </si>
  <si>
    <t>Marti</t>
  </si>
  <si>
    <t>Bolivar</t>
  </si>
  <si>
    <t>P4N5GT93LCF</t>
  </si>
  <si>
    <t>J9NNZ8VSL7B</t>
  </si>
  <si>
    <t>Alejandro Enedino</t>
  </si>
  <si>
    <t>Hernandez Samaniego</t>
  </si>
  <si>
    <t>XGNPVT2LXLL</t>
  </si>
  <si>
    <t>Norio</t>
  </si>
  <si>
    <t>Kobota</t>
  </si>
  <si>
    <t>J7N62QXZBK5</t>
  </si>
  <si>
    <t>Francisco Javier</t>
  </si>
  <si>
    <t>Moran Rua</t>
  </si>
  <si>
    <t>VBN8X2FXG45</t>
  </si>
  <si>
    <t>Bonetti</t>
  </si>
  <si>
    <t>IniterWorker</t>
  </si>
  <si>
    <t>XFNG6HJZQ9R</t>
  </si>
  <si>
    <t>Talusan</t>
  </si>
  <si>
    <t>JZN67KSSLHW</t>
  </si>
  <si>
    <t>Zimmermann</t>
  </si>
  <si>
    <t>HVNJBS6M8YT</t>
  </si>
  <si>
    <t>Zwart</t>
  </si>
  <si>
    <t>DMNDSRSKCFF</t>
  </si>
  <si>
    <t>Masaru</t>
  </si>
  <si>
    <t>ISHIKAWA</t>
  </si>
  <si>
    <t>NCNHJV875XM</t>
  </si>
  <si>
    <t>Xavier</t>
  </si>
  <si>
    <t>Castaño</t>
  </si>
  <si>
    <t>KNNB2SM83PZ</t>
  </si>
  <si>
    <t>Weber Martins</t>
  </si>
  <si>
    <t>L7NM6G2YZW4</t>
  </si>
  <si>
    <t>Storer</t>
  </si>
  <si>
    <t>ZVN9C2C6TSZ</t>
  </si>
  <si>
    <t>Naissa</t>
  </si>
  <si>
    <t>Conde</t>
  </si>
  <si>
    <t>M7NHYXKQT95</t>
  </si>
  <si>
    <t>Strater</t>
  </si>
  <si>
    <t>GDNH3JX4SZ8</t>
  </si>
  <si>
    <t>Zikomo</t>
  </si>
  <si>
    <t>KKN46KDB9H5</t>
  </si>
  <si>
    <t>Irwin</t>
  </si>
  <si>
    <t>JMND553XBLN</t>
  </si>
  <si>
    <t>Pearce</t>
  </si>
  <si>
    <t>.</t>
  </si>
  <si>
    <t>XMNBVTTWWYW</t>
  </si>
  <si>
    <t>Carty</t>
  </si>
  <si>
    <t>D4NSZHW5RJD</t>
  </si>
  <si>
    <t>venu</t>
  </si>
  <si>
    <t>joshi</t>
  </si>
  <si>
    <t>GLN2FGBLTS6</t>
  </si>
  <si>
    <t>Salvatoriello</t>
  </si>
  <si>
    <t>DMN2QTLV3ZW</t>
  </si>
  <si>
    <t>calebmshafer</t>
  </si>
  <si>
    <t>GNNNDK37YJX</t>
  </si>
  <si>
    <t>Hu</t>
  </si>
  <si>
    <t>Z6N88ZK4YSD</t>
  </si>
  <si>
    <t>Dillon</t>
  </si>
  <si>
    <t>LeDoux</t>
  </si>
  <si>
    <t>DNN33578CDZ</t>
  </si>
  <si>
    <t>P2NM5WLD243</t>
  </si>
  <si>
    <t>Earl</t>
  </si>
  <si>
    <t>Potters</t>
  </si>
  <si>
    <t>XRNGRPFHZ8P</t>
  </si>
  <si>
    <t>NGNMDKJX7V8</t>
  </si>
  <si>
    <t>Krista</t>
  </si>
  <si>
    <t>Khare</t>
  </si>
  <si>
    <t>F8NWNTF479C</t>
  </si>
  <si>
    <t>Péter</t>
  </si>
  <si>
    <t>Vágány</t>
  </si>
  <si>
    <t>XGNVVYYNQ4D</t>
  </si>
  <si>
    <t>Siva</t>
  </si>
  <si>
    <t>Chockalingam</t>
  </si>
  <si>
    <t>ZTNTDT52GBP</t>
  </si>
  <si>
    <t>Smalley</t>
  </si>
  <si>
    <t>DSNNT96DF6Z</t>
  </si>
  <si>
    <t>Chan</t>
  </si>
  <si>
    <t>PKNDRLFGPW9</t>
  </si>
  <si>
    <t>Turnley</t>
  </si>
  <si>
    <t>MSNQ7BNTYX3</t>
  </si>
  <si>
    <t>ZZNH9DZWPDX</t>
  </si>
  <si>
    <t>Saul</t>
  </si>
  <si>
    <t>Wold</t>
  </si>
  <si>
    <t>MZNZPCXBSCF</t>
  </si>
  <si>
    <t>Beri</t>
  </si>
  <si>
    <t>GJNK5VCW6YY</t>
  </si>
  <si>
    <t>Beale</t>
  </si>
  <si>
    <t>XKNZ44XQCWP</t>
  </si>
  <si>
    <t>Chan King Choy</t>
  </si>
  <si>
    <t>D3NZTQVJMLL</t>
  </si>
  <si>
    <t>yu</t>
  </si>
  <si>
    <t>zou</t>
  </si>
  <si>
    <t>JJN4ML8M6QW</t>
  </si>
  <si>
    <t>Francisco Jose</t>
  </si>
  <si>
    <t>Perez Jimenez</t>
  </si>
  <si>
    <t>LYNR9T3STMW</t>
  </si>
  <si>
    <t>Akhilesh</t>
  </si>
  <si>
    <t>Thorat</t>
  </si>
  <si>
    <t>M3N9MMVV7V4</t>
  </si>
  <si>
    <t>Xin Steven</t>
  </si>
  <si>
    <t>Liang</t>
  </si>
  <si>
    <t>L8NHM3VV8Q5</t>
  </si>
  <si>
    <t>Jefferson</t>
  </si>
  <si>
    <t>Rodrigo Capovilla</t>
  </si>
  <si>
    <t>DQN7988WNP6</t>
  </si>
  <si>
    <t>ThaTechMaestro</t>
  </si>
  <si>
    <t>Z5NPH2HPRQY</t>
  </si>
  <si>
    <t>Prabhakar</t>
  </si>
  <si>
    <t>J5NHQTLJQP9</t>
  </si>
  <si>
    <t>Elang</t>
  </si>
  <si>
    <t>Swa Buana Putra</t>
  </si>
  <si>
    <t>J4NQL8MS5BZ</t>
  </si>
  <si>
    <t>DZNP5G7XGL3</t>
  </si>
  <si>
    <t>Saurabh</t>
  </si>
  <si>
    <t>Bhandari</t>
  </si>
  <si>
    <t>FRNNK3GVZDG</t>
  </si>
  <si>
    <t>Sumeet Kumar</t>
  </si>
  <si>
    <t>Sahoo</t>
  </si>
  <si>
    <t>VXNVRSMCR2S</t>
  </si>
  <si>
    <t>Fernando da Silva</t>
  </si>
  <si>
    <t>ZNND28WRR74</t>
  </si>
  <si>
    <t>Bart</t>
  </si>
  <si>
    <t>Smeets</t>
  </si>
  <si>
    <t>X6NLXGC7GFS</t>
  </si>
  <si>
    <t>Orvil</t>
  </si>
  <si>
    <t>Juarez</t>
  </si>
  <si>
    <t>PFNX9NGTJWH</t>
  </si>
  <si>
    <t>Dimitris</t>
  </si>
  <si>
    <t>Chaintinis</t>
  </si>
  <si>
    <t>H2NLTK2MZSG</t>
  </si>
  <si>
    <t>Luís</t>
  </si>
  <si>
    <t>Sousa</t>
  </si>
  <si>
    <t>J5NBB7F8CCV</t>
  </si>
  <si>
    <t>Bernardini</t>
  </si>
  <si>
    <t>Z5NMSSLLNWS</t>
  </si>
  <si>
    <t>Astor</t>
  </si>
  <si>
    <t>Nummelin Carlberg</t>
  </si>
  <si>
    <t>L9NT47QDTPW</t>
  </si>
  <si>
    <t>Sherin</t>
  </si>
  <si>
    <t>Tan</t>
  </si>
  <si>
    <t>P9NC2VKR8DZ</t>
  </si>
  <si>
    <t>ZQNVJ6GR6BW</t>
  </si>
  <si>
    <t>Salisu</t>
  </si>
  <si>
    <t>MJNSFK8QPNP</t>
  </si>
  <si>
    <t>Subhayu</t>
  </si>
  <si>
    <t>Kumar Bala</t>
  </si>
  <si>
    <t>VMN37KHPQX2</t>
  </si>
  <si>
    <t>HZN4ZK9J8P8</t>
  </si>
  <si>
    <t>Gerson Fernando</t>
  </si>
  <si>
    <t>Budke</t>
  </si>
  <si>
    <t>N5N49NCQC7B</t>
  </si>
  <si>
    <t>Swarup</t>
  </si>
  <si>
    <t>Bhanja Chowdhury</t>
  </si>
  <si>
    <t>XMN4M2VC4RP</t>
  </si>
  <si>
    <t>Schauder</t>
  </si>
  <si>
    <t>FCN4GYLKBKL</t>
  </si>
  <si>
    <t>Mathieu</t>
  </si>
  <si>
    <t>Tetreault</t>
  </si>
  <si>
    <t>VQN78MQRN6G</t>
  </si>
  <si>
    <t>Kreitmair</t>
  </si>
  <si>
    <t>MRNDFQ2266Q</t>
  </si>
  <si>
    <t>Maria Emilia</t>
  </si>
  <si>
    <t>Torino</t>
  </si>
  <si>
    <t>JLN4QTFYX5B</t>
  </si>
  <si>
    <t>Shunsuke</t>
  </si>
  <si>
    <t>Nakamura</t>
  </si>
  <si>
    <t>V5NRWFPTJYB</t>
  </si>
  <si>
    <t>leozjchn@gmail.com</t>
  </si>
  <si>
    <t>XLNK2RGQ4FX</t>
  </si>
  <si>
    <t>Shamanov</t>
  </si>
  <si>
    <t>sshamanov</t>
  </si>
  <si>
    <t>HBN42RBV324</t>
  </si>
  <si>
    <t>Babak</t>
  </si>
  <si>
    <t>Nasri</t>
  </si>
  <si>
    <t>GM</t>
  </si>
  <si>
    <t>NGN2VY34653</t>
  </si>
  <si>
    <t>Preston</t>
  </si>
  <si>
    <t>LXNZFCZW2QP</t>
  </si>
  <si>
    <t>Daudt</t>
  </si>
  <si>
    <t>JDNCW8FTQ45</t>
  </si>
  <si>
    <t>Hali</t>
  </si>
  <si>
    <t>Tsang</t>
  </si>
  <si>
    <t>XTN86VXZVKR</t>
  </si>
  <si>
    <t>Keiji</t>
  </si>
  <si>
    <t>Sasaki</t>
  </si>
  <si>
    <t>D3NQTLHBLTN</t>
  </si>
  <si>
    <t>Allende</t>
  </si>
  <si>
    <t>KNN8NTMFRR5</t>
  </si>
  <si>
    <t>Weiss</t>
  </si>
  <si>
    <t>KPN6W2NHLCL</t>
  </si>
  <si>
    <t>Luebbe</t>
  </si>
  <si>
    <t>JTNQ6RBS5GL</t>
  </si>
  <si>
    <t>Frédéric</t>
  </si>
  <si>
    <t>Desbiens</t>
  </si>
  <si>
    <t>FYNHQNCKVY3</t>
  </si>
  <si>
    <t>Herzog</t>
  </si>
  <si>
    <t>HJNQSFSSPGB</t>
  </si>
  <si>
    <t>Narkar</t>
  </si>
  <si>
    <t>XYNV5XQG8GJ</t>
  </si>
  <si>
    <t>Chamorro</t>
  </si>
  <si>
    <t>V5NYH2ST8K8</t>
  </si>
  <si>
    <t>Segal</t>
  </si>
  <si>
    <t>XCNKCWJL832</t>
  </si>
  <si>
    <t>Kohn</t>
  </si>
  <si>
    <t>KPNMHRFGBFQ</t>
  </si>
  <si>
    <t>Mansfield</t>
  </si>
  <si>
    <t>L6NC87JYHDQ</t>
  </si>
  <si>
    <t>chungu</t>
  </si>
  <si>
    <t>ngolwe</t>
  </si>
  <si>
    <t>V3NRPC69GH3</t>
  </si>
  <si>
    <t>Sahil</t>
  </si>
  <si>
    <t>Tikale</t>
  </si>
  <si>
    <t>L6NGFNKSMG6</t>
  </si>
  <si>
    <t>Arnold</t>
  </si>
  <si>
    <t>X3N7P5DY2WK</t>
  </si>
  <si>
    <t>Estes</t>
  </si>
  <si>
    <t>PVN5Y3XV526</t>
  </si>
  <si>
    <t>Olivia</t>
  </si>
  <si>
    <t>Lorimor</t>
  </si>
  <si>
    <t>MWNSR63G49G</t>
  </si>
  <si>
    <t>Kerr</t>
  </si>
  <si>
    <t>L4NKTVBC8FX</t>
  </si>
  <si>
    <t>Wong</t>
  </si>
  <si>
    <t>ZTN6P8PF6CC</t>
  </si>
  <si>
    <t>Joy</t>
  </si>
  <si>
    <t>Latten</t>
  </si>
  <si>
    <t>LMN9PD486N6</t>
  </si>
  <si>
    <t>Robyn</t>
  </si>
  <si>
    <t>Bergeron</t>
  </si>
  <si>
    <t>MZNTJR6PDB8</t>
  </si>
  <si>
    <t>jan</t>
  </si>
  <si>
    <t>svensson</t>
  </si>
  <si>
    <t>DYNVBF539RZ</t>
  </si>
  <si>
    <t>Margo</t>
  </si>
  <si>
    <t>JPNLVYV4CNP</t>
  </si>
  <si>
    <t>Ruf</t>
  </si>
  <si>
    <t>PLND2HMRG4Z</t>
  </si>
  <si>
    <t>Orlic</t>
  </si>
  <si>
    <t>XBNDRTN2D4J</t>
  </si>
  <si>
    <t>Koko</t>
  </si>
  <si>
    <t>Koffie-Lart</t>
  </si>
  <si>
    <t>JLNXH9BQTXP</t>
  </si>
  <si>
    <t>Dupuis</t>
  </si>
  <si>
    <t>ZMNB84B5KRV</t>
  </si>
  <si>
    <t>Dameon</t>
  </si>
  <si>
    <t>Sherman</t>
  </si>
  <si>
    <t>DFNFLY2TH25</t>
  </si>
  <si>
    <t>Wichmann</t>
  </si>
  <si>
    <t>NGNPJCL6PD4</t>
  </si>
  <si>
    <t>Saeed</t>
  </si>
  <si>
    <t>Karimabadi</t>
  </si>
  <si>
    <t>VYNFN3R9D4V</t>
  </si>
  <si>
    <t>Ajithchandra</t>
  </si>
  <si>
    <t>Saya</t>
  </si>
  <si>
    <t>ZJNHRCNCVLP</t>
  </si>
  <si>
    <t>Schimpke</t>
  </si>
  <si>
    <t>NNNP3FQLHBB</t>
  </si>
  <si>
    <t>Katherine</t>
  </si>
  <si>
    <t>DNN36WY849K</t>
  </si>
  <si>
    <t>PRNSFRHRPT7</t>
  </si>
  <si>
    <t>Moos</t>
  </si>
  <si>
    <t>DGNRN3G2QKQ</t>
  </si>
  <si>
    <t>Kerner</t>
  </si>
  <si>
    <t>K6N2SFSXTTB</t>
  </si>
  <si>
    <t>Plant</t>
  </si>
  <si>
    <t>Z9N58LKP4RP</t>
  </si>
  <si>
    <t>ss</t>
  </si>
  <si>
    <t>sss</t>
  </si>
  <si>
    <t>V2NDS3FSZWN</t>
  </si>
  <si>
    <t>Mahendra</t>
  </si>
  <si>
    <t>Tailor</t>
  </si>
  <si>
    <t>NBNLGDLWBY5</t>
  </si>
  <si>
    <t>Rafael</t>
  </si>
  <si>
    <t>Acosta</t>
  </si>
  <si>
    <t>D3N49TS3T89</t>
  </si>
  <si>
    <t>Namratha</t>
  </si>
  <si>
    <t>H8N572G9TTH</t>
  </si>
  <si>
    <t>BANG NTEME</t>
  </si>
  <si>
    <t>Jean-Baptiste</t>
  </si>
  <si>
    <t>P2NWXLXKJZV</t>
  </si>
  <si>
    <t>Woodring</t>
  </si>
  <si>
    <t>XCNT8BYY3LC</t>
  </si>
  <si>
    <t>GJNBG39V2LC</t>
  </si>
  <si>
    <t>Hatle</t>
  </si>
  <si>
    <t>J2NTGC26FD5</t>
  </si>
  <si>
    <t>Gaurav</t>
  </si>
  <si>
    <t>N2N7JKTKKC7</t>
  </si>
  <si>
    <t>Frodo</t>
  </si>
  <si>
    <t>MFNJ7RVDMG9</t>
  </si>
  <si>
    <t>Will</t>
  </si>
  <si>
    <t>Norris</t>
  </si>
  <si>
    <t>J5NYZN2XJJB</t>
  </si>
  <si>
    <t>Irving</t>
  </si>
  <si>
    <t>H8NXS8Y39V4</t>
  </si>
  <si>
    <t>Lilja</t>
  </si>
  <si>
    <t>ZMN6DWZRNGN</t>
  </si>
  <si>
    <t>Gloria</t>
  </si>
  <si>
    <t>Vazquez</t>
  </si>
  <si>
    <t>L4NXLYZ8K6Q</t>
  </si>
  <si>
    <t>syamsi</t>
  </si>
  <si>
    <t>D4NSXWFLVMH</t>
  </si>
  <si>
    <t>Kangkang</t>
  </si>
  <si>
    <t>Shen</t>
  </si>
  <si>
    <t>QWNBSXLYCZ3</t>
  </si>
  <si>
    <t>Constance</t>
  </si>
  <si>
    <t>Sieh</t>
  </si>
  <si>
    <t>N3NBP8F44BJ</t>
  </si>
  <si>
    <t>Howell</t>
  </si>
  <si>
    <t>FHN9GW32K3F</t>
  </si>
  <si>
    <t>Luc</t>
  </si>
  <si>
    <t>Smolders</t>
  </si>
  <si>
    <t>JQN9DJ62RHT</t>
  </si>
  <si>
    <t>Quang Hiệp</t>
  </si>
  <si>
    <t>Mai</t>
  </si>
  <si>
    <t>D3N8Z8S5Y4D</t>
  </si>
  <si>
    <t>Kulkarni</t>
  </si>
  <si>
    <t>N6NWNC7KVZL</t>
  </si>
  <si>
    <t>MWNTPMP9DTV</t>
  </si>
  <si>
    <t>Mohammed</t>
  </si>
  <si>
    <t>Billoo</t>
  </si>
  <si>
    <t>GTN86K93JKL</t>
  </si>
  <si>
    <t>Clifton</t>
  </si>
  <si>
    <t>Z5NQS2RQVPY</t>
  </si>
  <si>
    <t>Muhammad</t>
  </si>
  <si>
    <t>MKNW82BHDZF</t>
  </si>
  <si>
    <t>Youakim</t>
  </si>
  <si>
    <t>BADR</t>
  </si>
  <si>
    <t>XXND84CBL7N</t>
  </si>
  <si>
    <t>Shankaran</t>
  </si>
  <si>
    <t>G</t>
  </si>
  <si>
    <t>XYNQHLNDYPD</t>
  </si>
  <si>
    <t>Shiloh</t>
  </si>
  <si>
    <t>Heurich</t>
  </si>
  <si>
    <t>DDND7HR4KY2</t>
  </si>
  <si>
    <t>Cowell</t>
  </si>
  <si>
    <t>ZJNZRFSKYL6</t>
  </si>
  <si>
    <t>Hemminger</t>
  </si>
  <si>
    <t>MRNNC22J86Q</t>
  </si>
  <si>
    <t>West</t>
  </si>
  <si>
    <t>LPN2L9JRQ95</t>
  </si>
  <si>
    <t>Remigiusz</t>
  </si>
  <si>
    <t>Konca</t>
  </si>
  <si>
    <t>HHNJD7PW5Q4</t>
  </si>
  <si>
    <t>Mohd</t>
  </si>
  <si>
    <t>Faisal</t>
  </si>
  <si>
    <t>DPNDCYG56G6</t>
  </si>
  <si>
    <t>Armin</t>
  </si>
  <si>
    <t>Kuster</t>
  </si>
  <si>
    <t>G3NRSDFJNVM</t>
  </si>
  <si>
    <t>josh</t>
  </si>
  <si>
    <t>FLNMF833B28</t>
  </si>
  <si>
    <t>Sasa</t>
  </si>
  <si>
    <t>Savanovic</t>
  </si>
  <si>
    <t>P2N7TFXQ6N5</t>
  </si>
  <si>
    <t>LVNX54JSXX8</t>
  </si>
  <si>
    <t>Lewandowski</t>
  </si>
  <si>
    <t>HQN8QQPRJ65</t>
  </si>
  <si>
    <t>Shivay</t>
  </si>
  <si>
    <t>shivaylamba</t>
  </si>
  <si>
    <t>LTNCCD49ZV3</t>
  </si>
  <si>
    <t>Furrer</t>
  </si>
  <si>
    <t>MDN6YP4CFJC</t>
  </si>
  <si>
    <t>Gadgil</t>
  </si>
  <si>
    <t>LFNY5VP6DRV</t>
  </si>
  <si>
    <t>Shara</t>
  </si>
  <si>
    <t>Soguilon</t>
  </si>
  <si>
    <t>MWN5NNPWN2V</t>
  </si>
  <si>
    <t>XPNL6Y35L43</t>
  </si>
  <si>
    <t>Ikechukwu</t>
  </si>
  <si>
    <t>Ogbuchi</t>
  </si>
  <si>
    <t>K7NKM47VJB3</t>
  </si>
  <si>
    <t>venkata</t>
  </si>
  <si>
    <t>pyla</t>
  </si>
  <si>
    <t>KJNP3T365DD</t>
  </si>
  <si>
    <t>Kumar Yadav</t>
  </si>
  <si>
    <t>XGNNHCBBNPF</t>
  </si>
  <si>
    <t>Ria</t>
  </si>
  <si>
    <t>XGNMXNQPZ8J</t>
  </si>
  <si>
    <t>Eren</t>
  </si>
  <si>
    <t>Akbaba</t>
  </si>
  <si>
    <t>ZYNKQPYDJM8</t>
  </si>
  <si>
    <t>Sudhanshu</t>
  </si>
  <si>
    <t>Satyam</t>
  </si>
  <si>
    <t>PJNWKDTNR3W</t>
  </si>
  <si>
    <t>Ambreen</t>
  </si>
  <si>
    <t>Jabeen Shah</t>
  </si>
  <si>
    <t>HXN57T5NG5V</t>
  </si>
  <si>
    <t>Murilo</t>
  </si>
  <si>
    <t>Opsfelder Araújo</t>
  </si>
  <si>
    <t>NZNQ9SJVWYV</t>
  </si>
  <si>
    <t>La</t>
  </si>
  <si>
    <t>FVNLYGRHG8M</t>
  </si>
  <si>
    <t>DLNN87JDHFX</t>
  </si>
  <si>
    <t>Robson</t>
  </si>
  <si>
    <t>Esteves</t>
  </si>
  <si>
    <t>HWNNQ2GTSQT</t>
  </si>
  <si>
    <t>Quintana</t>
  </si>
  <si>
    <t>M9N7YFP6YMT</t>
  </si>
  <si>
    <t>Pal</t>
  </si>
  <si>
    <t>Tobias</t>
  </si>
  <si>
    <t>HRNC8GLFTJQ</t>
  </si>
  <si>
    <t>Douglas</t>
  </si>
  <si>
    <t>Moffatt</t>
  </si>
  <si>
    <t>X9NWJHKK7CR</t>
  </si>
  <si>
    <t>Erkan</t>
  </si>
  <si>
    <t>Karagöz</t>
  </si>
  <si>
    <t>N5NWSZPFF9F</t>
  </si>
  <si>
    <t>Miguel</t>
  </si>
  <si>
    <t>Molina</t>
  </si>
  <si>
    <t>J7NZM9YGKKV</t>
  </si>
  <si>
    <t>Nebojša</t>
  </si>
  <si>
    <t>Ćosić</t>
  </si>
  <si>
    <t>LVN9H638KHN</t>
  </si>
  <si>
    <t>(GP2)</t>
  </si>
  <si>
    <t>PLNW8QHX752</t>
  </si>
  <si>
    <t>Andra</t>
  </si>
  <si>
    <t>Paraschiv</t>
  </si>
  <si>
    <t>HRNPGX7S3X8</t>
  </si>
  <si>
    <t>Caidin</t>
  </si>
  <si>
    <t>PDNQ9G2V5C6</t>
  </si>
  <si>
    <t>Filipe</t>
  </si>
  <si>
    <t>Azevedo</t>
  </si>
  <si>
    <t>DHNGM46J39W</t>
  </si>
  <si>
    <t>Markus</t>
  </si>
  <si>
    <t>Falkner</t>
  </si>
  <si>
    <t>NHNG3X94KNS</t>
  </si>
  <si>
    <t>Calderon</t>
  </si>
  <si>
    <t>VSNMMZ9MGW4</t>
  </si>
  <si>
    <t>Ivan Kasvan</t>
  </si>
  <si>
    <t>Opio</t>
  </si>
  <si>
    <t>DCN4ZC4V2D6</t>
  </si>
  <si>
    <t>Eggleton</t>
  </si>
  <si>
    <t>FRN2PQ87MGZ</t>
  </si>
  <si>
    <t>Florian</t>
  </si>
  <si>
    <t>Schaupp</t>
  </si>
  <si>
    <t>NMNDD93C3Q9</t>
  </si>
  <si>
    <t>Bishop</t>
  </si>
  <si>
    <t>VPNJTYPLFQJ</t>
  </si>
  <si>
    <t>Lhopital</t>
  </si>
  <si>
    <t>XJN4ZSWX9FC</t>
  </si>
  <si>
    <t>Masters</t>
  </si>
  <si>
    <t>DKNRNF273Q6</t>
  </si>
  <si>
    <t>Ivo</t>
  </si>
  <si>
    <t>Stoyanov</t>
  </si>
  <si>
    <t>JZN7LB8M6HV</t>
  </si>
  <si>
    <t>Phuong</t>
  </si>
  <si>
    <t>VZN6Y5GSFZT</t>
  </si>
  <si>
    <t>Sarit</t>
  </si>
  <si>
    <t>Adhikari</t>
  </si>
  <si>
    <t>ZBNHP4VNRJZ</t>
  </si>
  <si>
    <t>Gugan</t>
  </si>
  <si>
    <t>Sellamuthu</t>
  </si>
  <si>
    <t>LDNQL87H8WX</t>
  </si>
  <si>
    <t>Yuan</t>
  </si>
  <si>
    <t>X3NLC79Q2N8</t>
  </si>
  <si>
    <t>Wesley</t>
  </si>
  <si>
    <t>Porter</t>
  </si>
  <si>
    <t>H9NZXFHB2M8</t>
  </si>
  <si>
    <t>Dody</t>
  </si>
  <si>
    <t>Suratman</t>
  </si>
  <si>
    <t>GYN9DWRGHR5</t>
  </si>
  <si>
    <t>shruthi.ravichandran@ni.com</t>
  </si>
  <si>
    <t>shruthi-ravi</t>
  </si>
  <si>
    <t>PXNVZZYZ4L5</t>
  </si>
  <si>
    <t>Hanson</t>
  </si>
  <si>
    <t>PGNT8XK2282</t>
  </si>
  <si>
    <t>Sai Harshini</t>
  </si>
  <si>
    <t>Nimmala</t>
  </si>
  <si>
    <t>KXNB4H5F6D8</t>
  </si>
  <si>
    <t>Bilikis</t>
  </si>
  <si>
    <t>Balogun</t>
  </si>
  <si>
    <t>GLNX64BPFK4</t>
  </si>
  <si>
    <t>mim</t>
  </si>
  <si>
    <t>Armand</t>
  </si>
  <si>
    <t>HDNF9MWH8VX</t>
  </si>
  <si>
    <t>Benzies</t>
  </si>
  <si>
    <t>VJN6NWF7K5R</t>
  </si>
  <si>
    <t>Stoykov</t>
  </si>
  <si>
    <t>MWNBDSC55PG</t>
  </si>
  <si>
    <t>jean</t>
  </si>
  <si>
    <t>khawand</t>
  </si>
  <si>
    <t>GLNVPF4WBN4</t>
  </si>
  <si>
    <t>Savage</t>
  </si>
  <si>
    <t>NDNJ5WB4SYH</t>
  </si>
  <si>
    <t>FLNKYVYC6Q7</t>
  </si>
  <si>
    <t>Huang</t>
  </si>
  <si>
    <t>JJN4KGMS3HQ</t>
  </si>
  <si>
    <t>Roeschley</t>
  </si>
  <si>
    <t>DDNRFJTX65P</t>
  </si>
  <si>
    <t>Manjit</t>
  </si>
  <si>
    <t>QYNGTBFVYKG</t>
  </si>
  <si>
    <t>Ciro</t>
  </si>
  <si>
    <t>Nishiguchi</t>
  </si>
  <si>
    <t>NXN43XR22XG</t>
  </si>
  <si>
    <t>Ledwith</t>
  </si>
  <si>
    <t>DYNX58FVL4Q</t>
  </si>
  <si>
    <t>Meer</t>
  </si>
  <si>
    <t>PVNM4B3L8RZ</t>
  </si>
  <si>
    <t>Mulbrook</t>
  </si>
  <si>
    <t>G2NB265RMC4</t>
  </si>
  <si>
    <t>Northway</t>
  </si>
  <si>
    <t>J7NL52J49FF</t>
  </si>
  <si>
    <t>J4NJ7J2P9W7</t>
  </si>
  <si>
    <t>Catherine</t>
  </si>
  <si>
    <t>Falardeau</t>
  </si>
  <si>
    <t>XNNFVBW3LXN</t>
  </si>
  <si>
    <t>Linton</t>
  </si>
  <si>
    <t>XWN3K5XS3WF</t>
  </si>
  <si>
    <t>Quinn</t>
  </si>
  <si>
    <t>ZDN5XFFSMKS</t>
  </si>
  <si>
    <t>Anjali</t>
  </si>
  <si>
    <t>Gola</t>
  </si>
  <si>
    <t>JYNKD6QMTQQ</t>
  </si>
  <si>
    <t>Manning</t>
  </si>
  <si>
    <t>J2NJFV2CK8P</t>
  </si>
  <si>
    <t>Haiyang</t>
  </si>
  <si>
    <t>VVN27JBR3SS</t>
  </si>
  <si>
    <t>Jianqiang</t>
  </si>
  <si>
    <t>PRNW534XYH4</t>
  </si>
  <si>
    <t>Nels</t>
  </si>
  <si>
    <t>FKN95CLVB6S</t>
  </si>
  <si>
    <t>Mathias</t>
  </si>
  <si>
    <t>Brossard</t>
  </si>
  <si>
    <t>FMNQ6KSBQHJ</t>
  </si>
  <si>
    <t>María</t>
  </si>
  <si>
    <t>PYN9SC5J2DH</t>
  </si>
  <si>
    <t>Priyanka</t>
  </si>
  <si>
    <t>ZJNDTW8N65W</t>
  </si>
  <si>
    <t>Benassato Riolino</t>
  </si>
  <si>
    <t>DXN9J899JG2</t>
  </si>
  <si>
    <t>Naveen</t>
  </si>
  <si>
    <t>Vijay Kumar</t>
  </si>
  <si>
    <t>G9NVKBZ7WVN</t>
  </si>
  <si>
    <t>Kasiviswanadh</t>
  </si>
  <si>
    <t>Pasam</t>
  </si>
  <si>
    <t>FZN5RN8CNQ8</t>
  </si>
  <si>
    <t>RAFAEL</t>
  </si>
  <si>
    <t>GIOVANNI A. ORTOLAN</t>
  </si>
  <si>
    <t>XLNW8NMGCRG</t>
  </si>
  <si>
    <t>Hariprasath</t>
  </si>
  <si>
    <t>Devarajan</t>
  </si>
  <si>
    <t>J2N3MCBJTKH</t>
  </si>
  <si>
    <t>Giri</t>
  </si>
  <si>
    <t>Kuncoro</t>
  </si>
  <si>
    <t>LHNGC79RQTT</t>
  </si>
  <si>
    <t>Tanguhwar</t>
  </si>
  <si>
    <t>VYN6KY8PCDH</t>
  </si>
  <si>
    <t>Burak</t>
  </si>
  <si>
    <t>Orpak</t>
  </si>
  <si>
    <t>K3NDHGCD856</t>
  </si>
  <si>
    <t>Mohana Datta</t>
  </si>
  <si>
    <t>Yelugoti</t>
  </si>
  <si>
    <t>D6NR83KNN4X</t>
  </si>
  <si>
    <t>Reto</t>
  </si>
  <si>
    <t>JJN5DSKR22N</t>
  </si>
  <si>
    <t>Christianna</t>
  </si>
  <si>
    <t>Martinou</t>
  </si>
  <si>
    <t>KDNMNDH6CJJ</t>
  </si>
  <si>
    <t>Vladislav</t>
  </si>
  <si>
    <t>Rusanov</t>
  </si>
  <si>
    <t>FSNK6H5SHT2</t>
  </si>
  <si>
    <t>Silke</t>
  </si>
  <si>
    <t>Roth</t>
  </si>
  <si>
    <t>VMNTD7VQFKD</t>
  </si>
  <si>
    <t>Logesh</t>
  </si>
  <si>
    <t>Govindarajulu</t>
  </si>
  <si>
    <t>PWNF6P3B69T</t>
  </si>
  <si>
    <t>Fohler</t>
  </si>
  <si>
    <t>PHNFGKY9RGK</t>
  </si>
  <si>
    <t>Blase</t>
  </si>
  <si>
    <t>JRNBZJYXVQZ</t>
  </si>
  <si>
    <t>Thanh</t>
  </si>
  <si>
    <t>Phan</t>
  </si>
  <si>
    <t>KSNNT98WF9K</t>
  </si>
  <si>
    <t>Siarhiej</t>
  </si>
  <si>
    <t>Siemianchuk</t>
  </si>
  <si>
    <t>LBNLRSB9YGF</t>
  </si>
  <si>
    <t>Jimenez</t>
  </si>
  <si>
    <t>ZSN6MJXW34F</t>
  </si>
  <si>
    <t>Dawn</t>
  </si>
  <si>
    <t>DLN2Q7NBLW5</t>
  </si>
  <si>
    <t>LKNV7QBH5FC</t>
  </si>
  <si>
    <t>LPNFLD4VYC2</t>
  </si>
  <si>
    <t>Courtenay</t>
  </si>
  <si>
    <t>Pope</t>
  </si>
  <si>
    <t>GPN646XCBLQ</t>
  </si>
  <si>
    <t>Udit</t>
  </si>
  <si>
    <t>Z8NNNLR53KZ</t>
  </si>
  <si>
    <t>Pinheiro</t>
  </si>
  <si>
    <t>KVNCGFTYRC5</t>
  </si>
  <si>
    <t>Shashank</t>
  </si>
  <si>
    <t>Shekhar</t>
  </si>
  <si>
    <t>LTNSPRHD5Y2</t>
  </si>
  <si>
    <t>Iryanti</t>
  </si>
  <si>
    <t>FLN3Z5DZ747</t>
  </si>
  <si>
    <t>lucia</t>
  </si>
  <si>
    <t>NSNGLJGG649</t>
  </si>
  <si>
    <t>Akshat</t>
  </si>
  <si>
    <t>XSNTMSQQB43</t>
  </si>
  <si>
    <t>puneet</t>
  </si>
  <si>
    <t>saxena</t>
  </si>
  <si>
    <t>ZWNJ4XQVKM8</t>
  </si>
  <si>
    <t>Ruth</t>
  </si>
  <si>
    <t>Ikegah</t>
  </si>
  <si>
    <t>DXNWW5WKFWK</t>
  </si>
  <si>
    <t>Deji</t>
  </si>
  <si>
    <t>Aribuki</t>
  </si>
  <si>
    <t>VHNZQN29BW5</t>
  </si>
  <si>
    <t>Lacasse-Beaudoin</t>
  </si>
  <si>
    <t>J3NFZ75JW9Z</t>
  </si>
  <si>
    <t>Britt</t>
  </si>
  <si>
    <t>Luttik</t>
  </si>
  <si>
    <t>JBNP76T9B65</t>
  </si>
  <si>
    <t>Wiggers</t>
  </si>
  <si>
    <t>JCNRT9H8VB6</t>
  </si>
  <si>
    <t>Yuya</t>
  </si>
  <si>
    <t>Adachi</t>
  </si>
  <si>
    <t>KLNBNRM83B7</t>
  </si>
  <si>
    <t>Mohajeri</t>
  </si>
  <si>
    <t>FVNZFXT9TLZ</t>
  </si>
  <si>
    <t>Jammy</t>
  </si>
  <si>
    <t>Zhou</t>
  </si>
  <si>
    <t>JQNF2PJNCNX</t>
  </si>
  <si>
    <t>Barrette</t>
  </si>
  <si>
    <t>PBN94WKSVDB</t>
  </si>
  <si>
    <t>Michel</t>
  </si>
  <si>
    <t>Beaulieu</t>
  </si>
  <si>
    <t>VFNFFQFNKQ9</t>
  </si>
  <si>
    <t>Tien</t>
  </si>
  <si>
    <t>PPNV6JJ4B67</t>
  </si>
  <si>
    <t>Atsushi</t>
  </si>
  <si>
    <t>Neki</t>
  </si>
  <si>
    <t>VWN76KJG4QG</t>
  </si>
  <si>
    <t>Wolf</t>
  </si>
  <si>
    <t>M4NBWSW9M4Z</t>
  </si>
  <si>
    <t>Ilya</t>
  </si>
  <si>
    <t>Tagunov</t>
  </si>
  <si>
    <t>J3NZ25YXC8M</t>
  </si>
  <si>
    <t>Evgenii</t>
  </si>
  <si>
    <t>Babichev</t>
  </si>
  <si>
    <t>P7NB4PD8VRJ</t>
  </si>
  <si>
    <t>Carol</t>
  </si>
  <si>
    <t>G3NXCGV6CYM</t>
  </si>
  <si>
    <t>Sujay</t>
  </si>
  <si>
    <t>Solomon</t>
  </si>
  <si>
    <t>XYNF7YVPHMZ</t>
  </si>
  <si>
    <t>Abhi</t>
  </si>
  <si>
    <t>Khobare</t>
  </si>
  <si>
    <t>KJNVQ6S9TSV</t>
  </si>
  <si>
    <t>Donald</t>
  </si>
  <si>
    <t>Hardaway</t>
  </si>
  <si>
    <t>F4NVW4WMB97</t>
  </si>
  <si>
    <t>Simon (Xianfeng)</t>
  </si>
  <si>
    <t>Tian</t>
  </si>
  <si>
    <t>NYNDKH3BSNQ</t>
  </si>
  <si>
    <t>Marcy</t>
  </si>
  <si>
    <t>KDNPNTN3BJB</t>
  </si>
  <si>
    <t>Radha</t>
  </si>
  <si>
    <t>Jhatakia</t>
  </si>
  <si>
    <t>PQNJ7XM6JQT</t>
  </si>
  <si>
    <t>Vamshee</t>
  </si>
  <si>
    <t>Paduru</t>
  </si>
  <si>
    <t>XJNPKZ8BNL2</t>
  </si>
  <si>
    <t>X5NJV5G6S2Z</t>
  </si>
  <si>
    <t>Horner</t>
  </si>
  <si>
    <t>F5NVLFCRJFW</t>
  </si>
  <si>
    <t>NWNW3ZKNV55</t>
  </si>
  <si>
    <t>Critelli</t>
  </si>
  <si>
    <t>VZNJWBSTJ4C</t>
  </si>
  <si>
    <t>Hochstetler</t>
  </si>
  <si>
    <t>JQNKNL728MG</t>
  </si>
  <si>
    <t>Snyder</t>
  </si>
  <si>
    <t>FMNS8QSN4PY</t>
  </si>
  <si>
    <t>Debashis</t>
  </si>
  <si>
    <t>Chatterjee</t>
  </si>
  <si>
    <t>VJNKM67YBM7</t>
  </si>
  <si>
    <t>Puclla</t>
  </si>
  <si>
    <t>Pareja</t>
  </si>
  <si>
    <t>QYNH46NLRCJ</t>
  </si>
  <si>
    <t>Ivelin</t>
  </si>
  <si>
    <t>ivelin</t>
  </si>
  <si>
    <t>PQNF5JLG4SD</t>
  </si>
  <si>
    <t>Hagen</t>
  </si>
  <si>
    <t>PYNHKTVVBCF</t>
  </si>
  <si>
    <t>Cherkus</t>
  </si>
  <si>
    <t>H3NCCDLFLVJ</t>
  </si>
  <si>
    <t>Efroimson</t>
  </si>
  <si>
    <t>DQNL3LCPQ9N</t>
  </si>
  <si>
    <t>MTNDFBCSZ6V</t>
  </si>
  <si>
    <t>Tajinder</t>
  </si>
  <si>
    <t>NQNX6XM2YZ7</t>
  </si>
  <si>
    <t>Th.</t>
  </si>
  <si>
    <t>Adlezrhd</t>
  </si>
  <si>
    <t>HRN9JVQ5KHG</t>
  </si>
  <si>
    <t>Kannan</t>
  </si>
  <si>
    <t>NLNRVMTDJKR</t>
  </si>
  <si>
    <t>Patryk</t>
  </si>
  <si>
    <t>Gralewicz</t>
  </si>
  <si>
    <t>MYNKPJMBFVC</t>
  </si>
  <si>
    <t>Rady</t>
  </si>
  <si>
    <t>ZRNZ233ZVBY</t>
  </si>
  <si>
    <t>Megan</t>
  </si>
  <si>
    <t>Byrd-Sanicki</t>
  </si>
  <si>
    <t>FRN52T5XY59</t>
  </si>
  <si>
    <t>Burgener</t>
  </si>
  <si>
    <t>XNNP4KPKFJ5</t>
  </si>
  <si>
    <t>Krook</t>
  </si>
  <si>
    <t>KFNC94S9XB4</t>
  </si>
  <si>
    <t>Hernan</t>
  </si>
  <si>
    <t>VGN94ZPL5H4</t>
  </si>
  <si>
    <t>Furno</t>
  </si>
  <si>
    <t>G9N62R7FV6H</t>
  </si>
  <si>
    <t>PRNDZWJGSYT</t>
  </si>
  <si>
    <t>XRNXJ39ZL53</t>
  </si>
  <si>
    <t>Laack</t>
  </si>
  <si>
    <t>JSNDMX92F73</t>
  </si>
  <si>
    <t>Sperry</t>
  </si>
  <si>
    <t>KKNB5TB6DS3</t>
  </si>
  <si>
    <t>RAZA</t>
  </si>
  <si>
    <t>BALBALE</t>
  </si>
  <si>
    <t>DNNDCSJW736</t>
  </si>
  <si>
    <t>Boylan</t>
  </si>
  <si>
    <t>XDN3V4SWB5Z</t>
  </si>
  <si>
    <t>Hoffman</t>
  </si>
  <si>
    <t>X3NH5YVWRYX</t>
  </si>
  <si>
    <t>Jean-Marie</t>
  </si>
  <si>
    <t>VERDUN</t>
  </si>
  <si>
    <t>JNNDFD49PXN</t>
  </si>
  <si>
    <t>Polania</t>
  </si>
  <si>
    <t>DCNP2QQ3RK6</t>
  </si>
  <si>
    <t>Kharbanda</t>
  </si>
  <si>
    <t>F4N24Q6WYCV</t>
  </si>
  <si>
    <t>Copley</t>
  </si>
  <si>
    <t>NNNLJVYGB7R</t>
  </si>
  <si>
    <t>Shell</t>
  </si>
  <si>
    <t>GCN6VZ7R2SK</t>
  </si>
  <si>
    <t>Lynch</t>
  </si>
  <si>
    <t>XJNNDDW8FMF</t>
  </si>
  <si>
    <t>Tepley</t>
  </si>
  <si>
    <t>FMNJ7M2GBTG</t>
  </si>
  <si>
    <t>Cy</t>
  </si>
  <si>
    <t>Sinclair</t>
  </si>
  <si>
    <t>D7NMDNP2GFC</t>
  </si>
  <si>
    <t>Swenty</t>
  </si>
  <si>
    <t>GZNGRBQD6DV</t>
  </si>
  <si>
    <t>Breitenstein</t>
  </si>
  <si>
    <t>PZNG7CSQNBB</t>
  </si>
  <si>
    <t>BaSaing</t>
  </si>
  <si>
    <t>NPN724HM9F3</t>
  </si>
  <si>
    <t>Gontijo</t>
  </si>
  <si>
    <t>L3NDVGVV8MQ</t>
  </si>
  <si>
    <t>Haynes</t>
  </si>
  <si>
    <t>G6NQC5M73T8</t>
  </si>
  <si>
    <t>HKNHH5S2MK9</t>
  </si>
  <si>
    <t>Hiamal</t>
  </si>
  <si>
    <t>Llanos</t>
  </si>
  <si>
    <t>N3N67Q94TLW</t>
  </si>
  <si>
    <t>Schmitt</t>
  </si>
  <si>
    <t>GZNCTQDFVKP</t>
  </si>
  <si>
    <t>Weronika</t>
  </si>
  <si>
    <t>Borucka</t>
  </si>
  <si>
    <t>ZDN29CBJVSM</t>
  </si>
  <si>
    <t>Pratik</t>
  </si>
  <si>
    <t>GVN83WDNXZG</t>
  </si>
  <si>
    <t>Shmagin</t>
  </si>
  <si>
    <t>PXN6R25WR4M</t>
  </si>
  <si>
    <t>HZNG9W4T7GN</t>
  </si>
  <si>
    <t>Yasuyuki</t>
  </si>
  <si>
    <t>Matsushita</t>
  </si>
  <si>
    <t>MQNPLG8ZXM3</t>
  </si>
  <si>
    <t>Jann</t>
  </si>
  <si>
    <t>Horn</t>
  </si>
  <si>
    <t>ZTNR8M76D78</t>
  </si>
  <si>
    <t>Vyukov</t>
  </si>
  <si>
    <t>MSNFZFMBCCJ</t>
  </si>
  <si>
    <t>Zhong</t>
  </si>
  <si>
    <t>PTNKJK2SD8S</t>
  </si>
  <si>
    <t>Wright</t>
  </si>
  <si>
    <t>KVND9P28JKK</t>
  </si>
  <si>
    <t>Palladino</t>
  </si>
  <si>
    <t>Kong</t>
  </si>
  <si>
    <t>MVNZ563FFHG</t>
  </si>
  <si>
    <t>kscottz</t>
  </si>
  <si>
    <t>NVN5RYML3QD</t>
  </si>
  <si>
    <t>Sofia</t>
  </si>
  <si>
    <t>Wallin</t>
  </si>
  <si>
    <t>PGN4DL8D68K</t>
  </si>
  <si>
    <t>Dexter</t>
  </si>
  <si>
    <t>K3N4GHZYYG9</t>
  </si>
  <si>
    <t>Walli</t>
  </si>
  <si>
    <t>XTNKB5X82TT</t>
  </si>
  <si>
    <t>N6NDSB6W8WT</t>
  </si>
  <si>
    <t>Stuart</t>
  </si>
  <si>
    <t>ZWNBR68VZ93</t>
  </si>
  <si>
    <t>LeFevre</t>
  </si>
  <si>
    <t>KNNZFGSMHPN</t>
  </si>
  <si>
    <t>Keith</t>
  </si>
  <si>
    <t>Herrington</t>
  </si>
  <si>
    <t>G7N6C57RVTB</t>
  </si>
  <si>
    <t>Arie</t>
  </si>
  <si>
    <t>Gurkov</t>
  </si>
  <si>
    <t>DQNXZPXCHJL</t>
  </si>
  <si>
    <t>Furtado</t>
  </si>
  <si>
    <t>MRNZ9GD8W6C</t>
  </si>
  <si>
    <t>Winslow</t>
  </si>
  <si>
    <t>XNNJGDWBXD3</t>
  </si>
  <si>
    <t>Robbie</t>
  </si>
  <si>
    <t>DelPrete</t>
  </si>
  <si>
    <t>HFNKXXTHW28</t>
  </si>
  <si>
    <t>Rene</t>
  </si>
  <si>
    <t>Herrero</t>
  </si>
  <si>
    <t>MCNVWNZM7MP</t>
  </si>
  <si>
    <t>Marcello</t>
  </si>
  <si>
    <t>L</t>
  </si>
  <si>
    <t>NZNM3K7BH2L</t>
  </si>
  <si>
    <t>Grigley</t>
  </si>
  <si>
    <t>H4NX3HLM4N4</t>
  </si>
  <si>
    <t>St. Marie</t>
  </si>
  <si>
    <t>XCN5CCRTSGX</t>
  </si>
  <si>
    <t>Tipping</t>
  </si>
  <si>
    <t>J5NWVNJ76TS</t>
  </si>
  <si>
    <t>Stan</t>
  </si>
  <si>
    <t>Schwarz</t>
  </si>
  <si>
    <t>MXNSNDCXZVV</t>
  </si>
  <si>
    <t>Leotus</t>
  </si>
  <si>
    <t>LJN45P8BCHZ</t>
  </si>
  <si>
    <t>_</t>
  </si>
  <si>
    <t>K5NHYLFF6CX</t>
  </si>
  <si>
    <t>Hess</t>
  </si>
  <si>
    <t>LXN8RF8NK2V</t>
  </si>
  <si>
    <t>Graumann</t>
  </si>
  <si>
    <t>LTNP6JSGJ7J</t>
  </si>
  <si>
    <t>Scot</t>
  </si>
  <si>
    <t>Salmon</t>
  </si>
  <si>
    <t>J2NHZM6S5QD</t>
  </si>
  <si>
    <t>Horan</t>
  </si>
  <si>
    <t>GTNPQHBS5NJ</t>
  </si>
  <si>
    <t>Belinda</t>
  </si>
  <si>
    <t>Vennam</t>
  </si>
  <si>
    <t>ZPNPBXYTKC8</t>
  </si>
  <si>
    <t>Blevins</t>
  </si>
  <si>
    <t>G9NGQXLQLS8</t>
  </si>
  <si>
    <t>Fernandes</t>
  </si>
  <si>
    <t>FPNZVMPS6MF</t>
  </si>
  <si>
    <t>Yongkook</t>
  </si>
  <si>
    <t>PLNBDQJZCLL</t>
  </si>
  <si>
    <t>PIYUSH</t>
  </si>
  <si>
    <t>DGNV5L3XSND</t>
  </si>
  <si>
    <t>Najmudheen</t>
  </si>
  <si>
    <t>Cheeran</t>
  </si>
  <si>
    <t>LVND2Q3SMBH</t>
  </si>
  <si>
    <t>Sahibinden</t>
  </si>
  <si>
    <t>Firmasi</t>
  </si>
  <si>
    <t>X5NHC6W7W75</t>
  </si>
  <si>
    <t>Gul</t>
  </si>
  <si>
    <t>N7NQXKBYRJ9</t>
  </si>
  <si>
    <t>kumari</t>
  </si>
  <si>
    <t>N9N8Z737YHD</t>
  </si>
  <si>
    <t>Ashit</t>
  </si>
  <si>
    <t>M3NFCS6QWC8</t>
  </si>
  <si>
    <t>Pritam</t>
  </si>
  <si>
    <t>FCNF6BCJ399</t>
  </si>
  <si>
    <t>Sandeep</t>
  </si>
  <si>
    <t>Bhuyan</t>
  </si>
  <si>
    <t>VJNV62X8PGQ</t>
  </si>
  <si>
    <t>Giustizia</t>
  </si>
  <si>
    <t>DMNKDCHDL39</t>
  </si>
  <si>
    <t>Rujak</t>
  </si>
  <si>
    <t>ZKNPWGCQCCX</t>
  </si>
  <si>
    <t>allexiusw</t>
  </si>
  <si>
    <t>X7NJD9HHW4Q</t>
  </si>
  <si>
    <t>FRAN</t>
  </si>
  <si>
    <t>RAMOS</t>
  </si>
  <si>
    <t>NDNHLKF8MSY</t>
  </si>
  <si>
    <t>Catalin</t>
  </si>
  <si>
    <t>Patrascu</t>
  </si>
  <si>
    <t>VWNGNNQTD45</t>
  </si>
  <si>
    <t>Bárbara Gabriella</t>
  </si>
  <si>
    <t>da Silva Soares</t>
  </si>
  <si>
    <t>LKNGK2S92RP</t>
  </si>
  <si>
    <t>Amin</t>
  </si>
  <si>
    <t>Juma</t>
  </si>
  <si>
    <t>HHNX9242P6Z</t>
  </si>
  <si>
    <t>Jean-Francois</t>
  </si>
  <si>
    <t>Pelletier</t>
  </si>
  <si>
    <t>HHN3PYN5NZJ</t>
  </si>
  <si>
    <t>Lohmann</t>
  </si>
  <si>
    <t>PGNR6T6BT38</t>
  </si>
  <si>
    <t>Tuomas</t>
  </si>
  <si>
    <t>Järvensivu</t>
  </si>
  <si>
    <t>G2NV5TFRZSZ</t>
  </si>
  <si>
    <t>Mika</t>
  </si>
  <si>
    <t>Aleksandroff</t>
  </si>
  <si>
    <t>DZNJT2498DN</t>
  </si>
  <si>
    <t>KDNHJJ6S8HV</t>
  </si>
  <si>
    <t>Wilburn</t>
  </si>
  <si>
    <t>L7NZPRXBTGT</t>
  </si>
  <si>
    <t>del Castillo</t>
  </si>
  <si>
    <t>ZKNGC5RCT4K</t>
  </si>
  <si>
    <t>JHNNZHRTJYS</t>
  </si>
  <si>
    <t>Duncan</t>
  </si>
  <si>
    <t>LYN8J9YTMB4</t>
  </si>
  <si>
    <t>Alisa</t>
  </si>
  <si>
    <t>Sedneva</t>
  </si>
  <si>
    <t>H7N69G84VJZ</t>
  </si>
  <si>
    <t>Shoylev</t>
  </si>
  <si>
    <t>KYNB9SKTNRR</t>
  </si>
  <si>
    <t>wey-yi</t>
  </si>
  <si>
    <t>guy</t>
  </si>
  <si>
    <t>X4NDBN7J6XW</t>
  </si>
  <si>
    <t>Gonze</t>
  </si>
  <si>
    <t>NDN4QG7P59M</t>
  </si>
  <si>
    <t>Jerome</t>
  </si>
  <si>
    <t>Wegwerth</t>
  </si>
  <si>
    <t>PLNXCCWLXXX</t>
  </si>
  <si>
    <t>Sudduth</t>
  </si>
  <si>
    <t>L8NNY997DKL</t>
  </si>
  <si>
    <t>Donnie</t>
  </si>
  <si>
    <t>Berkholz</t>
  </si>
  <si>
    <t>Z2NJVYMQHGK</t>
  </si>
  <si>
    <t>Bertholdt</t>
  </si>
  <si>
    <t>G3NKV5JWT3T</t>
  </si>
  <si>
    <t>Polrola</t>
  </si>
  <si>
    <t>V6N8H458RFQ</t>
  </si>
  <si>
    <t>Misasi</t>
  </si>
  <si>
    <t>DBN9LPSL3PV</t>
  </si>
  <si>
    <t>Arora</t>
  </si>
  <si>
    <t>JHN4ZD9NWFM</t>
  </si>
  <si>
    <t>Sunil Kallur</t>
  </si>
  <si>
    <t>Ramegowda</t>
  </si>
  <si>
    <t>DHNDF78KV44</t>
  </si>
  <si>
    <t>Grigoletti</t>
  </si>
  <si>
    <t>FZNQ9THZQJX</t>
  </si>
  <si>
    <t>JNN5PYVKLLN</t>
  </si>
  <si>
    <t>Stanko</t>
  </si>
  <si>
    <t>Zecevic</t>
  </si>
  <si>
    <t>JMNLRDN7GRX</t>
  </si>
  <si>
    <t>Nagendra Kumar</t>
  </si>
  <si>
    <t>Nainar</t>
  </si>
  <si>
    <t>JQN6J2JBG22</t>
  </si>
  <si>
    <t>Karsten</t>
  </si>
  <si>
    <t>Wade</t>
  </si>
  <si>
    <t>Z9NRJPYK7WH</t>
  </si>
  <si>
    <t>Loginov</t>
  </si>
  <si>
    <t>V3NTYM7SYCK</t>
  </si>
  <si>
    <t>Keerock</t>
  </si>
  <si>
    <t>P9N5TPDVTFC</t>
  </si>
  <si>
    <t>DSouza</t>
  </si>
  <si>
    <t>XLNYBD2QNKJ</t>
  </si>
  <si>
    <t>Bergin</t>
  </si>
  <si>
    <t>V9NNP2G8P3L</t>
  </si>
  <si>
    <t>Shouvick</t>
  </si>
  <si>
    <t>Koley</t>
  </si>
  <si>
    <t>Z4NY4B6KLJZ</t>
  </si>
  <si>
    <t>Wayne</t>
  </si>
  <si>
    <t>DJN8F2QD6Z9</t>
  </si>
  <si>
    <t>satish</t>
  </si>
  <si>
    <t>K6N7M5XX4G9</t>
  </si>
  <si>
    <t>Ed</t>
  </si>
  <si>
    <t>H6NSL7TVPLK</t>
  </si>
  <si>
    <t>Thayer</t>
  </si>
  <si>
    <t>ZYN9MJ6GJ8X</t>
  </si>
  <si>
    <t>Radosław</t>
  </si>
  <si>
    <t>GYN99W3L7DS</t>
  </si>
  <si>
    <t>FSNT8F7XG4K</t>
  </si>
  <si>
    <t>NCNB89KT5LL</t>
  </si>
  <si>
    <t>NTNZ29KYLJQ</t>
  </si>
  <si>
    <t>alex.badea@keysight.com</t>
  </si>
  <si>
    <t>KQNJM94XC7R</t>
  </si>
  <si>
    <t>Lashover</t>
  </si>
  <si>
    <t>QWN4FVD8KLH</t>
  </si>
  <si>
    <t>Beaudet</t>
  </si>
  <si>
    <t>GDNV554F3XV</t>
  </si>
  <si>
    <t>Qendresa</t>
  </si>
  <si>
    <t>Hoti</t>
  </si>
  <si>
    <t>XHNQKRTJT2G</t>
  </si>
  <si>
    <t>GGNQ46J8GVK</t>
  </si>
  <si>
    <t>Sudipto</t>
  </si>
  <si>
    <t>ZZN57FQKFJL</t>
  </si>
  <si>
    <t>Hongta</t>
  </si>
  <si>
    <t>Wu</t>
  </si>
  <si>
    <t>M8N83X3T4FS</t>
  </si>
  <si>
    <t>Remo</t>
  </si>
  <si>
    <t>Augustus Held</t>
  </si>
  <si>
    <t>P7NXYSQ9YW6</t>
  </si>
  <si>
    <t>Santosh Kumar</t>
  </si>
  <si>
    <t>Nath</t>
  </si>
  <si>
    <t>NMNLB77K2FK</t>
  </si>
  <si>
    <t>Arman</t>
  </si>
  <si>
    <t>Rozika</t>
  </si>
  <si>
    <t>K8N5L5XFR9D</t>
  </si>
  <si>
    <t>Bonifacio</t>
  </si>
  <si>
    <t>DKN94V3MN3R</t>
  </si>
  <si>
    <t>Bulent</t>
  </si>
  <si>
    <t>Morten</t>
  </si>
  <si>
    <t>X4N5H4SGTJF</t>
  </si>
  <si>
    <t>Benhur</t>
  </si>
  <si>
    <t>Tessele</t>
  </si>
  <si>
    <t>NPNCXGY9K3B</t>
  </si>
  <si>
    <t>Tiago</t>
  </si>
  <si>
    <t>Trevisani Ganselli</t>
  </si>
  <si>
    <t>L9NYDMXBVQG</t>
  </si>
  <si>
    <t>MDN3TTV3985</t>
  </si>
  <si>
    <t>goleniyati6.ng@gmail.com</t>
  </si>
  <si>
    <t>MWNTN27T23T</t>
  </si>
  <si>
    <t>P8NV78C8WCW</t>
  </si>
  <si>
    <t>Chui</t>
  </si>
  <si>
    <t>ZRNC52BHLK6</t>
  </si>
  <si>
    <t>Rustam</t>
  </si>
  <si>
    <t>Kovhaev</t>
  </si>
  <si>
    <t>GTNYWXM27D9</t>
  </si>
  <si>
    <t>Chanon</t>
  </si>
  <si>
    <t>Khongprasongsiri</t>
  </si>
  <si>
    <t>NJNZP8D3N2V</t>
  </si>
  <si>
    <t>Mueller</t>
  </si>
  <si>
    <t>H7NZ49PF4YZ</t>
  </si>
  <si>
    <t>van Dijk</t>
  </si>
  <si>
    <t>P9NFNQCQ4ZV</t>
  </si>
  <si>
    <t>Ariel</t>
  </si>
  <si>
    <t>Jolodovsky</t>
  </si>
  <si>
    <t>H6NDB82B7NM</t>
  </si>
  <si>
    <t>Adrian</t>
  </si>
  <si>
    <t>Schmidt</t>
  </si>
  <si>
    <t>XMNLXV3W5FV</t>
  </si>
  <si>
    <t>keiya</t>
  </si>
  <si>
    <t>nobuta</t>
  </si>
  <si>
    <t>JHNZ8MR396X</t>
  </si>
  <si>
    <t>Franco Ramos</t>
  </si>
  <si>
    <t>HJNHDZFMYK9</t>
  </si>
  <si>
    <t>Arroyo</t>
  </si>
  <si>
    <t>L9NKBQVLHCF</t>
  </si>
  <si>
    <t>Christoph</t>
  </si>
  <si>
    <t>Stoidner</t>
  </si>
  <si>
    <t>K2N3DFT6JXH</t>
  </si>
  <si>
    <t>Korobkin</t>
  </si>
  <si>
    <t>MZN9G8537SK</t>
  </si>
  <si>
    <t>Oleg</t>
  </si>
  <si>
    <t>Polyakov</t>
  </si>
  <si>
    <t>D6NL68S3Q9W</t>
  </si>
  <si>
    <t>tushar</t>
  </si>
  <si>
    <t>khandelwal</t>
  </si>
  <si>
    <t>F7NXH4T49VQ</t>
  </si>
  <si>
    <t>Yann</t>
  </si>
  <si>
    <t>PERON</t>
  </si>
  <si>
    <t>DPNJBSVKQGS</t>
  </si>
  <si>
    <t>Joao Marcos</t>
  </si>
  <si>
    <t>Costa</t>
  </si>
  <si>
    <t>Z2N2SKNQRYF</t>
  </si>
  <si>
    <t>Ahmad Muhammad</t>
  </si>
  <si>
    <t>Faruk</t>
  </si>
  <si>
    <t>GRNVWJ43KNX</t>
  </si>
  <si>
    <t>Boczko</t>
  </si>
  <si>
    <t>KFNWRNY2LMW</t>
  </si>
  <si>
    <t>nicholas.cook@arm.com</t>
  </si>
  <si>
    <t>MGNYYD6S9FZ</t>
  </si>
  <si>
    <t>Emmet</t>
  </si>
  <si>
    <t>Hikory</t>
  </si>
  <si>
    <t>NLNS75FGH7P</t>
  </si>
  <si>
    <t>Guinot</t>
  </si>
  <si>
    <t>JFNSLHLMFHZ</t>
  </si>
  <si>
    <t>Caldwell</t>
  </si>
  <si>
    <t>G7NBGRWF5M2</t>
  </si>
  <si>
    <t>FPNZBS4W4CK</t>
  </si>
  <si>
    <t>Aeva</t>
  </si>
  <si>
    <t>Black</t>
  </si>
  <si>
    <t>V6NXRFX4KKQ</t>
  </si>
  <si>
    <t>Watt</t>
  </si>
  <si>
    <t>PFN2DH67X9Z</t>
  </si>
  <si>
    <t>Rhodes</t>
  </si>
  <si>
    <t>J5NV4MHYS8Y</t>
  </si>
  <si>
    <t>Gleeson</t>
  </si>
  <si>
    <t>K6NG5YLCY6X</t>
  </si>
  <si>
    <t>Aquiles</t>
  </si>
  <si>
    <t>Santos</t>
  </si>
  <si>
    <t>VPN76CSSLS4</t>
  </si>
  <si>
    <t>McGinnis</t>
  </si>
  <si>
    <t>KSNRS3MZ9DV</t>
  </si>
  <si>
    <t>why2jjj</t>
  </si>
  <si>
    <t>Freyensee</t>
  </si>
  <si>
    <t>NDN7QJP9R55</t>
  </si>
  <si>
    <t>Panburana</t>
  </si>
  <si>
    <t>ZTNCQ5648Y8</t>
  </si>
  <si>
    <t>Zhenlan</t>
  </si>
  <si>
    <t>PCNDQFYWD7H</t>
  </si>
  <si>
    <t>Anh-Tuan</t>
  </si>
  <si>
    <t>Hoang</t>
  </si>
  <si>
    <t>DPNZTYKM6WQ</t>
  </si>
  <si>
    <t>Jayson</t>
  </si>
  <si>
    <t>Cofell</t>
  </si>
  <si>
    <t>HSNN2GP5Q9G</t>
  </si>
  <si>
    <t>Jerry</t>
  </si>
  <si>
    <t>Cooperstein</t>
  </si>
  <si>
    <t>D4NG92RT424</t>
  </si>
  <si>
    <t>VDN3LVX4639</t>
  </si>
  <si>
    <t>Truman</t>
  </si>
  <si>
    <t>Esmond</t>
  </si>
  <si>
    <t>VCNQH6KYV6F</t>
  </si>
  <si>
    <t>Kuei-Ti</t>
  </si>
  <si>
    <t>Lu</t>
  </si>
  <si>
    <t>HQNSVYHHK57</t>
  </si>
  <si>
    <t>Tousley</t>
  </si>
  <si>
    <t>K4NKLN6P4R6</t>
  </si>
  <si>
    <t>Lingling</t>
  </si>
  <si>
    <t>Dong</t>
  </si>
  <si>
    <t>PFNGDNSF843</t>
  </si>
  <si>
    <t>Chevy</t>
  </si>
  <si>
    <t>Hungerford</t>
  </si>
  <si>
    <t>P2ND7Z3Z5VW</t>
  </si>
  <si>
    <t>Whetton</t>
  </si>
  <si>
    <t>XTNWT3W49VM</t>
  </si>
  <si>
    <t>Sakoman</t>
  </si>
  <si>
    <t>HCNFCFG2V3C</t>
  </si>
  <si>
    <t>K6NJPLGKGLJ</t>
  </si>
  <si>
    <t>Reese</t>
  </si>
  <si>
    <t>XHNPGBY9KKT</t>
  </si>
  <si>
    <t>Karthik</t>
  </si>
  <si>
    <t>Alur</t>
  </si>
  <si>
    <t>NNNXP4C6J2S</t>
  </si>
  <si>
    <t>WEILI</t>
  </si>
  <si>
    <t>LIN</t>
  </si>
  <si>
    <t>NVNQSXWHW2N</t>
  </si>
  <si>
    <t>Pack</t>
  </si>
  <si>
    <t>ZYNNCSLXJJK</t>
  </si>
  <si>
    <t>Thai</t>
  </si>
  <si>
    <t>M7ND8LBQS7K</t>
  </si>
  <si>
    <t>Selene</t>
  </si>
  <si>
    <t>ToyKeeper</t>
  </si>
  <si>
    <t>VKND99TF6PV</t>
  </si>
  <si>
    <t>Riesgo</t>
  </si>
  <si>
    <t>MDNWPNYLJS8</t>
  </si>
  <si>
    <t>FXNMC23T6LK</t>
  </si>
  <si>
    <t>Chewning</t>
  </si>
  <si>
    <t>MFN278F9DZF</t>
  </si>
  <si>
    <t>Aishwarya</t>
  </si>
  <si>
    <t>Sankara</t>
  </si>
  <si>
    <t>MTNYY3LTB6X</t>
  </si>
  <si>
    <t>Carpenter</t>
  </si>
  <si>
    <t>J4N5KJXZHL9</t>
  </si>
  <si>
    <t>stanley</t>
  </si>
  <si>
    <t>andrews</t>
  </si>
  <si>
    <t>PYNMTZJHRYH</t>
  </si>
  <si>
    <t>Fox Anvick</t>
  </si>
  <si>
    <t>ZDNG4HBDLB6</t>
  </si>
  <si>
    <t>Phillips</t>
  </si>
  <si>
    <t>HZN868MVV2M</t>
  </si>
  <si>
    <t>Lahiri</t>
  </si>
  <si>
    <t>N7NYHKCSS4H</t>
  </si>
  <si>
    <t>Devereaux</t>
  </si>
  <si>
    <t>KYNWNKDPG2T</t>
  </si>
  <si>
    <t>Jagielski</t>
  </si>
  <si>
    <t>Z5N5NLJ9Q2G</t>
  </si>
  <si>
    <t>nicolas</t>
  </si>
  <si>
    <t>dechesne</t>
  </si>
  <si>
    <t>V2N8DKTCLG2</t>
  </si>
  <si>
    <t>Sudharaka</t>
  </si>
  <si>
    <t>Palamakumbura</t>
  </si>
  <si>
    <t>DSNC4SM962V</t>
  </si>
  <si>
    <t>Prajwal</t>
  </si>
  <si>
    <t>GYN2HC9VBTV</t>
  </si>
  <si>
    <t>GSNGSKWHJDN</t>
  </si>
  <si>
    <t>Damnjanovic</t>
  </si>
  <si>
    <t>XTNYZL6RWQW</t>
  </si>
  <si>
    <t>Himanshu</t>
  </si>
  <si>
    <t>QYNDJXFBPQT</t>
  </si>
  <si>
    <t>Supriya</t>
  </si>
  <si>
    <t>Chitale</t>
  </si>
  <si>
    <t>KYNTPPVPR64</t>
  </si>
  <si>
    <t>Rutendo Beverly</t>
  </si>
  <si>
    <t>Musara</t>
  </si>
  <si>
    <t>PMNTJNQ3Z79</t>
  </si>
  <si>
    <t>Muhammad Adeel</t>
  </si>
  <si>
    <t>Malik</t>
  </si>
  <si>
    <t>JLNVPL5SX4F</t>
  </si>
  <si>
    <t>Teja</t>
  </si>
  <si>
    <t>LDNHWRTTH96</t>
  </si>
  <si>
    <t>Foundation</t>
  </si>
  <si>
    <t>JTNXXS6QMSB</t>
  </si>
  <si>
    <t>Oscar Eduardo</t>
  </si>
  <si>
    <t>Fonseca Gomez</t>
  </si>
  <si>
    <t>MDNFS8GFM29</t>
  </si>
  <si>
    <t>Hao</t>
  </si>
  <si>
    <t>FSNWW3ST3VY</t>
  </si>
  <si>
    <t>Normand</t>
  </si>
  <si>
    <t>ZQNN5GQ6CNQ</t>
  </si>
  <si>
    <t>Stanford</t>
  </si>
  <si>
    <t>PHNK9X39C4P</t>
  </si>
  <si>
    <t>Jeroen</t>
  </si>
  <si>
    <t>Baten</t>
  </si>
  <si>
    <t>MQNPWVDKSS5</t>
  </si>
  <si>
    <t>Buddhika Priyashantha</t>
  </si>
  <si>
    <t>Kandamulla Arachchige</t>
  </si>
  <si>
    <t>JMN7SZDJ4Q5</t>
  </si>
  <si>
    <t>Manuel</t>
  </si>
  <si>
    <t>MTNZJK7SVCN</t>
  </si>
  <si>
    <t>XMNDXML4FLH</t>
  </si>
  <si>
    <t>von Winckler</t>
  </si>
  <si>
    <t>PCN3VQDDNBT</t>
  </si>
  <si>
    <t>Laíns</t>
  </si>
  <si>
    <t>D4NXFMJGLPD</t>
  </si>
  <si>
    <t>Ashwini</t>
  </si>
  <si>
    <t>Kammar</t>
  </si>
  <si>
    <t>N4NXR9GKDJZ</t>
  </si>
  <si>
    <t>Colja</t>
  </si>
  <si>
    <t>Boennemann</t>
  </si>
  <si>
    <t>F8NKJY7WS94</t>
  </si>
  <si>
    <t>Burton</t>
  </si>
  <si>
    <t>MYNW6232CGG</t>
  </si>
  <si>
    <t>bulent</t>
  </si>
  <si>
    <t>ozlem</t>
  </si>
  <si>
    <t>MFNWWK9SZMX</t>
  </si>
  <si>
    <t>Carlos Juan</t>
  </si>
  <si>
    <t>Gómez Peñalver</t>
  </si>
  <si>
    <t>GKN7LGRXYNJ</t>
  </si>
  <si>
    <t>Kazanov</t>
  </si>
  <si>
    <t>GWNBGLRJGFH</t>
  </si>
  <si>
    <t>Seema</t>
  </si>
  <si>
    <t>Saharan</t>
  </si>
  <si>
    <t>VTNRYCW5T25</t>
  </si>
  <si>
    <t>Lewi</t>
  </si>
  <si>
    <t>Kristianto</t>
  </si>
  <si>
    <t>ZSN5ZHNZSHR</t>
  </si>
  <si>
    <t>Serdar</t>
  </si>
  <si>
    <t>Mumcu</t>
  </si>
  <si>
    <t>P2N9C3SXD5S</t>
  </si>
  <si>
    <t>Manank</t>
  </si>
  <si>
    <t>Patni</t>
  </si>
  <si>
    <t>XVNY4VZRYM3</t>
  </si>
  <si>
    <t>Himank</t>
  </si>
  <si>
    <t>Chaturvedi</t>
  </si>
  <si>
    <t>N8N8NWKC5ZB</t>
  </si>
  <si>
    <t>Saunders</t>
  </si>
  <si>
    <t>FQNH7NWBDTT</t>
  </si>
  <si>
    <t>Yash</t>
  </si>
  <si>
    <t>Awasthi</t>
  </si>
  <si>
    <t>GSNMFKSRRFF</t>
  </si>
  <si>
    <t>Tejaswini</t>
  </si>
  <si>
    <t>Vaidya</t>
  </si>
  <si>
    <t>MJND3XNNBG6</t>
  </si>
  <si>
    <t>Aswani</t>
  </si>
  <si>
    <t>FVN2SF5NKS9</t>
  </si>
  <si>
    <t>Ikenna</t>
  </si>
  <si>
    <t>Odiakosa</t>
  </si>
  <si>
    <t>GRNQBVRWD83</t>
  </si>
  <si>
    <t>Seth</t>
  </si>
  <si>
    <t>Kusi</t>
  </si>
  <si>
    <t>GFND2Z5KFTG</t>
  </si>
  <si>
    <t>Maniuk</t>
  </si>
  <si>
    <t>FFNYZCYS6DP</t>
  </si>
  <si>
    <t>Champagne</t>
  </si>
  <si>
    <t>H6NC425SXVD</t>
  </si>
  <si>
    <t>Ainslie</t>
  </si>
  <si>
    <t>VQNCZT6NP9P</t>
  </si>
  <si>
    <t>Pablo Henry</t>
  </si>
  <si>
    <t>Williams Gatica</t>
  </si>
  <si>
    <t>HMN3BKDFK7T</t>
  </si>
  <si>
    <t>Egor</t>
  </si>
  <si>
    <t>Re</t>
  </si>
  <si>
    <t>PGNRX2WQ8RL</t>
  </si>
  <si>
    <t>Zoran</t>
  </si>
  <si>
    <t>Markovic</t>
  </si>
  <si>
    <t>LGNDFW5D2P5</t>
  </si>
  <si>
    <t>Yves</t>
  </si>
  <si>
    <t>M2NGR2YXZJT</t>
  </si>
  <si>
    <t>K5N3NGDXJ8J</t>
  </si>
  <si>
    <t>Gamache</t>
  </si>
  <si>
    <t>P2NWBWJXKS8</t>
  </si>
  <si>
    <t>Shang-Wen</t>
  </si>
  <si>
    <t>XRN3FBNV2DR</t>
  </si>
  <si>
    <t>Conrad</t>
  </si>
  <si>
    <t>XFNSX6S2L66</t>
  </si>
  <si>
    <t>Castle</t>
  </si>
  <si>
    <t>J2N27Z48Q6Y</t>
  </si>
  <si>
    <t>Alexandra Nicoleta</t>
  </si>
  <si>
    <t>Firica</t>
  </si>
  <si>
    <t>J6NCQDSZN97</t>
  </si>
  <si>
    <t>Mösch</t>
  </si>
  <si>
    <t>NVN9MC87GN6</t>
  </si>
  <si>
    <t>G8N6L4GVG2D</t>
  </si>
  <si>
    <t>Feist</t>
  </si>
  <si>
    <t>P4N7FFVTK68</t>
  </si>
  <si>
    <t>Cash</t>
  </si>
  <si>
    <t>Lo</t>
  </si>
  <si>
    <t>LWNC66LKJ5B</t>
  </si>
  <si>
    <t>X8NQ2Z975S2</t>
  </si>
  <si>
    <t>Thi Huong</t>
  </si>
  <si>
    <t>NMNJRRD9BDG</t>
  </si>
  <si>
    <t>Olaf</t>
  </si>
  <si>
    <t>Renner</t>
  </si>
  <si>
    <t>DLNMD5RQRND</t>
  </si>
  <si>
    <t>Alcaide</t>
  </si>
  <si>
    <t>GVNQ7SCTPLP</t>
  </si>
  <si>
    <t>Kiriliuk</t>
  </si>
  <si>
    <t>VWN6Y72QQ76</t>
  </si>
  <si>
    <t>Shoko</t>
  </si>
  <si>
    <t>Amano</t>
  </si>
  <si>
    <t>XVNRBJCKK5B</t>
  </si>
  <si>
    <t>François</t>
  </si>
  <si>
    <t>Dugast</t>
  </si>
  <si>
    <t>D5NM79XC4TR</t>
  </si>
  <si>
    <t>Curtis</t>
  </si>
  <si>
    <t>Hildebrand</t>
  </si>
  <si>
    <t>PJNPXF2V7R2</t>
  </si>
  <si>
    <t>Pouwels</t>
  </si>
  <si>
    <t>H2NRYQXTRDJ</t>
  </si>
  <si>
    <t>Hironobu</t>
  </si>
  <si>
    <t>Ishii</t>
  </si>
  <si>
    <t>J3N8PCTBMSB</t>
  </si>
  <si>
    <t>Wallwork</t>
  </si>
  <si>
    <t>P9N92DFZ66Q</t>
  </si>
  <si>
    <t>Madalin</t>
  </si>
  <si>
    <t>Bucur</t>
  </si>
  <si>
    <t>HHNPWWSB57B</t>
  </si>
  <si>
    <t>Tuyen</t>
  </si>
  <si>
    <t>H8NV7GNGBHB</t>
  </si>
  <si>
    <t>Georgios</t>
  </si>
  <si>
    <t>Katsanakis</t>
  </si>
  <si>
    <t>LJNTJKHN3JF</t>
  </si>
  <si>
    <t>Wenzel</t>
  </si>
  <si>
    <t>ZWNHTQ783DS</t>
  </si>
  <si>
    <t>Felix</t>
  </si>
  <si>
    <t>Schuette</t>
  </si>
  <si>
    <t>H7NL9WJ6DK9</t>
  </si>
  <si>
    <t>Pradhan</t>
  </si>
  <si>
    <t>L3NYMTKHD66</t>
  </si>
  <si>
    <t>LNNNS2F39DH</t>
  </si>
  <si>
    <t>Ayrat</t>
  </si>
  <si>
    <t>Khayretdinov</t>
  </si>
  <si>
    <t>GTNTMHXJF2V</t>
  </si>
  <si>
    <t>Theodoros</t>
  </si>
  <si>
    <t>Kyriakidis</t>
  </si>
  <si>
    <t>KBN67QG7YQN</t>
  </si>
  <si>
    <t>Sam Zishan</t>
  </si>
  <si>
    <t>GCN26J2BNZX</t>
  </si>
  <si>
    <t>Vaillant</t>
  </si>
  <si>
    <t>GYN6J96LMW5</t>
  </si>
  <si>
    <t>Hurtado de Mendoza</t>
  </si>
  <si>
    <t>ZBNHZ3449WQ</t>
  </si>
  <si>
    <t>Schiller</t>
  </si>
  <si>
    <t>V5NFCT7MYSC</t>
  </si>
  <si>
    <t>Saikeo</t>
  </si>
  <si>
    <t>Kavhanxay</t>
  </si>
  <si>
    <t>D4N75JWCLJR</t>
  </si>
  <si>
    <t>Changhyeok</t>
  </si>
  <si>
    <t>Bae</t>
  </si>
  <si>
    <t>KCNYBPBQXNH</t>
  </si>
  <si>
    <t>Brauner</t>
  </si>
  <si>
    <t>XVNPD2WQFG7</t>
  </si>
  <si>
    <t>Yoshitake</t>
  </si>
  <si>
    <t>Kobayashi</t>
  </si>
  <si>
    <t>MDNR24BKZPD</t>
  </si>
  <si>
    <t>Aniszczyk</t>
  </si>
  <si>
    <t>PRN5TGFTDXQ</t>
  </si>
  <si>
    <t>NQN5GGMZDWQ</t>
  </si>
  <si>
    <t>Serewicz</t>
  </si>
  <si>
    <t>Z9N4TLLSFLR</t>
  </si>
  <si>
    <t>Co</t>
  </si>
  <si>
    <t>JYNPKN5M6X5</t>
  </si>
  <si>
    <t>Snider</t>
  </si>
  <si>
    <t>XNN22QH5G65</t>
  </si>
  <si>
    <t>Harold</t>
  </si>
  <si>
    <t>V2N8GWB8X9C</t>
  </si>
  <si>
    <t>Darrin</t>
  </si>
  <si>
    <t>Scheive</t>
  </si>
  <si>
    <t>JDNZNXLX6MB</t>
  </si>
  <si>
    <t>Malaika</t>
  </si>
  <si>
    <t>XBNC52YMTVT</t>
  </si>
  <si>
    <t>Stout</t>
  </si>
  <si>
    <t>PCN4PJNBLMV</t>
  </si>
  <si>
    <t>Stalter</t>
  </si>
  <si>
    <t>L9N9RXW2QR9</t>
  </si>
  <si>
    <t>Frate</t>
  </si>
  <si>
    <t>FQNMK6Y59BF</t>
  </si>
  <si>
    <t>Brock</t>
  </si>
  <si>
    <t>Allen</t>
  </si>
  <si>
    <t>JJNBCZ7544X</t>
  </si>
  <si>
    <t>Jillian</t>
  </si>
  <si>
    <t>Connolly Hall</t>
  </si>
  <si>
    <t>JKN9RJTCNMM</t>
  </si>
  <si>
    <t>McIntosh</t>
  </si>
  <si>
    <t>GKNXNV5LSP9</t>
  </si>
  <si>
    <t>Goehrig</t>
  </si>
  <si>
    <t>V2NMGTRZ8JH</t>
  </si>
  <si>
    <t>Barron</t>
  </si>
  <si>
    <t>LJN3TTMLVRB</t>
  </si>
  <si>
    <t>Kjell</t>
  </si>
  <si>
    <t>Enblom</t>
  </si>
  <si>
    <t>ZVN769C8LQX</t>
  </si>
  <si>
    <t>NIYOYITA</t>
  </si>
  <si>
    <t>PDN869NGL2K</t>
  </si>
  <si>
    <t>Abramovitz</t>
  </si>
  <si>
    <t>NXN4ZN7NHYT</t>
  </si>
  <si>
    <t>Rumph</t>
  </si>
  <si>
    <t>KSNFPL3KJ5W</t>
  </si>
  <si>
    <t>Anders</t>
  </si>
  <si>
    <t>Wirén</t>
  </si>
  <si>
    <t>JNNDLCJCLGC</t>
  </si>
  <si>
    <t>Maydanik</t>
  </si>
  <si>
    <t>NXNLGXDT75F</t>
  </si>
  <si>
    <t>Arun</t>
  </si>
  <si>
    <t>Viswanathan</t>
  </si>
  <si>
    <t>HMN354HDTRR</t>
  </si>
  <si>
    <t>Vogt</t>
  </si>
  <si>
    <t>N8NCB8Z26VR</t>
  </si>
  <si>
    <t>HLNXBY3DFX5</t>
  </si>
  <si>
    <t>Shaun</t>
  </si>
  <si>
    <t>Empie</t>
  </si>
  <si>
    <t>GMNSYVP727B</t>
  </si>
  <si>
    <t>Krems</t>
  </si>
  <si>
    <t>JYNXNMY5H4S</t>
  </si>
  <si>
    <t>Mudubagilu</t>
  </si>
  <si>
    <t>KBNXSFVVLHP</t>
  </si>
  <si>
    <t>Mann</t>
  </si>
  <si>
    <t>X7NDW8VC66V</t>
  </si>
  <si>
    <t>Sadmi</t>
  </si>
  <si>
    <t>N3NL8Y7BVT6</t>
  </si>
  <si>
    <t>Vannoy</t>
  </si>
  <si>
    <t>PQNKTG6FR3P</t>
  </si>
  <si>
    <t>Lechner</t>
  </si>
  <si>
    <t>N9NQHJ5V9M6</t>
  </si>
  <si>
    <t>Heroor</t>
  </si>
  <si>
    <t>L8N6KV3MD5X</t>
  </si>
  <si>
    <t>Jan-Simon</t>
  </si>
  <si>
    <t>Moeller</t>
  </si>
  <si>
    <t>VTNNC2NPC23</t>
  </si>
  <si>
    <t>Hermann</t>
  </si>
  <si>
    <t>XQNCJP8V99Z</t>
  </si>
  <si>
    <t>McIntyre</t>
  </si>
  <si>
    <t>G4N6TRDY3WV</t>
  </si>
  <si>
    <t>Tadayuki</t>
  </si>
  <si>
    <t>Osaki</t>
  </si>
  <si>
    <t>DHNR98NM8WB</t>
  </si>
  <si>
    <t>Shiraz</t>
  </si>
  <si>
    <t>Shafiq</t>
  </si>
  <si>
    <t>LGNT7WKRB88</t>
  </si>
  <si>
    <t>Ferdi</t>
  </si>
  <si>
    <t>Bak</t>
  </si>
  <si>
    <t>PSNM5X9NHRS</t>
  </si>
  <si>
    <t>Keiko</t>
  </si>
  <si>
    <t>Higuchi</t>
  </si>
  <si>
    <t>ZTNLXPDJQVX</t>
  </si>
  <si>
    <t>Martijn</t>
  </si>
  <si>
    <t>Sluijtman</t>
  </si>
  <si>
    <t>P6N94TWB87W</t>
  </si>
  <si>
    <t>Jürgen</t>
  </si>
  <si>
    <t>Fey</t>
  </si>
  <si>
    <t>KYNJRS9CTSC</t>
  </si>
  <si>
    <t>Franklin Ricardo</t>
  </si>
  <si>
    <t>Centeno</t>
  </si>
  <si>
    <t>GHNJQDD7N4G</t>
  </si>
  <si>
    <t>DJNCMMMHWFC</t>
  </si>
  <si>
    <t>Emil</t>
  </si>
  <si>
    <t>Giladov</t>
  </si>
  <si>
    <t>V9N9TJKXQPX</t>
  </si>
  <si>
    <t>Sining</t>
  </si>
  <si>
    <t>GFNMR5XSQ47</t>
  </si>
  <si>
    <t>Per</t>
  </si>
  <si>
    <t>Dalén</t>
  </si>
  <si>
    <t>MBNZ4B75V3Z</t>
  </si>
  <si>
    <t>Navid</t>
  </si>
  <si>
    <t>KLNHR2LTLYY</t>
  </si>
  <si>
    <t>Gabriele</t>
  </si>
  <si>
    <t>Columbo</t>
  </si>
  <si>
    <t>LZNJMVS5PVV</t>
  </si>
  <si>
    <t>Maksim</t>
  </si>
  <si>
    <t>Masalski</t>
  </si>
  <si>
    <t>NKNYRT6C4B9</t>
  </si>
  <si>
    <t>Vinod</t>
  </si>
  <si>
    <t>MZNYDB6RFF8</t>
  </si>
  <si>
    <t>L4NBXTSJHL8</t>
  </si>
  <si>
    <t>Qian</t>
  </si>
  <si>
    <t>P7NCMP9BNJB</t>
  </si>
  <si>
    <t>J3NM3MBHQXS</t>
  </si>
  <si>
    <t>HYNPGFVNYKS</t>
  </si>
  <si>
    <t>Hinson</t>
  </si>
  <si>
    <t>XGN9LQ99K3B</t>
  </si>
  <si>
    <t>Singhai</t>
  </si>
  <si>
    <t>HRNZLRCVLWW</t>
  </si>
  <si>
    <t>Van</t>
  </si>
  <si>
    <t>Riper</t>
  </si>
  <si>
    <t>V8NQ84NVCN6</t>
  </si>
  <si>
    <t>J</t>
  </si>
  <si>
    <t>Mir</t>
  </si>
  <si>
    <t>G8NZJSQ7LTL</t>
  </si>
  <si>
    <t>Xiaoyi</t>
  </si>
  <si>
    <t>Z2N3XQVYW8Q</t>
  </si>
  <si>
    <t>Dolan</t>
  </si>
  <si>
    <t>GGN66RD3P89</t>
  </si>
  <si>
    <t>Mahan</t>
  </si>
  <si>
    <t>Agha Zahedi</t>
  </si>
  <si>
    <t>ZKNWH8SKL3B</t>
  </si>
  <si>
    <t>PZNCD566Y8S</t>
  </si>
  <si>
    <t>Stone</t>
  </si>
  <si>
    <t>G2NW7G9DWHR</t>
  </si>
  <si>
    <t>Hillier</t>
  </si>
  <si>
    <t>NNN7999H75X</t>
  </si>
  <si>
    <t>Vargas</t>
  </si>
  <si>
    <t>K2NXKL39KSN</t>
  </si>
  <si>
    <t>Fetters</t>
  </si>
  <si>
    <t>HMNVXF2S6H8</t>
  </si>
  <si>
    <t>Stanek</t>
  </si>
  <si>
    <t>H3N6F55XSHS</t>
  </si>
  <si>
    <t>Tae</t>
  </si>
  <si>
    <t>X5NLVCY5M8B</t>
  </si>
  <si>
    <t>Pothier</t>
  </si>
  <si>
    <t>V3NXCDGFTCS</t>
  </si>
  <si>
    <t>Alana</t>
  </si>
  <si>
    <t>H5NRWNJGNY3</t>
  </si>
  <si>
    <t>Lon</t>
  </si>
  <si>
    <t>Sullivan</t>
  </si>
  <si>
    <t>PGNNDKLY8FH</t>
  </si>
  <si>
    <t>Cynthia</t>
  </si>
  <si>
    <t>Grove</t>
  </si>
  <si>
    <t>GLNS9J724VV</t>
  </si>
  <si>
    <t>vikas</t>
  </si>
  <si>
    <t>manocha</t>
  </si>
  <si>
    <t>V3NQCW6XNSK</t>
  </si>
  <si>
    <t>iljun</t>
  </si>
  <si>
    <t>lee</t>
  </si>
  <si>
    <t>K4NBTQSGCK3</t>
  </si>
  <si>
    <t>GZN6MFJXJ3F</t>
  </si>
  <si>
    <t>Donovan</t>
  </si>
  <si>
    <t>Buck</t>
  </si>
  <si>
    <t>ZKNH22HV36P</t>
  </si>
  <si>
    <t>Toni</t>
  </si>
  <si>
    <t>Luomala</t>
  </si>
  <si>
    <t>K5N3DK7WFSD</t>
  </si>
  <si>
    <t>Houck</t>
  </si>
  <si>
    <t>MYNWW79NGLK</t>
  </si>
  <si>
    <t>Hahn</t>
  </si>
  <si>
    <t>Norden</t>
  </si>
  <si>
    <t>MXN5RTJWF56</t>
  </si>
  <si>
    <t>Bryngelson</t>
  </si>
  <si>
    <t>D3NXNYMFW6G</t>
  </si>
  <si>
    <t>Badrinath</t>
  </si>
  <si>
    <t>Narasimhan</t>
  </si>
  <si>
    <t>KKN7HXPL6BS</t>
  </si>
  <si>
    <t>joao</t>
  </si>
  <si>
    <t>freitas</t>
  </si>
  <si>
    <t>KSN53C7JHLN</t>
  </si>
  <si>
    <t>Pautler</t>
  </si>
  <si>
    <t>H8N4K9NGZGS</t>
  </si>
  <si>
    <t>R.</t>
  </si>
  <si>
    <t>T.</t>
  </si>
  <si>
    <t>DBNCMLXQH6F</t>
  </si>
  <si>
    <t>Tristan</t>
  </si>
  <si>
    <t>Lennertz</t>
  </si>
  <si>
    <t>KPNL665KSD5</t>
  </si>
  <si>
    <t>Hari</t>
  </si>
  <si>
    <t>Sirigibathina</t>
  </si>
  <si>
    <t>XRNMLSS69VR</t>
  </si>
  <si>
    <t>Supreetha</t>
  </si>
  <si>
    <t>Yenigabal</t>
  </si>
  <si>
    <t>JPNK6GMCQT7</t>
  </si>
  <si>
    <t>Hans</t>
  </si>
  <si>
    <t>Scharler</t>
  </si>
  <si>
    <t>HQN56FT2VWC</t>
  </si>
  <si>
    <t>Montenegro</t>
  </si>
  <si>
    <t>J5NPVNV8D9Y</t>
  </si>
  <si>
    <t>Rondini</t>
  </si>
  <si>
    <t>Z3N73RJJLQJ</t>
  </si>
  <si>
    <t>Juan A.</t>
  </si>
  <si>
    <t>Rubio</t>
  </si>
  <si>
    <t>H7NTSXR9PVM</t>
  </si>
  <si>
    <t>Alomoto</t>
  </si>
  <si>
    <t>J3N7SB6XMNW</t>
  </si>
  <si>
    <t>vasudevarao</t>
  </si>
  <si>
    <t>kamma</t>
  </si>
  <si>
    <t>FCNGG7HTHP8</t>
  </si>
  <si>
    <t>Claudius</t>
  </si>
  <si>
    <t>Moyo</t>
  </si>
  <si>
    <t>FYN258HCG22</t>
  </si>
  <si>
    <t>Bala Priya</t>
  </si>
  <si>
    <t>.C</t>
  </si>
  <si>
    <t>FCNCY667CNX</t>
  </si>
  <si>
    <t>Antonio Carlo</t>
  </si>
  <si>
    <t>Magno</t>
  </si>
  <si>
    <t>NZNB24BJHTF</t>
  </si>
  <si>
    <t>Gopalan</t>
  </si>
  <si>
    <t>DPNYJSBQBRF</t>
  </si>
  <si>
    <t>Arpita</t>
  </si>
  <si>
    <t>KMNCTMMPVFY</t>
  </si>
  <si>
    <t>K5NWDXYK3CJ</t>
  </si>
  <si>
    <t>Charreyre</t>
  </si>
  <si>
    <t>PMNY4B8T27D</t>
  </si>
  <si>
    <t>Valdebenito</t>
  </si>
  <si>
    <t>K6NSZ3LWHW8</t>
  </si>
  <si>
    <t>Luis Antonio</t>
  </si>
  <si>
    <t>Galindo Castro</t>
  </si>
  <si>
    <t>KFNMRNGKFBS</t>
  </si>
  <si>
    <t>Anup</t>
  </si>
  <si>
    <t>Parajuli</t>
  </si>
  <si>
    <t>XCNWMZHPGFP</t>
  </si>
  <si>
    <t>Ibrahim</t>
  </si>
  <si>
    <t>Aqel</t>
  </si>
  <si>
    <t>D9NM9HM8D8M</t>
  </si>
  <si>
    <t>Vijay</t>
  </si>
  <si>
    <t>HJNF7TQBMCK</t>
  </si>
  <si>
    <t>Giuliano</t>
  </si>
  <si>
    <t>Panzironi</t>
  </si>
  <si>
    <t>G3NLQY7CH78</t>
  </si>
  <si>
    <t>Mingdao</t>
  </si>
  <si>
    <t>VTN5FG7LDL2</t>
  </si>
  <si>
    <t>james</t>
  </si>
  <si>
    <t>chege</t>
  </si>
  <si>
    <t>D2NBZ7CXZB9</t>
  </si>
  <si>
    <t>Eufrat</t>
  </si>
  <si>
    <t>Tsaqib</t>
  </si>
  <si>
    <t>KFN36YDLNJV</t>
  </si>
  <si>
    <t>Kirwan</t>
  </si>
  <si>
    <t>DLNHHGCQXM4</t>
  </si>
  <si>
    <t>Paulo Alberto</t>
  </si>
  <si>
    <t>Simoes dos Santos</t>
  </si>
  <si>
    <t>VFNT2272KFN</t>
  </si>
  <si>
    <t>Varshney</t>
  </si>
  <si>
    <t>LJNDDM7PYBT</t>
  </si>
  <si>
    <t>Prateek</t>
  </si>
  <si>
    <t>N2NRM8F8W8S</t>
  </si>
  <si>
    <t>Reza</t>
  </si>
  <si>
    <t>Housseini</t>
  </si>
  <si>
    <t>DBNYNXJZZJ2</t>
  </si>
  <si>
    <t>Shariq</t>
  </si>
  <si>
    <t>Ayaz</t>
  </si>
  <si>
    <t>KVNMMWFVZKS</t>
  </si>
  <si>
    <t>sagar</t>
  </si>
  <si>
    <t>bastola</t>
  </si>
  <si>
    <t>GKNLGV7FSQX</t>
  </si>
  <si>
    <t>Genc</t>
  </si>
  <si>
    <t>Shuteriqi</t>
  </si>
  <si>
    <t>VRNZSXNNG2J</t>
  </si>
  <si>
    <t>Pedro</t>
  </si>
  <si>
    <t>Frutuoso</t>
  </si>
  <si>
    <t>XTNFRQVMKLH</t>
  </si>
  <si>
    <t>Hugo</t>
  </si>
  <si>
    <t>Vasconcelos Saldanha</t>
  </si>
  <si>
    <t>G5N7GQCJSFB</t>
  </si>
  <si>
    <t>Anushka</t>
  </si>
  <si>
    <t>LTNNT2L9P8W</t>
  </si>
  <si>
    <t>Anmol</t>
  </si>
  <si>
    <t>NQNYXDR3TP3</t>
  </si>
  <si>
    <t>Esborn</t>
  </si>
  <si>
    <t>Okero</t>
  </si>
  <si>
    <t>FZNTGXL9M3D</t>
  </si>
  <si>
    <t>Abidoye</t>
  </si>
  <si>
    <t>HVN3H24PNQ4</t>
  </si>
  <si>
    <t>Vimal</t>
  </si>
  <si>
    <t>XCNFGLM5ZHK</t>
  </si>
  <si>
    <t>Jufianto</t>
  </si>
  <si>
    <t>Henri</t>
  </si>
  <si>
    <t>PRNT5LD4QKZ</t>
  </si>
  <si>
    <t>Gursimran</t>
  </si>
  <si>
    <t>Kaur</t>
  </si>
  <si>
    <t>GXN2PTGYYMK</t>
  </si>
  <si>
    <t>Lezcano</t>
  </si>
  <si>
    <t>ZRN2C2NLQ4Q</t>
  </si>
  <si>
    <t>Nash</t>
  </si>
  <si>
    <t>ZPNS2Y7J6NF</t>
  </si>
  <si>
    <t>Stéphane</t>
  </si>
  <si>
    <t>Graber</t>
  </si>
  <si>
    <t>L5NK5VCZJHT</t>
  </si>
  <si>
    <t>ZXNXBFXF5VP</t>
  </si>
  <si>
    <t>Germonprez</t>
  </si>
  <si>
    <t>MBN3WZ8W6HN</t>
  </si>
  <si>
    <t>YiHong</t>
  </si>
  <si>
    <t>GTNP987CMHP</t>
  </si>
  <si>
    <t>Rheutan</t>
  </si>
  <si>
    <t>HHNDZRHWKHT</t>
  </si>
  <si>
    <t>Kwan</t>
  </si>
  <si>
    <t>V4NCNDZRKRL</t>
  </si>
  <si>
    <t>Trifiro</t>
  </si>
  <si>
    <t>DMNX5M8FR5Q</t>
  </si>
  <si>
    <t>NGN5J3T37XJ</t>
  </si>
  <si>
    <t>Hibbets</t>
  </si>
  <si>
    <t>VTNXHLB4T7X</t>
  </si>
  <si>
    <t>Ethan</t>
  </si>
  <si>
    <t>Sayre</t>
  </si>
  <si>
    <t>GWNL3FV7BSB</t>
  </si>
  <si>
    <t>Carlo J.</t>
  </si>
  <si>
    <t>Burgos</t>
  </si>
  <si>
    <t>FXND8YLXYNC</t>
  </si>
  <si>
    <t>Tremayne</t>
  </si>
  <si>
    <t>HDNP8XS68G6</t>
  </si>
  <si>
    <t>Minor</t>
  </si>
  <si>
    <t>V9N6C8M2GQW</t>
  </si>
  <si>
    <t>roger</t>
  </si>
  <si>
    <t>hall</t>
  </si>
  <si>
    <t>K9NGVVXKRBP</t>
  </si>
  <si>
    <t>adam</t>
  </si>
  <si>
    <t>wiedemann</t>
  </si>
  <si>
    <t>ZCNWBSL2XSW</t>
  </si>
  <si>
    <t>Jawed</t>
  </si>
  <si>
    <t>M7NW89TYZRW</t>
  </si>
  <si>
    <t>Gottwals</t>
  </si>
  <si>
    <t>Z2NSTFVYC44</t>
  </si>
  <si>
    <t>Colmenares</t>
  </si>
  <si>
    <t>PMNF23MDNSN</t>
  </si>
  <si>
    <t>K</t>
  </si>
  <si>
    <t>HTNBTS5K5WY</t>
  </si>
  <si>
    <t>Ogniewski</t>
  </si>
  <si>
    <t>KKN8MD3P7NW</t>
  </si>
  <si>
    <t>Vaile</t>
  </si>
  <si>
    <t>PQN685CVKQH</t>
  </si>
  <si>
    <t>O'Connell</t>
  </si>
  <si>
    <t>KBNGNWZCMCW</t>
  </si>
  <si>
    <t>Nitin</t>
  </si>
  <si>
    <t>Chauhan</t>
  </si>
  <si>
    <t>VYNYZVLQRYW</t>
  </si>
  <si>
    <t>Liguang</t>
  </si>
  <si>
    <t>KZNZB44VMFY</t>
  </si>
  <si>
    <t>LFNRYQX4C8G</t>
  </si>
  <si>
    <t>mark</t>
  </si>
  <si>
    <t>himelstein</t>
  </si>
  <si>
    <t>HKNWKYT6GGP</t>
  </si>
  <si>
    <t>Devinder</t>
  </si>
  <si>
    <t>Sodhi</t>
  </si>
  <si>
    <t>PKNMK3N72GZ</t>
  </si>
  <si>
    <t>Chestnut</t>
  </si>
  <si>
    <t>N5NB8GTP9J6</t>
  </si>
  <si>
    <t>Shakhov</t>
  </si>
  <si>
    <t>N7NKM78SWYJ</t>
  </si>
  <si>
    <t>Schenk</t>
  </si>
  <si>
    <t>XHNM573RGGV</t>
  </si>
  <si>
    <t>Gad</t>
  </si>
  <si>
    <t>Kashany</t>
  </si>
  <si>
    <t>F8NRMCKJJ9V</t>
  </si>
  <si>
    <t>Brendan</t>
  </si>
  <si>
    <t>O'Leary</t>
  </si>
  <si>
    <t>VJN8X5Y9X7R</t>
  </si>
  <si>
    <t>DBNBWN6B7LC</t>
  </si>
  <si>
    <t>DRNBPXXFMVW</t>
  </si>
  <si>
    <t>Ranostay</t>
  </si>
  <si>
    <t>N3N56CCDVYJ</t>
  </si>
  <si>
    <t>sahil</t>
  </si>
  <si>
    <t>dhiman</t>
  </si>
  <si>
    <t>H3NF6J7BMW9</t>
  </si>
  <si>
    <t>Ingo</t>
  </si>
  <si>
    <t>Penetti</t>
  </si>
  <si>
    <t>L4N4MDWMGXN</t>
  </si>
  <si>
    <t>Louis-Philippe</t>
  </si>
  <si>
    <t>Brais</t>
  </si>
  <si>
    <t>F8NY3C8TPPJ</t>
  </si>
  <si>
    <t>V4NHXPW6BBB</t>
  </si>
  <si>
    <t>Mingde</t>
  </si>
  <si>
    <t>Zeng</t>
  </si>
  <si>
    <t>Z8NZL9H5M79</t>
  </si>
  <si>
    <t>HPN8DDRW8F8</t>
  </si>
  <si>
    <t>Rowan</t>
  </si>
  <si>
    <t>G3N326XTPRP</t>
  </si>
  <si>
    <t>Izumi</t>
  </si>
  <si>
    <t>Miki</t>
  </si>
  <si>
    <t>D3N4ST3767Q</t>
  </si>
  <si>
    <t>ssajal.wr@gmail.com</t>
  </si>
  <si>
    <t>H2N2N92YR3P</t>
  </si>
  <si>
    <t>Takanori</t>
  </si>
  <si>
    <t>HFNZNRTV8QX</t>
  </si>
  <si>
    <t>Shouyong</t>
  </si>
  <si>
    <t>FMNY9SLG7LM</t>
  </si>
  <si>
    <t>jérome</t>
  </si>
  <si>
    <t>oufella</t>
  </si>
  <si>
    <t>V3NPTTM5L8S</t>
  </si>
  <si>
    <t>Masato</t>
  </si>
  <si>
    <t>Yoshii</t>
  </si>
  <si>
    <t>NBN8MRWFMY2</t>
  </si>
  <si>
    <t>Efraim</t>
  </si>
  <si>
    <t>MARQUEZ-ARREAZA</t>
  </si>
  <si>
    <t>JBNZD8QH72F</t>
  </si>
  <si>
    <t>Lili</t>
  </si>
  <si>
    <t>Cosic</t>
  </si>
  <si>
    <t>GYNJSCGLZ9Z</t>
  </si>
  <si>
    <t>Bouzas</t>
  </si>
  <si>
    <t>VQNJTWQKX2X</t>
  </si>
  <si>
    <t>JTN9SS7VBQ7</t>
  </si>
  <si>
    <t>Bird</t>
  </si>
  <si>
    <t>HGNTW3ZZ3ZM</t>
  </si>
  <si>
    <t>X7NDKJSX8FZ</t>
  </si>
  <si>
    <t>Neetu</t>
  </si>
  <si>
    <t>JWNLYVJ7PVT</t>
  </si>
  <si>
    <t>Dara</t>
  </si>
  <si>
    <t>Higgs</t>
  </si>
  <si>
    <t>GCNYVR44DCR</t>
  </si>
  <si>
    <t>ZQNPQMCQV22</t>
  </si>
  <si>
    <t>Mickelson</t>
  </si>
  <si>
    <t>KMN5ZYZ534Y</t>
  </si>
  <si>
    <t>NJNFBXT4WC6</t>
  </si>
  <si>
    <t>Welte</t>
  </si>
  <si>
    <t>JJNCFV9W2V6</t>
  </si>
  <si>
    <t>Capoccia</t>
  </si>
  <si>
    <t>MNNT2P7CZ57</t>
  </si>
  <si>
    <t>Yan</t>
  </si>
  <si>
    <t>Vugenfirer</t>
  </si>
  <si>
    <t>PCN8FMRPJ5M</t>
  </si>
  <si>
    <t>FFNXPBZ845T</t>
  </si>
  <si>
    <t>Peter J.</t>
  </si>
  <si>
    <t>Fullen, CPA</t>
  </si>
  <si>
    <t>K3N4WJFY3FV</t>
  </si>
  <si>
    <t>Jun</t>
  </si>
  <si>
    <t>DPN3ZMVHQ69</t>
  </si>
  <si>
    <t>Rhoden</t>
  </si>
  <si>
    <t>Z2NHX7M4DQM</t>
  </si>
  <si>
    <t>Beberman</t>
  </si>
  <si>
    <t>J7N93GVYQT8</t>
  </si>
  <si>
    <t>Gillihan</t>
  </si>
  <si>
    <t>JDNXBDX4T2R</t>
  </si>
  <si>
    <t>lorie</t>
  </si>
  <si>
    <t>dubasky</t>
  </si>
  <si>
    <t>DMNK9J676GK</t>
  </si>
  <si>
    <t>Guilhem</t>
  </si>
  <si>
    <t>Tesseyre</t>
  </si>
  <si>
    <t>P5NDXL8LVDV</t>
  </si>
  <si>
    <t>Wermager</t>
  </si>
  <si>
    <t>GSNTXTY5RDQ</t>
  </si>
  <si>
    <t>Kelsey</t>
  </si>
  <si>
    <t>Skunberg</t>
  </si>
  <si>
    <t>ZYNGYHJGXXH</t>
  </si>
  <si>
    <t>Ramana</t>
  </si>
  <si>
    <t>Pureti</t>
  </si>
  <si>
    <t>GTNNQGVT8BS</t>
  </si>
  <si>
    <t>Kionka</t>
  </si>
  <si>
    <t>NWNSZS5KSW8</t>
  </si>
  <si>
    <t>Ledesma</t>
  </si>
  <si>
    <t>MBNSGM4VVQJ</t>
  </si>
  <si>
    <t>Smolen</t>
  </si>
  <si>
    <t>D7NZWRLGJFZ</t>
  </si>
  <si>
    <t>Amber</t>
  </si>
  <si>
    <t>ZDNR8NHLDNX</t>
  </si>
  <si>
    <t>G8N7BNG38MT</t>
  </si>
  <si>
    <t>Cormier</t>
  </si>
  <si>
    <t>VRNBKR9R7KG</t>
  </si>
  <si>
    <t>XYN4PMVP5HV</t>
  </si>
  <si>
    <t>DHNBW25B8ZZ</t>
  </si>
  <si>
    <t>Datsikas</t>
  </si>
  <si>
    <t>L8NS794V3FX</t>
  </si>
  <si>
    <t>edinei</t>
  </si>
  <si>
    <t>dal bem</t>
  </si>
  <si>
    <t>FZNDV8R6P2D</t>
  </si>
  <si>
    <t>Waidhofer</t>
  </si>
  <si>
    <t>NMN5L2BM3RC</t>
  </si>
  <si>
    <t>Wayner</t>
  </si>
  <si>
    <t>XMNB93CRPN3</t>
  </si>
  <si>
    <t>sudhan</t>
  </si>
  <si>
    <t>sadanand</t>
  </si>
  <si>
    <t>M9NCVRRFLDL</t>
  </si>
  <si>
    <t>F3NT9SDVDDC</t>
  </si>
  <si>
    <t>Fischer</t>
  </si>
  <si>
    <t>LMNWVWL5LGP</t>
  </si>
  <si>
    <t>Mello</t>
  </si>
  <si>
    <t>QYNV95J3ZZG</t>
  </si>
  <si>
    <t>GTNFP23V74C</t>
  </si>
  <si>
    <t>VIKAS</t>
  </si>
  <si>
    <t>PATNEY</t>
  </si>
  <si>
    <t>ZXNWXXLJDFL</t>
  </si>
  <si>
    <t>Gomonda</t>
  </si>
  <si>
    <t>HZNXVJ99HFT</t>
  </si>
  <si>
    <t>Chi</t>
  </si>
  <si>
    <t>Che</t>
  </si>
  <si>
    <t>ZPN4WZQFX2K</t>
  </si>
  <si>
    <t>Piñon</t>
  </si>
  <si>
    <t>JFNCFV7T5VH</t>
  </si>
  <si>
    <t>Toala</t>
  </si>
  <si>
    <t>VZN7VFSZNY2</t>
  </si>
  <si>
    <t>XKNRSYSXM2T</t>
  </si>
  <si>
    <t>Berndl</t>
  </si>
  <si>
    <t>H6NYC3F8J22</t>
  </si>
  <si>
    <t>José Luis</t>
  </si>
  <si>
    <t>Anaya Calvete</t>
  </si>
  <si>
    <t>N9N3TJJBQT9</t>
  </si>
  <si>
    <t>Gauransh</t>
  </si>
  <si>
    <t>FKNGYTD2F4B</t>
  </si>
  <si>
    <t>Anvith</t>
  </si>
  <si>
    <t>L5NWNCK7662</t>
  </si>
  <si>
    <t>Albhaishi</t>
  </si>
  <si>
    <t>N2NGZV7R32T</t>
  </si>
  <si>
    <t>Riju</t>
  </si>
  <si>
    <t>Khatri</t>
  </si>
  <si>
    <t>LJNVBGDSBVP</t>
  </si>
  <si>
    <t>XSNBG433BNZ</t>
  </si>
  <si>
    <t>oka</t>
  </si>
  <si>
    <t>gartria</t>
  </si>
  <si>
    <t>L5NKW23CZ8P</t>
  </si>
  <si>
    <t>Yusuf</t>
  </si>
  <si>
    <t>Isa</t>
  </si>
  <si>
    <t>HFNM5DRKYW4</t>
  </si>
  <si>
    <t>abhishek</t>
  </si>
  <si>
    <t>ranakoti</t>
  </si>
  <si>
    <t>DGNLZTKMB87</t>
  </si>
  <si>
    <t>Pockney</t>
  </si>
  <si>
    <t>MNNRYMKSK4P</t>
  </si>
  <si>
    <t>Julia</t>
  </si>
  <si>
    <t>Lawall</t>
  </si>
  <si>
    <t>N8NZFCF5NSJ</t>
  </si>
  <si>
    <t>Jesca</t>
  </si>
  <si>
    <t>Kabagomoka</t>
  </si>
  <si>
    <t>Z7NW9FS974W</t>
  </si>
  <si>
    <t>V4N2VJXL32C</t>
  </si>
  <si>
    <t>Sujan</t>
  </si>
  <si>
    <t>Shrestha</t>
  </si>
  <si>
    <t>LGN844TYL7W</t>
  </si>
  <si>
    <t>Rajnauth</t>
  </si>
  <si>
    <t>G9NWV93Y5NZ</t>
  </si>
  <si>
    <t>K4NGMDD4KPC</t>
  </si>
  <si>
    <t>Antoine</t>
  </si>
  <si>
    <t>Craske</t>
  </si>
  <si>
    <t>GNNNP7WNCDK</t>
  </si>
  <si>
    <t>René</t>
  </si>
  <si>
    <t>NBNN67LYD7Z</t>
  </si>
  <si>
    <t>Ike</t>
  </si>
  <si>
    <t>P8NHP65S2CG</t>
  </si>
  <si>
    <t>Hopsin</t>
  </si>
  <si>
    <t>&gt;</t>
  </si>
  <si>
    <t>JRN9B8HVRHV</t>
  </si>
  <si>
    <t>Bilgehan</t>
  </si>
  <si>
    <t>L5NDWDCD25M</t>
  </si>
  <si>
    <t>Naspoori</t>
  </si>
  <si>
    <t>H9NSQX7TX77</t>
  </si>
  <si>
    <t>Iraj</t>
  </si>
  <si>
    <t>Taghlidi</t>
  </si>
  <si>
    <t>Z4NQWZ8JP5Y</t>
  </si>
  <si>
    <t>Mohammed Rayan</t>
  </si>
  <si>
    <t>Baig</t>
  </si>
  <si>
    <t>NSN54ZHJVNL</t>
  </si>
  <si>
    <t>Bruna</t>
  </si>
  <si>
    <t>Lucena</t>
  </si>
  <si>
    <t>HGN434BPVYY</t>
  </si>
  <si>
    <t>Junghwan</t>
  </si>
  <si>
    <t>Kang</t>
  </si>
  <si>
    <t>XXNXM5GFGQ4</t>
  </si>
  <si>
    <t>Natarajan (Nat)</t>
  </si>
  <si>
    <t>DDNLY9PYV5L</t>
  </si>
  <si>
    <t>Christy</t>
  </si>
  <si>
    <t>Consler</t>
  </si>
  <si>
    <t>XJNG5YY4QDC</t>
  </si>
  <si>
    <t>Koller</t>
  </si>
  <si>
    <t>VSN6QCVT5QY</t>
  </si>
  <si>
    <t>Stroz</t>
  </si>
  <si>
    <t>NFN7RGXB73X</t>
  </si>
  <si>
    <t>Suzanne</t>
  </si>
  <si>
    <t>Ambiel</t>
  </si>
  <si>
    <t>PDN3V6VCZT2</t>
  </si>
  <si>
    <t>NYNKLT9VZ95</t>
  </si>
  <si>
    <t>HLN3VNFYRFQ</t>
  </si>
  <si>
    <t>Inbal</t>
  </si>
  <si>
    <t>Levi</t>
  </si>
  <si>
    <t>ZKNTGSVPM3S</t>
  </si>
  <si>
    <t>Nelia</t>
  </si>
  <si>
    <t>Nunes</t>
  </si>
  <si>
    <t>XQNDJLKMMFS</t>
  </si>
  <si>
    <t>Dean</t>
  </si>
  <si>
    <t>DTNCDCZX2VX</t>
  </si>
  <si>
    <t>Womack</t>
  </si>
  <si>
    <t>PSN8DNF3PMG</t>
  </si>
  <si>
    <t>Dimitre</t>
  </si>
  <si>
    <t>Staykov</t>
  </si>
  <si>
    <t>HJNJYRCLGLS</t>
  </si>
  <si>
    <t>Leela</t>
  </si>
  <si>
    <t>GGN9PV4JT9D</t>
  </si>
  <si>
    <t>VTNBWJFMF8B</t>
  </si>
  <si>
    <t>Karthikeyan</t>
  </si>
  <si>
    <t>Ramaswamy</t>
  </si>
  <si>
    <t>H5N8LBMV79B</t>
  </si>
  <si>
    <t>McVay</t>
  </si>
  <si>
    <t>FXNRMWRWSPV</t>
  </si>
  <si>
    <t>J6NL55CLX5W</t>
  </si>
  <si>
    <t>Greenley</t>
  </si>
  <si>
    <t>XNN9CBHT73D</t>
  </si>
  <si>
    <t>Sikkaiappan</t>
  </si>
  <si>
    <t>KXNKTDN4SVM</t>
  </si>
  <si>
    <t>Generous</t>
  </si>
  <si>
    <t>MCNF9KX2ZWQ</t>
  </si>
  <si>
    <t>Chetan</t>
  </si>
  <si>
    <t>Basutkar</t>
  </si>
  <si>
    <t>P3NXW6XSR8H</t>
  </si>
  <si>
    <t>Colleen</t>
  </si>
  <si>
    <t>Mickey</t>
  </si>
  <si>
    <t>ZZNMK95G7XL</t>
  </si>
  <si>
    <t>Taras</t>
  </si>
  <si>
    <t>Kondratiuk</t>
  </si>
  <si>
    <t>NJNPL2GQ4CW</t>
  </si>
  <si>
    <t>NQNVQL8SNMP</t>
  </si>
  <si>
    <t>FJN7CJKHTR6</t>
  </si>
  <si>
    <t>Yap Hung</t>
  </si>
  <si>
    <t>FGN7QQP7CCG</t>
  </si>
  <si>
    <t>HPNBM9CFWHX</t>
  </si>
  <si>
    <t>Ceritelli</t>
  </si>
  <si>
    <t>FFNR5MB2LHW</t>
  </si>
  <si>
    <t>NXN9BNPZVYX</t>
  </si>
  <si>
    <t>Szilveszter</t>
  </si>
  <si>
    <t>Dobak</t>
  </si>
  <si>
    <t>PJNBMGRKCH6</t>
  </si>
  <si>
    <t>Kridner</t>
  </si>
  <si>
    <t>M8N2TC65F8J</t>
  </si>
  <si>
    <t>Rogers</t>
  </si>
  <si>
    <t>LBN9TYNCP96</t>
  </si>
  <si>
    <t>Gibbs</t>
  </si>
  <si>
    <t>L6NNPJFDBRG</t>
  </si>
  <si>
    <t>Jérôme</t>
  </si>
  <si>
    <t>GUEUNIER</t>
  </si>
  <si>
    <t>H5N24D8B8ZH</t>
  </si>
  <si>
    <t>Peñaloza Cortes</t>
  </si>
  <si>
    <t>JLNKPV63JK9</t>
  </si>
  <si>
    <t>Hernandez</t>
  </si>
  <si>
    <t>JRN8CNF7VJG</t>
  </si>
  <si>
    <t>Noveck</t>
  </si>
  <si>
    <t>Gowandan</t>
  </si>
  <si>
    <t>XNNVXJMY2R9</t>
  </si>
  <si>
    <t>Leobardo</t>
  </si>
  <si>
    <t>FVNVF5VFXCH</t>
  </si>
  <si>
    <t>Gentian</t>
  </si>
  <si>
    <t>Dauti</t>
  </si>
  <si>
    <t>F7NTPF6D7MZ</t>
  </si>
  <si>
    <t>K9N2LLHYTN6</t>
  </si>
  <si>
    <t>D7NZK97JQQP</t>
  </si>
  <si>
    <t>M9NSVYHMCFV</t>
  </si>
  <si>
    <t>Naresh</t>
  </si>
  <si>
    <t>kamboju</t>
  </si>
  <si>
    <t>MLNWS5PRNDN</t>
  </si>
  <si>
    <t>Renata</t>
  </si>
  <si>
    <t>Raffaine Villegas</t>
  </si>
  <si>
    <t>F6NJQHF9GWV</t>
  </si>
  <si>
    <t>Nikhil</t>
  </si>
  <si>
    <t>XRNWF46JFR2</t>
  </si>
  <si>
    <t>Ihor</t>
  </si>
  <si>
    <t>Dvoretskyi</t>
  </si>
  <si>
    <t>V6NQFN7Z9HG</t>
  </si>
  <si>
    <t>Mritunjay</t>
  </si>
  <si>
    <t>PNN2V6QX3FQ</t>
  </si>
  <si>
    <t>Bismark</t>
  </si>
  <si>
    <t>Nyambane</t>
  </si>
  <si>
    <t>LXN6MRT4XR8</t>
  </si>
  <si>
    <t>Villasoto</t>
  </si>
  <si>
    <t>FBND83PWKXX</t>
  </si>
  <si>
    <t>Danese</t>
  </si>
  <si>
    <t>Cooper</t>
  </si>
  <si>
    <t>MZNQ4PNM34S</t>
  </si>
  <si>
    <t>GTNLQMBXKRW</t>
  </si>
  <si>
    <t>Linus</t>
  </si>
  <si>
    <t>Torvalds</t>
  </si>
  <si>
    <t>DDN2THFLV5Z</t>
  </si>
  <si>
    <t>Hilman</t>
  </si>
  <si>
    <t>PTNMBS2P7VW</t>
  </si>
  <si>
    <t>NSNVJZXTRHV</t>
  </si>
  <si>
    <t>Rea</t>
  </si>
  <si>
    <t>NTNCFKSG68S</t>
  </si>
  <si>
    <t>Amarnath</t>
  </si>
  <si>
    <t>Cherikuri</t>
  </si>
  <si>
    <t>FRNKN5ZVJVW</t>
  </si>
  <si>
    <t>Moorman</t>
  </si>
  <si>
    <t>FVNK4G7LXNX</t>
  </si>
  <si>
    <t>Clint</t>
  </si>
  <si>
    <t>Eckard</t>
  </si>
  <si>
    <t>DDNFY6CT7PF</t>
  </si>
  <si>
    <t>Guillermo</t>
  </si>
  <si>
    <t>Cordon</t>
  </si>
  <si>
    <t>JGNWF8355R2</t>
  </si>
  <si>
    <t>Blanco</t>
  </si>
  <si>
    <t>HVNXCPSX4VG</t>
  </si>
  <si>
    <t>Hanney</t>
  </si>
  <si>
    <t>VLN34W7FMTS</t>
  </si>
  <si>
    <t>Peterson</t>
  </si>
  <si>
    <t>KQNMVH5XSNL</t>
  </si>
  <si>
    <t>VFNK6T8KF65</t>
  </si>
  <si>
    <t>Jate</t>
  </si>
  <si>
    <t>Sujjavanich</t>
  </si>
  <si>
    <t>H2NRDZ2TYY3</t>
  </si>
  <si>
    <t>Teodor</t>
  </si>
  <si>
    <t>Bobirnila</t>
  </si>
  <si>
    <t>L9NH43N5H77</t>
  </si>
  <si>
    <t>F3NPJKJ3BJN</t>
  </si>
  <si>
    <t>Rusty</t>
  </si>
  <si>
    <t>H4N43N64FBC</t>
  </si>
  <si>
    <t>Garshol</t>
  </si>
  <si>
    <t>MWNL2FR7R39</t>
  </si>
  <si>
    <t>Bryce</t>
  </si>
  <si>
    <t>Hillhouse</t>
  </si>
  <si>
    <t>NVNNXGZMRHF</t>
  </si>
  <si>
    <t>Krishna Kireeti</t>
  </si>
  <si>
    <t>Somesula</t>
  </si>
  <si>
    <t>HBN89XQ6WDT</t>
  </si>
  <si>
    <t>Kmieciński</t>
  </si>
  <si>
    <t>D3NHHDLWDCT</t>
  </si>
  <si>
    <t>Thays</t>
  </si>
  <si>
    <t>Ribeiro</t>
  </si>
  <si>
    <t>LKNL94DKKV6</t>
  </si>
  <si>
    <t>Lech</t>
  </si>
  <si>
    <t>Betlej</t>
  </si>
  <si>
    <t>V5NVV976SCB</t>
  </si>
  <si>
    <t>Borowski</t>
  </si>
  <si>
    <t>JDN69276GQR</t>
  </si>
  <si>
    <t>Hayley</t>
  </si>
  <si>
    <t>Boynton</t>
  </si>
  <si>
    <t>MJNWL3XBDYJ</t>
  </si>
  <si>
    <t>Ismael</t>
  </si>
  <si>
    <t>DGNPTXJX67R</t>
  </si>
  <si>
    <t>Rachelle</t>
  </si>
  <si>
    <t>Miles</t>
  </si>
  <si>
    <t>FKNLMQ3NH98</t>
  </si>
  <si>
    <t>KMNDXZ5KNX6</t>
  </si>
  <si>
    <t>Tracey</t>
  </si>
  <si>
    <t>Erway</t>
  </si>
  <si>
    <t>N3NVGLD54BB</t>
  </si>
  <si>
    <t>Milosz</t>
  </si>
  <si>
    <t>Kowal</t>
  </si>
  <si>
    <t>XVNFTLNBGBL</t>
  </si>
  <si>
    <t>Ryoji</t>
  </si>
  <si>
    <t>Koike</t>
  </si>
  <si>
    <t>K6N5HPSZ69N</t>
  </si>
  <si>
    <t>McDermond</t>
  </si>
  <si>
    <t>K7NPJM96VT5</t>
  </si>
  <si>
    <t>monica@unwisegeek.net</t>
  </si>
  <si>
    <t>LFN5KFTPSY5</t>
  </si>
  <si>
    <t>H8NKT6QVF5F</t>
  </si>
  <si>
    <t>Oleksandr</t>
  </si>
  <si>
    <t>Tymoshenko</t>
  </si>
  <si>
    <t>ZYN4QT8VQ4D</t>
  </si>
  <si>
    <t>Edmund</t>
  </si>
  <si>
    <t>Huber</t>
  </si>
  <si>
    <t>DQNBBKXVQS5</t>
  </si>
  <si>
    <t>Kristjan</t>
  </si>
  <si>
    <t>Jonsson</t>
  </si>
  <si>
    <t>P7N7MHNH8B6</t>
  </si>
  <si>
    <t>Napoles</t>
  </si>
  <si>
    <t>GSNS8Q3M94F</t>
  </si>
  <si>
    <t>Everardo</t>
  </si>
  <si>
    <t>L9NJZLTLL4W</t>
  </si>
  <si>
    <t>Skrobacki</t>
  </si>
  <si>
    <t>K3N5F5QXR5S</t>
  </si>
  <si>
    <t>Berrange</t>
  </si>
  <si>
    <t>H9N32MTWZS8</t>
  </si>
  <si>
    <t>Sami</t>
  </si>
  <si>
    <t>Atabani</t>
  </si>
  <si>
    <t>X2NL4TBGJPY</t>
  </si>
  <si>
    <t>şule</t>
  </si>
  <si>
    <t>çiloğlan</t>
  </si>
  <si>
    <t>GFN2TVSF997</t>
  </si>
  <si>
    <t>Lino</t>
  </si>
  <si>
    <t>L6NNT3GXBMK</t>
  </si>
  <si>
    <t>GXNNTQXRCZ6</t>
  </si>
  <si>
    <t>Rushikesh</t>
  </si>
  <si>
    <t>Sabde</t>
  </si>
  <si>
    <t>GKNS573BXPS</t>
  </si>
  <si>
    <t>karl</t>
  </si>
  <si>
    <t>schlauch</t>
  </si>
  <si>
    <t>K5NWD46K8W3</t>
  </si>
  <si>
    <t>Larissa</t>
  </si>
  <si>
    <t>Escaliante</t>
  </si>
  <si>
    <t>MFN9VL5355J</t>
  </si>
  <si>
    <t>Vishek</t>
  </si>
  <si>
    <t>Pratap</t>
  </si>
  <si>
    <t>P5NPZ5H2H6R</t>
  </si>
  <si>
    <t>Torbjorn</t>
  </si>
  <si>
    <t>Huss</t>
  </si>
  <si>
    <t>MSNM3K2YRNV</t>
  </si>
  <si>
    <t>Soha</t>
  </si>
  <si>
    <t>Midha</t>
  </si>
  <si>
    <t>F9N3XDC5K2V</t>
  </si>
  <si>
    <t>PHNDNG7FLKK</t>
  </si>
  <si>
    <t>Petra</t>
  </si>
  <si>
    <t>Fahrenwald</t>
  </si>
  <si>
    <t>XFNPT7MCJM2</t>
  </si>
  <si>
    <t>Pavlov</t>
  </si>
  <si>
    <t>PWNSSZNM54F</t>
  </si>
  <si>
    <t>Pittalis</t>
  </si>
  <si>
    <t>K2NKGW9PLSC</t>
  </si>
  <si>
    <t>Horst</t>
  </si>
  <si>
    <t>Graf</t>
  </si>
  <si>
    <t>GNNR6CXHJ4F</t>
  </si>
  <si>
    <t>Giraldo Rodriguez</t>
  </si>
  <si>
    <t>JMN5JCZ7YDQ</t>
  </si>
  <si>
    <t>Moiez</t>
  </si>
  <si>
    <t>Hasnain</t>
  </si>
  <si>
    <t>P7N57LMMY6B</t>
  </si>
  <si>
    <t>PZNWQVLNQGY</t>
  </si>
  <si>
    <t>Winchester</t>
  </si>
  <si>
    <t>V4NCGPHWMZ4</t>
  </si>
  <si>
    <t>Masashi</t>
  </si>
  <si>
    <t>Kudo</t>
  </si>
  <si>
    <t>PMNJ6K59HV3</t>
  </si>
  <si>
    <t>Georg</t>
  </si>
  <si>
    <t>Link</t>
  </si>
  <si>
    <t>P4N7Z6JLQB2</t>
  </si>
  <si>
    <t>Soumyadeep</t>
  </si>
  <si>
    <t>D4NW296ZJ8R</t>
  </si>
  <si>
    <t>Bacik</t>
  </si>
  <si>
    <t>ZYN4365YW5X</t>
  </si>
  <si>
    <t>Goggins</t>
  </si>
  <si>
    <t>LQNFBCSZW8Q</t>
  </si>
  <si>
    <t>JYNQX548RXB</t>
  </si>
  <si>
    <t>Bui</t>
  </si>
  <si>
    <t>VBNZHQCJ2CL</t>
  </si>
  <si>
    <t>Venkata</t>
  </si>
  <si>
    <t>Mukkamala</t>
  </si>
  <si>
    <t>JLNKLLXWMTQ</t>
  </si>
  <si>
    <t>Amy</t>
  </si>
  <si>
    <t>Benson</t>
  </si>
  <si>
    <t>HNNPFZHPDRQ</t>
  </si>
  <si>
    <t>Antipov</t>
  </si>
  <si>
    <t>XVNNRF8RX3M</t>
  </si>
  <si>
    <t>Ravindra</t>
  </si>
  <si>
    <t>NMNY2NZ3ZQZ</t>
  </si>
  <si>
    <t>X5NKN6FDX8H</t>
  </si>
  <si>
    <t>Williams</t>
  </si>
  <si>
    <t>D8NHD6SB4GH</t>
  </si>
  <si>
    <t>Ottoni</t>
  </si>
  <si>
    <t>K2N4WSQ97MB</t>
  </si>
  <si>
    <t>Caroline</t>
  </si>
  <si>
    <t>McCrory</t>
  </si>
  <si>
    <t>F7NPTLSY7J7</t>
  </si>
  <si>
    <t>Rose Regina</t>
  </si>
  <si>
    <t>KVNVPR4Z85G</t>
  </si>
  <si>
    <t>sai hari chandana</t>
  </si>
  <si>
    <t>kalluri</t>
  </si>
  <si>
    <t>NBN23SL35RG</t>
  </si>
  <si>
    <t>Masayoshi</t>
  </si>
  <si>
    <t>Mizuma</t>
  </si>
  <si>
    <t>MBNNQNCRV6W</t>
  </si>
  <si>
    <t>VIVEK</t>
  </si>
  <si>
    <t>MEHTA</t>
  </si>
  <si>
    <t>K5NK4XPHM3N</t>
  </si>
  <si>
    <t>Pankil</t>
  </si>
  <si>
    <t>J6NVX6XBGHZ</t>
  </si>
  <si>
    <t>DGN7GMTMJSB</t>
  </si>
  <si>
    <t>Karthick</t>
  </si>
  <si>
    <t>Kumaran</t>
  </si>
  <si>
    <t>NCNPNTQZ7KQ</t>
  </si>
  <si>
    <t>Szafranski</t>
  </si>
  <si>
    <t>M7NLZF3YL8N</t>
  </si>
  <si>
    <t>QUOC HOAI</t>
  </si>
  <si>
    <t>TRAN</t>
  </si>
  <si>
    <t>VFNJHSQP2YV</t>
  </si>
  <si>
    <t>Engebretsen</t>
  </si>
  <si>
    <t>JWNL7H926DH</t>
  </si>
  <si>
    <t>Raskin</t>
  </si>
  <si>
    <t>M5NKN8WT82J</t>
  </si>
  <si>
    <t>Dolezal</t>
  </si>
  <si>
    <t>NPNZW7GDGDV</t>
  </si>
  <si>
    <t>Worley</t>
  </si>
  <si>
    <t>KHN4TQG6MBP</t>
  </si>
  <si>
    <t>DZNSTCC3PPR</t>
  </si>
  <si>
    <t>Skeffington</t>
  </si>
  <si>
    <t>Z3N68YXG5Y8</t>
  </si>
  <si>
    <t>sergio.rodriguera@gmail.com</t>
  </si>
  <si>
    <t>KLNZW3LRDHB</t>
  </si>
  <si>
    <t>VKND6R6YFZ2</t>
  </si>
  <si>
    <t>Wijesekera</t>
  </si>
  <si>
    <t>FJNKTK7DSBM</t>
  </si>
  <si>
    <t>Childers</t>
  </si>
  <si>
    <t>F8NTW99PVWK</t>
  </si>
  <si>
    <t>LTN9ZNLXLLK</t>
  </si>
  <si>
    <t>Searle</t>
  </si>
  <si>
    <t>M5NL2S4BN2P</t>
  </si>
  <si>
    <t>Clare</t>
  </si>
  <si>
    <t>Kramer</t>
  </si>
  <si>
    <t>N2N4G2F6669</t>
  </si>
  <si>
    <t>Starr</t>
  </si>
  <si>
    <t>ZWNNB7KB747</t>
  </si>
  <si>
    <t>Crupi</t>
  </si>
  <si>
    <t>XDNM487CFPF</t>
  </si>
  <si>
    <t>Stromberg</t>
  </si>
  <si>
    <t>N8N2X4CFBWD</t>
  </si>
  <si>
    <t>Nicholaus</t>
  </si>
  <si>
    <t>Pongratz</t>
  </si>
  <si>
    <t>KCNH8VF2HVV</t>
  </si>
  <si>
    <t>Koprowski</t>
  </si>
  <si>
    <t>KJNQL89HJWZ</t>
  </si>
  <si>
    <t>Melinda</t>
  </si>
  <si>
    <t>Shore</t>
  </si>
  <si>
    <t>HRNWPHLXLHX</t>
  </si>
  <si>
    <t>NXNMB8VCD6Q</t>
  </si>
  <si>
    <t>Tina</t>
  </si>
  <si>
    <t>Krauss</t>
  </si>
  <si>
    <t>HXNPPTH6H22</t>
  </si>
  <si>
    <t>Sauer</t>
  </si>
  <si>
    <t>DGN5ZY2YGW4</t>
  </si>
  <si>
    <t>Narayan</t>
  </si>
  <si>
    <t>LHNVCC77Y2B</t>
  </si>
  <si>
    <t>Kocialkowski</t>
  </si>
  <si>
    <t>GSNRL8DN2TZ</t>
  </si>
  <si>
    <t>Moises</t>
  </si>
  <si>
    <t>ZLNT2GD6KR4</t>
  </si>
  <si>
    <t>DFN8SS393DG</t>
  </si>
  <si>
    <t>J6NQ9FMPB4S</t>
  </si>
  <si>
    <t>Adilson</t>
  </si>
  <si>
    <t>Delanhese</t>
  </si>
  <si>
    <t>N7NB5PYQG6N</t>
  </si>
  <si>
    <t>Nnaemeka</t>
  </si>
  <si>
    <t>Okpallannuozo</t>
  </si>
  <si>
    <t>F9NFG76MVVR</t>
  </si>
  <si>
    <t>Phillip</t>
  </si>
  <si>
    <t>GTNHGM6QDQP</t>
  </si>
  <si>
    <t>Kayer</t>
  </si>
  <si>
    <t>MRNBYZ3BX4Z</t>
  </si>
  <si>
    <t>Katharina</t>
  </si>
  <si>
    <t>Ceesay-Seitz</t>
  </si>
  <si>
    <t>PCNMPXQH42F</t>
  </si>
  <si>
    <t>Shahnawaz</t>
  </si>
  <si>
    <t>MDN2T72NSPN</t>
  </si>
  <si>
    <t>Aro</t>
  </si>
  <si>
    <t>Oral</t>
  </si>
  <si>
    <t>LSNQXSZ2HNK</t>
  </si>
  <si>
    <t>Farah</t>
  </si>
  <si>
    <t>P4N66BVRN7Y</t>
  </si>
  <si>
    <t>Dalal</t>
  </si>
  <si>
    <t>Mouani</t>
  </si>
  <si>
    <t>GQNBWZT5ZRL</t>
  </si>
  <si>
    <t>Kenny</t>
  </si>
  <si>
    <t>G7NNXPTPX5M</t>
  </si>
  <si>
    <t>swathi</t>
  </si>
  <si>
    <t>chittajallu</t>
  </si>
  <si>
    <t>QYNQY25J62X</t>
  </si>
  <si>
    <t>Vrinda</t>
  </si>
  <si>
    <t>Maini</t>
  </si>
  <si>
    <t>X4N8D2JW7JL</t>
  </si>
  <si>
    <t>Koh</t>
  </si>
  <si>
    <t>LZNG24YPMFB</t>
  </si>
  <si>
    <t>Anup Kumar</t>
  </si>
  <si>
    <t>JWNNLMTPNTB</t>
  </si>
  <si>
    <t>LPNZGGW96YQ</t>
  </si>
  <si>
    <t>Ashfield</t>
  </si>
  <si>
    <t>H6N8TTCJK3G</t>
  </si>
  <si>
    <t>Yoshihiko</t>
  </si>
  <si>
    <t>MIYAMAE</t>
  </si>
  <si>
    <t>VNNKTDNLPL6</t>
  </si>
  <si>
    <t>Wexler</t>
  </si>
  <si>
    <t>FDND5K4GXFK</t>
  </si>
  <si>
    <t>Tsao Santín</t>
  </si>
  <si>
    <t>FSNCDRX4PFK</t>
  </si>
  <si>
    <t>Nguyen-Chi</t>
  </si>
  <si>
    <t>MCNZY9DL9CV</t>
  </si>
  <si>
    <t>Acquroff</t>
  </si>
  <si>
    <t>F9NPKCF5JZ6</t>
  </si>
  <si>
    <t>Bernhard</t>
  </si>
  <si>
    <t>Rosenkränzer</t>
  </si>
  <si>
    <t>X7N35YCTFBX</t>
  </si>
  <si>
    <t>Radovici</t>
  </si>
  <si>
    <t>DTNB6PG6TVQ</t>
  </si>
  <si>
    <t>Camilla</t>
  </si>
  <si>
    <t>G4N75T28VNR</t>
  </si>
  <si>
    <t>Lutomirski</t>
  </si>
  <si>
    <t>JDNMFX3V26J</t>
  </si>
  <si>
    <t>Arpit</t>
  </si>
  <si>
    <t>Joshipura</t>
  </si>
  <si>
    <t>HQN335Z87C2</t>
  </si>
  <si>
    <t>Kaitlyn</t>
  </si>
  <si>
    <t>Barnard</t>
  </si>
  <si>
    <t>G4NHVJ9R3LR</t>
  </si>
  <si>
    <t>Lawless</t>
  </si>
  <si>
    <t>PYN5Y9WQ5MX</t>
  </si>
  <si>
    <t>H7NS2X5XJ4J</t>
  </si>
  <si>
    <t>Dahl</t>
  </si>
  <si>
    <t>PMN42VPTSH8</t>
  </si>
  <si>
    <t>Jorgensen</t>
  </si>
  <si>
    <t>L9NF3BYFMVG</t>
  </si>
  <si>
    <t>FYNGLQNZN2R</t>
  </si>
  <si>
    <t>Stanislav</t>
  </si>
  <si>
    <t>Polasek</t>
  </si>
  <si>
    <t>KTNX87N53MQ</t>
  </si>
  <si>
    <t>Murphy</t>
  </si>
  <si>
    <t>DSNRV47Z9H6</t>
  </si>
  <si>
    <t>GTNK6WMJYDL</t>
  </si>
  <si>
    <t>ZDNMZHCHV73</t>
  </si>
  <si>
    <t>Ranweiler</t>
  </si>
  <si>
    <t>M3NND6P7FK9</t>
  </si>
  <si>
    <t>Matek</t>
  </si>
  <si>
    <t>Zalfressso-Jundziłło</t>
  </si>
  <si>
    <t>V9NFRVN36WY</t>
  </si>
  <si>
    <t>Aleksandra</t>
  </si>
  <si>
    <t>Wisz</t>
  </si>
  <si>
    <t>KQNLNVTV8YF</t>
  </si>
  <si>
    <t>Bright</t>
  </si>
  <si>
    <t>JTNGHJHGN43</t>
  </si>
  <si>
    <t>weisser</t>
  </si>
  <si>
    <t>VNN2QLLC6TC</t>
  </si>
  <si>
    <t>Rawat</t>
  </si>
  <si>
    <t>MBNGVJGVTWT</t>
  </si>
  <si>
    <t>Melanie</t>
  </si>
  <si>
    <t>Harlow</t>
  </si>
  <si>
    <t>Z6NG42KRNMZ</t>
  </si>
  <si>
    <t>Fernando Javier</t>
  </si>
  <si>
    <t>Cerna Herrera</t>
  </si>
  <si>
    <t>N4NKSXK938W</t>
  </si>
  <si>
    <t>Sriperambudur</t>
  </si>
  <si>
    <t>D5N7NZJMKDZ</t>
  </si>
  <si>
    <t>Schmitz</t>
  </si>
  <si>
    <t>PBNQQ742QCJ</t>
  </si>
  <si>
    <t>Hearn</t>
  </si>
  <si>
    <t>ZFNDZ4DXV4K</t>
  </si>
  <si>
    <t>Eldred</t>
  </si>
  <si>
    <t>HVN33F5G7PC</t>
  </si>
  <si>
    <t>R. D.</t>
  </si>
  <si>
    <t>K7N9RYZ54KQ</t>
  </si>
  <si>
    <t>Linda</t>
  </si>
  <si>
    <t>laviera</t>
  </si>
  <si>
    <t>P7NBXQH76LB</t>
  </si>
  <si>
    <t>MAURICIO</t>
  </si>
  <si>
    <t>THOMSEN</t>
  </si>
  <si>
    <t>F2NY9MLQVBS</t>
  </si>
  <si>
    <t>Mohammed Elwardi</t>
  </si>
  <si>
    <t>Fadeli</t>
  </si>
  <si>
    <t>H2N6X9V6DF2</t>
  </si>
  <si>
    <t>Prabuddh Kumar</t>
  </si>
  <si>
    <t>Ashok</t>
  </si>
  <si>
    <t>LNN2NDTYR6S</t>
  </si>
  <si>
    <t>Herbas</t>
  </si>
  <si>
    <t>DRNVV3BWRQ9</t>
  </si>
  <si>
    <t>Prajapati</t>
  </si>
  <si>
    <t>VQNMHN27MYN</t>
  </si>
  <si>
    <t>Z2NYN69KFFD</t>
  </si>
  <si>
    <t>Timuçin</t>
  </si>
  <si>
    <t>Anuşlu</t>
  </si>
  <si>
    <t>JYNF4Q7ZQ93</t>
  </si>
  <si>
    <t>Poonam</t>
  </si>
  <si>
    <t>Aggrwal</t>
  </si>
  <si>
    <t>XPN5L7SQ8VT</t>
  </si>
  <si>
    <t>Alessandro</t>
  </si>
  <si>
    <t>ZXN4YD5QX9R</t>
  </si>
  <si>
    <t>Jollans</t>
  </si>
  <si>
    <t>VKNZW5KZR99</t>
  </si>
  <si>
    <t>Wandji</t>
  </si>
  <si>
    <t>Collins</t>
  </si>
  <si>
    <t>ZVNZRYGSLC4</t>
  </si>
  <si>
    <t>Galler</t>
  </si>
  <si>
    <t>MXN6NKWD5N6</t>
  </si>
  <si>
    <t>Joakim</t>
  </si>
  <si>
    <t>Bech</t>
  </si>
  <si>
    <t>NZNJWY7HSYR</t>
  </si>
  <si>
    <t>Pichardo</t>
  </si>
  <si>
    <t>VXN8FKDKN74</t>
  </si>
  <si>
    <t>Hutchings</t>
  </si>
  <si>
    <t>MBNNWRTDDSF</t>
  </si>
  <si>
    <t>NSN99HD6R36</t>
  </si>
  <si>
    <t>Lucifredi</t>
  </si>
  <si>
    <t>JLNZH4TY75K</t>
  </si>
  <si>
    <t>Svetlana</t>
  </si>
  <si>
    <t>Levitan</t>
  </si>
  <si>
    <t>P2N2PMB7HW8</t>
  </si>
  <si>
    <t>Behlendorf</t>
  </si>
  <si>
    <t>KCNLMZR2RBP</t>
  </si>
  <si>
    <t>Hodges</t>
  </si>
  <si>
    <t>MVNR7MMQSH6</t>
  </si>
  <si>
    <t>Schreg</t>
  </si>
  <si>
    <t>PTNMKS8LTYM</t>
  </si>
  <si>
    <t>Gergely</t>
  </si>
  <si>
    <t>Csatari</t>
  </si>
  <si>
    <t>KTNWJCG2BTC</t>
  </si>
  <si>
    <t>Jörns</t>
  </si>
  <si>
    <t>MRNKL7G58NW</t>
  </si>
  <si>
    <t>mtl</t>
  </si>
  <si>
    <t>lola</t>
  </si>
  <si>
    <t>ZSNH3F6ZG8W</t>
  </si>
  <si>
    <t>P7NJMS7RF9S</t>
  </si>
  <si>
    <t>Iglesias Gonsálvez</t>
  </si>
  <si>
    <t>JDNYJ4YV8BC</t>
  </si>
  <si>
    <t>Hempsey</t>
  </si>
  <si>
    <t>XNNC23GG2KP</t>
  </si>
  <si>
    <t>Azar</t>
  </si>
  <si>
    <t>Khansari</t>
  </si>
  <si>
    <t>H5NDCRXGX3M</t>
  </si>
  <si>
    <t>Zvika</t>
  </si>
  <si>
    <t>Ronen</t>
  </si>
  <si>
    <t>G4N338VW36H</t>
  </si>
  <si>
    <t>Sandip</t>
  </si>
  <si>
    <t>Bhamare</t>
  </si>
  <si>
    <t>V7N5947RK63</t>
  </si>
  <si>
    <t>Cullen</t>
  </si>
  <si>
    <t>LTN6M2C5C3Y</t>
  </si>
  <si>
    <t>Denys</t>
  </si>
  <si>
    <t>Dmytriyenko</t>
  </si>
  <si>
    <t>GCNQNLM5J4C</t>
  </si>
  <si>
    <t>JMN633FWNWT</t>
  </si>
  <si>
    <t>Nurettin</t>
  </si>
  <si>
    <t>AYDOGAN</t>
  </si>
  <si>
    <t>J8NW2YSZNHF</t>
  </si>
  <si>
    <t>Dao</t>
  </si>
  <si>
    <t>D7NXRRY85FW</t>
  </si>
  <si>
    <t>Samson</t>
  </si>
  <si>
    <t>HZNN5RBLTNB</t>
  </si>
  <si>
    <t>Abubakarr</t>
  </si>
  <si>
    <t>Jalloh</t>
  </si>
  <si>
    <t>JCNVWHGPRNC</t>
  </si>
  <si>
    <t>Wellington</t>
  </si>
  <si>
    <t>D6N9JCYK8B2</t>
  </si>
  <si>
    <t>Celia</t>
  </si>
  <si>
    <t>Stamps</t>
  </si>
  <si>
    <t>HLN6J6DKNJF</t>
  </si>
  <si>
    <t>Mistry</t>
  </si>
  <si>
    <t>ZHNL75ZNLJD</t>
  </si>
  <si>
    <t>Nanci</t>
  </si>
  <si>
    <t>Lancaster</t>
  </si>
  <si>
    <t>XCNMCLYF7NR</t>
  </si>
  <si>
    <t>Ontiveros</t>
  </si>
  <si>
    <t>J4NLRJWWZR6</t>
  </si>
  <si>
    <t>F</t>
  </si>
  <si>
    <t>HNN233KQCY8</t>
  </si>
  <si>
    <t>Herbrandson</t>
  </si>
  <si>
    <t>L5N8W8F85W5</t>
  </si>
  <si>
    <t>KP</t>
  </si>
  <si>
    <t>KNNFHZ76W9Z</t>
  </si>
  <si>
    <t>Sushil</t>
  </si>
  <si>
    <t>N9NC2DH48TD</t>
  </si>
  <si>
    <t>Harish</t>
  </si>
  <si>
    <t>M3NLKZKMDYV</t>
  </si>
  <si>
    <t>Rachmawati Ari</t>
  </si>
  <si>
    <t>Taurisia</t>
  </si>
  <si>
    <t>MYN8M5J64HV</t>
  </si>
  <si>
    <t>LJNCN272GPW</t>
  </si>
  <si>
    <t>MUHAMMAD</t>
  </si>
  <si>
    <t>ALI</t>
  </si>
  <si>
    <t>GPNNGWS6H4R</t>
  </si>
  <si>
    <t>vaishakh</t>
  </si>
  <si>
    <t>valsaraj</t>
  </si>
  <si>
    <t>F4N2QK5RVMZ</t>
  </si>
  <si>
    <t>Sinha</t>
  </si>
  <si>
    <t>NMNZ4CPH66Q</t>
  </si>
  <si>
    <t>Zulato</t>
  </si>
  <si>
    <t>LCNPM7VQXNV</t>
  </si>
  <si>
    <t>Ankita</t>
  </si>
  <si>
    <t>DDN6L8CJPSG</t>
  </si>
  <si>
    <t>German</t>
  </si>
  <si>
    <t>Molleda</t>
  </si>
  <si>
    <t>PSNS5R92BGP</t>
  </si>
  <si>
    <t>Guittot</t>
  </si>
  <si>
    <t>HTNT6KBYRKB</t>
  </si>
  <si>
    <t>TSAFAC NKOMBONG</t>
  </si>
  <si>
    <t>REGINE CYRILLE</t>
  </si>
  <si>
    <t>KBN4QVMHLV9</t>
  </si>
  <si>
    <t>Linux</t>
  </si>
  <si>
    <t>NRNV2PBGJ26</t>
  </si>
  <si>
    <t>PRNCPSTRP96</t>
  </si>
  <si>
    <t>Cano</t>
  </si>
  <si>
    <t>ZYN4GNQ6XPW</t>
  </si>
  <si>
    <t>König</t>
  </si>
  <si>
    <t>PYN8GK4CWPX</t>
  </si>
  <si>
    <t>Saenko</t>
  </si>
  <si>
    <t>GLNQ6MPBVGV</t>
  </si>
  <si>
    <t>Upadhyay</t>
  </si>
  <si>
    <t>D9NW5M26YCF</t>
  </si>
  <si>
    <t>Kempf</t>
  </si>
  <si>
    <t>F7NGHJTNBTF</t>
  </si>
  <si>
    <t>Dhamne</t>
  </si>
  <si>
    <t>DMN38T7CRBN</t>
  </si>
  <si>
    <t>McKay</t>
  </si>
  <si>
    <t>LGN2MQVYVYL</t>
  </si>
  <si>
    <t>Mira</t>
  </si>
  <si>
    <t>Franke</t>
  </si>
  <si>
    <t>V3NBT8QSHHH</t>
  </si>
  <si>
    <t>Chip</t>
  </si>
  <si>
    <t>V9NRCNYB86Y</t>
  </si>
  <si>
    <t>Sang</t>
  </si>
  <si>
    <t>Oh</t>
  </si>
  <si>
    <t>M4NZV387J87</t>
  </si>
  <si>
    <t>Elberger</t>
  </si>
  <si>
    <t>KPN7HWBCCJW</t>
  </si>
  <si>
    <t>Schrater</t>
  </si>
  <si>
    <t>HVNH228FMRQ</t>
  </si>
  <si>
    <t>Jessee</t>
  </si>
  <si>
    <t>HBNY2M9XSXR</t>
  </si>
  <si>
    <t>Simion</t>
  </si>
  <si>
    <t>LMNFGSRJ8DK</t>
  </si>
  <si>
    <t>Vekony</t>
  </si>
  <si>
    <t>HYNKDYK95RJ</t>
  </si>
  <si>
    <t>Jericho</t>
  </si>
  <si>
    <t>GXNLV4QWCL7</t>
  </si>
  <si>
    <t>Toledo</t>
  </si>
  <si>
    <t>PJN53K8C22J</t>
  </si>
  <si>
    <t>Pete</t>
  </si>
  <si>
    <t>Runion</t>
  </si>
  <si>
    <t>GJNK8W8HNV5</t>
  </si>
  <si>
    <t>Roopshree</t>
  </si>
  <si>
    <t>HWNQ8GQBZ3G</t>
  </si>
  <si>
    <t>Wilbanks</t>
  </si>
  <si>
    <t>XHNNH5TX25Q</t>
  </si>
  <si>
    <t>Sheehy</t>
  </si>
  <si>
    <t>GSN3NR7S2ML</t>
  </si>
  <si>
    <t>Davis</t>
  </si>
  <si>
    <t>P2N268C6FDP</t>
  </si>
  <si>
    <t>Karlo</t>
  </si>
  <si>
    <t>Del Mundo</t>
  </si>
  <si>
    <t>XVN9KVDG6BS</t>
  </si>
  <si>
    <t>Meel</t>
  </si>
  <si>
    <t>XZN8W5H4BL8</t>
  </si>
  <si>
    <t>Strickler</t>
  </si>
  <si>
    <t>ZDN7YT8CVSJ</t>
  </si>
  <si>
    <t>Vasily</t>
  </si>
  <si>
    <t>Goldobin</t>
  </si>
  <si>
    <t>NXNZKJDSX9S</t>
  </si>
  <si>
    <t>Huynh</t>
  </si>
  <si>
    <t>Z6NZFQSR5VW</t>
  </si>
  <si>
    <t>Mitra</t>
  </si>
  <si>
    <t>Z8N3GLGC26Y</t>
  </si>
  <si>
    <t>Prewit</t>
  </si>
  <si>
    <t>DZNP6CFYBDS</t>
  </si>
  <si>
    <t>Jork</t>
  </si>
  <si>
    <t>Loeser</t>
  </si>
  <si>
    <t>KBNRQSPN2RZ</t>
  </si>
  <si>
    <t>Maziarz</t>
  </si>
  <si>
    <t>X3NDMY4XDZS</t>
  </si>
  <si>
    <t>HHNF2JGKKH2</t>
  </si>
  <si>
    <t>Harms</t>
  </si>
  <si>
    <t>JZNQ8BFT962</t>
  </si>
  <si>
    <t>Crête</t>
  </si>
  <si>
    <t>FBN3GDZQBRX</t>
  </si>
  <si>
    <t>Amrit</t>
  </si>
  <si>
    <t>ZRNKSZDLWRG</t>
  </si>
  <si>
    <t>Izabelle</t>
  </si>
  <si>
    <t>Schaivianto</t>
  </si>
  <si>
    <t>KMN8DMXZZJ8</t>
  </si>
  <si>
    <t>Salih</t>
  </si>
  <si>
    <t>Erim</t>
  </si>
  <si>
    <t>J2NBMLZWS2R</t>
  </si>
  <si>
    <t>Pathak</t>
  </si>
  <si>
    <t>G8N6QK6PVK9</t>
  </si>
  <si>
    <t>Prasad</t>
  </si>
  <si>
    <t>TVR</t>
  </si>
  <si>
    <t>PFN3954B8MG</t>
  </si>
  <si>
    <t>supriya</t>
  </si>
  <si>
    <t>sirbi</t>
  </si>
  <si>
    <t>GDNS97677FC</t>
  </si>
  <si>
    <t>Garg</t>
  </si>
  <si>
    <t>VKNT332KW9T</t>
  </si>
  <si>
    <t>Komal</t>
  </si>
  <si>
    <t>NYNZ4X7QXX2</t>
  </si>
  <si>
    <t>Manthan</t>
  </si>
  <si>
    <t>Keim</t>
  </si>
  <si>
    <t>P9NWSVLYHRN</t>
  </si>
  <si>
    <t>mathur sainath</t>
  </si>
  <si>
    <t>P N</t>
  </si>
  <si>
    <t>N6NZSWLKFWK</t>
  </si>
  <si>
    <t>Colbert</t>
  </si>
  <si>
    <t>HJNZS98HSGL</t>
  </si>
  <si>
    <t>Tushar</t>
  </si>
  <si>
    <t>Nimkar</t>
  </si>
  <si>
    <t>XWNGS5GMZ42</t>
  </si>
  <si>
    <t>Carla</t>
  </si>
  <si>
    <t>Sella</t>
  </si>
  <si>
    <t>GXNR6ZBM995</t>
  </si>
  <si>
    <t>Kieser</t>
  </si>
  <si>
    <t>X4NYKGJ7TGN</t>
  </si>
  <si>
    <t>Case</t>
  </si>
  <si>
    <t>FGNYP539VZD</t>
  </si>
  <si>
    <t>sudip</t>
  </si>
  <si>
    <t>mukherjee</t>
  </si>
  <si>
    <t>VZNNDDY2V6B</t>
  </si>
  <si>
    <t>MZNC7NVRKPZ</t>
  </si>
  <si>
    <t>Dianne</t>
  </si>
  <si>
    <t>Sealey</t>
  </si>
  <si>
    <t>M4N7YJPDHV4</t>
  </si>
  <si>
    <t>Santos Venter</t>
  </si>
  <si>
    <t>Chibenga</t>
  </si>
  <si>
    <t>JQNKPLZGKVG</t>
  </si>
  <si>
    <t>Coulson</t>
  </si>
  <si>
    <t>NQNTBZQSXZT</t>
  </si>
  <si>
    <t>P5NB6NRPGYQ</t>
  </si>
  <si>
    <t>Anavi</t>
  </si>
  <si>
    <t>KFN87LQR7MK</t>
  </si>
  <si>
    <t>Derrick</t>
  </si>
  <si>
    <t>Moseti</t>
  </si>
  <si>
    <t>MDNJWG4CYFC</t>
  </si>
  <si>
    <t>Sarwang</t>
  </si>
  <si>
    <t>KWNJK5BPY59</t>
  </si>
  <si>
    <t>LIVINGSTONE</t>
  </si>
  <si>
    <t>OKERO</t>
  </si>
  <si>
    <t>MYNXWRVZJKC</t>
  </si>
  <si>
    <t>Mustafa Kutsal</t>
  </si>
  <si>
    <t>Ay</t>
  </si>
  <si>
    <t>FTNHL264QDW</t>
  </si>
  <si>
    <t>Md</t>
  </si>
  <si>
    <t>J4NJLFNT47M</t>
  </si>
  <si>
    <t>McLoughlin</t>
  </si>
  <si>
    <t>KHNHNDL5SKQ</t>
  </si>
  <si>
    <t>Chinonye</t>
  </si>
  <si>
    <t>Maduka</t>
  </si>
  <si>
    <t>FVN9CCWVFQL</t>
  </si>
  <si>
    <t>joy</t>
  </si>
  <si>
    <t>osive</t>
  </si>
  <si>
    <t>LPNWGWNVNBP</t>
  </si>
  <si>
    <t>Rishika</t>
  </si>
  <si>
    <t>Z9NF5G84R6D</t>
  </si>
  <si>
    <t>PJNW5VFFC82</t>
  </si>
  <si>
    <t>Ramin</t>
  </si>
  <si>
    <t>Zaghi</t>
  </si>
  <si>
    <t>VPNFN6X6N7N</t>
  </si>
  <si>
    <t>Bryhan</t>
  </si>
  <si>
    <t>GPNZPZCBVHQ</t>
  </si>
  <si>
    <t>Bilal</t>
  </si>
  <si>
    <t>XXNM9DG4Y3C</t>
  </si>
  <si>
    <t>YILDIZ</t>
  </si>
  <si>
    <t>H3NC6L7CPL6</t>
  </si>
  <si>
    <t>Johannes</t>
  </si>
  <si>
    <t>Obermüller</t>
  </si>
  <si>
    <t>LQNXG6RQKK6</t>
  </si>
  <si>
    <t>Azeemsha</t>
  </si>
  <si>
    <t>Thacham Poyil</t>
  </si>
  <si>
    <t>KSNC6DK859B</t>
  </si>
  <si>
    <t>Syed Kazim</t>
  </si>
  <si>
    <t>Baqeri</t>
  </si>
  <si>
    <t>DPN6R3PFFHC</t>
  </si>
  <si>
    <t>H5NJC834N9M</t>
  </si>
  <si>
    <t>Penner</t>
  </si>
  <si>
    <t>JMNMPS2863R</t>
  </si>
  <si>
    <t>Sonal</t>
  </si>
  <si>
    <t>Bhoraniya</t>
  </si>
  <si>
    <t>GMNYLZYP8R9</t>
  </si>
  <si>
    <t>KellyAnn</t>
  </si>
  <si>
    <t>Fitzpatrick</t>
  </si>
  <si>
    <t>QYNPL4T93CN</t>
  </si>
  <si>
    <t>Reselman</t>
  </si>
  <si>
    <t>DSNT2M5Z7JG</t>
  </si>
  <si>
    <t>Rayvn</t>
  </si>
  <si>
    <t>P9NQQJFGSRL</t>
  </si>
  <si>
    <t>Kucheria</t>
  </si>
  <si>
    <t>XSN6JCNDF9Z</t>
  </si>
  <si>
    <t>Abhijit Pratap</t>
  </si>
  <si>
    <t>DXNHY4D9JBJ</t>
  </si>
  <si>
    <t>Arun Bharath</t>
  </si>
  <si>
    <t>Shanmugam</t>
  </si>
  <si>
    <t>F8NDPYL67JC</t>
  </si>
  <si>
    <t>anon</t>
  </si>
  <si>
    <t>XD</t>
  </si>
  <si>
    <t>LWN332VVR88</t>
  </si>
  <si>
    <t>Kavin</t>
  </si>
  <si>
    <t>A</t>
  </si>
  <si>
    <t>G2NS4YVGL37</t>
  </si>
  <si>
    <t>Nunez</t>
  </si>
  <si>
    <t>LJNWZHX2CBJ</t>
  </si>
  <si>
    <t>Nuwan</t>
  </si>
  <si>
    <t>Bambarabotuwa</t>
  </si>
  <si>
    <t>FSNZJJ6H36M</t>
  </si>
  <si>
    <t>Narendra</t>
  </si>
  <si>
    <t>HRN5P26RKQN</t>
  </si>
  <si>
    <t>Siddiqui</t>
  </si>
  <si>
    <t>FQND7DD9XPZ</t>
  </si>
  <si>
    <t>Damla</t>
  </si>
  <si>
    <t>Dönderdi</t>
  </si>
  <si>
    <t>PBNFZ2D6HPR</t>
  </si>
  <si>
    <t>Christophe</t>
  </si>
  <si>
    <t>Drevet-Droguet</t>
  </si>
  <si>
    <t>P3NCZSS9M7D</t>
  </si>
  <si>
    <t>Eriol</t>
  </si>
  <si>
    <t>FPN9VYKWTGL</t>
  </si>
  <si>
    <t>Erij</t>
  </si>
  <si>
    <t>Bentej</t>
  </si>
  <si>
    <t>DXNZ3NSGPWZ</t>
  </si>
  <si>
    <t>Degilio</t>
  </si>
  <si>
    <t>LFN4P5C8SX9</t>
  </si>
  <si>
    <t>Mario Alberto</t>
  </si>
  <si>
    <t>Leal de Alejandro</t>
  </si>
  <si>
    <t>FBN8F73F2WQ</t>
  </si>
  <si>
    <t>Manoel</t>
  </si>
  <si>
    <t>Cortes Mendez</t>
  </si>
  <si>
    <t>HNNC6594SLL</t>
  </si>
  <si>
    <t>Naaktgeboren</t>
  </si>
  <si>
    <t>VWNTKWFNVVW</t>
  </si>
  <si>
    <t>Lehman</t>
  </si>
  <si>
    <t>VRNFLXMRC97</t>
  </si>
  <si>
    <t>Thara</t>
  </si>
  <si>
    <t>Gopinath</t>
  </si>
  <si>
    <t>GLN7SS4NVQ7</t>
  </si>
  <si>
    <t>Shigeru</t>
  </si>
  <si>
    <t>Yoshida</t>
  </si>
  <si>
    <t>NLND6CX8DPT</t>
  </si>
  <si>
    <t>Brezani</t>
  </si>
  <si>
    <t>LPN5DSXDH2F</t>
  </si>
  <si>
    <t>Dengler</t>
  </si>
  <si>
    <t>JVNLHBPDSDV</t>
  </si>
  <si>
    <t>Bisser</t>
  </si>
  <si>
    <t>Paskalev</t>
  </si>
  <si>
    <t>GXNNT98N7QQ</t>
  </si>
  <si>
    <t>Sven</t>
  </si>
  <si>
    <t>Echternach</t>
  </si>
  <si>
    <t>HZNSHFTCMN4</t>
  </si>
  <si>
    <t>Nikitin</t>
  </si>
  <si>
    <t>VVN7HRWGNQ4</t>
  </si>
  <si>
    <t>Grace</t>
  </si>
  <si>
    <t>DFNPRJQPTWS</t>
  </si>
  <si>
    <t>Zahav</t>
  </si>
  <si>
    <t>Capper</t>
  </si>
  <si>
    <t>G5N3B8BB9JM</t>
  </si>
  <si>
    <t>Ludba</t>
  </si>
  <si>
    <t>HTNL7CJRPC7</t>
  </si>
  <si>
    <t>Rajmund</t>
  </si>
  <si>
    <t>Stankiewicz</t>
  </si>
  <si>
    <t>LSN82PVPMHH</t>
  </si>
  <si>
    <t>Kiyoshi</t>
  </si>
  <si>
    <t>Mine</t>
  </si>
  <si>
    <t>NWNQ7JJ7GZC</t>
  </si>
  <si>
    <t>Leroux</t>
  </si>
  <si>
    <t>ZTNQ2NCNV87</t>
  </si>
  <si>
    <t>Evan</t>
  </si>
  <si>
    <t>Hammer</t>
  </si>
  <si>
    <t>X2NL7P5N4S7</t>
  </si>
  <si>
    <t>Shubhra</t>
  </si>
  <si>
    <t>Kar</t>
  </si>
  <si>
    <t>PDN63GPXPVW</t>
  </si>
  <si>
    <t>Isaku</t>
  </si>
  <si>
    <t>Yamahata</t>
  </si>
  <si>
    <t>JDNTTKLJJ2V</t>
  </si>
  <si>
    <t>Talley</t>
  </si>
  <si>
    <t>MFNMWJ5Q65N</t>
  </si>
  <si>
    <t>Buchmeyer</t>
  </si>
  <si>
    <t>LJNVLP2GNFC</t>
  </si>
  <si>
    <t>Geery</t>
  </si>
  <si>
    <t>D4N6V8YHQ7L</t>
  </si>
  <si>
    <t>Kimberleigh</t>
  </si>
  <si>
    <t>Breen</t>
  </si>
  <si>
    <t>MTNQX7NSW3F</t>
  </si>
  <si>
    <t>Vickers</t>
  </si>
  <si>
    <t>VFNPNN4J2ZS</t>
  </si>
  <si>
    <t>Jess</t>
  </si>
  <si>
    <t>P7NGMBKY8YX</t>
  </si>
  <si>
    <t>Manjarres</t>
  </si>
  <si>
    <t>FZNWPKZ4R23</t>
  </si>
  <si>
    <t>Genetzky</t>
  </si>
  <si>
    <t>FMNX37LFF79</t>
  </si>
  <si>
    <t>Qiong</t>
  </si>
  <si>
    <t>GQNRLBFZ32B</t>
  </si>
  <si>
    <t>Dickison</t>
  </si>
  <si>
    <t>Z3NHLRMSBHG</t>
  </si>
  <si>
    <t>LLNG4ZH89JS</t>
  </si>
  <si>
    <t>Reeves</t>
  </si>
  <si>
    <t>G8N3ZQBRKB4</t>
  </si>
  <si>
    <t>Hansen</t>
  </si>
  <si>
    <t>M6NRX485K28</t>
  </si>
  <si>
    <t>Joao</t>
  </si>
  <si>
    <t>Z6N434RFGHP</t>
  </si>
  <si>
    <t>Lior</t>
  </si>
  <si>
    <t>Komanski</t>
  </si>
  <si>
    <t>M6N49SWTR23</t>
  </si>
  <si>
    <t>Carter</t>
  </si>
  <si>
    <t>VHNS6MTR4Q9</t>
  </si>
  <si>
    <t>Bartolett</t>
  </si>
  <si>
    <t>G8N4FL9T8JV</t>
  </si>
  <si>
    <t>Szalontai</t>
  </si>
  <si>
    <t>Jeno</t>
  </si>
  <si>
    <t>PKNTMJHKVPR</t>
  </si>
  <si>
    <t>Easwar</t>
  </si>
  <si>
    <t>Hariharan</t>
  </si>
  <si>
    <t>QWNQL9P2ZM3</t>
  </si>
  <si>
    <t>P7N36MC3V8Y</t>
  </si>
  <si>
    <t>Purcell</t>
  </si>
  <si>
    <t>XGNV5297R44</t>
  </si>
  <si>
    <t>Denis</t>
  </si>
  <si>
    <t>Ciocca</t>
  </si>
  <si>
    <t>LTNLMPSHQ6T</t>
  </si>
  <si>
    <t>Tarasovic</t>
  </si>
  <si>
    <t>P8NFLVZ9PHS</t>
  </si>
  <si>
    <t>Bessemer</t>
  </si>
  <si>
    <t>DPN8FNCDVGK</t>
  </si>
  <si>
    <t>Ruddy</t>
  </si>
  <si>
    <t>XGNCKCJL8ZT</t>
  </si>
  <si>
    <t>Springett</t>
  </si>
  <si>
    <t>N6NR7RL7X3C</t>
  </si>
  <si>
    <t>Mandy</t>
  </si>
  <si>
    <t>Chessell</t>
  </si>
  <si>
    <t>FFNH98G8HSY</t>
  </si>
  <si>
    <t>GAUTAM</t>
  </si>
  <si>
    <t>MGM</t>
  </si>
  <si>
    <t>KLNWBBN5S9C</t>
  </si>
  <si>
    <t>Pranjal</t>
  </si>
  <si>
    <t>Bhardwaj</t>
  </si>
  <si>
    <t>Z8N2RZ8F9HH</t>
  </si>
  <si>
    <t>adefemi</t>
  </si>
  <si>
    <t>micheal</t>
  </si>
  <si>
    <t>KRNCJKNSYJC</t>
  </si>
  <si>
    <t>Sood</t>
  </si>
  <si>
    <t>PKNK2N5YJBV</t>
  </si>
  <si>
    <t>Dröscher</t>
  </si>
  <si>
    <t>LLNMJRGDVDG</t>
  </si>
  <si>
    <t>Bakare</t>
  </si>
  <si>
    <t>KBNT5JYDDCF</t>
  </si>
  <si>
    <t>Burhan</t>
  </si>
  <si>
    <t>KGN98JVNV67</t>
  </si>
  <si>
    <t>Poppe</t>
  </si>
  <si>
    <t>ZSNTV5FNGNH</t>
  </si>
  <si>
    <t>Ratnadeep</t>
  </si>
  <si>
    <t>HXNPWZFQLM3</t>
  </si>
  <si>
    <t>Purohit</t>
  </si>
  <si>
    <t>KTNZRBS7TSM</t>
  </si>
  <si>
    <t>Madhiyazhagan</t>
  </si>
  <si>
    <t>PQNMX2QSCVK</t>
  </si>
  <si>
    <t>Stefanie</t>
  </si>
  <si>
    <t>Greiner</t>
  </si>
  <si>
    <t>GNNM8R35GNX</t>
  </si>
  <si>
    <t>Aishabibi</t>
  </si>
  <si>
    <t>Adambek</t>
  </si>
  <si>
    <t>FLNX8LXVL7V</t>
  </si>
  <si>
    <t>Hiroyuki</t>
  </si>
  <si>
    <t>Fukuchi</t>
  </si>
  <si>
    <t>D5NPZNJCY3F</t>
  </si>
  <si>
    <t>Tuluğ</t>
  </si>
  <si>
    <t>Yücel</t>
  </si>
  <si>
    <t>XZNQFN6BSCL</t>
  </si>
  <si>
    <t>PNNXQMHJZ35</t>
  </si>
  <si>
    <t>Wollermann</t>
  </si>
  <si>
    <t>PZNSCFF7RCD</t>
  </si>
  <si>
    <t>Yogesh</t>
  </si>
  <si>
    <t>Ojha</t>
  </si>
  <si>
    <t>J9NQ2ZPXNVS</t>
  </si>
  <si>
    <t>Kamat</t>
  </si>
  <si>
    <t>KJNZNLR2GCB</t>
  </si>
  <si>
    <t>VPN6ST66WLG</t>
  </si>
  <si>
    <t>senad</t>
  </si>
  <si>
    <t>palislamovic</t>
  </si>
  <si>
    <t>LFNGQRFKVKC</t>
  </si>
  <si>
    <t>Gale</t>
  </si>
  <si>
    <t>McCommons</t>
  </si>
  <si>
    <t>X4NNTSQ74P6</t>
  </si>
  <si>
    <t>병일</t>
  </si>
  <si>
    <t>유</t>
  </si>
  <si>
    <t>XWNRWJTVV6H</t>
  </si>
  <si>
    <t>FKN24VT9JXF</t>
  </si>
  <si>
    <t>Eugene</t>
  </si>
  <si>
    <t>Dupler</t>
  </si>
  <si>
    <t>FNN6R3BPTTZ</t>
  </si>
  <si>
    <t>Gorelik</t>
  </si>
  <si>
    <t>FYNFHSN7CZ9</t>
  </si>
  <si>
    <t>Brianna</t>
  </si>
  <si>
    <t>ZDNZ7SVW34T</t>
  </si>
  <si>
    <t>Persaud</t>
  </si>
  <si>
    <t>KBN6F7MMZ2J</t>
  </si>
  <si>
    <t>Joaquim</t>
  </si>
  <si>
    <t>Moraes</t>
  </si>
  <si>
    <t>H7NZR6P7QLN</t>
  </si>
  <si>
    <t>Khoi</t>
  </si>
  <si>
    <t>FLNL4TLQCG7</t>
  </si>
  <si>
    <t>Amerson</t>
  </si>
  <si>
    <t>PRNK3VMFCKV</t>
  </si>
  <si>
    <t>Stauffer</t>
  </si>
  <si>
    <t>V4NXLTL2M3J</t>
  </si>
  <si>
    <t>Belhamou</t>
  </si>
  <si>
    <t>VBN5MBNN6VZ</t>
  </si>
  <si>
    <t>Chappell</t>
  </si>
  <si>
    <t>P7N4QRYVTJZ</t>
  </si>
  <si>
    <t>Geck</t>
  </si>
  <si>
    <t>Hong</t>
  </si>
  <si>
    <t>XPN95G74RKH</t>
  </si>
  <si>
    <t>Mustapha</t>
  </si>
  <si>
    <t>AISSAT</t>
  </si>
  <si>
    <t>K4NLPFBM97D</t>
  </si>
  <si>
    <t>Rodgers</t>
  </si>
  <si>
    <t>MQNRPMBRZ8L</t>
  </si>
  <si>
    <t>Jackie</t>
  </si>
  <si>
    <t>Sumner</t>
  </si>
  <si>
    <t>FZNT58HQF9M</t>
  </si>
  <si>
    <t>saravanan</t>
  </si>
  <si>
    <t>thiyagarajan</t>
  </si>
  <si>
    <t>F8NYWK7QCPL</t>
  </si>
  <si>
    <t>Lodes</t>
  </si>
  <si>
    <t>ZHN76KSQ6DJ</t>
  </si>
  <si>
    <t>Mendi</t>
  </si>
  <si>
    <t>Jackson</t>
  </si>
  <si>
    <t>MWN7BYMR54B</t>
  </si>
  <si>
    <t>Jared</t>
  </si>
  <si>
    <t>Spraguer</t>
  </si>
  <si>
    <t>LPNY3CPT6M8</t>
  </si>
  <si>
    <t>Weathers</t>
  </si>
  <si>
    <t>HLN3V9SFHK9</t>
  </si>
  <si>
    <t>D.</t>
  </si>
  <si>
    <t>NYNVX9V7ZJ5</t>
  </si>
  <si>
    <t>Wagner</t>
  </si>
  <si>
    <t>HVN2R4TC7KX</t>
  </si>
  <si>
    <t>Newman</t>
  </si>
  <si>
    <t>MLNSVZRQ4XG</t>
  </si>
  <si>
    <t>Bentivegna</t>
  </si>
  <si>
    <t>ZXN2H5M2HLK</t>
  </si>
  <si>
    <t>Helen</t>
  </si>
  <si>
    <t>XXNNVV3QQH6</t>
  </si>
  <si>
    <t>Haeussler</t>
  </si>
  <si>
    <t>XYNJT42PHGV</t>
  </si>
  <si>
    <t>Ioana</t>
  </si>
  <si>
    <t>Culic</t>
  </si>
  <si>
    <t>VQNJWPQYRF7</t>
  </si>
  <si>
    <t>Kohsuke</t>
  </si>
  <si>
    <t>Kawaguchi</t>
  </si>
  <si>
    <t>DGNWZSZV562</t>
  </si>
  <si>
    <t>Berkhahn</t>
  </si>
  <si>
    <t>KLNZJRD3N8P</t>
  </si>
  <si>
    <t>Katelin</t>
  </si>
  <si>
    <t>Ramer</t>
  </si>
  <si>
    <t>GSNPBX3RQ7F</t>
  </si>
  <si>
    <t>Pentreath</t>
  </si>
  <si>
    <t>X4NDHDGZZVS</t>
  </si>
  <si>
    <t>L8NTNHSRHNN</t>
  </si>
  <si>
    <t>Shuli</t>
  </si>
  <si>
    <t>Goodman</t>
  </si>
  <si>
    <t>F9N8RSKQ3WS</t>
  </si>
  <si>
    <t>Hwang</t>
  </si>
  <si>
    <t>GDNVMD7DG6G</t>
  </si>
  <si>
    <t>Ansood</t>
  </si>
  <si>
    <t>Anandan</t>
  </si>
  <si>
    <t>NCNG6ZP68F4</t>
  </si>
  <si>
    <t>Ellie</t>
  </si>
  <si>
    <t>Shivers</t>
  </si>
  <si>
    <t>D5NZP62CXK2</t>
  </si>
  <si>
    <t>Bhutani</t>
  </si>
  <si>
    <t>MVNPDRZBN2S</t>
  </si>
  <si>
    <t>Kale</t>
  </si>
  <si>
    <t>MJN7HRT8X86</t>
  </si>
  <si>
    <t>Xuebin</t>
  </si>
  <si>
    <t>He</t>
  </si>
  <si>
    <t>JFNT899PQN7</t>
  </si>
  <si>
    <t>Goldin</t>
  </si>
  <si>
    <t>HVNS9CDFL5T</t>
  </si>
  <si>
    <t>Wayne E</t>
  </si>
  <si>
    <t>Seguin</t>
  </si>
  <si>
    <t>LQN5FWGMRMP</t>
  </si>
  <si>
    <t>Jones</t>
  </si>
  <si>
    <t>XBNSQ82FS66</t>
  </si>
  <si>
    <t>Sanderson</t>
  </si>
  <si>
    <t>XXNY5HHQ3G8</t>
  </si>
  <si>
    <t>V9NXLMPZX56</t>
  </si>
  <si>
    <t>Healy</t>
  </si>
  <si>
    <t>JKN5LJ9G8VZ</t>
  </si>
  <si>
    <t>Denzel</t>
  </si>
  <si>
    <t>Richmond</t>
  </si>
  <si>
    <t>K7NG2T26SSR</t>
  </si>
  <si>
    <t>Olle E</t>
  </si>
  <si>
    <t>Johansson</t>
  </si>
  <si>
    <t>MLNVFWY9X34</t>
  </si>
  <si>
    <t>Kwao-Mensah</t>
  </si>
  <si>
    <t>ZKNZ6FBLYB3</t>
  </si>
  <si>
    <t>Stratigos</t>
  </si>
  <si>
    <t>PVNY6JGDTJ7</t>
  </si>
  <si>
    <t>ZJNTYFW3MK9</t>
  </si>
  <si>
    <t>Malini</t>
  </si>
  <si>
    <t>Bhandaru</t>
  </si>
  <si>
    <t>DVNR3FVTSK8</t>
  </si>
  <si>
    <t>Yanting</t>
  </si>
  <si>
    <t>ZYNDF7HPJH4</t>
  </si>
  <si>
    <t>Damian</t>
  </si>
  <si>
    <t>Dziaduszyński</t>
  </si>
  <si>
    <t>V7NZ3WC9G3Q</t>
  </si>
  <si>
    <t>Puhlman</t>
  </si>
  <si>
    <t>J7NW4VHHRF6</t>
  </si>
  <si>
    <t>Ewert</t>
  </si>
  <si>
    <t>JDNYV36F8BG</t>
  </si>
  <si>
    <t>Mel</t>
  </si>
  <si>
    <t>Irizarry</t>
  </si>
  <si>
    <t>MHNKZ7L2WQN</t>
  </si>
  <si>
    <t>momokat.kinder@gmail.com</t>
  </si>
  <si>
    <t>P8N9YLTXL8M</t>
  </si>
  <si>
    <t>Pearson</t>
  </si>
  <si>
    <t>K9N6FVNP2KF</t>
  </si>
  <si>
    <t>Ritchie</t>
  </si>
  <si>
    <t>MDNKWBM9XG4</t>
  </si>
  <si>
    <t>Brummer</t>
  </si>
  <si>
    <t>H3NMV5V7TZ8</t>
  </si>
  <si>
    <t>Riedl</t>
  </si>
  <si>
    <t>LQNKWBB7X3K</t>
  </si>
  <si>
    <t>Killer</t>
  </si>
  <si>
    <t>XZNSX6MWCRQ</t>
  </si>
  <si>
    <t>Suleman</t>
  </si>
  <si>
    <t>XQNJFMXXPH3</t>
  </si>
  <si>
    <t>Maluki</t>
  </si>
  <si>
    <t>Muthusi</t>
  </si>
  <si>
    <t>FGNCVLDJ97Q</t>
  </si>
  <si>
    <t>Pulkit</t>
  </si>
  <si>
    <t>L8NPHXQXM82</t>
  </si>
  <si>
    <t>Akshara</t>
  </si>
  <si>
    <t>HPN6YXRTFKS</t>
  </si>
  <si>
    <t>Pchevuzinske Katz</t>
  </si>
  <si>
    <t>JVN4D7RTMYT</t>
  </si>
  <si>
    <t>Oleksandra</t>
  </si>
  <si>
    <t>Romanovska</t>
  </si>
  <si>
    <t>V4NY97VSKCM</t>
  </si>
  <si>
    <t>Horsch</t>
  </si>
  <si>
    <t>VLN3N4N9TT7</t>
  </si>
  <si>
    <t>Ni</t>
  </si>
  <si>
    <t>Yep</t>
  </si>
  <si>
    <t>VPNM8QMHN42</t>
  </si>
  <si>
    <t>MacLeod</t>
  </si>
  <si>
    <t>ZZNG49M7LHG</t>
  </si>
  <si>
    <t>Alkabary</t>
  </si>
  <si>
    <t>FWNJXY5SRR4</t>
  </si>
  <si>
    <t>NINJOUJI</t>
  </si>
  <si>
    <t>J8N93N3TJDC</t>
  </si>
  <si>
    <t>Yoshiyuki</t>
  </si>
  <si>
    <t>D7NG39CXRCB</t>
  </si>
  <si>
    <t>Manoj</t>
  </si>
  <si>
    <t>LPNFBC9YSDW</t>
  </si>
  <si>
    <t>de</t>
  </si>
  <si>
    <t>GGNLW7KQZQF</t>
  </si>
  <si>
    <t>Khouya</t>
  </si>
  <si>
    <t>LPNJSQ7NFGT</t>
  </si>
  <si>
    <t>Maxwell</t>
  </si>
  <si>
    <t>dezdel</t>
  </si>
  <si>
    <t>P5N6YVG7B2F</t>
  </si>
  <si>
    <t>Michaud</t>
  </si>
  <si>
    <t>VDNCTQMBJM3</t>
  </si>
  <si>
    <t>Mora</t>
  </si>
  <si>
    <t>DCNNCRKSR62</t>
  </si>
  <si>
    <t>francois</t>
  </si>
  <si>
    <t>massot-pellet</t>
  </si>
  <si>
    <t>ZSNT3K2TN5T</t>
  </si>
  <si>
    <t>M4NX82KY2C6</t>
  </si>
  <si>
    <t>Amani</t>
  </si>
  <si>
    <t>Algaedi</t>
  </si>
  <si>
    <t>Z4NRPX64TQZ</t>
  </si>
  <si>
    <t>Valentina</t>
  </si>
  <si>
    <t>Fernandez</t>
  </si>
  <si>
    <t>XWN6FT4G22T</t>
  </si>
  <si>
    <t>Villalobos</t>
  </si>
  <si>
    <t>K7N33VNCM7H</t>
  </si>
  <si>
    <t>MIGUEL</t>
  </si>
  <si>
    <t>MURGUIA</t>
  </si>
  <si>
    <t>PMNNLGRMV45</t>
  </si>
  <si>
    <t>Mostafa</t>
  </si>
  <si>
    <t>Qolinezhad</t>
  </si>
  <si>
    <t>VCN39LC4NRF</t>
  </si>
  <si>
    <t>Cosmin-Daniel</t>
  </si>
  <si>
    <t>Radu</t>
  </si>
  <si>
    <t>LXN98JL9RNL</t>
  </si>
  <si>
    <t>MacGregor</t>
  </si>
  <si>
    <t>JZN98JVKDM2</t>
  </si>
  <si>
    <t>DTN9CH8KQZS</t>
  </si>
  <si>
    <t>Deven</t>
  </si>
  <si>
    <t>Bowers</t>
  </si>
  <si>
    <t>G2NMXLGR6T9</t>
  </si>
  <si>
    <t>Addair</t>
  </si>
  <si>
    <t>K5NL42526PW</t>
  </si>
  <si>
    <t>Lev</t>
  </si>
  <si>
    <t>Iserovich</t>
  </si>
  <si>
    <t>NDN6FJ93QHZ</t>
  </si>
  <si>
    <t>Marla</t>
  </si>
  <si>
    <t>Guanga</t>
  </si>
  <si>
    <t>NPNWLH4BPZZ</t>
  </si>
  <si>
    <t>V2NMQD23P3K</t>
  </si>
  <si>
    <t>Iglesias</t>
  </si>
  <si>
    <t>L4NKHN48ND8</t>
  </si>
  <si>
    <t>Niedzwiecki</t>
  </si>
  <si>
    <t>LYNK8W8NG8T</t>
  </si>
  <si>
    <t>Haddad</t>
  </si>
  <si>
    <t>N4N8FLBLFH3</t>
  </si>
  <si>
    <t>Shep</t>
  </si>
  <si>
    <t>Sheppard</t>
  </si>
  <si>
    <t>XYN45X6HTMQ</t>
  </si>
  <si>
    <t>koral</t>
  </si>
  <si>
    <t>ilgun</t>
  </si>
  <si>
    <t>VZNXFNC5VYC</t>
  </si>
  <si>
    <t>Salim</t>
  </si>
  <si>
    <t>Blume</t>
  </si>
  <si>
    <t>L6NQJ9X4QR7</t>
  </si>
  <si>
    <t>Gerald</t>
  </si>
  <si>
    <t>Weiler</t>
  </si>
  <si>
    <t>VBNWDXKQCMT</t>
  </si>
  <si>
    <t>Mandala</t>
  </si>
  <si>
    <t>DYND7JNTPPL</t>
  </si>
  <si>
    <t>Ramon</t>
  </si>
  <si>
    <t>de C Valle</t>
  </si>
  <si>
    <t>M9N36R69JJ4</t>
  </si>
  <si>
    <t>Chester</t>
  </si>
  <si>
    <t>Hosmer</t>
  </si>
  <si>
    <t>DKNDWWJPYFS</t>
  </si>
  <si>
    <t>DMN93Y8D8B4</t>
  </si>
  <si>
    <t>Kamaraj</t>
  </si>
  <si>
    <t>K8NZB9GXXP9</t>
  </si>
  <si>
    <t>M8NX63G7BC5</t>
  </si>
  <si>
    <t>Torokhov</t>
  </si>
  <si>
    <t>XDNZ6PL7Y5M</t>
  </si>
  <si>
    <t>KJN343M3PMS</t>
  </si>
  <si>
    <t>Brandt</t>
  </si>
  <si>
    <t>L4NC9W275XF</t>
  </si>
  <si>
    <t>Johan</t>
  </si>
  <si>
    <t>Davidsson</t>
  </si>
  <si>
    <t>KPNTV9RBNTQ</t>
  </si>
  <si>
    <t>Yufen</t>
  </si>
  <si>
    <t>Kuo</t>
  </si>
  <si>
    <t>X2NKZ7XKJZB</t>
  </si>
  <si>
    <t>Bernheim</t>
  </si>
  <si>
    <t>PDNGHDC5V67</t>
  </si>
  <si>
    <t>Egermier</t>
  </si>
  <si>
    <t>VNN7VTHB628</t>
  </si>
  <si>
    <t>Ufimtseva</t>
  </si>
  <si>
    <t>MTNBSNNQSFG</t>
  </si>
  <si>
    <t>LHN356VFJLF</t>
  </si>
  <si>
    <t>Natesan</t>
  </si>
  <si>
    <t>GXNH9PTJHWD</t>
  </si>
  <si>
    <t>Osweiler</t>
  </si>
  <si>
    <t>FVN7ND3DG9R</t>
  </si>
  <si>
    <t>Manfred</t>
  </si>
  <si>
    <t>Reysser</t>
  </si>
  <si>
    <t>VRN2N5RLRJD</t>
  </si>
  <si>
    <t>Abdel-Motaleb</t>
  </si>
  <si>
    <t>X6N8Q5LZXNY</t>
  </si>
  <si>
    <t>M7NBKGXS76K</t>
  </si>
  <si>
    <t>Both</t>
  </si>
  <si>
    <t>VVN8B44P4N9</t>
  </si>
  <si>
    <t>Ted</t>
  </si>
  <si>
    <t>Speers</t>
  </si>
  <si>
    <t>G5NY6CK2CD6</t>
  </si>
  <si>
    <t>Geary</t>
  </si>
  <si>
    <t>MSNFK9484VN</t>
  </si>
  <si>
    <t>Kuchta</t>
  </si>
  <si>
    <t>XCN7RLWQVK9</t>
  </si>
  <si>
    <t>DKNZMXX7RTH</t>
  </si>
  <si>
    <t>GZNJXYH4V3S</t>
  </si>
  <si>
    <t>Hand</t>
  </si>
  <si>
    <t>ZSNBLXZTKBP</t>
  </si>
  <si>
    <t>Rowand</t>
  </si>
  <si>
    <t>GTNHJMMR697</t>
  </si>
  <si>
    <t>Schwartzmeyer</t>
  </si>
  <si>
    <t>NFNFT49DHCH</t>
  </si>
  <si>
    <t>Chase</t>
  </si>
  <si>
    <t>Baker</t>
  </si>
  <si>
    <t>J2NZKW8XZPV</t>
  </si>
  <si>
    <t>Stephen H</t>
  </si>
  <si>
    <t>FCNDN6YVLHV</t>
  </si>
  <si>
    <t>Manko</t>
  </si>
  <si>
    <t>FDNN9BFNRFW</t>
  </si>
  <si>
    <t>FWN4SBN2NGT</t>
  </si>
  <si>
    <t>GJNZFLPDQVM</t>
  </si>
  <si>
    <t>Nuzzo</t>
  </si>
  <si>
    <t>VSNV7VGSWST</t>
  </si>
  <si>
    <t>Helena</t>
  </si>
  <si>
    <t>XXNKN7VTSDB</t>
  </si>
  <si>
    <t>Galen</t>
  </si>
  <si>
    <t>Collier</t>
  </si>
  <si>
    <t>XFNW45Y9MFP</t>
  </si>
  <si>
    <t>Charlie</t>
  </si>
  <si>
    <t>Ashton</t>
  </si>
  <si>
    <t>MPN7CKJ8LHK</t>
  </si>
  <si>
    <t>Walker</t>
  </si>
  <si>
    <t>Z5NWGP75TJC</t>
  </si>
  <si>
    <t>XLN29QLZLML</t>
  </si>
  <si>
    <t>dhphadke@microsoft.com</t>
  </si>
  <si>
    <t>MRNQWFXTZJR</t>
  </si>
  <si>
    <t>Anish</t>
  </si>
  <si>
    <t>Aney</t>
  </si>
  <si>
    <t>FTNHD75PXYW</t>
  </si>
  <si>
    <t>Adrianna</t>
  </si>
  <si>
    <t>Guevarra</t>
  </si>
  <si>
    <t>VSNHFQ5VK3W</t>
  </si>
  <si>
    <t>Darryl</t>
  </si>
  <si>
    <t>Schnell</t>
  </si>
  <si>
    <t>J9NG6XVQ9VT</t>
  </si>
  <si>
    <t>Dickinson</t>
  </si>
  <si>
    <t>X9NV74B3D3K</t>
  </si>
  <si>
    <t>sarah</t>
  </si>
  <si>
    <t>novotny</t>
  </si>
  <si>
    <t>H6NT6DDMHJ9</t>
  </si>
  <si>
    <t>Peredo</t>
  </si>
  <si>
    <t>V5N68WQNKFR</t>
  </si>
  <si>
    <t>Mota</t>
  </si>
  <si>
    <t>NTNN8PZTJL4</t>
  </si>
  <si>
    <t>Piekarska</t>
  </si>
  <si>
    <t>HQN3H9VRXY2</t>
  </si>
  <si>
    <t>kory</t>
  </si>
  <si>
    <t>maincent</t>
  </si>
  <si>
    <t>PDNXFBFPBZZ</t>
  </si>
  <si>
    <t>Kamel</t>
  </si>
  <si>
    <t>Bouhara</t>
  </si>
  <si>
    <t>LSNH7F5MTZL</t>
  </si>
  <si>
    <t>Linstaedt</t>
  </si>
  <si>
    <t>NLN54XWZX9K</t>
  </si>
  <si>
    <t>Atousa</t>
  </si>
  <si>
    <t>ZGN5NBHQZNC</t>
  </si>
  <si>
    <t>Elisha</t>
  </si>
  <si>
    <t>Chitsenga</t>
  </si>
  <si>
    <t>MLNQ55PVP4F</t>
  </si>
  <si>
    <t>Hrivnak</t>
  </si>
  <si>
    <t>FKNTMXBHHRD</t>
  </si>
  <si>
    <t>Khem</t>
  </si>
  <si>
    <t>P3NFRVGZ7SD</t>
  </si>
  <si>
    <t>Animesh</t>
  </si>
  <si>
    <t>JCNH4742YM6</t>
  </si>
  <si>
    <t>Erika</t>
  </si>
  <si>
    <t>Feldman</t>
  </si>
  <si>
    <t>ZJNNWLJ9VX4</t>
  </si>
  <si>
    <t>GLNNQ8D55N3</t>
  </si>
  <si>
    <t>Millsap</t>
  </si>
  <si>
    <t>LHNDPJL9ZKW</t>
  </si>
  <si>
    <t>Owens</t>
  </si>
  <si>
    <t>PGN47XM8K5Q</t>
  </si>
  <si>
    <t>Addison</t>
  </si>
  <si>
    <t>ZBNY22XZ52S</t>
  </si>
  <si>
    <t>Kaehlcke</t>
  </si>
  <si>
    <t>D9NWLYW2CK8</t>
  </si>
  <si>
    <t>Sophia</t>
  </si>
  <si>
    <t>P2NRH24CDGQ</t>
  </si>
  <si>
    <t>MJNT6XTH3W4</t>
  </si>
  <si>
    <t>Marie</t>
  </si>
  <si>
    <t>Nordin</t>
  </si>
  <si>
    <t>FKN96BX8F9G</t>
  </si>
  <si>
    <t>DRNRSGMZL7W</t>
  </si>
  <si>
    <t>Jill</t>
  </si>
  <si>
    <t>Lovato</t>
  </si>
  <si>
    <t>FFN3BN3RBDT</t>
  </si>
  <si>
    <t>Bentley</t>
  </si>
  <si>
    <t>GZNSMS2NT46</t>
  </si>
  <si>
    <t>HKNY49BZP8Q</t>
  </si>
  <si>
    <t>Bret</t>
  </si>
  <si>
    <t>Barkelew</t>
  </si>
  <si>
    <t>XKNJCB7JT6G</t>
  </si>
  <si>
    <t>CR</t>
  </si>
  <si>
    <t>Zegarra</t>
  </si>
  <si>
    <t>HDNH9SRPYBB</t>
  </si>
  <si>
    <t>Plavetzki</t>
  </si>
  <si>
    <t>K7NFC3DM2GG</t>
  </si>
  <si>
    <t>HNNQHC6NQZK</t>
  </si>
  <si>
    <t>Chagas</t>
  </si>
  <si>
    <t>GGNK2R82ZV7</t>
  </si>
  <si>
    <t>JKNTQTTV4ZF</t>
  </si>
  <si>
    <t>simha</t>
  </si>
  <si>
    <t>musini</t>
  </si>
  <si>
    <t>KJNTMJGS6P3</t>
  </si>
  <si>
    <t>XGN8DRRNRPR</t>
  </si>
  <si>
    <t>Min</t>
  </si>
  <si>
    <t>DGNB7NMSCJZ</t>
  </si>
  <si>
    <t>MacHado</t>
  </si>
  <si>
    <t>D2NNVHWD2KV</t>
  </si>
  <si>
    <t>Spencer</t>
  </si>
  <si>
    <t>Hunley</t>
  </si>
  <si>
    <t>DTNCBGWBZJ4</t>
  </si>
  <si>
    <t>MacDougall</t>
  </si>
  <si>
    <t>HTNHHV87P4J</t>
  </si>
  <si>
    <t>Mobin</t>
  </si>
  <si>
    <t>GMNRVB9TFN3</t>
  </si>
  <si>
    <t>Escott</t>
  </si>
  <si>
    <t>DXN3ZH95423</t>
  </si>
  <si>
    <t>Salvatore</t>
  </si>
  <si>
    <t>HQN6SYPC9SK</t>
  </si>
  <si>
    <t>K6NJVGM6X9S</t>
  </si>
  <si>
    <t>NYND9GHL8QJ</t>
  </si>
  <si>
    <t>ZQNBNBDH4CT</t>
  </si>
  <si>
    <t>Ke</t>
  </si>
  <si>
    <t>DLN57JTDZKM</t>
  </si>
  <si>
    <t>william</t>
  </si>
  <si>
    <t>lewis</t>
  </si>
  <si>
    <t>VVNV6CHD6FC</t>
  </si>
  <si>
    <t>Mosley</t>
  </si>
  <si>
    <t>FRN4RCH3N8K</t>
  </si>
  <si>
    <t>Eyer</t>
  </si>
  <si>
    <t>PSN56QQ9RPS</t>
  </si>
  <si>
    <t>MBNS4LLJV3B</t>
  </si>
  <si>
    <t>DeWitt</t>
  </si>
  <si>
    <t>N2NWZP9F3H5</t>
  </si>
  <si>
    <t>Annabelle</t>
  </si>
  <si>
    <t>Votaw</t>
  </si>
  <si>
    <t>FKNNKFL98WQ</t>
  </si>
  <si>
    <t>Golaszewski</t>
  </si>
  <si>
    <t>MTNLMQGL8VL</t>
  </si>
  <si>
    <t>SZ</t>
  </si>
  <si>
    <t>M8NQKVNMZCM</t>
  </si>
  <si>
    <t>Oliveira</t>
  </si>
  <si>
    <t>DSN5X2SPP73</t>
  </si>
  <si>
    <t>Purshottam</t>
  </si>
  <si>
    <t>M8NCJHVCTTZ</t>
  </si>
  <si>
    <t>Ritik</t>
  </si>
  <si>
    <t>DLNSP4V3BPW</t>
  </si>
  <si>
    <t>Vishnupriya</t>
  </si>
  <si>
    <t>Kanuri</t>
  </si>
  <si>
    <t>HBNW953WQKG</t>
  </si>
  <si>
    <t>Y D</t>
  </si>
  <si>
    <t>NMNQ5MQCRSW</t>
  </si>
  <si>
    <t>Akash</t>
  </si>
  <si>
    <t>Atri</t>
  </si>
  <si>
    <t>QWNBZ59CZPH</t>
  </si>
  <si>
    <t>Rafiz</t>
  </si>
  <si>
    <t>JLNM228FGWH</t>
  </si>
  <si>
    <t>Luiz</t>
  </si>
  <si>
    <t>Eduardo Mendes Matheus</t>
  </si>
  <si>
    <t>Z9N9TJS99MH</t>
  </si>
  <si>
    <t>Cerioni</t>
  </si>
  <si>
    <t>VWNRNY7JVWP</t>
  </si>
  <si>
    <t>Leng</t>
  </si>
  <si>
    <t>HDNGT2MZJDS</t>
  </si>
  <si>
    <t>Ruslan</t>
  </si>
  <si>
    <t>Sarychev</t>
  </si>
  <si>
    <t>XTNMLZDGTT2</t>
  </si>
  <si>
    <t>Cabrera Vivo</t>
  </si>
  <si>
    <t>JBNYMZD74NZ</t>
  </si>
  <si>
    <t>Traynor</t>
  </si>
  <si>
    <t>FSNNZXR65H9</t>
  </si>
  <si>
    <t>Kaoru</t>
  </si>
  <si>
    <t>Masuyama</t>
  </si>
  <si>
    <t>MBN4TSFTTVQ</t>
  </si>
  <si>
    <t>Cohen</t>
  </si>
  <si>
    <t>MPNT299CMBG</t>
  </si>
  <si>
    <t>Jabbar</t>
  </si>
  <si>
    <t>Bazal</t>
  </si>
  <si>
    <t>JSNBJNHLCKZ</t>
  </si>
  <si>
    <t>Shon</t>
  </si>
  <si>
    <t>Garraway</t>
  </si>
  <si>
    <t>MQN4ZTFVGHR</t>
  </si>
  <si>
    <t>A C M</t>
  </si>
  <si>
    <t>Mendis</t>
  </si>
  <si>
    <t>ZNNQ3BKY66M</t>
  </si>
  <si>
    <t>Hieu</t>
  </si>
  <si>
    <t>Pham Van</t>
  </si>
  <si>
    <t>G2NY78SHDWR</t>
  </si>
  <si>
    <t>Vlad Cristian</t>
  </si>
  <si>
    <t>Butilca</t>
  </si>
  <si>
    <t>GNN2T9H8X69</t>
  </si>
  <si>
    <t>Ivica</t>
  </si>
  <si>
    <t>Anđelić</t>
  </si>
  <si>
    <t>HGNHBSLKR97</t>
  </si>
  <si>
    <t>Julius</t>
  </si>
  <si>
    <t>Rueckert</t>
  </si>
  <si>
    <t>V7N3Z3SCYZB</t>
  </si>
  <si>
    <t>Sudeep</t>
  </si>
  <si>
    <t>Batra</t>
  </si>
  <si>
    <t>XFNHKPVD8CJ</t>
  </si>
  <si>
    <t>Poitras</t>
  </si>
  <si>
    <t>F3NFF2ZKW55</t>
  </si>
  <si>
    <t>Vaughan-Nichols</t>
  </si>
  <si>
    <t>DPNNNCKQ4CF</t>
  </si>
  <si>
    <t>von Simson</t>
  </si>
  <si>
    <t>DFN8VHDRBV7</t>
  </si>
  <si>
    <t>Arias</t>
  </si>
  <si>
    <t>KSNK5QYVZ78</t>
  </si>
  <si>
    <t>McIndoe</t>
  </si>
  <si>
    <t>HHN7MKBFGW4</t>
  </si>
  <si>
    <t>GFNYW65M963</t>
  </si>
  <si>
    <t>Ismail</t>
  </si>
  <si>
    <t>Z4NHKZQM38G</t>
  </si>
  <si>
    <t>Michele Jr</t>
  </si>
  <si>
    <t>De Candia</t>
  </si>
  <si>
    <t>VKN5XXFFNT8</t>
  </si>
  <si>
    <t>Anmar</t>
  </si>
  <si>
    <t>Oueja</t>
  </si>
  <si>
    <t>PGN3XXDJFY8</t>
  </si>
  <si>
    <t>Purdie</t>
  </si>
  <si>
    <t>HVNTKGGHTN3</t>
  </si>
  <si>
    <t>Grant</t>
  </si>
  <si>
    <t>Likely</t>
  </si>
  <si>
    <t>N3NS5BYQLJX</t>
  </si>
  <si>
    <t>Kummer</t>
  </si>
  <si>
    <t>NFN78X8QRCV</t>
  </si>
  <si>
    <t>Pellegrin</t>
  </si>
  <si>
    <t>GQNBP7WZBX4</t>
  </si>
  <si>
    <t>Rueetschi</t>
  </si>
  <si>
    <t>D7NWKWFVP3Q</t>
  </si>
  <si>
    <t>Soumil</t>
  </si>
  <si>
    <t>Khandelwal</t>
  </si>
  <si>
    <t>HJNQSBSGC6R</t>
  </si>
  <si>
    <t>Ramasamy</t>
  </si>
  <si>
    <t>Thalavay Pillai</t>
  </si>
  <si>
    <t>KLN8RCFHK6L</t>
  </si>
  <si>
    <t>Dandi</t>
  </si>
  <si>
    <t>Barus</t>
  </si>
  <si>
    <t>V7NJXZSLCGW</t>
  </si>
  <si>
    <t>Sehrish</t>
  </si>
  <si>
    <t>Sulbia</t>
  </si>
  <si>
    <t>M2N7BY6X6BD</t>
  </si>
  <si>
    <t>Oevermann</t>
  </si>
  <si>
    <t>FFNL3F8ZNFC</t>
  </si>
  <si>
    <t>Gregor</t>
  </si>
  <si>
    <t>VWNZ84WZQWF</t>
  </si>
  <si>
    <t>Viktor</t>
  </si>
  <si>
    <t>Kleinfelder</t>
  </si>
  <si>
    <t>L3NFG2TVBMB</t>
  </si>
  <si>
    <t>Lowry</t>
  </si>
  <si>
    <t>K2N4D2QBVNQ</t>
  </si>
  <si>
    <t>Juergen</t>
  </si>
  <si>
    <t>Altfeld</t>
  </si>
  <si>
    <t>Z2NYW4S8C3V</t>
  </si>
  <si>
    <t>Magnus</t>
  </si>
  <si>
    <t>Damm</t>
  </si>
  <si>
    <t>Z6NL78FGLFL</t>
  </si>
  <si>
    <t>Laurent</t>
  </si>
  <si>
    <t>Cremmer</t>
  </si>
  <si>
    <t>P2NFSNFCKCV</t>
  </si>
  <si>
    <t>Valentin</t>
  </si>
  <si>
    <t>Voiculescu</t>
  </si>
  <si>
    <t>FBN53J8ZS5F</t>
  </si>
  <si>
    <t>Peio</t>
  </si>
  <si>
    <t>Onaindia</t>
  </si>
  <si>
    <t>NZN242YVRV8</t>
  </si>
  <si>
    <t>Anoop</t>
  </si>
  <si>
    <t>Vijayan</t>
  </si>
  <si>
    <t>MFN4CHBGV7G</t>
  </si>
  <si>
    <t>Woolfrey</t>
  </si>
  <si>
    <t>XDN2FBTCXP6</t>
  </si>
  <si>
    <t>Flores-Herr</t>
  </si>
  <si>
    <t>JQN27JW9T8D</t>
  </si>
  <si>
    <t>Kelso</t>
  </si>
  <si>
    <t>GRNQGCVTB8N</t>
  </si>
  <si>
    <t>Clinton</t>
  </si>
  <si>
    <t>GHNLGM8CQR7</t>
  </si>
  <si>
    <t>Sergio Aldo</t>
  </si>
  <si>
    <t>Lossetti</t>
  </si>
  <si>
    <t>KJN6Q9CJ2FF</t>
  </si>
  <si>
    <t>Belair</t>
  </si>
  <si>
    <t>PGN9QCKPC3T</t>
  </si>
  <si>
    <t>Euclides</t>
  </si>
  <si>
    <t>Chauque</t>
  </si>
  <si>
    <t>NWN4NJF2DMX</t>
  </si>
  <si>
    <t>Yukio</t>
  </si>
  <si>
    <t>FNNSDCXG9KR</t>
  </si>
  <si>
    <t>KMNZWN2NLHM</t>
  </si>
  <si>
    <t>Pasricha</t>
  </si>
  <si>
    <t>LSN3RCHR2G2</t>
  </si>
  <si>
    <t>Coady</t>
  </si>
  <si>
    <t>LJNNFS7CYX2</t>
  </si>
  <si>
    <t>Shwetha</t>
  </si>
  <si>
    <t>Z2N87YBW94L</t>
  </si>
  <si>
    <t>Sukanya</t>
  </si>
  <si>
    <t>Bharati</t>
  </si>
  <si>
    <t>NDNM3B88RRV</t>
  </si>
  <si>
    <t>Shrivastava</t>
  </si>
  <si>
    <t>GRNRYSYGHSS</t>
  </si>
  <si>
    <t>Alim</t>
  </si>
  <si>
    <t>PFNMVT9679R</t>
  </si>
  <si>
    <t>nayan</t>
  </si>
  <si>
    <t>PLNR48MKJPZ</t>
  </si>
  <si>
    <t>Shaik Ameer</t>
  </si>
  <si>
    <t>Basha</t>
  </si>
  <si>
    <t>H4N4KCMKYD9</t>
  </si>
  <si>
    <t>Ahmet</t>
  </si>
  <si>
    <t>OZCAN</t>
  </si>
  <si>
    <t>HFNZ8B65C5J</t>
  </si>
  <si>
    <t>Bajaj</t>
  </si>
  <si>
    <t>NLNNSYTKFG5</t>
  </si>
  <si>
    <t>SHIVANG</t>
  </si>
  <si>
    <t>SRIVASTAVA</t>
  </si>
  <si>
    <t>VVNYNWCXN3V</t>
  </si>
  <si>
    <t>Santa Cruz</t>
  </si>
  <si>
    <t>HTNCN59KX5Q</t>
  </si>
  <si>
    <t>Tulio</t>
  </si>
  <si>
    <t>Paiva Galvao</t>
  </si>
  <si>
    <t>VBNG5YCC64Z</t>
  </si>
  <si>
    <t>Jethro</t>
  </si>
  <si>
    <t>Beekman</t>
  </si>
  <si>
    <t>G7NGKZM53CJ</t>
  </si>
  <si>
    <t>Gustav</t>
  </si>
  <si>
    <t>Voigt</t>
  </si>
  <si>
    <t>G3N45MT5X85</t>
  </si>
  <si>
    <t>Geoff</t>
  </si>
  <si>
    <t>Holt</t>
  </si>
  <si>
    <t>PTNXGMY8F4L</t>
  </si>
  <si>
    <t>Borla</t>
  </si>
  <si>
    <t>V7N9VXFV9Y6</t>
  </si>
  <si>
    <t>Jean-François</t>
  </si>
  <si>
    <t>Dagenais</t>
  </si>
  <si>
    <t>HVNFXYLK76Z</t>
  </si>
  <si>
    <t>F.J.</t>
  </si>
  <si>
    <t>Genus</t>
  </si>
  <si>
    <t>F5NPQZ4KYZ7</t>
  </si>
  <si>
    <t>ZNNGDMWLCPN</t>
  </si>
  <si>
    <t>Baby</t>
  </si>
  <si>
    <t>FMNKRMY3BPB</t>
  </si>
  <si>
    <t>Türken</t>
  </si>
  <si>
    <t>MDN9JM6656D</t>
  </si>
  <si>
    <t>Paras</t>
  </si>
  <si>
    <t>Mamgain</t>
  </si>
  <si>
    <t>MGN3WMFJKC7</t>
  </si>
  <si>
    <t>Shinde</t>
  </si>
  <si>
    <t>XHNPNGJCS3Q</t>
  </si>
  <si>
    <t>MSNGQWT2RL2</t>
  </si>
  <si>
    <t>Kiszka</t>
  </si>
  <si>
    <t>DDN7QZ2NFSY</t>
  </si>
  <si>
    <t>Coughlan</t>
  </si>
  <si>
    <t>NHNNDK2MQTL</t>
  </si>
  <si>
    <t>Kris</t>
  </si>
  <si>
    <t>NHN3DG4JXY2</t>
  </si>
  <si>
    <t>Giovanni</t>
  </si>
  <si>
    <t>Dicanio</t>
  </si>
  <si>
    <t>K4NDQ9FQHTZ</t>
  </si>
  <si>
    <t>Rice</t>
  </si>
  <si>
    <t>DJNZC7MD8XJ</t>
  </si>
  <si>
    <t>Charles Muchendu Kimani</t>
  </si>
  <si>
    <t>M2NYZRPQFS8</t>
  </si>
  <si>
    <t>Blessing</t>
  </si>
  <si>
    <t>Ogunsekan</t>
  </si>
  <si>
    <t>FSN5Z74SZ38</t>
  </si>
  <si>
    <t>Onifade</t>
  </si>
  <si>
    <t>ZYNV2G9P7P2</t>
  </si>
  <si>
    <t>Barretto</t>
  </si>
  <si>
    <t>P4NDR5DJ9QB</t>
  </si>
  <si>
    <t>Parth</t>
  </si>
  <si>
    <t>Jeet</t>
  </si>
  <si>
    <t>DHNY79B68L7</t>
  </si>
  <si>
    <t>Aveek</t>
  </si>
  <si>
    <t>Basu</t>
  </si>
  <si>
    <t>JPN4FM9Z4CH</t>
  </si>
  <si>
    <t>Dandamudi</t>
  </si>
  <si>
    <t>F8NPBRP3K75</t>
  </si>
  <si>
    <t>Parijat</t>
  </si>
  <si>
    <t>Kalita</t>
  </si>
  <si>
    <t>KLNTLL7BBNZ</t>
  </si>
  <si>
    <t>KQNRYZ5DG26</t>
  </si>
  <si>
    <t>Abdul</t>
  </si>
  <si>
    <t>Rasheed</t>
  </si>
  <si>
    <t>P4N7DN3YKM7</t>
  </si>
  <si>
    <t>von Stebut</t>
  </si>
  <si>
    <t>K4N2SMZGDH7</t>
  </si>
  <si>
    <t>Angel</t>
  </si>
  <si>
    <t>Shtilianov</t>
  </si>
  <si>
    <t>GFNZQ7JFWKQ</t>
  </si>
  <si>
    <t>Gayane</t>
  </si>
  <si>
    <t>Osipyan</t>
  </si>
  <si>
    <t>N2NDV6GXW35</t>
  </si>
  <si>
    <t>Tomy</t>
  </si>
  <si>
    <t>Pineau</t>
  </si>
  <si>
    <t>MGN926ZSHRN</t>
  </si>
  <si>
    <t>Gerrit</t>
  </si>
  <si>
    <t>Pannek</t>
  </si>
  <si>
    <t>P2NC6QBRJZ6</t>
  </si>
  <si>
    <t>Meskes</t>
  </si>
  <si>
    <t>JZNWYTF246F</t>
  </si>
  <si>
    <t>DMITRII</t>
  </si>
  <si>
    <t>VIUKOV</t>
  </si>
  <si>
    <t>L9NBH5S9VCN</t>
  </si>
  <si>
    <t>Maniraj</t>
  </si>
  <si>
    <t>gautam</t>
  </si>
  <si>
    <t>J3NFQ57STQC</t>
  </si>
  <si>
    <t>Andres</t>
  </si>
  <si>
    <t>Salgado</t>
  </si>
  <si>
    <t>LDN93MLYC7H</t>
  </si>
  <si>
    <t>Alfonso</t>
  </si>
  <si>
    <t>Castaldo</t>
  </si>
  <si>
    <t>NJN3X4X4H77</t>
  </si>
  <si>
    <t>kejia</t>
  </si>
  <si>
    <t>hu</t>
  </si>
  <si>
    <t>KPNHMVH2FFS</t>
  </si>
  <si>
    <t>Yanis</t>
  </si>
  <si>
    <t>Hamma</t>
  </si>
  <si>
    <t>ZZNLDWKJJWB</t>
  </si>
  <si>
    <t>Francesco</t>
  </si>
  <si>
    <t>Leone</t>
  </si>
  <si>
    <t>XPNXJHZDLDV</t>
  </si>
  <si>
    <t>Gitesh</t>
  </si>
  <si>
    <t>LTN2X7XTKH6</t>
  </si>
  <si>
    <t>Mamta</t>
  </si>
  <si>
    <t>Shukla</t>
  </si>
  <si>
    <t>ZJNGYS9KLNM</t>
  </si>
  <si>
    <t>Cwik</t>
  </si>
  <si>
    <t>MMNNTBT9FMB</t>
  </si>
  <si>
    <t>Dhakar</t>
  </si>
  <si>
    <t>KFNVWL3QX6B</t>
  </si>
  <si>
    <t>WenFeng</t>
  </si>
  <si>
    <t>MFNN6X548PX</t>
  </si>
  <si>
    <t>Harvey</t>
  </si>
  <si>
    <t>L3NCMS77QQP</t>
  </si>
  <si>
    <t>Masami</t>
  </si>
  <si>
    <t>Ichikawa</t>
  </si>
  <si>
    <t>HXNF2TN9DCQ</t>
  </si>
  <si>
    <t>MAGDALENA</t>
  </si>
  <si>
    <t>CABRERA</t>
  </si>
  <si>
    <t>VDN4C7P8379</t>
  </si>
  <si>
    <t>Konwat</t>
  </si>
  <si>
    <t>FVNHCGQ47QP</t>
  </si>
  <si>
    <t>Mansun</t>
  </si>
  <si>
    <t>Lui</t>
  </si>
  <si>
    <t>H4NLTVXLXXM</t>
  </si>
  <si>
    <t>Alexandru Stefan</t>
  </si>
  <si>
    <t>Voicu</t>
  </si>
  <si>
    <t>NPN27M87T5X</t>
  </si>
  <si>
    <t>Koki</t>
  </si>
  <si>
    <t>Hama</t>
  </si>
  <si>
    <t>VLNSWL2F8VP</t>
  </si>
  <si>
    <t>Schlecht</t>
  </si>
  <si>
    <t>XXN4PV7ZF55</t>
  </si>
  <si>
    <t>Weiten</t>
  </si>
  <si>
    <t>HCNK8PS649G</t>
  </si>
  <si>
    <t>Celeste</t>
  </si>
  <si>
    <t>Horgan</t>
  </si>
  <si>
    <t>K4NYV7FZ5S2</t>
  </si>
  <si>
    <t>Carsten</t>
  </si>
  <si>
    <t>HJNKG5RVQFX</t>
  </si>
  <si>
    <t>Roz</t>
  </si>
  <si>
    <t>Mov</t>
  </si>
  <si>
    <t>HZN9JB69RRC</t>
  </si>
  <si>
    <t>Werth</t>
  </si>
  <si>
    <t>X6NFTCCGQK5</t>
  </si>
  <si>
    <t>Lafayette</t>
  </si>
  <si>
    <t>FQNQMM6NK95</t>
  </si>
  <si>
    <t>Reyna</t>
  </si>
  <si>
    <t>J2N3QZV7V32</t>
  </si>
  <si>
    <t>Krste</t>
  </si>
  <si>
    <t>Asanovic</t>
  </si>
  <si>
    <t>XLN2QS7N5KV</t>
  </si>
  <si>
    <t>HGN24L2MRZ7</t>
  </si>
  <si>
    <t>Cindy</t>
  </si>
  <si>
    <t>Xing</t>
  </si>
  <si>
    <t>MYND4GP7MSG</t>
  </si>
  <si>
    <t>NHN3CXQ4WX4</t>
  </si>
  <si>
    <t>Lehn</t>
  </si>
  <si>
    <t>DJN5JHBGYRK</t>
  </si>
  <si>
    <t>Slater</t>
  </si>
  <si>
    <t>N7NGHBLNBWZ</t>
  </si>
  <si>
    <t>Godwin</t>
  </si>
  <si>
    <t>KWNX43WDM9L</t>
  </si>
  <si>
    <t>FDN9BK38C8F</t>
  </si>
  <si>
    <t>Ku</t>
  </si>
  <si>
    <t>V2NMQ2QKVHZ</t>
  </si>
  <si>
    <t>Omann</t>
  </si>
  <si>
    <t>HBNRQ52F9GK</t>
  </si>
  <si>
    <t>Xu</t>
  </si>
  <si>
    <t>PYNMW536B96</t>
  </si>
  <si>
    <t>Shaposhnik</t>
  </si>
  <si>
    <t>J5NTQV4N8P6</t>
  </si>
  <si>
    <t>Dudek</t>
  </si>
  <si>
    <t>HBNPMKWT33F</t>
  </si>
  <si>
    <t>Gikling</t>
  </si>
  <si>
    <t>V6N6QQYZJV9</t>
  </si>
  <si>
    <t>jdrewspencer@gmail.com</t>
  </si>
  <si>
    <t>ZVNX46J9MF5</t>
  </si>
  <si>
    <t>Brenda</t>
  </si>
  <si>
    <t>Tinker</t>
  </si>
  <si>
    <t>PZNS4XL4N38</t>
  </si>
  <si>
    <t>Jody</t>
  </si>
  <si>
    <t>Hietpas</t>
  </si>
  <si>
    <t>H2NKLV9XYWR</t>
  </si>
  <si>
    <t>Jeni</t>
  </si>
  <si>
    <t>JRNZ8N7MCXS</t>
  </si>
  <si>
    <t>Jaminy</t>
  </si>
  <si>
    <t>Prabaharan</t>
  </si>
  <si>
    <t>J6NZ3SDHY6H</t>
  </si>
  <si>
    <t>Sleeper</t>
  </si>
  <si>
    <t>MRNRT7WPTZ5</t>
  </si>
  <si>
    <t>Kassandra</t>
  </si>
  <si>
    <t>Dhillon</t>
  </si>
  <si>
    <t>LZNJ6WXR9SQ</t>
  </si>
  <si>
    <t>JDNF263TSHW</t>
  </si>
  <si>
    <t>Magnani</t>
  </si>
  <si>
    <t>VJNN5Z4XS8Y</t>
  </si>
  <si>
    <t>Srikar</t>
  </si>
  <si>
    <t>Kasarla</t>
  </si>
  <si>
    <t>MMN4RJ78LTX</t>
  </si>
  <si>
    <t>Bahati</t>
  </si>
  <si>
    <t>Philbert</t>
  </si>
  <si>
    <t>MBNR6MBJZGY</t>
  </si>
  <si>
    <t>Oliverio</t>
  </si>
  <si>
    <t>MVN2VDHDZG8</t>
  </si>
  <si>
    <t>Ned</t>
  </si>
  <si>
    <t>Jamieson</t>
  </si>
  <si>
    <t>F4NSWSWB5BD</t>
  </si>
  <si>
    <t>Edel</t>
  </si>
  <si>
    <t>LMNPC74DKGW</t>
  </si>
  <si>
    <t>J7NMWZJQR8Y</t>
  </si>
  <si>
    <t>Osama</t>
  </si>
  <si>
    <t>H4N5MMBGR5K</t>
  </si>
  <si>
    <t>Chandresh</t>
  </si>
  <si>
    <t>D9N7N6SP9S5</t>
  </si>
  <si>
    <t>Sibbald</t>
  </si>
  <si>
    <t>KPNBYSQGYYJ</t>
  </si>
  <si>
    <t>Clever</t>
  </si>
  <si>
    <t>Phiri</t>
  </si>
  <si>
    <t>NCN6DC7CF24</t>
  </si>
  <si>
    <t>Gustavo A.</t>
  </si>
  <si>
    <t>R. Silva</t>
  </si>
  <si>
    <t>MHNYQ57YYQ3</t>
  </si>
  <si>
    <t>Khaled</t>
  </si>
  <si>
    <t>Baqer</t>
  </si>
  <si>
    <t>DMNJPDQJ58M</t>
  </si>
  <si>
    <t>zulu</t>
  </si>
  <si>
    <t>DDNXC86DXJ3</t>
  </si>
  <si>
    <t>Hudson</t>
  </si>
  <si>
    <t>DVNWZPD56V8</t>
  </si>
  <si>
    <t>Chaplin</t>
  </si>
  <si>
    <t>MKNM68JNT94</t>
  </si>
  <si>
    <t>J.R.</t>
  </si>
  <si>
    <t>Storment</t>
  </si>
  <si>
    <t>NBNH3JNW4VJ</t>
  </si>
  <si>
    <t>Bursell</t>
  </si>
  <si>
    <t>KWNNSC97N5Z</t>
  </si>
  <si>
    <t>Lesley</t>
  </si>
  <si>
    <t>Nuttall</t>
  </si>
  <si>
    <t>MSNVBNNXD4G</t>
  </si>
  <si>
    <t>Hayes</t>
  </si>
  <si>
    <t>DBNX8SFFQJC</t>
  </si>
  <si>
    <t>Elana</t>
  </si>
  <si>
    <t>Copperman</t>
  </si>
  <si>
    <t>JYN3XQ4PGSD</t>
  </si>
  <si>
    <t>Rue</t>
  </si>
  <si>
    <t>FJNPGYRMKFN</t>
  </si>
  <si>
    <t>Len</t>
  </si>
  <si>
    <t>Santalucia</t>
  </si>
  <si>
    <t>X8NH6T23W37</t>
  </si>
  <si>
    <t>marysol</t>
  </si>
  <si>
    <t>losada</t>
  </si>
  <si>
    <t>LTNJPRGHHJR</t>
  </si>
  <si>
    <t>NWNZL6SYW96</t>
  </si>
  <si>
    <t>Sandra</t>
  </si>
  <si>
    <t>Schoen</t>
  </si>
  <si>
    <t>KBNDKDT2M9C</t>
  </si>
  <si>
    <t>HMNMM2K5K58</t>
  </si>
  <si>
    <t>Henry-Stocker</t>
  </si>
  <si>
    <t>JQN4NFVYCRZ</t>
  </si>
  <si>
    <t>Leata</t>
  </si>
  <si>
    <t>Byers</t>
  </si>
  <si>
    <t>NMNQMYR5LZB</t>
  </si>
  <si>
    <t>JCN47YKTJ9T</t>
  </si>
  <si>
    <t>D7NW6V44B59</t>
  </si>
  <si>
    <t>Grimandbearit</t>
  </si>
  <si>
    <t>ZVNNLFL87S3</t>
  </si>
  <si>
    <t>XRNHGB4WQS2</t>
  </si>
  <si>
    <t>D5NWTJWXBKM</t>
  </si>
  <si>
    <t>Avi</t>
  </si>
  <si>
    <t>Negrin</t>
  </si>
  <si>
    <t>M5NMRW665HQ</t>
  </si>
  <si>
    <t>Kuenneke</t>
  </si>
  <si>
    <t>JKNV8TPKNN2</t>
  </si>
  <si>
    <t>Jessy</t>
  </si>
  <si>
    <t>Exum</t>
  </si>
  <si>
    <t>MQNDL77WNSV</t>
  </si>
  <si>
    <t>X5NQQ7Q9CY4</t>
  </si>
  <si>
    <t>Auclaire</t>
  </si>
  <si>
    <t>LJNDRVFKSZH</t>
  </si>
  <si>
    <t>Dominik</t>
  </si>
  <si>
    <t>Adamski</t>
  </si>
  <si>
    <t>NCNLZQJVZTG</t>
  </si>
  <si>
    <t>Hashman</t>
  </si>
  <si>
    <t>MTNBLWKWLD4</t>
  </si>
  <si>
    <t>Woessner</t>
  </si>
  <si>
    <t>MNNSDXSM8Z8</t>
  </si>
  <si>
    <t>Madison</t>
  </si>
  <si>
    <t>KFNT2CR8NY5</t>
  </si>
  <si>
    <t>Giuseppe</t>
  </si>
  <si>
    <t>Candia</t>
  </si>
  <si>
    <t>ZBN2YYZFDL6</t>
  </si>
  <si>
    <t>Stebenné</t>
  </si>
  <si>
    <t>V8NL7F67S45</t>
  </si>
  <si>
    <t>Leong</t>
  </si>
  <si>
    <t>GHN2D2FCKCD</t>
  </si>
  <si>
    <t>Perrin</t>
  </si>
  <si>
    <t>D6NZP9GKY7P</t>
  </si>
  <si>
    <t>Sierra</t>
  </si>
  <si>
    <t>M6NRXC7S67S</t>
  </si>
  <si>
    <t>Shmidt</t>
  </si>
  <si>
    <t>GTN584CHBCL</t>
  </si>
  <si>
    <t>GLNLK4NG5TV</t>
  </si>
  <si>
    <t>Standridge</t>
  </si>
  <si>
    <t>FJNKKY636J4</t>
  </si>
  <si>
    <t>PGNK8H5YXZS</t>
  </si>
  <si>
    <t>Sangram</t>
  </si>
  <si>
    <t>Rath</t>
  </si>
  <si>
    <t>QWNKWHYT5S6</t>
  </si>
  <si>
    <t>Zhipeng</t>
  </si>
  <si>
    <t>XLNJLLHSDBK</t>
  </si>
  <si>
    <t>Lucien</t>
  </si>
  <si>
    <t>Etoga</t>
  </si>
  <si>
    <t>M6NM3QYVGDT</t>
  </si>
  <si>
    <t>Roberts-Malpass</t>
  </si>
  <si>
    <t>V6NXK8YQTVC</t>
  </si>
  <si>
    <t>Obbard</t>
  </si>
  <si>
    <t>V7NG8P8NPGC</t>
  </si>
  <si>
    <t>Chevallier</t>
  </si>
  <si>
    <t>Z4NPYKQJKPT</t>
  </si>
  <si>
    <t>Aleksander</t>
  </si>
  <si>
    <t>Korzynski</t>
  </si>
  <si>
    <t>MYNBKNXRWTX</t>
  </si>
  <si>
    <t>Muhammad Emillul</t>
  </si>
  <si>
    <t>Fata</t>
  </si>
  <si>
    <t>L6NQTGF2HBW</t>
  </si>
  <si>
    <t>Omani</t>
  </si>
  <si>
    <t>VFNTQ6XTKN2</t>
  </si>
  <si>
    <t>Ikbal</t>
  </si>
  <si>
    <t>P4NCN85DSKC</t>
  </si>
  <si>
    <t>Agner</t>
  </si>
  <si>
    <t>X8N8TYVWKDJ</t>
  </si>
  <si>
    <t>SC</t>
  </si>
  <si>
    <t>Ching</t>
  </si>
  <si>
    <t>KFNRLSM8DK4</t>
  </si>
  <si>
    <t>Phung</t>
  </si>
  <si>
    <t>DTNZVD6PBXF</t>
  </si>
  <si>
    <t>Olajide</t>
  </si>
  <si>
    <t>Obasan</t>
  </si>
  <si>
    <t>DGNLG74SBX8</t>
  </si>
  <si>
    <t>Shriraj</t>
  </si>
  <si>
    <t>FKNT2SVK47G</t>
  </si>
  <si>
    <t>Ayberk</t>
  </si>
  <si>
    <t>Karaakın</t>
  </si>
  <si>
    <t>LLNKBYG49BN</t>
  </si>
  <si>
    <t>Prakosa</t>
  </si>
  <si>
    <t>FRNDZHLR4LL</t>
  </si>
  <si>
    <t>Iroleh</t>
  </si>
  <si>
    <t>K2NBLB44D7M</t>
  </si>
  <si>
    <t>KULDEEP</t>
  </si>
  <si>
    <t>PATEL</t>
  </si>
  <si>
    <t>GBNKTNLFTTH</t>
  </si>
  <si>
    <t>Mihailescu</t>
  </si>
  <si>
    <t>NXNQ35PYR8N</t>
  </si>
  <si>
    <t>Myrzakhmetov</t>
  </si>
  <si>
    <t>FCNLLB92L86</t>
  </si>
  <si>
    <t>Barth</t>
  </si>
  <si>
    <t>VZNYHCVBNSR</t>
  </si>
  <si>
    <t>Efremov</t>
  </si>
  <si>
    <t>D3N8XSRB6CW</t>
  </si>
  <si>
    <t>Contini</t>
  </si>
  <si>
    <t>F3NHQBPJMPV</t>
  </si>
  <si>
    <t>ISABEL CAMILA</t>
  </si>
  <si>
    <t>HURTADO POLEO</t>
  </si>
  <si>
    <t>XYN24PNFLH3</t>
  </si>
  <si>
    <t>kongwu</t>
  </si>
  <si>
    <t>PYNFXWJ7CQT</t>
  </si>
  <si>
    <t>Kento</t>
  </si>
  <si>
    <t>M6N5WFJGNY9</t>
  </si>
  <si>
    <t>Tharwat</t>
  </si>
  <si>
    <t>Krayem</t>
  </si>
  <si>
    <t>M3NGWDL446B</t>
  </si>
  <si>
    <t>Coulombe</t>
  </si>
  <si>
    <t>X3N3VK7R796</t>
  </si>
  <si>
    <t>mo</t>
  </si>
  <si>
    <t>khan</t>
  </si>
  <si>
    <t>F2N4WBHDX8B</t>
  </si>
  <si>
    <t>orlin</t>
  </si>
  <si>
    <t>asenov</t>
  </si>
  <si>
    <t>DJN9993YPP4</t>
  </si>
  <si>
    <t>Pelchat</t>
  </si>
  <si>
    <t>GNNYCHGBX5M</t>
  </si>
  <si>
    <t>Desislava</t>
  </si>
  <si>
    <t>Ivanova</t>
  </si>
  <si>
    <t>DBNQL2CSQDV</t>
  </si>
  <si>
    <t>Hendrik</t>
  </si>
  <si>
    <t>Lehmkuhl</t>
  </si>
  <si>
    <t>H4NSZPN8L8D</t>
  </si>
  <si>
    <t>Hlasek</t>
  </si>
  <si>
    <t>MWNRKLV3XV3</t>
  </si>
  <si>
    <t>G2N2ZXD49GK</t>
  </si>
  <si>
    <t>Olin</t>
  </si>
  <si>
    <t>NKNVBY2QF5B</t>
  </si>
  <si>
    <t>Takuki</t>
  </si>
  <si>
    <t>Kamiya</t>
  </si>
  <si>
    <t>ZKNX7BHVZ3R</t>
  </si>
  <si>
    <t>Cureton</t>
  </si>
  <si>
    <t>F8N7R5PY5RH</t>
  </si>
  <si>
    <t>DYNFMK4HFDH</t>
  </si>
  <si>
    <t>Zafri</t>
  </si>
  <si>
    <t>Yusoff</t>
  </si>
  <si>
    <t>JFNHDX8SYQC</t>
  </si>
  <si>
    <t>Alistair</t>
  </si>
  <si>
    <t>JLN7B7YGP7X</t>
  </si>
  <si>
    <t>Stark</t>
  </si>
  <si>
    <t>DCNXHF32TWP</t>
  </si>
  <si>
    <t>Meiss</t>
  </si>
  <si>
    <t>PNNV74TXRZ7</t>
  </si>
  <si>
    <t>Zoltan</t>
  </si>
  <si>
    <t>Nagy</t>
  </si>
  <si>
    <t>GBNLN3H2VT3</t>
  </si>
  <si>
    <t>Shawn</t>
  </si>
  <si>
    <t>Jr.</t>
  </si>
  <si>
    <t>XJNN8X4YX3B</t>
  </si>
  <si>
    <t>Berkus</t>
  </si>
  <si>
    <t>ZYNBP3WYSG7</t>
  </si>
  <si>
    <t>Thompson</t>
  </si>
  <si>
    <t>KTNR5SK63M2</t>
  </si>
  <si>
    <t>Serena</t>
  </si>
  <si>
    <t>Mannion</t>
  </si>
  <si>
    <t>P4NV4W6V47R</t>
  </si>
  <si>
    <t>Trossbach</t>
  </si>
  <si>
    <t>JZNQL9XKDC4</t>
  </si>
  <si>
    <t>Hughes</t>
  </si>
  <si>
    <t>J4N48DBFT4N</t>
  </si>
  <si>
    <t>Vivek</t>
  </si>
  <si>
    <t>Shyamasundar</t>
  </si>
  <si>
    <t>J8N5DGK5MTB</t>
  </si>
  <si>
    <t>Fonseca</t>
  </si>
  <si>
    <t>KYN7MMD4MYJ</t>
  </si>
  <si>
    <t>Krisztián</t>
  </si>
  <si>
    <t>Kobler</t>
  </si>
  <si>
    <t>FWNQGX8LMD2</t>
  </si>
  <si>
    <t>DVN2GHTKF42</t>
  </si>
  <si>
    <t>Podgornov</t>
  </si>
  <si>
    <t>XPNFN63FRMB</t>
  </si>
  <si>
    <t>Ginn</t>
  </si>
  <si>
    <t>FPN3WKXKS97</t>
  </si>
  <si>
    <t>Jayakanthan</t>
  </si>
  <si>
    <t>Palani</t>
  </si>
  <si>
    <t>N7NY5GB2XGB</t>
  </si>
  <si>
    <t>Yi</t>
  </si>
  <si>
    <t>GJNFDYTLDJB</t>
  </si>
  <si>
    <t>Johansen</t>
  </si>
  <si>
    <t>PFNLVK4T29C</t>
  </si>
  <si>
    <t>Kristine</t>
  </si>
  <si>
    <t>Dill</t>
  </si>
  <si>
    <t>M6NKLX4JWNG</t>
  </si>
  <si>
    <t>VYNKTN7FH29</t>
  </si>
  <si>
    <t>Tolga</t>
  </si>
  <si>
    <t>Aytek</t>
  </si>
  <si>
    <t>GMNJDB2C8TZ</t>
  </si>
  <si>
    <t>Chamings</t>
  </si>
  <si>
    <t>DVN576Z67TG</t>
  </si>
  <si>
    <t>Ruppert</t>
  </si>
  <si>
    <t>PMN65NBVHYV</t>
  </si>
  <si>
    <t>Getrich</t>
  </si>
  <si>
    <t>KLN59JWX5CD</t>
  </si>
  <si>
    <t>Quick</t>
  </si>
  <si>
    <t>JVNB9NMQ85C</t>
  </si>
  <si>
    <t>linux</t>
  </si>
  <si>
    <t>foundation</t>
  </si>
  <si>
    <t>P9NCVMWRQBK</t>
  </si>
  <si>
    <t>Benham</t>
  </si>
  <si>
    <t>J7N5C6L3GRH</t>
  </si>
  <si>
    <t>LNNBFFSL77N</t>
  </si>
  <si>
    <t>Dineen</t>
  </si>
  <si>
    <t>DVNTVRYC667</t>
  </si>
  <si>
    <t>Nall</t>
  </si>
  <si>
    <t>VQNP9HZR52X</t>
  </si>
  <si>
    <t>Ramage</t>
  </si>
  <si>
    <t>HXNQD6JZCTC</t>
  </si>
  <si>
    <t>Price</t>
  </si>
  <si>
    <t>LRNSTWV63VH</t>
  </si>
  <si>
    <t>Kendall</t>
  </si>
  <si>
    <t>PFNDVMBL5RF</t>
  </si>
  <si>
    <t>Shepherd</t>
  </si>
  <si>
    <t>XCNF4ZCZZ7K</t>
  </si>
  <si>
    <t>Deb</t>
  </si>
  <si>
    <t>Goodkin</t>
  </si>
  <si>
    <t>PPN3TXYHS7L</t>
  </si>
  <si>
    <t>a.livenets@gmail.com</t>
  </si>
  <si>
    <t>MFNK445VGRX</t>
  </si>
  <si>
    <t>HRNC7H9J76R</t>
  </si>
  <si>
    <t>Suazo</t>
  </si>
  <si>
    <t>F6N9MWXZRJ6</t>
  </si>
  <si>
    <t>Jenkins</t>
  </si>
  <si>
    <t>M4N588P4NST</t>
  </si>
  <si>
    <t>Duthu</t>
  </si>
  <si>
    <t>LSNDHKN6SMM</t>
  </si>
  <si>
    <t>Smaller</t>
  </si>
  <si>
    <t>FYNWGV8SQT9</t>
  </si>
  <si>
    <t>Chul</t>
  </si>
  <si>
    <t>N8NQ8DL76XB</t>
  </si>
  <si>
    <t>ZCNJXJYB4PY</t>
  </si>
  <si>
    <t>Leslie</t>
  </si>
  <si>
    <t>KNNY3TXQTHH</t>
  </si>
  <si>
    <t>Mars</t>
  </si>
  <si>
    <t>Toktonaliev</t>
  </si>
  <si>
    <t>ZRN3CWWZDBY</t>
  </si>
  <si>
    <t>Vasquez</t>
  </si>
  <si>
    <t>VNNDWG7CKL3</t>
  </si>
  <si>
    <t>Kai</t>
  </si>
  <si>
    <t>LMN7NP93989</t>
  </si>
  <si>
    <t>Feocco</t>
  </si>
  <si>
    <t>MZNRG5VG7GC</t>
  </si>
  <si>
    <t>P8N2PP5PT2N</t>
  </si>
  <si>
    <t>Peckham</t>
  </si>
  <si>
    <t>VDN9YWVQ48Q</t>
  </si>
  <si>
    <t>Moravek</t>
  </si>
  <si>
    <t>MSNTS4NYWQ7</t>
  </si>
  <si>
    <t>Shidlyali</t>
  </si>
  <si>
    <t>QYNT83CH5R2</t>
  </si>
  <si>
    <t>Michelle</t>
  </si>
  <si>
    <t>Ruscetta</t>
  </si>
  <si>
    <t>NGNKN6PLM68</t>
  </si>
  <si>
    <t>Emmalee</t>
  </si>
  <si>
    <t>Duffen</t>
  </si>
  <si>
    <t>KNNWZRMKZ8Q</t>
  </si>
  <si>
    <t>Nizamoff</t>
  </si>
  <si>
    <t>G8N64FNDGG2</t>
  </si>
  <si>
    <t>Rahuldeva</t>
  </si>
  <si>
    <t>PJNLMGL9KNJ</t>
  </si>
  <si>
    <t>Steinke</t>
  </si>
  <si>
    <t>VZNNVBYYRPQ</t>
  </si>
  <si>
    <t>Matus</t>
  </si>
  <si>
    <t>KLNJ9ZL4VCY</t>
  </si>
  <si>
    <t>Monson</t>
  </si>
  <si>
    <t>KQN3QV6FKRR</t>
  </si>
  <si>
    <t>Abbas</t>
  </si>
  <si>
    <t>Z8NHXXVXF88</t>
  </si>
  <si>
    <t>Meng</t>
  </si>
  <si>
    <t>HVNQJ7QWGSB</t>
  </si>
  <si>
    <t>Knox</t>
  </si>
  <si>
    <t>F4NT6W29SSN</t>
  </si>
  <si>
    <t>Cespedes</t>
  </si>
  <si>
    <t>KPNMDX9GDJH</t>
  </si>
  <si>
    <t>Yifei</t>
  </si>
  <si>
    <t>Ma</t>
  </si>
  <si>
    <t>M4N9DXDQC3N</t>
  </si>
  <si>
    <t>Hewitt</t>
  </si>
  <si>
    <t>FVNMHSFK5C4</t>
  </si>
  <si>
    <t>Václav</t>
  </si>
  <si>
    <t>Pavlín</t>
  </si>
  <si>
    <t>LHNQH6KWBY4</t>
  </si>
  <si>
    <t>Petazzoni</t>
  </si>
  <si>
    <t>F2NS6MF5DJ3</t>
  </si>
  <si>
    <t>Drew</t>
  </si>
  <si>
    <t>Fustini</t>
  </si>
  <si>
    <t>DPNKGTD7CYJ</t>
  </si>
  <si>
    <t>Santana</t>
  </si>
  <si>
    <t>LXN76V8Z3GT</t>
  </si>
  <si>
    <t>Leekin</t>
  </si>
  <si>
    <t>XBN96ZBCRLZ</t>
  </si>
  <si>
    <t>KPN2SJFFZKP</t>
  </si>
  <si>
    <t>HWNQ8X72F5X</t>
  </si>
  <si>
    <t>Suman</t>
  </si>
  <si>
    <t>Das</t>
  </si>
  <si>
    <t>XRNQHPZR94L</t>
  </si>
  <si>
    <t>Shahzad</t>
  </si>
  <si>
    <t>ZHNJ2GT6M3X</t>
  </si>
  <si>
    <t>Burkhard</t>
  </si>
  <si>
    <t>bstubert</t>
  </si>
  <si>
    <t>JTNFT6NNYPQ</t>
  </si>
  <si>
    <t>Noriaki</t>
  </si>
  <si>
    <t>Fukuyasu</t>
  </si>
  <si>
    <t>HXNH6RPKCY7</t>
  </si>
  <si>
    <t>Berra Kossik</t>
  </si>
  <si>
    <t>LDN7YZN37V5</t>
  </si>
  <si>
    <t>Masafumi</t>
  </si>
  <si>
    <t>Ohta</t>
  </si>
  <si>
    <t>KFN59TKXWWF</t>
  </si>
  <si>
    <t>Wouter</t>
  </si>
  <si>
    <t>Sebel</t>
  </si>
  <si>
    <t>M7NPWLQ6HVR</t>
  </si>
  <si>
    <t>Maria Andrea</t>
  </si>
  <si>
    <t>Vignau</t>
  </si>
  <si>
    <t>LWNVQH3Q4QR</t>
  </si>
  <si>
    <t>Ashique</t>
  </si>
  <si>
    <t>Bin Iqbal</t>
  </si>
  <si>
    <t>ZDNMR6LYN45</t>
  </si>
  <si>
    <t>Dmitri</t>
  </si>
  <si>
    <t>Fedorov</t>
  </si>
  <si>
    <t>DXN2V49JC28</t>
  </si>
  <si>
    <t>Bowman</t>
  </si>
  <si>
    <t>MQNXWV9ZSYJ</t>
  </si>
  <si>
    <t>NWNNYJPLPTV</t>
  </si>
  <si>
    <t>MRNGVZSZVF7</t>
  </si>
  <si>
    <t>Z3NMLF82CH8</t>
  </si>
  <si>
    <t>NKN5Q29D3Y9</t>
  </si>
  <si>
    <t>Eunice</t>
  </si>
  <si>
    <t>Chendjou</t>
  </si>
  <si>
    <t>G8NF75XMYS8</t>
  </si>
  <si>
    <t>Irena</t>
  </si>
  <si>
    <t>Berezovsky</t>
  </si>
  <si>
    <t>LYNMPLHBPQX</t>
  </si>
  <si>
    <t>U.</t>
  </si>
  <si>
    <t>ZFNQN6HRZDD</t>
  </si>
  <si>
    <t>Waldman</t>
  </si>
  <si>
    <t>JRNCNPSVHFC</t>
  </si>
  <si>
    <t>Michalevsky</t>
  </si>
  <si>
    <t>F2NM5G7KQW8</t>
  </si>
  <si>
    <t>GGNJPY74LNY</t>
  </si>
  <si>
    <t>Sung</t>
  </si>
  <si>
    <t>Syn</t>
  </si>
  <si>
    <t>Z6N2J9BX7R3</t>
  </si>
  <si>
    <t>Francois</t>
  </si>
  <si>
    <t>Charron</t>
  </si>
  <si>
    <t>V3NNY7V9ZJ5</t>
  </si>
  <si>
    <t>Madaminov</t>
  </si>
  <si>
    <t>XNND7ZB9X8S</t>
  </si>
  <si>
    <t>Frederickson</t>
  </si>
  <si>
    <t>QWNVS4MS988</t>
  </si>
  <si>
    <t>Leet</t>
  </si>
  <si>
    <t>K6NLWBDZHGY</t>
  </si>
  <si>
    <t>Davide</t>
  </si>
  <si>
    <t>Cavalca</t>
  </si>
  <si>
    <t>M5NVZ42R3P6</t>
  </si>
  <si>
    <t>davis</t>
  </si>
  <si>
    <t>roman</t>
  </si>
  <si>
    <t>H9N7NHHZ5XM</t>
  </si>
  <si>
    <t>Pamela</t>
  </si>
  <si>
    <t>LPNTYD85GBH</t>
  </si>
  <si>
    <t>Nchinda</t>
  </si>
  <si>
    <t>KDN5LWDJZ4H</t>
  </si>
  <si>
    <t>Menpara</t>
  </si>
  <si>
    <t>GBNGX5N9J3H</t>
  </si>
  <si>
    <t>Maemalynn</t>
  </si>
  <si>
    <t>Meanor</t>
  </si>
  <si>
    <t>LLN8VDYVZ8L</t>
  </si>
  <si>
    <t>Strunk</t>
  </si>
  <si>
    <t>NVNB2T5QNH5</t>
  </si>
  <si>
    <t>Roxell</t>
  </si>
  <si>
    <t>MWNTVQ83LNW</t>
  </si>
  <si>
    <t>Valmer</t>
  </si>
  <si>
    <t>Huhn</t>
  </si>
  <si>
    <t>MCNGV4PS86W</t>
  </si>
  <si>
    <t>Adriann</t>
  </si>
  <si>
    <t>Seebach</t>
  </si>
  <si>
    <t>ZTN3LPBCJZM</t>
  </si>
  <si>
    <t>Ousmane</t>
  </si>
  <si>
    <t>Thiam</t>
  </si>
  <si>
    <t>MHN4GJ4W54R</t>
  </si>
  <si>
    <t>Ameya</t>
  </si>
  <si>
    <t>Deswandikar</t>
  </si>
  <si>
    <t>ZTNDK4PYLRP</t>
  </si>
  <si>
    <t>Mukesh</t>
  </si>
  <si>
    <t>Arethiya</t>
  </si>
  <si>
    <t>GFN3NXQHP9J</t>
  </si>
  <si>
    <t>Kipkemoi</t>
  </si>
  <si>
    <t>ZWNH65R7J9F</t>
  </si>
  <si>
    <t>Bandeira Condotta</t>
  </si>
  <si>
    <t>J2NCXYL5VFV</t>
  </si>
  <si>
    <t>Canberk</t>
  </si>
  <si>
    <t>Duman</t>
  </si>
  <si>
    <t>J5NHDYZX9RT</t>
  </si>
  <si>
    <t>Kilbane</t>
  </si>
  <si>
    <t>GMNH7NK2NVK</t>
  </si>
  <si>
    <t>Doocey</t>
  </si>
  <si>
    <t>HVN7CP24WKT</t>
  </si>
  <si>
    <t>François-Frédéric</t>
  </si>
  <si>
    <t>Ozog</t>
  </si>
  <si>
    <t>FKNG9CQVB9C</t>
  </si>
  <si>
    <t>Gallardo</t>
  </si>
  <si>
    <t>Z4NCFMKTVKM</t>
  </si>
  <si>
    <t>Matteo</t>
  </si>
  <si>
    <t>Vit</t>
  </si>
  <si>
    <t>XJNZNKQHGN9</t>
  </si>
  <si>
    <t>gilles</t>
  </si>
  <si>
    <t>doffe</t>
  </si>
  <si>
    <t>KHNY4Q8SY5V</t>
  </si>
  <si>
    <t>Durbin</t>
  </si>
  <si>
    <t>JQNZ6CLXBN8</t>
  </si>
  <si>
    <t>Braun</t>
  </si>
  <si>
    <t>V3NNW6MRD46</t>
  </si>
  <si>
    <t>Blair</t>
  </si>
  <si>
    <t>Hanley Frank</t>
  </si>
  <si>
    <t>D6NF2DPKDYP</t>
  </si>
  <si>
    <t>Urs</t>
  </si>
  <si>
    <t>Gleim</t>
  </si>
  <si>
    <t>GDNY2B6VCKW</t>
  </si>
  <si>
    <t>Riya</t>
  </si>
  <si>
    <t>Bansal</t>
  </si>
  <si>
    <t>PSN9NHWZX78</t>
  </si>
  <si>
    <t>Temitope</t>
  </si>
  <si>
    <t>Popoola</t>
  </si>
  <si>
    <t>ZGNN2WNSDP5</t>
  </si>
  <si>
    <t>Vijayaraghavan</t>
  </si>
  <si>
    <t>H9N5WBNPFSC</t>
  </si>
  <si>
    <t>EDUARDO</t>
  </si>
  <si>
    <t>FERREIRA BARBOSA</t>
  </si>
  <si>
    <t>J8NT2YK27TY</t>
  </si>
  <si>
    <t>Sana</t>
  </si>
  <si>
    <t>NPN7MJZ523X</t>
  </si>
  <si>
    <t>NGNTVDHRTB3</t>
  </si>
  <si>
    <t>Samarth</t>
  </si>
  <si>
    <t>MHN7N45BWP6</t>
  </si>
  <si>
    <t>Mitali</t>
  </si>
  <si>
    <t>ZDN9Q4CZRJG</t>
  </si>
  <si>
    <t>Jean Yves</t>
  </si>
  <si>
    <t>RANDRIANIAINA</t>
  </si>
  <si>
    <t>V8N6RN9N2QP</t>
  </si>
  <si>
    <t>Esme Xuan</t>
  </si>
  <si>
    <t>Lim</t>
  </si>
  <si>
    <t>F3NTXFRDTDX</t>
  </si>
  <si>
    <t>Emad</t>
  </si>
  <si>
    <t>M4NC2RHRQQP</t>
  </si>
  <si>
    <t>Sangouard</t>
  </si>
  <si>
    <t>MBNTD9QHFVV</t>
  </si>
  <si>
    <t>Wolfgang</t>
  </si>
  <si>
    <t>Mauerer</t>
  </si>
  <si>
    <t>LRNXJ83XYHM</t>
  </si>
  <si>
    <t>Filza</t>
  </si>
  <si>
    <t>Tariq</t>
  </si>
  <si>
    <t>L9NKCN43J8F</t>
  </si>
  <si>
    <t>Frederico</t>
  </si>
  <si>
    <t>Augusto de Mello Prado</t>
  </si>
  <si>
    <t>N9NDC7RLSJJ</t>
  </si>
  <si>
    <t>Smorigo</t>
  </si>
  <si>
    <t>XNNQYC666FQ</t>
  </si>
  <si>
    <t>Pankhuri</t>
  </si>
  <si>
    <t>G2N5DX5MT9D</t>
  </si>
  <si>
    <t>Samyak</t>
  </si>
  <si>
    <t>VSNPNXKFTNV</t>
  </si>
  <si>
    <t>Rishi</t>
  </si>
  <si>
    <t>Banka</t>
  </si>
  <si>
    <t>JCN5T4XFXBR</t>
  </si>
  <si>
    <t>Sourabh</t>
  </si>
  <si>
    <t>ZGNQN4M89WF</t>
  </si>
  <si>
    <t>Alvites</t>
  </si>
  <si>
    <t>PZNKFDHQML8</t>
  </si>
  <si>
    <t>Muriithi</t>
  </si>
  <si>
    <t>KDNRS7YYKZK</t>
  </si>
  <si>
    <t>XKNXTFB5L6B</t>
  </si>
  <si>
    <t>Cahyana</t>
  </si>
  <si>
    <t>G7NKQ7K9MDP</t>
  </si>
  <si>
    <t>April Love</t>
  </si>
  <si>
    <t>Ituhat</t>
  </si>
  <si>
    <t>ZGNKGX5DTWK</t>
  </si>
  <si>
    <t>PCNWXMWNCB2</t>
  </si>
  <si>
    <t>Carlos Manuel</t>
  </si>
  <si>
    <t>Gutiérrez Galán</t>
  </si>
  <si>
    <t>HWNYDXSSJWN</t>
  </si>
  <si>
    <t>Delfim</t>
  </si>
  <si>
    <t>Rego</t>
  </si>
  <si>
    <t>D5N724Y77DB</t>
  </si>
  <si>
    <t>Ceely</t>
  </si>
  <si>
    <t>DPNN3VZ4JKR</t>
  </si>
  <si>
    <t>Tungekar</t>
  </si>
  <si>
    <t>XNN9QG3WN95</t>
  </si>
  <si>
    <t>MARTA</t>
  </si>
  <si>
    <t>Opalinska</t>
  </si>
  <si>
    <t>P2NWQJNM7BK</t>
  </si>
  <si>
    <t>Akiko</t>
  </si>
  <si>
    <t>Gomi</t>
  </si>
  <si>
    <t>FNNGQCP44RC</t>
  </si>
  <si>
    <t>Dorn</t>
  </si>
  <si>
    <t>QWNPB7Q9GC2</t>
  </si>
  <si>
    <t>HVND8DFRJLQ</t>
  </si>
  <si>
    <t>Svilen</t>
  </si>
  <si>
    <t>Genchev</t>
  </si>
  <si>
    <t>ZFNTDT2XNSL</t>
  </si>
  <si>
    <t>Omar</t>
  </si>
  <si>
    <t>Elshal</t>
  </si>
  <si>
    <t>LNN46MCQLC5</t>
  </si>
  <si>
    <t>Toshihiro</t>
  </si>
  <si>
    <t>Yamauchi</t>
  </si>
  <si>
    <t>XSNZGBB263Y</t>
  </si>
  <si>
    <t>Felix Correa</t>
  </si>
  <si>
    <t>VXNHW8MJWNP</t>
  </si>
  <si>
    <t>Ing</t>
  </si>
  <si>
    <t>QYNBQ2Q678C</t>
  </si>
  <si>
    <t>Duarte Vaz</t>
  </si>
  <si>
    <t>JXNJVDHRNRG</t>
  </si>
  <si>
    <t>P3N7ZC7NV7Y</t>
  </si>
  <si>
    <t>Barbić</t>
  </si>
  <si>
    <t>HPNVBCJJPXZ</t>
  </si>
  <si>
    <t>Valerie</t>
  </si>
  <si>
    <t>Ehlers</t>
  </si>
  <si>
    <t>MPNF2BKN6KG</t>
  </si>
  <si>
    <t>JUDY</t>
  </si>
  <si>
    <t>AMOROSO</t>
  </si>
  <si>
    <t>JHNJ6SGJZ54</t>
  </si>
  <si>
    <t>Maltzahn</t>
  </si>
  <si>
    <t>P9NG52HD6PJ</t>
  </si>
  <si>
    <t>Eloy</t>
  </si>
  <si>
    <t>DJN3KVQLT2G</t>
  </si>
  <si>
    <t>Dailey</t>
  </si>
  <si>
    <t>J5NTVSMNJPY</t>
  </si>
  <si>
    <t>MINJAE</t>
  </si>
  <si>
    <t>KIM</t>
  </si>
  <si>
    <t>XRNPND8S56R</t>
  </si>
  <si>
    <t>Bailey</t>
  </si>
  <si>
    <t>VMNGBHW3VV5</t>
  </si>
  <si>
    <t>Vejas</t>
  </si>
  <si>
    <t>Belzinskas</t>
  </si>
  <si>
    <t>Z3N3VMLVX44</t>
  </si>
  <si>
    <t>Kshitij</t>
  </si>
  <si>
    <t>N8NC7BHMJXH</t>
  </si>
  <si>
    <t>leonard</t>
  </si>
  <si>
    <t>boyle</t>
  </si>
  <si>
    <t>NPN98JDBRSN</t>
  </si>
  <si>
    <t>JXNG5ZRSFTH</t>
  </si>
  <si>
    <t>Kamil</t>
  </si>
  <si>
    <t>ZHNL9ZXFLL3</t>
  </si>
  <si>
    <t>Satya</t>
  </si>
  <si>
    <t>Kolachina</t>
  </si>
  <si>
    <t>HLNGB4QMR79</t>
  </si>
  <si>
    <t>Zeliff</t>
  </si>
  <si>
    <t>MTNZ463PJGK</t>
  </si>
  <si>
    <t>Jodi</t>
  </si>
  <si>
    <t>Starkman</t>
  </si>
  <si>
    <t>GTNMP9SZ7JC</t>
  </si>
  <si>
    <t>Tramp</t>
  </si>
  <si>
    <t>DTND3MGJTXZ</t>
  </si>
  <si>
    <t>Kimbrell</t>
  </si>
  <si>
    <t>FMN6N2CZXCP</t>
  </si>
  <si>
    <t>Miroslav</t>
  </si>
  <si>
    <t>Řezanina</t>
  </si>
  <si>
    <t>XVNM7R5QXKZ</t>
  </si>
  <si>
    <t>F3NLRTWJG65</t>
  </si>
  <si>
    <t>Senthilraj</t>
  </si>
  <si>
    <t>Sambasivan</t>
  </si>
  <si>
    <t>FHNVNNG7S77</t>
  </si>
  <si>
    <t>Jenny</t>
  </si>
  <si>
    <t>Foust</t>
  </si>
  <si>
    <t>J9NDTPFDZDR</t>
  </si>
  <si>
    <t>Michal</t>
  </si>
  <si>
    <t>Jakubek</t>
  </si>
  <si>
    <t>JVN55FSXCSS</t>
  </si>
  <si>
    <t>Ziemowit</t>
  </si>
  <si>
    <t>GDNFWVWDRDV</t>
  </si>
  <si>
    <t>Zamora</t>
  </si>
  <si>
    <t>JHNX64W2T99</t>
  </si>
  <si>
    <t>Westing</t>
  </si>
  <si>
    <t>ZFNLQ6PP2PT</t>
  </si>
  <si>
    <t>McDowell</t>
  </si>
  <si>
    <t>F3NBXHW8YK5</t>
  </si>
  <si>
    <t>F9NT3N3V6SC</t>
  </si>
  <si>
    <t>Vasilik</t>
  </si>
  <si>
    <t>XRN922W5X83</t>
  </si>
  <si>
    <t>Snigdho</t>
  </si>
  <si>
    <t>G6NVVHMJJRP</t>
  </si>
  <si>
    <t>GDNXS4QKYZF</t>
  </si>
  <si>
    <t>Mara</t>
  </si>
  <si>
    <t>Ruvalcaba</t>
  </si>
  <si>
    <t>K2N3KKX4BHL</t>
  </si>
  <si>
    <t>Dian</t>
  </si>
  <si>
    <t>Swanepoel</t>
  </si>
  <si>
    <t>GLNY927H54B</t>
  </si>
  <si>
    <t>balongcas.reagan@gmail.com</t>
  </si>
  <si>
    <t>KDNGFG6GDJX</t>
  </si>
  <si>
    <t>FABIA</t>
  </si>
  <si>
    <t>H5NSY3VMZWK</t>
  </si>
  <si>
    <t>Govind</t>
  </si>
  <si>
    <t>L5NJJP3BYPL</t>
  </si>
  <si>
    <t>Gargi</t>
  </si>
  <si>
    <t>Jaiswal</t>
  </si>
  <si>
    <t>FRN2Y88MRCZ</t>
  </si>
  <si>
    <t>patrick</t>
  </si>
  <si>
    <t>zysset</t>
  </si>
  <si>
    <t>VXNBXZFCV6C</t>
  </si>
  <si>
    <t>Vieira</t>
  </si>
  <si>
    <t>F9NJLTX4ZC6</t>
  </si>
  <si>
    <t>Rhenan</t>
  </si>
  <si>
    <t>Nascimento</t>
  </si>
  <si>
    <t>J9N74GD8WY4</t>
  </si>
  <si>
    <t>Trevizan</t>
  </si>
  <si>
    <t>KDNR5M54V77</t>
  </si>
  <si>
    <t>mainaki</t>
  </si>
  <si>
    <t>saraf</t>
  </si>
  <si>
    <t>GMN3K3GYBGM</t>
  </si>
  <si>
    <t>Nadeem</t>
  </si>
  <si>
    <t>L8N27DW6K8T</t>
  </si>
  <si>
    <t>Sanjay</t>
  </si>
  <si>
    <t>Parmar</t>
  </si>
  <si>
    <t>P7NGD5C3HPX</t>
  </si>
  <si>
    <t>Haris</t>
  </si>
  <si>
    <t>GMN7Z6JLXVD</t>
  </si>
  <si>
    <t>Ggps</t>
  </si>
  <si>
    <t>F4N7DDF9HJK</t>
  </si>
  <si>
    <t>Umamaheswari</t>
  </si>
  <si>
    <t>Subbian</t>
  </si>
  <si>
    <t>MFN42F2D4Z6</t>
  </si>
  <si>
    <t>Sanjana</t>
  </si>
  <si>
    <t>Jariwal</t>
  </si>
  <si>
    <t>LLNKLQ3QS3M</t>
  </si>
  <si>
    <t>Suds</t>
  </si>
  <si>
    <t>J.</t>
  </si>
  <si>
    <t>L7NLPQSQ66J</t>
  </si>
  <si>
    <t>Emmenegger</t>
  </si>
  <si>
    <t>F9NKTY6ZHNG</t>
  </si>
  <si>
    <t>Díaz</t>
  </si>
  <si>
    <t>PQNXMLHLQP8</t>
  </si>
  <si>
    <t>Opdenacker</t>
  </si>
  <si>
    <t>M9NSFPTB3RG</t>
  </si>
  <si>
    <t>Newton</t>
  </si>
  <si>
    <t>Simbeye</t>
  </si>
  <si>
    <t>FTNXYF84VMG</t>
  </si>
  <si>
    <t>Contreras</t>
  </si>
  <si>
    <t>FHNSSDCS8HV</t>
  </si>
  <si>
    <t>José</t>
  </si>
  <si>
    <t>Hernández</t>
  </si>
  <si>
    <t>LJNDXPFM5J8</t>
  </si>
  <si>
    <t>Phang</t>
  </si>
  <si>
    <t>K9NTFK2DTPF</t>
  </si>
  <si>
    <t>Guinevere</t>
  </si>
  <si>
    <t>Saenger</t>
  </si>
  <si>
    <t>XBNFX4DXZ5V</t>
  </si>
  <si>
    <t>Osman</t>
  </si>
  <si>
    <t>JKNFP3ZBJFL</t>
  </si>
  <si>
    <t>getuabdissa@gmail.com</t>
  </si>
  <si>
    <t>PRN8F286X7B</t>
  </si>
  <si>
    <t>Kar Hin</t>
  </si>
  <si>
    <t>M2NLPCVGV58</t>
  </si>
  <si>
    <t>Beltran</t>
  </si>
  <si>
    <t>VBNS37RZL8F</t>
  </si>
  <si>
    <t>Hooman</t>
  </si>
  <si>
    <t>Parta</t>
  </si>
  <si>
    <t>GMNFK9Q55MV</t>
  </si>
  <si>
    <t>Lasseigne</t>
  </si>
  <si>
    <t>KGN2LCLRKLJ</t>
  </si>
  <si>
    <t>Julius Hemanth</t>
  </si>
  <si>
    <t>Pitti</t>
  </si>
  <si>
    <t>X7N4Q42P9WL</t>
  </si>
  <si>
    <t>Trishan</t>
  </si>
  <si>
    <t>de Lanerolle</t>
  </si>
  <si>
    <t>J7N3W8PQ6PV</t>
  </si>
  <si>
    <t>Ming-Wei</t>
  </si>
  <si>
    <t>Shih</t>
  </si>
  <si>
    <t>KNN9WS2FWH8</t>
  </si>
  <si>
    <t>XHNVKTF23HR</t>
  </si>
  <si>
    <t>X2NPK8G3BKY</t>
  </si>
  <si>
    <t>Malone</t>
  </si>
  <si>
    <t>P9NL93CQ3KL</t>
  </si>
  <si>
    <t>Ashwin</t>
  </si>
  <si>
    <t>Baliga</t>
  </si>
  <si>
    <t>PMN82B82TN8</t>
  </si>
  <si>
    <t>FCNVRJRWTK3</t>
  </si>
  <si>
    <t>Graden</t>
  </si>
  <si>
    <t>VNN9QVBFY5T</t>
  </si>
  <si>
    <t>Penhale</t>
  </si>
  <si>
    <t>G5NFZVY3F83</t>
  </si>
  <si>
    <t>Mardiney</t>
  </si>
  <si>
    <t>XKNYH3N7PX6</t>
  </si>
  <si>
    <t>Johnston</t>
  </si>
  <si>
    <t>XHNGHMGSY2L</t>
  </si>
  <si>
    <t>Gillespie</t>
  </si>
  <si>
    <t>J5NZPYZN2QM</t>
  </si>
  <si>
    <t>Victoria</t>
  </si>
  <si>
    <t>Janicki</t>
  </si>
  <si>
    <t>K3N9PP4PMZ2</t>
  </si>
  <si>
    <t>LPNYVRWS234</t>
  </si>
  <si>
    <t>N4NDC3NKQNW</t>
  </si>
  <si>
    <t>Renee</t>
  </si>
  <si>
    <t>Garmany</t>
  </si>
  <si>
    <t>LXNSL6LH5D3</t>
  </si>
  <si>
    <t>DCN26JZCFFG</t>
  </si>
  <si>
    <t>Sadaye</t>
  </si>
  <si>
    <t>PFNN2KT83GP</t>
  </si>
  <si>
    <t>Weitzel</t>
  </si>
  <si>
    <t>JGNNLN5T4RH</t>
  </si>
  <si>
    <t>Nagalamadaka</t>
  </si>
  <si>
    <t>LHN2QXZDF8Q</t>
  </si>
  <si>
    <t>Aiman</t>
  </si>
  <si>
    <t>Najjar</t>
  </si>
  <si>
    <t>F9NDDD8C7GJ</t>
  </si>
  <si>
    <t>Mucherla</t>
  </si>
  <si>
    <t>VHN95XJ9GWM</t>
  </si>
  <si>
    <t>Berta</t>
  </si>
  <si>
    <t>Rae</t>
  </si>
  <si>
    <t>LQN88RB4MJW</t>
  </si>
  <si>
    <t>richard</t>
  </si>
  <si>
    <t>gong</t>
  </si>
  <si>
    <t>N2NTL9PRKTX</t>
  </si>
  <si>
    <t>Sheen</t>
  </si>
  <si>
    <t>FNNPN39H2W3</t>
  </si>
  <si>
    <t>Liakh</t>
  </si>
  <si>
    <t>P2N9KKZCWTN</t>
  </si>
  <si>
    <t>Naik</t>
  </si>
  <si>
    <t>MXN95LF83S2</t>
  </si>
  <si>
    <t>Manapure</t>
  </si>
  <si>
    <t>J2N2P6RSW3C</t>
  </si>
  <si>
    <t>Muhammad Usman</t>
  </si>
  <si>
    <t>Shamas</t>
  </si>
  <si>
    <t>XBN6C3HZNJH</t>
  </si>
  <si>
    <t>John Oliver</t>
  </si>
  <si>
    <t>Amurao</t>
  </si>
  <si>
    <t>HQN6LCGBTSV</t>
  </si>
  <si>
    <t>Prasath</t>
  </si>
  <si>
    <t>Thangaraj</t>
  </si>
  <si>
    <t>VJNK3ZYLRCX</t>
  </si>
  <si>
    <t>PRADEEP</t>
  </si>
  <si>
    <t>BHATI</t>
  </si>
  <si>
    <t>JGNJQKFR8CP</t>
  </si>
  <si>
    <t>Mohan</t>
  </si>
  <si>
    <t>Parthasarathy</t>
  </si>
  <si>
    <t>XSN2YC9JL2X</t>
  </si>
  <si>
    <t>Abhisek</t>
  </si>
  <si>
    <t>Sanyal</t>
  </si>
  <si>
    <t>H9NS9NJB7DX</t>
  </si>
  <si>
    <t>Sébastien</t>
  </si>
  <si>
    <t>Le Stum</t>
  </si>
  <si>
    <t>FVN38XD8BB5</t>
  </si>
  <si>
    <t>Lothar</t>
  </si>
  <si>
    <t>Krause</t>
  </si>
  <si>
    <t>VCNGTGT4GD7</t>
  </si>
  <si>
    <t>LBN4GJHM4QW</t>
  </si>
  <si>
    <t>Hitomi</t>
  </si>
  <si>
    <t>Hasegawa</t>
  </si>
  <si>
    <t>GHNP6XD5DB4</t>
  </si>
  <si>
    <t>Theo</t>
  </si>
  <si>
    <t>Buchinskas</t>
  </si>
  <si>
    <t>XKNRVZHNGB3</t>
  </si>
  <si>
    <t>Tsugikazu</t>
  </si>
  <si>
    <t>SHIBATA</t>
  </si>
  <si>
    <t>JLNDLVJ77DS</t>
  </si>
  <si>
    <t>Meisenecker</t>
  </si>
  <si>
    <t>VWNFC3TK4FW</t>
  </si>
  <si>
    <t>FGNPQK3J7V2</t>
  </si>
  <si>
    <t>GWN3HN4BG7Y</t>
  </si>
  <si>
    <t>Huy</t>
  </si>
  <si>
    <t>XTNHTTQKGH7</t>
  </si>
  <si>
    <t>Lang</t>
  </si>
  <si>
    <t>KTNRW9R2Y5L</t>
  </si>
  <si>
    <t>rodrigo</t>
  </si>
  <si>
    <t>serra inacio</t>
  </si>
  <si>
    <t>HQN66VSX847</t>
  </si>
  <si>
    <t>Karnagi</t>
  </si>
  <si>
    <t>P6NWZKJ5NCS</t>
  </si>
  <si>
    <t>Sutton</t>
  </si>
  <si>
    <t>V7NVL6L3K4D</t>
  </si>
  <si>
    <t>Felipe</t>
  </si>
  <si>
    <t>Souza Tanios</t>
  </si>
  <si>
    <t>GDNJMHKVCP5</t>
  </si>
  <si>
    <t>Adith</t>
  </si>
  <si>
    <t>FZN9HCZZGTG</t>
  </si>
  <si>
    <t>Farshid</t>
  </si>
  <si>
    <t>Monhaseri</t>
  </si>
  <si>
    <t>XHNJFJW3LXK</t>
  </si>
  <si>
    <t>Koev</t>
  </si>
  <si>
    <t>GLNNZDBQSK8</t>
  </si>
  <si>
    <t>Kishore Kumar</t>
  </si>
  <si>
    <t>Boddu</t>
  </si>
  <si>
    <t>LCNHVSCH8JQ</t>
  </si>
  <si>
    <t>vishal</t>
  </si>
  <si>
    <t>anand</t>
  </si>
  <si>
    <t>L4N22FH7MM7</t>
  </si>
  <si>
    <t>Nagatomo Tutui</t>
  </si>
  <si>
    <t>DYNXHSZ2SQ5</t>
  </si>
  <si>
    <t>Adler</t>
  </si>
  <si>
    <t>NJNDJ2R5LFS</t>
  </si>
  <si>
    <t>Edurne</t>
  </si>
  <si>
    <t>Palacio</t>
  </si>
  <si>
    <t>KRNXZNKYSGQ</t>
  </si>
  <si>
    <t>Dmytro</t>
  </si>
  <si>
    <t>Korolov</t>
  </si>
  <si>
    <t>GPN82YYQNY9</t>
  </si>
  <si>
    <t>Eckert</t>
  </si>
  <si>
    <t>LPNZYYPWQW8</t>
  </si>
  <si>
    <t>Guevenc</t>
  </si>
  <si>
    <t>Guelce</t>
  </si>
  <si>
    <t>VSN4V7K4V34</t>
  </si>
  <si>
    <t>hieu</t>
  </si>
  <si>
    <t>nguyen</t>
  </si>
  <si>
    <t>VXN53PKKHTM</t>
  </si>
  <si>
    <t>Schoblocher</t>
  </si>
  <si>
    <t>DDNBNGP8Q58</t>
  </si>
  <si>
    <t>Piçarra</t>
  </si>
  <si>
    <t>MDNL28DFPFH</t>
  </si>
  <si>
    <t>Holzer</t>
  </si>
  <si>
    <t>DZN67CJN8G8</t>
  </si>
  <si>
    <t>Russo</t>
  </si>
  <si>
    <t>MGNPSLDP2ZK</t>
  </si>
  <si>
    <t>Gala</t>
  </si>
  <si>
    <t>ZPNBFGQ9SDN</t>
  </si>
  <si>
    <t>Swetank</t>
  </si>
  <si>
    <t>LQNQW842KX6</t>
  </si>
  <si>
    <t>Mwiinga</t>
  </si>
  <si>
    <t>M4N8XHQMLY6</t>
  </si>
  <si>
    <t>Livingstone</t>
  </si>
  <si>
    <t>K7NTZY9HT44</t>
  </si>
  <si>
    <t>Secades</t>
  </si>
  <si>
    <t>D6N8QVN3VH8</t>
  </si>
  <si>
    <t>McLeod</t>
  </si>
  <si>
    <t>VCN6VR4CYR6</t>
  </si>
  <si>
    <t>Eugen</t>
  </si>
  <si>
    <t>N5NJKF8KPQJ</t>
  </si>
  <si>
    <t>axel</t>
  </si>
  <si>
    <t>VXN7DRHLK35</t>
  </si>
  <si>
    <t>Rodríguez</t>
  </si>
  <si>
    <t>NCN5BC2BL67</t>
  </si>
  <si>
    <t>Jesus Adriel</t>
  </si>
  <si>
    <t>Lazalde Martinez</t>
  </si>
  <si>
    <t>NVNG3M64WCS</t>
  </si>
  <si>
    <t>Eloi</t>
  </si>
  <si>
    <t>bail</t>
  </si>
  <si>
    <t>H7NZXW54W2F</t>
  </si>
  <si>
    <t>FARVEZ</t>
  </si>
  <si>
    <t>VSNPYG58DB6</t>
  </si>
  <si>
    <t>Ravindran</t>
  </si>
  <si>
    <t>KTN2HYZ8K7W</t>
  </si>
  <si>
    <t>GMNZZK3W6WC</t>
  </si>
  <si>
    <t>Pankaj</t>
  </si>
  <si>
    <t>F5N4RFS84G2</t>
  </si>
  <si>
    <t>Arpitha</t>
  </si>
  <si>
    <t>Raghunandan</t>
  </si>
  <si>
    <t>PZNZ8NZ6QXF</t>
  </si>
  <si>
    <t>Mukunda</t>
  </si>
  <si>
    <t>Madhava</t>
  </si>
  <si>
    <t>KYN7GS3CLT8</t>
  </si>
  <si>
    <t>X5NDZPCNCL4</t>
  </si>
  <si>
    <t>Haemmerle</t>
  </si>
  <si>
    <t>P9NM55YQVHG</t>
  </si>
  <si>
    <t>Karim</t>
  </si>
  <si>
    <t>Yaghmour</t>
  </si>
  <si>
    <t>JRNHBTG78J5</t>
  </si>
  <si>
    <t>Thorsten</t>
  </si>
  <si>
    <t>Geffers</t>
  </si>
  <si>
    <t>XVNJSLZZ843</t>
  </si>
  <si>
    <t>Knell</t>
  </si>
  <si>
    <t>MMNG6V7V5S7</t>
  </si>
  <si>
    <t>Binh</t>
  </si>
  <si>
    <t>N7NNRS2PT3C</t>
  </si>
  <si>
    <t>Nguyen Dat</t>
  </si>
  <si>
    <t>Tho</t>
  </si>
  <si>
    <t>JFNN5WLDLF7</t>
  </si>
  <si>
    <t>V8N8M7V2L93</t>
  </si>
  <si>
    <t>Braganza</t>
  </si>
  <si>
    <t>LGN7294V358</t>
  </si>
  <si>
    <t>Amritpal</t>
  </si>
  <si>
    <t>Bains</t>
  </si>
  <si>
    <t>PTNMVQXMWN4</t>
  </si>
  <si>
    <t>Aws</t>
  </si>
  <si>
    <t>DMNYNYL6DS9</t>
  </si>
  <si>
    <t>Bulwahn</t>
  </si>
  <si>
    <t>QWNFRY76LYT</t>
  </si>
  <si>
    <t>hisao</t>
  </si>
  <si>
    <t>munakata</t>
  </si>
  <si>
    <t>ZYNGM5ZV5JD</t>
  </si>
  <si>
    <t>KJNWWZJ3BX9</t>
  </si>
  <si>
    <t>Horowicz</t>
  </si>
  <si>
    <t>MBNYTDP4QHN</t>
  </si>
  <si>
    <t>Casemore</t>
  </si>
  <si>
    <t>JVN4TTTRN9V</t>
  </si>
  <si>
    <t>Tracy</t>
  </si>
  <si>
    <t>Ragan</t>
  </si>
  <si>
    <t>XDNCDHW76B3</t>
  </si>
  <si>
    <t>MWN763JSL7Z</t>
  </si>
  <si>
    <t>Rion</t>
  </si>
  <si>
    <t>P3NBKV88VS7</t>
  </si>
  <si>
    <t>Tabor</t>
  </si>
  <si>
    <t>MHNVT4G5QHG</t>
  </si>
  <si>
    <t>Polard</t>
  </si>
  <si>
    <t>HYNR4KMQLTY</t>
  </si>
  <si>
    <t>Zimmer</t>
  </si>
  <si>
    <t>G4NKGRVCDP8</t>
  </si>
  <si>
    <t>chanafine7@gmail.com</t>
  </si>
  <si>
    <t>ZNNTXVM5TPN</t>
  </si>
  <si>
    <t>Werra</t>
  </si>
  <si>
    <t>PXNXRG537SZ</t>
  </si>
  <si>
    <t>NDN537DC7BX</t>
  </si>
  <si>
    <t>Rowell</t>
  </si>
  <si>
    <t>HBNCQDG74HH</t>
  </si>
  <si>
    <t>Fajun</t>
  </si>
  <si>
    <t>JWN9LNTZCR4</t>
  </si>
  <si>
    <t>Rhonda</t>
  </si>
  <si>
    <t>XXNTFD8244S</t>
  </si>
  <si>
    <t>MUSODIQ</t>
  </si>
  <si>
    <t>BELLO</t>
  </si>
  <si>
    <t>GDNJ88TH6YZ</t>
  </si>
  <si>
    <t>Murillo</t>
  </si>
  <si>
    <t>X9NGTNC4CC6</t>
  </si>
  <si>
    <t>Shik Lim</t>
  </si>
  <si>
    <t>N2NSFKVGVH2</t>
  </si>
  <si>
    <t>Z.</t>
  </si>
  <si>
    <t>DTNW8VBWVXT</t>
  </si>
  <si>
    <t>H3NM7K6RSCR</t>
  </si>
  <si>
    <t>jiayali-ms</t>
  </si>
  <si>
    <t>PGN9H6WBLRF</t>
  </si>
  <si>
    <t>Schroeder</t>
  </si>
  <si>
    <t>VPNK6TYHTWX</t>
  </si>
  <si>
    <t>Carnagey</t>
  </si>
  <si>
    <t>Z8N728GDZ7H</t>
  </si>
  <si>
    <t>Gasaway</t>
  </si>
  <si>
    <t>VKN8W28BGWK</t>
  </si>
  <si>
    <t>Kulandai anand</t>
  </si>
  <si>
    <t>Rajagopalan</t>
  </si>
  <si>
    <t>DLNBJDJDH6P</t>
  </si>
  <si>
    <t>KJNNZNQPGF7</t>
  </si>
  <si>
    <t>GJNS9LR6RJW</t>
  </si>
  <si>
    <t>NZN5Q8NS3S4</t>
  </si>
  <si>
    <t>Knudsen</t>
  </si>
  <si>
    <t>FQNL54MPGQ3</t>
  </si>
  <si>
    <t>Coventry</t>
  </si>
  <si>
    <t>VWNDMR2J8J9</t>
  </si>
  <si>
    <t>Muthurajan</t>
  </si>
  <si>
    <t>VDNXQDSNSYY</t>
  </si>
  <si>
    <t>NGNZWHV3XH9</t>
  </si>
  <si>
    <t>Wigle</t>
  </si>
  <si>
    <t>D9NFNY9G7F6</t>
  </si>
  <si>
    <t>Trevino</t>
  </si>
  <si>
    <t>X4NRZN93N5Y</t>
  </si>
  <si>
    <t>Christie</t>
  </si>
  <si>
    <t>DVN2PHTNSLN</t>
  </si>
  <si>
    <t>ZKN49ZSW5XL</t>
  </si>
  <si>
    <t>Treat</t>
  </si>
  <si>
    <t>XHNXJG2Q7BB</t>
  </si>
  <si>
    <t>Zemlin</t>
  </si>
  <si>
    <t>X2NHNYQK7XT</t>
  </si>
  <si>
    <t>Gisi</t>
  </si>
  <si>
    <t>FBN9W3W23WX</t>
  </si>
  <si>
    <t>Okanovic</t>
  </si>
  <si>
    <t>FPNXRCZ99WY</t>
  </si>
  <si>
    <t>thomas</t>
  </si>
  <si>
    <t>king</t>
  </si>
  <si>
    <t>JPNKFLWSB2N</t>
  </si>
  <si>
    <t>FYNRK3B7GCS</t>
  </si>
  <si>
    <t>Maksym</t>
  </si>
  <si>
    <t>Mikhalov</t>
  </si>
  <si>
    <t>GBNKJNDYZF5</t>
  </si>
  <si>
    <t>M2N8V2Z5XQ2</t>
  </si>
  <si>
    <t>vishwanath</t>
  </si>
  <si>
    <t>jayaraman</t>
  </si>
  <si>
    <t>LSNLD7Y425X</t>
  </si>
  <si>
    <t>Auchter</t>
  </si>
  <si>
    <t>L3N5B88X9D6</t>
  </si>
  <si>
    <t>Jacynth</t>
  </si>
  <si>
    <t>JQNW3LF87GN</t>
  </si>
  <si>
    <t>Proffitt</t>
  </si>
  <si>
    <t>G8NQVXDYQTY</t>
  </si>
  <si>
    <t>Minase</t>
  </si>
  <si>
    <t>HSNSWFJ99SS</t>
  </si>
  <si>
    <t>Cai</t>
  </si>
  <si>
    <t>VSN8HPTLST9</t>
  </si>
  <si>
    <t>Harbin</t>
  </si>
  <si>
    <t>HKNVYVR4NFT</t>
  </si>
  <si>
    <t>Milford</t>
  </si>
  <si>
    <t>L8NL4KX2YCS</t>
  </si>
  <si>
    <t>Vieru</t>
  </si>
  <si>
    <t>MLN8N39WLRR</t>
  </si>
  <si>
    <t>Sheila</t>
  </si>
  <si>
    <t>Quam</t>
  </si>
  <si>
    <t>K9N52TGHJB3</t>
  </si>
  <si>
    <t>Cali</t>
  </si>
  <si>
    <t>Dolfi</t>
  </si>
  <si>
    <t>VFNJGJSCZNF</t>
  </si>
  <si>
    <t>Shuman</t>
  </si>
  <si>
    <t>G2NHSH64CQC</t>
  </si>
  <si>
    <t>Hagan</t>
  </si>
  <si>
    <t>NMNZSHK2PVX</t>
  </si>
  <si>
    <t>Berger</t>
  </si>
  <si>
    <t>VJN6244JWV7</t>
  </si>
  <si>
    <t>Dzhelepov</t>
  </si>
  <si>
    <t>Z7NXP5JV2D8</t>
  </si>
  <si>
    <t>Lankford</t>
  </si>
  <si>
    <t>H3NXP9KJFT2</t>
  </si>
  <si>
    <t>Parag</t>
  </si>
  <si>
    <t>NZNQGQ8CLC3</t>
  </si>
  <si>
    <t>Margot</t>
  </si>
  <si>
    <t>LaPanse</t>
  </si>
  <si>
    <t>DRN6MPN3WVG</t>
  </si>
  <si>
    <t>howard</t>
  </si>
  <si>
    <t>alyne</t>
  </si>
  <si>
    <t>MKNXT8Z3YHK</t>
  </si>
  <si>
    <t>Nemeth</t>
  </si>
  <si>
    <t>HZNQGS8YP6P</t>
  </si>
  <si>
    <t>LGNH9Y2D472</t>
  </si>
  <si>
    <t>Suehle</t>
  </si>
  <si>
    <t>V6NTX8JQ3X7</t>
  </si>
  <si>
    <t>Barrett</t>
  </si>
  <si>
    <t>Hubbard</t>
  </si>
  <si>
    <t>MGNMD5D7FFJ</t>
  </si>
  <si>
    <t>Barna</t>
  </si>
  <si>
    <t>LVN8N2S4RQ7</t>
  </si>
  <si>
    <t>Podobedov</t>
  </si>
  <si>
    <t>F5NDHGG3NX6</t>
  </si>
  <si>
    <t>Dongjin</t>
  </si>
  <si>
    <t>Suh</t>
  </si>
  <si>
    <t>N2N9PKF3L4M</t>
  </si>
  <si>
    <t>K.</t>
  </si>
  <si>
    <t>DKNQPZ245N5</t>
  </si>
  <si>
    <t>Ganugapati</t>
  </si>
  <si>
    <t>GKNZ4JN9L9N</t>
  </si>
  <si>
    <t>Ravikant</t>
  </si>
  <si>
    <t>D5NZSW5Y647</t>
  </si>
  <si>
    <t>Ram Kripal</t>
  </si>
  <si>
    <t>XPNTT5N4B6F</t>
  </si>
  <si>
    <t>Aron</t>
  </si>
  <si>
    <t>ZGN9LXFGB7D</t>
  </si>
  <si>
    <t>Kuenzi</t>
  </si>
  <si>
    <t>M2NJVYTKG5L</t>
  </si>
  <si>
    <t>Swap</t>
  </si>
  <si>
    <t>Bhartiya</t>
  </si>
  <si>
    <t>DMN4TVPPLG5</t>
  </si>
  <si>
    <t>Germain</t>
  </si>
  <si>
    <t>GJNWYMZVM83</t>
  </si>
  <si>
    <t>mohamed ilyes</t>
  </si>
  <si>
    <t>EL AJROUD</t>
  </si>
  <si>
    <t>H9NGVDLP4G2</t>
  </si>
  <si>
    <t>Poot</t>
  </si>
  <si>
    <t>P9NF8RQM6LM</t>
  </si>
  <si>
    <t>Mylène</t>
  </si>
  <si>
    <t>Josserand</t>
  </si>
  <si>
    <t>DLNNKD6QFBX</t>
  </si>
  <si>
    <t>Jaime</t>
  </si>
  <si>
    <t>Parra</t>
  </si>
  <si>
    <t>V4NB4XF4TJ5</t>
  </si>
  <si>
    <t>MPNY22PL5DH</t>
  </si>
  <si>
    <t>Stübner</t>
  </si>
  <si>
    <t>P2N7B45XY2H</t>
  </si>
  <si>
    <t>Nayna</t>
  </si>
  <si>
    <t>PLN56LWT3YY</t>
  </si>
  <si>
    <t>Renu</t>
  </si>
  <si>
    <t>Navale</t>
  </si>
  <si>
    <t>HTNK83DWH53</t>
  </si>
  <si>
    <t>Schuyler</t>
  </si>
  <si>
    <t>Patton</t>
  </si>
  <si>
    <t>H9NTC9T7ZW4</t>
  </si>
  <si>
    <t>Eddie</t>
  </si>
  <si>
    <t>Tejeda</t>
  </si>
  <si>
    <t>GMN7HWNQCKW</t>
  </si>
  <si>
    <t>RAMADJI</t>
  </si>
  <si>
    <t>DOUMNANDE</t>
  </si>
  <si>
    <t>J9NCHDT9H7S</t>
  </si>
  <si>
    <t>Lieggi</t>
  </si>
  <si>
    <t>F6NHTK8CK75</t>
  </si>
  <si>
    <t>Wickham</t>
  </si>
  <si>
    <t>LBN2TKTP5HR</t>
  </si>
  <si>
    <t>Carl</t>
  </si>
  <si>
    <t>carlism</t>
  </si>
  <si>
    <t>M2N7D22BQJX</t>
  </si>
  <si>
    <t>Abdou Khadre</t>
  </si>
  <si>
    <t>Seck</t>
  </si>
  <si>
    <t>D5NHZWW8PQ6</t>
  </si>
  <si>
    <t>Rosenfeld</t>
  </si>
  <si>
    <t>ZGNHNP6GWDH</t>
  </si>
  <si>
    <t>Winarske</t>
  </si>
  <si>
    <t>KRNWSCBVDZK</t>
  </si>
  <si>
    <t>McAllister</t>
  </si>
  <si>
    <t>KSNZVFLNG5J</t>
  </si>
  <si>
    <t>JP</t>
  </si>
  <si>
    <t>Kobryn</t>
  </si>
  <si>
    <t>N5NBDXCS828</t>
  </si>
  <si>
    <t>Franco</t>
  </si>
  <si>
    <t>VYNHBJTTD3Y</t>
  </si>
  <si>
    <t>Niranjan</t>
  </si>
  <si>
    <t>FWNDR3DN6FW</t>
  </si>
  <si>
    <t>VHNXQYP5QW2</t>
  </si>
  <si>
    <t>Williamson</t>
  </si>
  <si>
    <t>G6NP8H8J5DM</t>
  </si>
  <si>
    <t>Aiuto</t>
  </si>
  <si>
    <t>VYNKW5PWN8N</t>
  </si>
  <si>
    <t>Wendi</t>
  </si>
  <si>
    <t>KTNFRNPRGX6</t>
  </si>
  <si>
    <t>Chandler</t>
  </si>
  <si>
    <t>KTNW7G5CZLB</t>
  </si>
  <si>
    <t>L2NTCMJKH2S</t>
  </si>
  <si>
    <t>Forde</t>
  </si>
  <si>
    <t>MWNJ4XHGHM6</t>
  </si>
  <si>
    <t>J5NTW79GV68</t>
  </si>
  <si>
    <t>MXNXDPRVPTN</t>
  </si>
  <si>
    <t>LZN6WB5MZ8Y</t>
  </si>
  <si>
    <t>Stanley</t>
  </si>
  <si>
    <t>Mlekodaj</t>
  </si>
  <si>
    <t>GTNMWNWYL3G</t>
  </si>
  <si>
    <t>Menken</t>
  </si>
  <si>
    <t>DRNMJBZDT7K</t>
  </si>
  <si>
    <t>Erica</t>
  </si>
  <si>
    <t>MLNZ5BFK4DV</t>
  </si>
  <si>
    <t>Kanyinda</t>
  </si>
  <si>
    <t>FDNPNLLM3GJ</t>
  </si>
  <si>
    <t>Prabir</t>
  </si>
  <si>
    <t>Bishnu</t>
  </si>
  <si>
    <t>MDNW3P49NQB</t>
  </si>
  <si>
    <t>jeffrey</t>
  </si>
  <si>
    <t>moat</t>
  </si>
  <si>
    <t>KMN3DG652K4</t>
  </si>
  <si>
    <t>HBNG7CMYJ8V</t>
  </si>
  <si>
    <t>Ann</t>
  </si>
  <si>
    <t>PJNWC8YXHPG</t>
  </si>
  <si>
    <t>Mattei</t>
  </si>
  <si>
    <t>L9NQ68BB6RN</t>
  </si>
  <si>
    <t>Alma LeAnn</t>
  </si>
  <si>
    <t>VBN2C4BJM3G</t>
  </si>
  <si>
    <t>Del</t>
  </si>
  <si>
    <t>Tyus</t>
  </si>
  <si>
    <t>L6NFQDWL53N</t>
  </si>
  <si>
    <t>CHOU</t>
  </si>
  <si>
    <t>VSNQW6L63T3</t>
  </si>
  <si>
    <t>ERIC</t>
  </si>
  <si>
    <t>WALLENGREN</t>
  </si>
  <si>
    <t>NGN8HQYQSC2</t>
  </si>
  <si>
    <t>G5NKQ3WBZXH</t>
  </si>
  <si>
    <t>Figueroa</t>
  </si>
  <si>
    <t>LJNJ59W4W2C</t>
  </si>
  <si>
    <t>VNNYMFVLS2W</t>
  </si>
  <si>
    <t>Ignat</t>
  </si>
  <si>
    <t>Korchagin</t>
  </si>
  <si>
    <t>LNNNY9X53Z9</t>
  </si>
  <si>
    <t>Mahoorkar</t>
  </si>
  <si>
    <t>DXNTYD4RGXM</t>
  </si>
  <si>
    <t>Harshit</t>
  </si>
  <si>
    <t>ZPNC4WV6T98</t>
  </si>
  <si>
    <t>Fiona</t>
  </si>
  <si>
    <t>Trahe</t>
  </si>
  <si>
    <t>L5N9HJPHX5L</t>
  </si>
  <si>
    <t>Aidan</t>
  </si>
  <si>
    <t>Mahony</t>
  </si>
  <si>
    <t>NLNCQNRYDCQ</t>
  </si>
  <si>
    <t>Woodtli</t>
  </si>
  <si>
    <t>MHN2N874W5L</t>
  </si>
  <si>
    <t>Madhuparna</t>
  </si>
  <si>
    <t>Bhowmik</t>
  </si>
  <si>
    <t>HNNY9L83NGQ</t>
  </si>
  <si>
    <t>sahibinden</t>
  </si>
  <si>
    <t>VTNBK7D5YY3</t>
  </si>
  <si>
    <t>Tauqeer</t>
  </si>
  <si>
    <t>Hussain</t>
  </si>
  <si>
    <t>H2NL94XPM4Y</t>
  </si>
  <si>
    <t>K6NR9MQQG93</t>
  </si>
  <si>
    <t>SHIVANI</t>
  </si>
  <si>
    <t>Z5NLHGCJRDX</t>
  </si>
  <si>
    <t>Somvanshi</t>
  </si>
  <si>
    <t>KWN6N24PRCK</t>
  </si>
  <si>
    <t>Bogdan</t>
  </si>
  <si>
    <t>Becheriu</t>
  </si>
  <si>
    <t>ZQNJ56FSGV7</t>
  </si>
  <si>
    <t>Christopher Lee</t>
  </si>
  <si>
    <t>MFNV6JMJS8R</t>
  </si>
  <si>
    <t>Abdelghani</t>
  </si>
  <si>
    <t>Mahrad</t>
  </si>
  <si>
    <t>H5N6KQDFYZK</t>
  </si>
  <si>
    <t>Keiichi</t>
  </si>
  <si>
    <t>Seki</t>
  </si>
  <si>
    <t>FLNVMG939Z4</t>
  </si>
  <si>
    <t>Choy</t>
  </si>
  <si>
    <t>HFN4Z2C2HNC</t>
  </si>
  <si>
    <t>SIRIN</t>
  </si>
  <si>
    <t>NITINAWARAT</t>
  </si>
  <si>
    <t>L3NW79HSZVR</t>
  </si>
  <si>
    <t>Maurice</t>
  </si>
  <si>
    <t>Makaay</t>
  </si>
  <si>
    <t>P8N72LHWPF3</t>
  </si>
  <si>
    <t>Md. Golam</t>
  </si>
  <si>
    <t>NZN2N847B8W</t>
  </si>
  <si>
    <t>Jaskaran</t>
  </si>
  <si>
    <t>Khurana</t>
  </si>
  <si>
    <t>FCNS3P7HTSY</t>
  </si>
  <si>
    <t>Xabier</t>
  </si>
  <si>
    <t>Crespo</t>
  </si>
  <si>
    <t>PKNJFWXGP7C</t>
  </si>
  <si>
    <t>Brooks</t>
  </si>
  <si>
    <t>KZN5CXPB6ZN</t>
  </si>
  <si>
    <t>Domenico</t>
  </si>
  <si>
    <t>Pace</t>
  </si>
  <si>
    <t>J8NSB2SJDXD</t>
  </si>
  <si>
    <t>Mando</t>
  </si>
  <si>
    <t>Chishimba</t>
  </si>
  <si>
    <t>N4NXMFBGPNT</t>
  </si>
  <si>
    <t>NBNVLRS38SC</t>
  </si>
  <si>
    <t>Kam</t>
  </si>
  <si>
    <t>GFNQ45QBNQM</t>
  </si>
  <si>
    <t>Debelec</t>
  </si>
  <si>
    <t>NYNJYNRK2GD</t>
  </si>
  <si>
    <t>Torres</t>
  </si>
  <si>
    <t>MWNRBWR8WTD</t>
  </si>
  <si>
    <t>Ayan</t>
  </si>
  <si>
    <t>Rakoub</t>
  </si>
  <si>
    <t>GQNG5XNWK29</t>
  </si>
  <si>
    <t>Franklin</t>
  </si>
  <si>
    <t>Ramírez</t>
  </si>
  <si>
    <t>PFNMBC5XWQJ</t>
  </si>
  <si>
    <t>ZPN8BN3N7XG</t>
  </si>
  <si>
    <t>Almeida</t>
  </si>
  <si>
    <t>HQNVLQVZ42C</t>
  </si>
  <si>
    <t>Akanksha</t>
  </si>
  <si>
    <t>Bhasin</t>
  </si>
  <si>
    <t>KYNX65WPST5</t>
  </si>
  <si>
    <t>Maria Paula</t>
  </si>
  <si>
    <t>Dias Rosa</t>
  </si>
  <si>
    <t>JHN5GM5QNNK</t>
  </si>
  <si>
    <t>sankarshan</t>
  </si>
  <si>
    <t>mukhopadhyay</t>
  </si>
  <si>
    <t>NGNZRNX239T</t>
  </si>
  <si>
    <t>Caio</t>
  </si>
  <si>
    <t>G6N9QZXJ8L3</t>
  </si>
  <si>
    <t>DGNLW8RCYZC</t>
  </si>
  <si>
    <t>Katrina</t>
  </si>
  <si>
    <t>Prosise</t>
  </si>
  <si>
    <t>VPNLHNPGD23</t>
  </si>
  <si>
    <t>Ojasvi</t>
  </si>
  <si>
    <t>D6NCF8C2NJQ</t>
  </si>
  <si>
    <t>Keyur</t>
  </si>
  <si>
    <t>DCNJNKYZ2QL</t>
  </si>
  <si>
    <t>Stephen Mahanan</t>
  </si>
  <si>
    <t>Mangai</t>
  </si>
  <si>
    <t>GZN9TDWFTHD</t>
  </si>
  <si>
    <t>Sawtell</t>
  </si>
  <si>
    <t>JXNMQLYZDJS</t>
  </si>
  <si>
    <t>Feimin</t>
  </si>
  <si>
    <t>JWNZLYYV7WP</t>
  </si>
  <si>
    <t>Maika</t>
  </si>
  <si>
    <t>D3N8CLMM8SD</t>
  </si>
  <si>
    <t>Elif</t>
  </si>
  <si>
    <t>Samedin</t>
  </si>
  <si>
    <t>VVNHD9MKCK9</t>
  </si>
  <si>
    <t>Fernández</t>
  </si>
  <si>
    <t>XBNVRK28G3X</t>
  </si>
  <si>
    <t>Abeer</t>
  </si>
  <si>
    <t>Mohamed</t>
  </si>
  <si>
    <t>LHNFQPFFJ62</t>
  </si>
  <si>
    <t>Raimar</t>
  </si>
  <si>
    <t>Sandner</t>
  </si>
  <si>
    <t>DCNK32KZL8T</t>
  </si>
  <si>
    <t>Naumann</t>
  </si>
  <si>
    <t>HBNKPTHNKFK</t>
  </si>
  <si>
    <t>GBNR4PK7WSX</t>
  </si>
  <si>
    <t>Ernesto</t>
  </si>
  <si>
    <t>Jímenez</t>
  </si>
  <si>
    <t>NBN9M797DZK</t>
  </si>
  <si>
    <t>Linnell</t>
  </si>
  <si>
    <t>K9NJFY56RRR</t>
  </si>
  <si>
    <t>Luis Alberto</t>
  </si>
  <si>
    <t>Meza Ruiz</t>
  </si>
  <si>
    <t>K2N9XM6W6X3</t>
  </si>
  <si>
    <t>Ghoneimy</t>
  </si>
  <si>
    <t>NNNZW2MJ6YT</t>
  </si>
  <si>
    <t>Broderick</t>
  </si>
  <si>
    <t>MYNNXLG9VDG</t>
  </si>
  <si>
    <t>HTNFV5VTSYX</t>
  </si>
  <si>
    <t>Fuller</t>
  </si>
  <si>
    <t>VPNJYDMN94C</t>
  </si>
  <si>
    <t>Bailleux</t>
  </si>
  <si>
    <t>DLNKHPDD4CX</t>
  </si>
  <si>
    <t>Soham</t>
  </si>
  <si>
    <t>Parekh</t>
  </si>
  <si>
    <t>FVNWQG3B7K3</t>
  </si>
  <si>
    <t>Aastha</t>
  </si>
  <si>
    <t>Bist</t>
  </si>
  <si>
    <t>ZHNXYJKBZSM</t>
  </si>
  <si>
    <t>Tulio Maximiliano Secreto</t>
  </si>
  <si>
    <t>V5NWZPHMH9X</t>
  </si>
  <si>
    <t>mano</t>
  </si>
  <si>
    <t>KDNXJJ7DBFG</t>
  </si>
  <si>
    <t>kanika</t>
  </si>
  <si>
    <t>agrawal</t>
  </si>
  <si>
    <t>GHNH87XJJBC</t>
  </si>
  <si>
    <t>Camargo</t>
  </si>
  <si>
    <t>J4NFX5J3J7F</t>
  </si>
  <si>
    <t>Muhammad Usama</t>
  </si>
  <si>
    <t>PLNZ6GQ6STT</t>
  </si>
  <si>
    <t>Hadagali</t>
  </si>
  <si>
    <t>VSN86BGC4HK</t>
  </si>
  <si>
    <t>Kashikar</t>
  </si>
  <si>
    <t>PZNWFY9QQ86</t>
  </si>
  <si>
    <t>ZYNRMDRZM9Z</t>
  </si>
  <si>
    <t>Ionut</t>
  </si>
  <si>
    <t>Ilie</t>
  </si>
  <si>
    <t>M9NT398BSRG</t>
  </si>
  <si>
    <t>Sanabria-Russo</t>
  </si>
  <si>
    <t>HFNMD2JDTY9</t>
  </si>
  <si>
    <t>Kenta</t>
  </si>
  <si>
    <t>Nakase</t>
  </si>
  <si>
    <t>G9NSDMPGR9D</t>
  </si>
  <si>
    <t>Fabiola</t>
  </si>
  <si>
    <t>F3NJQW4PVTN</t>
  </si>
  <si>
    <t>Brand</t>
  </si>
  <si>
    <t>DDNGV3VC5SX</t>
  </si>
  <si>
    <t>Marvin-Rouven</t>
  </si>
  <si>
    <t>Entz</t>
  </si>
  <si>
    <t>K4NB6W2KHBM</t>
  </si>
  <si>
    <t>Lisandro</t>
  </si>
  <si>
    <t>Monsalve</t>
  </si>
  <si>
    <t>JZNTBGQB433</t>
  </si>
  <si>
    <t>Andreyev</t>
  </si>
  <si>
    <t>DZNLRK4KTZ3</t>
  </si>
  <si>
    <t>Joan</t>
  </si>
  <si>
    <t>Masmitja</t>
  </si>
  <si>
    <t>X9N8YC8P9ZY</t>
  </si>
  <si>
    <t>Bernard</t>
  </si>
  <si>
    <t>Craddock</t>
  </si>
  <si>
    <t>V7NJZMW5GGW</t>
  </si>
  <si>
    <t>Riebesel</t>
  </si>
  <si>
    <t>JZN6GQ8B2QK</t>
  </si>
  <si>
    <t>Jan Erik</t>
  </si>
  <si>
    <t>Aase</t>
  </si>
  <si>
    <t>NSNJJT9YY8X</t>
  </si>
  <si>
    <t>Maresa</t>
  </si>
  <si>
    <t>Fowler</t>
  </si>
  <si>
    <t>V9N5QGFPVJQ</t>
  </si>
  <si>
    <t>ZPNX5PWBVPT</t>
  </si>
  <si>
    <t>Xinliang</t>
  </si>
  <si>
    <t>XJN5Q92GF2Q</t>
  </si>
  <si>
    <t>PCNQJ2Q6D7G</t>
  </si>
  <si>
    <t>HFN29HPC9ZP</t>
  </si>
  <si>
    <t>Bassett</t>
  </si>
  <si>
    <t>DKN385DXDZB</t>
  </si>
  <si>
    <t>Wilczyński</t>
  </si>
  <si>
    <t>PWN8WTBZ9NQ</t>
  </si>
  <si>
    <t>LSNN75HVH2G</t>
  </si>
  <si>
    <t>ZHNNFGHQPCM</t>
  </si>
  <si>
    <t>Kothapally</t>
  </si>
  <si>
    <t>JJNWHKM6NTM</t>
  </si>
  <si>
    <t>Bartholomew</t>
  </si>
  <si>
    <t>M7NJXVPCBG5</t>
  </si>
  <si>
    <t>Wenjing</t>
  </si>
  <si>
    <t>VQN6LZH5DWT</t>
  </si>
  <si>
    <t>Gabriela</t>
  </si>
  <si>
    <t>Markette</t>
  </si>
  <si>
    <t>FJNT3QNBBBM</t>
  </si>
  <si>
    <t>Guzmán</t>
  </si>
  <si>
    <t>Monné</t>
  </si>
  <si>
    <t>L8NC3FGFDBS</t>
  </si>
  <si>
    <t>Lenka</t>
  </si>
  <si>
    <t>Kosková Třísková</t>
  </si>
  <si>
    <t>HTN9KNZ4PRD</t>
  </si>
  <si>
    <t>Davíð Freyr</t>
  </si>
  <si>
    <t>Jónsson</t>
  </si>
  <si>
    <t>FFNV98Q99W4</t>
  </si>
  <si>
    <t>Maria</t>
  </si>
  <si>
    <t>Boyer</t>
  </si>
  <si>
    <t>NBNMRSXVH4G</t>
  </si>
  <si>
    <t>Byron</t>
  </si>
  <si>
    <t>Geoffrey</t>
  </si>
  <si>
    <t>H2N9F5YFSHF</t>
  </si>
  <si>
    <t>McKee</t>
  </si>
  <si>
    <t>DLNBL25LHGF</t>
  </si>
  <si>
    <t>Rainey</t>
  </si>
  <si>
    <t>NZN9B84PHB3</t>
  </si>
  <si>
    <t>RAMAKRISHNA</t>
  </si>
  <si>
    <t>SRIDHARA</t>
  </si>
  <si>
    <t>FNNXJYB22HB</t>
  </si>
  <si>
    <t>Halaney</t>
  </si>
  <si>
    <t>XGNJ3NQTHTW</t>
  </si>
  <si>
    <t>Kuei-Hsuan</t>
  </si>
  <si>
    <t>FPN6FMSLFYN</t>
  </si>
  <si>
    <t>Sastry</t>
  </si>
  <si>
    <t>Duri</t>
  </si>
  <si>
    <t>LSNN7KXLPBB</t>
  </si>
  <si>
    <t>FDN9BLJ52CM</t>
  </si>
  <si>
    <t>Kasia</t>
  </si>
  <si>
    <t>Tuszynska</t>
  </si>
  <si>
    <t>F5NQ5PBK6JF</t>
  </si>
  <si>
    <t>Alec</t>
  </si>
  <si>
    <t>McCrady</t>
  </si>
  <si>
    <t>K9N36B5MC2Z</t>
  </si>
  <si>
    <t>Clayton</t>
  </si>
  <si>
    <t>Shotwell</t>
  </si>
  <si>
    <t>JHNZFX2LLHR</t>
  </si>
  <si>
    <t>Grajkowski</t>
  </si>
  <si>
    <t>JKNZQ2F3KWF</t>
  </si>
  <si>
    <t>Jafeth</t>
  </si>
  <si>
    <t>Zuniga</t>
  </si>
  <si>
    <t>HBNFZ8YQL32</t>
  </si>
  <si>
    <t>Denny</t>
  </si>
  <si>
    <t>Mathew</t>
  </si>
  <si>
    <t>QYNH4RG6WDN</t>
  </si>
  <si>
    <t>Justine</t>
  </si>
  <si>
    <t>Friedman</t>
  </si>
  <si>
    <t>HMNBY643ZSG</t>
  </si>
  <si>
    <t>Rupal</t>
  </si>
  <si>
    <t>Shirpurkar</t>
  </si>
  <si>
    <t>JKNF6QJ9J9H</t>
  </si>
  <si>
    <t>Amol</t>
  </si>
  <si>
    <t>Saini</t>
  </si>
  <si>
    <t>H8NZV4QY8NM</t>
  </si>
  <si>
    <t>Kumar Saurabh</t>
  </si>
  <si>
    <t>HLN7RMMS2MQ</t>
  </si>
  <si>
    <t>SACHIN</t>
  </si>
  <si>
    <t>VYAS</t>
  </si>
  <si>
    <t>XNNL6KXP2T4</t>
  </si>
  <si>
    <t>kaleel</t>
  </si>
  <si>
    <t>ahmed</t>
  </si>
  <si>
    <t>PQNRDPPSHMC</t>
  </si>
  <si>
    <t>Hemshree</t>
  </si>
  <si>
    <t>Madaan</t>
  </si>
  <si>
    <t>P3N9JZGXCQ7</t>
  </si>
  <si>
    <t>ALFREDO</t>
  </si>
  <si>
    <t>DAL AVA JUNIOR</t>
  </si>
  <si>
    <t>H6NSQCS8WB6</t>
  </si>
  <si>
    <t>Vasilis</t>
  </si>
  <si>
    <t>Ventirozos</t>
  </si>
  <si>
    <t>ZJN38433R5B</t>
  </si>
  <si>
    <t>Takuo</t>
  </si>
  <si>
    <t>Koguchi</t>
  </si>
  <si>
    <t>PBNCGBCYWR8</t>
  </si>
  <si>
    <t>Thinh</t>
  </si>
  <si>
    <t>Do Quoc</t>
  </si>
  <si>
    <t>XBNGDDG6MZL</t>
  </si>
  <si>
    <t>Enderle</t>
  </si>
  <si>
    <t>LZN5NLYNNNY</t>
  </si>
  <si>
    <t>Lorinc</t>
  </si>
  <si>
    <t>Pato</t>
  </si>
  <si>
    <t>VBNS6BMR2L8</t>
  </si>
  <si>
    <t>Gallant</t>
  </si>
  <si>
    <t>DSNX88DSN6G</t>
  </si>
  <si>
    <t>Pavle</t>
  </si>
  <si>
    <t>Trmcic</t>
  </si>
  <si>
    <t>ZSNH7PKNQD6</t>
  </si>
  <si>
    <t>Evgeniy</t>
  </si>
  <si>
    <t>Paltsev</t>
  </si>
  <si>
    <t>GTN6F8YNPRB</t>
  </si>
  <si>
    <t>J6N43NP46NV</t>
  </si>
  <si>
    <t>Rudde</t>
  </si>
  <si>
    <t>GVN3WF9T6VF</t>
  </si>
  <si>
    <t>JM</t>
  </si>
  <si>
    <t>VLNLM44P46W</t>
  </si>
  <si>
    <t>Z6NSGB742QX</t>
  </si>
  <si>
    <t>Ly</t>
  </si>
  <si>
    <t>Lam</t>
  </si>
  <si>
    <t>KRNHXTCCJCD</t>
  </si>
  <si>
    <t>Higgins</t>
  </si>
  <si>
    <t>PQNQQLNBRH5</t>
  </si>
  <si>
    <t>Mafany Tande</t>
  </si>
  <si>
    <t>Myles Bilong</t>
  </si>
  <si>
    <t>M3N9DYFN9NW</t>
  </si>
  <si>
    <t>DNNLVC99R2V</t>
  </si>
  <si>
    <t>Tiffany</t>
  </si>
  <si>
    <t>NTN6RCZX7CW</t>
  </si>
  <si>
    <t>Tomago</t>
  </si>
  <si>
    <t>VQND9QTT9WD</t>
  </si>
  <si>
    <t>Capacho</t>
  </si>
  <si>
    <t>F7NVQTH3PXK</t>
  </si>
  <si>
    <t>Gilles</t>
  </si>
  <si>
    <t>Chervy</t>
  </si>
  <si>
    <t>KRNHNH6ZK26</t>
  </si>
  <si>
    <t>Jono</t>
  </si>
  <si>
    <t>N6NXQVGTS3J</t>
  </si>
  <si>
    <t>Eckel</t>
  </si>
  <si>
    <t>HLNBP6GHZB6</t>
  </si>
  <si>
    <t>Blaze</t>
  </si>
  <si>
    <t>Hensley</t>
  </si>
  <si>
    <t>G7NFWS29VGM</t>
  </si>
  <si>
    <t>Nikolas</t>
  </si>
  <si>
    <t>Lecce</t>
  </si>
  <si>
    <t>J5NLXR9VPXN</t>
  </si>
  <si>
    <t>Ng</t>
  </si>
  <si>
    <t>MSNZX5XDJN6</t>
  </si>
  <si>
    <t>Thibault</t>
  </si>
  <si>
    <t>PWND488XDBY</t>
  </si>
  <si>
    <t>Saylor</t>
  </si>
  <si>
    <t>XSNS8QL79QG</t>
  </si>
  <si>
    <t>Girgin</t>
  </si>
  <si>
    <t>ZSN2CSZP7PM</t>
  </si>
  <si>
    <t>atish</t>
  </si>
  <si>
    <t>patra</t>
  </si>
  <si>
    <t>FMNVV8JDHJJ</t>
  </si>
  <si>
    <t>Varadaraju</t>
  </si>
  <si>
    <t>LWNT24TJ7RP</t>
  </si>
  <si>
    <t>Ildiko</t>
  </si>
  <si>
    <t>Vancsa</t>
  </si>
  <si>
    <t>F6N5S8VV6V5</t>
  </si>
  <si>
    <t>Ruibing</t>
  </si>
  <si>
    <t>XVNPMNZGV7K</t>
  </si>
  <si>
    <t>Deepu</t>
  </si>
  <si>
    <t>LFNTHZ8XSGZ</t>
  </si>
  <si>
    <t>NBN694FNTRQ</t>
  </si>
  <si>
    <t>Laurin</t>
  </si>
  <si>
    <t>VKN8DCS3GL6</t>
  </si>
  <si>
    <t>LTNW5JFFDG9</t>
  </si>
  <si>
    <t>GLEN</t>
  </si>
  <si>
    <t>NEWELL</t>
  </si>
  <si>
    <t>MFNKLSRP98J</t>
  </si>
  <si>
    <t>Jaya</t>
  </si>
  <si>
    <t>Mandava</t>
  </si>
  <si>
    <t>MPNZV5XWQCG</t>
  </si>
  <si>
    <t>LaBundy</t>
  </si>
  <si>
    <t>F7N9PT5ZZSG</t>
  </si>
  <si>
    <t>LRN3CZ4MJ9S</t>
  </si>
  <si>
    <t>Santamaria</t>
  </si>
  <si>
    <t>FRNFMDYHK8Z</t>
  </si>
  <si>
    <t>PPNHF5N2TSY</t>
  </si>
  <si>
    <t>Pepper</t>
  </si>
  <si>
    <t>MPNHHRVS5NH</t>
  </si>
  <si>
    <t>J5NYFBCSD3G</t>
  </si>
  <si>
    <t>Krebs</t>
  </si>
  <si>
    <t>KMN88XNMQ5T</t>
  </si>
  <si>
    <t>Nicole</t>
  </si>
  <si>
    <t>Puopolo</t>
  </si>
  <si>
    <t>XJNBM2QT6MK</t>
  </si>
  <si>
    <t>Hawkins</t>
  </si>
  <si>
    <t>NGNWNKY2YD5</t>
  </si>
  <si>
    <t>Safford</t>
  </si>
  <si>
    <t>PPND7Y6MFWR</t>
  </si>
  <si>
    <t>Philips</t>
  </si>
  <si>
    <t>NZNT5KBYFKM</t>
  </si>
  <si>
    <t>Kieran</t>
  </si>
  <si>
    <t>Zylstra</t>
  </si>
  <si>
    <t>DVNHGWYQPP9</t>
  </si>
  <si>
    <t>DXNDFWX725L</t>
  </si>
  <si>
    <t>Peteris</t>
  </si>
  <si>
    <t>Rudzusiks</t>
  </si>
  <si>
    <t>FYNBZ9NZQ2X</t>
  </si>
  <si>
    <t>Andrey</t>
  </si>
  <si>
    <t>Shumkov</t>
  </si>
  <si>
    <t>VGNVSF5R3CG</t>
  </si>
  <si>
    <t>Shivakumar</t>
  </si>
  <si>
    <t>P4N252229D6</t>
  </si>
  <si>
    <t>Samyukta</t>
  </si>
  <si>
    <t>Ramnath</t>
  </si>
  <si>
    <t>NXNKHNHR92T</t>
  </si>
  <si>
    <t>Shankar</t>
  </si>
  <si>
    <t>NNNFM9SKFTP</t>
  </si>
  <si>
    <t>Grover</t>
  </si>
  <si>
    <t>NVNP8RM54MK</t>
  </si>
  <si>
    <t>Soumya</t>
  </si>
  <si>
    <t>J7NCCXY47YT</t>
  </si>
  <si>
    <t>Saransh</t>
  </si>
  <si>
    <t>JMN92G7QMM9</t>
  </si>
  <si>
    <t>SHAH GHAZNI</t>
  </si>
  <si>
    <t>NATTARSHAH</t>
  </si>
  <si>
    <t>LGNTCQH82ZB</t>
  </si>
  <si>
    <t>Hidehiro</t>
  </si>
  <si>
    <t>Kawai</t>
  </si>
  <si>
    <t>MVNCTL3NCTL</t>
  </si>
  <si>
    <t>Jonne</t>
  </si>
  <si>
    <t>Soininen</t>
  </si>
  <si>
    <t>GJNH22S2R5C</t>
  </si>
  <si>
    <t>P5NJXPD344J</t>
  </si>
  <si>
    <t>Vozza</t>
  </si>
  <si>
    <t>XYNW4RRQ7VQ</t>
  </si>
  <si>
    <t>Heath</t>
  </si>
  <si>
    <t>J9NC6WZRL5R</t>
  </si>
  <si>
    <t>Seminoff</t>
  </si>
  <si>
    <t>DZNTYH5GFZT</t>
  </si>
  <si>
    <t>Marija</t>
  </si>
  <si>
    <t>Grueva</t>
  </si>
  <si>
    <t>MBNYNBPC323</t>
  </si>
  <si>
    <t>Mohammadreza</t>
  </si>
  <si>
    <t>Rostam</t>
  </si>
  <si>
    <t>ZCN753KTW4N</t>
  </si>
  <si>
    <t>GXN88NH4CBZ</t>
  </si>
  <si>
    <t>First Name</t>
  </si>
  <si>
    <t>Last Name</t>
  </si>
  <si>
    <t>Confirmation Number</t>
  </si>
  <si>
    <t>Last Registration Date (GMT-05:00) Eastern [US &amp; Canada]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</si>
</sst>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6">
    <xf numFmtId="0" fontId="0" fillId="0" borderId="0" xfId="0"/>
    <xf numFmtId="22" fontId="1" fillId="0" borderId="0" xfId="0" applyNumberFormat="1" applyFont="1"/>
    <xf numFmtId="22" fontId="1" fillId="2" borderId="0" xfId="0" applyNumberFormat="1" applyFont="1" applyFill="1"/>
    <xf numFmtId="0" fontId="2" fillId="0" borderId="1" xfId="0" applyFont="1" applyBorder="1" applyAlignment="1">
      <alignment vertical="center" wrapText="1"/>
    </xf>
    <xf numFmtId="49" fontId="1" fillId="0" borderId="0" xfId="0" applyNumberFormat="1" applyFont="1" applyAlignment="1">
      <alignment wrapText="1"/>
    </xf>
    <xf numFmtId="49" fontId="1" fillId="2" borderId="0" xfId="0" applyNumberFormat="1" applyFont="1" applyFill="1" applyAlignment="1">
      <alignment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3986" totalsRowShown="0">
  <autoFilter ref="A1:D3986" xr:uid="{00000000-0009-0000-0100-000003000000}"/>
  <sortState xmlns:xlrd2="http://schemas.microsoft.com/office/spreadsheetml/2017/richdata2" ref="A2:D3986">
    <sortCondition ref="A1:A3986"/>
  </sortState>
  <tableColumns count="4">
    <tableColumn id="1" xr3:uid="{00000000-0010-0000-0200-000001000000}" name="First Name"/>
    <tableColumn id="2" xr3:uid="{00000000-0010-0000-0200-000002000000}" name="Last Name"/>
    <tableColumn id="7" xr3:uid="{00000000-0010-0000-0200-000007000000}" name="Confirmation Number"/>
    <tableColumn id="8" xr3:uid="{00000000-0010-0000-0200-000008000000}" name="Last Registration Date (GMT-05:00) Eastern [US &amp; Canada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86"/>
  <sheetViews>
    <sheetView tabSelected="1" topLeftCell="A3968" workbookViewId="0">
      <selection activeCell="D3986" sqref="D3986"/>
    </sheetView>
  </sheetViews>
  <sheetFormatPr baseColWidth="10" defaultColWidth="8.83203125" defaultRowHeight="13"/>
  <cols>
    <col min="1" max="4" width="27.5" customWidth="1"/>
  </cols>
  <sheetData>
    <row r="1" spans="1:4" ht="54">
      <c r="A1" s="3" t="s">
        <v>9595</v>
      </c>
      <c r="B1" s="3" t="s">
        <v>9596</v>
      </c>
      <c r="C1" s="3" t="s">
        <v>9597</v>
      </c>
      <c r="D1" s="3" t="s">
        <v>9598</v>
      </c>
    </row>
    <row r="2" spans="1:4" ht="17">
      <c r="A2" s="4" t="s">
        <v>5071</v>
      </c>
      <c r="B2" s="4" t="s">
        <v>2633</v>
      </c>
      <c r="C2" s="4" t="s">
        <v>5072</v>
      </c>
      <c r="D2" s="1">
        <f>DATE(2020,6,14)+TIME(19,31,50)</f>
        <v>43996.813773148147</v>
      </c>
    </row>
    <row r="3" spans="1:4" ht="17">
      <c r="A3" s="4" t="s">
        <v>1441</v>
      </c>
      <c r="B3" s="4" t="s">
        <v>1158</v>
      </c>
      <c r="C3" s="4" t="s">
        <v>1442</v>
      </c>
      <c r="D3" s="1">
        <f>DATE(2020,6,16)+TIME(13,40,49)</f>
        <v>43998.570011574076</v>
      </c>
    </row>
    <row r="4" spans="1:4" ht="17">
      <c r="A4" s="5" t="s">
        <v>1280</v>
      </c>
      <c r="B4" s="5" t="s">
        <v>1281</v>
      </c>
      <c r="C4" s="5" t="s">
        <v>1282</v>
      </c>
      <c r="D4" s="2">
        <f>DATE(2020,6,21)+TIME(14,0,35)</f>
        <v>44003.583738425928</v>
      </c>
    </row>
    <row r="5" spans="1:4" ht="17">
      <c r="A5" s="5" t="s">
        <v>7626</v>
      </c>
      <c r="B5" s="5" t="s">
        <v>7627</v>
      </c>
      <c r="C5" s="5" t="s">
        <v>7628</v>
      </c>
      <c r="D5" s="2">
        <f>DATE(2020,6,23)+TIME(20,24,29)</f>
        <v>44005.850335648145</v>
      </c>
    </row>
    <row r="6" spans="1:4" ht="17">
      <c r="A6" s="4" t="s">
        <v>8243</v>
      </c>
      <c r="B6" s="4" t="s">
        <v>8243</v>
      </c>
      <c r="C6" s="4" t="s">
        <v>8244</v>
      </c>
      <c r="D6" s="1">
        <f>DATE(2020,6,16)+TIME(9,56,56)</f>
        <v>43998.414537037039</v>
      </c>
    </row>
    <row r="7" spans="1:4" ht="17">
      <c r="A7" s="4" t="s">
        <v>799</v>
      </c>
      <c r="B7" s="4" t="s">
        <v>800</v>
      </c>
      <c r="C7" s="4" t="s">
        <v>801</v>
      </c>
      <c r="D7" s="1">
        <f>DATE(2020,6,22)+TIME(3,22,10)</f>
        <v>44004.140393518515</v>
      </c>
    </row>
    <row r="8" spans="1:4" ht="17">
      <c r="A8" s="4" t="s">
        <v>558</v>
      </c>
      <c r="B8" s="4" t="s">
        <v>559</v>
      </c>
      <c r="C8" s="4" t="s">
        <v>560</v>
      </c>
      <c r="D8" s="1">
        <f>DATE(2020,6,14)+TIME(14,29,32)</f>
        <v>43996.603842592594</v>
      </c>
    </row>
    <row r="9" spans="1:4" ht="17">
      <c r="A9" s="5" t="s">
        <v>1604</v>
      </c>
      <c r="B9" s="5" t="s">
        <v>1802</v>
      </c>
      <c r="C9" s="5" t="s">
        <v>6590</v>
      </c>
      <c r="D9" s="2">
        <f>DATE(2020,2,6)+TIME(9,46,38)</f>
        <v>43867.407384259262</v>
      </c>
    </row>
    <row r="10" spans="1:4" ht="17">
      <c r="A10" s="4" t="s">
        <v>1604</v>
      </c>
      <c r="B10" s="4" t="s">
        <v>2669</v>
      </c>
      <c r="C10" s="4" t="s">
        <v>2670</v>
      </c>
      <c r="D10" s="1">
        <f>DATE(2020,5,15)+TIME(11,10,58)</f>
        <v>43966.465949074074</v>
      </c>
    </row>
    <row r="11" spans="1:4" ht="17">
      <c r="A11" s="4" t="s">
        <v>1604</v>
      </c>
      <c r="B11" s="4" t="s">
        <v>1605</v>
      </c>
      <c r="C11" s="4" t="s">
        <v>1606</v>
      </c>
      <c r="D11" s="1">
        <f>DATE(2020,6,16)+TIME(14,4,47)</f>
        <v>43998.586655092593</v>
      </c>
    </row>
    <row r="12" spans="1:4" ht="17">
      <c r="A12" s="4" t="s">
        <v>1604</v>
      </c>
      <c r="B12" s="4" t="s">
        <v>2996</v>
      </c>
      <c r="C12" s="4" t="s">
        <v>2997</v>
      </c>
      <c r="D12" s="1">
        <f>DATE(2020,6,16)+TIME(17,52,35)</f>
        <v>43998.744849537034</v>
      </c>
    </row>
    <row r="13" spans="1:4" ht="17">
      <c r="A13" s="5" t="s">
        <v>1604</v>
      </c>
      <c r="B13" s="5" t="s">
        <v>6812</v>
      </c>
      <c r="C13" s="5" t="s">
        <v>6813</v>
      </c>
      <c r="D13" s="2">
        <f>DATE(2020,6,17)+TIME(12,7,52)</f>
        <v>43999.505462962959</v>
      </c>
    </row>
    <row r="14" spans="1:4" ht="17">
      <c r="A14" s="5" t="s">
        <v>1604</v>
      </c>
      <c r="B14" s="5" t="s">
        <v>2358</v>
      </c>
      <c r="C14" s="5" t="s">
        <v>2359</v>
      </c>
      <c r="D14" s="2">
        <f>DATE(2020,6,29)+TIME(10,0,21)</f>
        <v>44011.416909722226</v>
      </c>
    </row>
    <row r="15" spans="1:4" ht="17">
      <c r="A15" s="5" t="s">
        <v>1298</v>
      </c>
      <c r="B15" s="5" t="s">
        <v>1299</v>
      </c>
      <c r="C15" s="5" t="s">
        <v>1300</v>
      </c>
      <c r="D15" s="2">
        <f>DATE(2020,5,14)+TIME(17,48,11)</f>
        <v>43965.741793981484</v>
      </c>
    </row>
    <row r="16" spans="1:4" ht="17">
      <c r="A16" s="4" t="s">
        <v>9300</v>
      </c>
      <c r="B16" s="4" t="s">
        <v>9301</v>
      </c>
      <c r="C16" s="4" t="s">
        <v>9302</v>
      </c>
      <c r="D16" s="1">
        <f>DATE(2020,6,16)+TIME(9,11,59)</f>
        <v>43998.383321759262</v>
      </c>
    </row>
    <row r="17" spans="1:4" ht="17">
      <c r="A17" s="4" t="s">
        <v>9192</v>
      </c>
      <c r="B17" s="4" t="s">
        <v>9193</v>
      </c>
      <c r="C17" s="4" t="s">
        <v>9194</v>
      </c>
      <c r="D17" s="1">
        <f>DATE(2020,6,18)+TIME(14,16,58)</f>
        <v>44000.59511574074</v>
      </c>
    </row>
    <row r="18" spans="1:4" ht="17">
      <c r="A18" s="4" t="s">
        <v>1042</v>
      </c>
      <c r="B18" s="4" t="s">
        <v>1043</v>
      </c>
      <c r="C18" s="4" t="s">
        <v>1044</v>
      </c>
      <c r="D18" s="1">
        <f>DATE(2020,6,18)+TIME(17,5,37)</f>
        <v>44000.712233796294</v>
      </c>
    </row>
    <row r="19" spans="1:4" ht="17">
      <c r="A19" s="5" t="s">
        <v>9094</v>
      </c>
      <c r="B19" s="5" t="s">
        <v>9095</v>
      </c>
      <c r="C19" s="5" t="s">
        <v>9096</v>
      </c>
      <c r="D19" s="2">
        <f>DATE(2020,6,25)+TIME(10,38,34)</f>
        <v>44007.443449074075</v>
      </c>
    </row>
    <row r="20" spans="1:4" ht="17">
      <c r="A20" s="5" t="s">
        <v>7823</v>
      </c>
      <c r="B20" s="5" t="s">
        <v>7824</v>
      </c>
      <c r="C20" s="5" t="s">
        <v>7825</v>
      </c>
      <c r="D20" s="2">
        <f>DATE(2020,6,23)+TIME(23,10,38)</f>
        <v>44005.965717592589</v>
      </c>
    </row>
    <row r="21" spans="1:4" ht="17">
      <c r="A21" s="5" t="s">
        <v>3997</v>
      </c>
      <c r="B21" s="5" t="s">
        <v>559</v>
      </c>
      <c r="C21" s="5" t="s">
        <v>3998</v>
      </c>
      <c r="D21" s="2">
        <f>DATE(2020,6,26)+TIME(17,48,38)</f>
        <v>44008.742106481484</v>
      </c>
    </row>
    <row r="22" spans="1:4" ht="17">
      <c r="A22" s="5" t="s">
        <v>1281</v>
      </c>
      <c r="B22" s="5" t="s">
        <v>2228</v>
      </c>
      <c r="C22" s="5" t="s">
        <v>2229</v>
      </c>
      <c r="D22" s="2">
        <f>DATE(2020,5,6)+TIME(6,13,13)</f>
        <v>43957.25917824074</v>
      </c>
    </row>
    <row r="23" spans="1:4" ht="17">
      <c r="A23" s="4" t="s">
        <v>1281</v>
      </c>
      <c r="B23" s="4" t="s">
        <v>6154</v>
      </c>
      <c r="C23" s="4" t="s">
        <v>6155</v>
      </c>
      <c r="D23" s="1">
        <f>DATE(2020,6,28)+TIME(20,13,8)</f>
        <v>44010.842453703706</v>
      </c>
    </row>
    <row r="24" spans="1:4" ht="17">
      <c r="A24" s="4" t="s">
        <v>1281</v>
      </c>
      <c r="B24" s="4" t="s">
        <v>3327</v>
      </c>
      <c r="C24" s="4" t="s">
        <v>3328</v>
      </c>
      <c r="D24" s="1">
        <f>DATE(2020,6,29)+TIME(4,12,53)</f>
        <v>44011.175613425927</v>
      </c>
    </row>
    <row r="25" spans="1:4" ht="17">
      <c r="A25" s="5" t="s">
        <v>9271</v>
      </c>
      <c r="B25" s="5" t="s">
        <v>9272</v>
      </c>
      <c r="C25" s="5" t="s">
        <v>9273</v>
      </c>
      <c r="D25" s="2">
        <f>DATE(2020,6,23)+TIME(19,7,49)</f>
        <v>44005.797094907408</v>
      </c>
    </row>
    <row r="26" spans="1:4" ht="17">
      <c r="A26" s="5" t="s">
        <v>4891</v>
      </c>
      <c r="B26" s="5" t="s">
        <v>4892</v>
      </c>
      <c r="C26" s="5" t="s">
        <v>4893</v>
      </c>
      <c r="D26" s="2">
        <f>DATE(2020,6,19)+TIME(12,38,50)</f>
        <v>44001.526967592596</v>
      </c>
    </row>
    <row r="27" spans="1:4" ht="17">
      <c r="A27" s="5" t="s">
        <v>544</v>
      </c>
      <c r="B27" s="5" t="s">
        <v>3451</v>
      </c>
      <c r="C27" s="5" t="s">
        <v>3452</v>
      </c>
      <c r="D27" s="2">
        <f>DATE(2020,5,5)+TIME(15,9,18)</f>
        <v>43956.631458333337</v>
      </c>
    </row>
    <row r="28" spans="1:4" ht="17">
      <c r="A28" s="5" t="s">
        <v>544</v>
      </c>
      <c r="B28" s="5" t="s">
        <v>545</v>
      </c>
      <c r="C28" s="5" t="s">
        <v>546</v>
      </c>
      <c r="D28" s="2">
        <f>DATE(2020,6,29)+TIME(5,33,46)</f>
        <v>44011.231782407405</v>
      </c>
    </row>
    <row r="29" spans="1:4" ht="17">
      <c r="A29" s="4" t="s">
        <v>6954</v>
      </c>
      <c r="B29" s="4" t="s">
        <v>118</v>
      </c>
      <c r="C29" s="4" t="s">
        <v>6955</v>
      </c>
      <c r="D29" s="1">
        <f>DATE(2020,3,27)+TIME(19,53,11)</f>
        <v>43917.828599537039</v>
      </c>
    </row>
    <row r="30" spans="1:4" ht="17">
      <c r="A30" s="5" t="s">
        <v>1512</v>
      </c>
      <c r="B30" s="5" t="s">
        <v>1513</v>
      </c>
      <c r="C30" s="5" t="s">
        <v>1514</v>
      </c>
      <c r="D30" s="2">
        <f>DATE(2020,6,18)+TIME(23,51,57)</f>
        <v>44000.994409722225</v>
      </c>
    </row>
    <row r="31" spans="1:4" ht="17">
      <c r="A31" s="5" t="s">
        <v>820</v>
      </c>
      <c r="B31" s="5" t="s">
        <v>821</v>
      </c>
      <c r="C31" s="5" t="s">
        <v>822</v>
      </c>
      <c r="D31" s="2">
        <f>DATE(2020,6,25)+TIME(0,25,40)</f>
        <v>44007.017824074072</v>
      </c>
    </row>
    <row r="32" spans="1:4" ht="17">
      <c r="A32" s="5" t="s">
        <v>8760</v>
      </c>
      <c r="B32" s="5" t="s">
        <v>8761</v>
      </c>
      <c r="C32" s="5" t="s">
        <v>8762</v>
      </c>
      <c r="D32" s="2">
        <f>DATE(2020,6,21)+TIME(1,54,20)</f>
        <v>44003.079398148147</v>
      </c>
    </row>
    <row r="33" spans="1:4" ht="17">
      <c r="A33" s="5" t="s">
        <v>3041</v>
      </c>
      <c r="B33" s="5" t="s">
        <v>3872</v>
      </c>
      <c r="C33" s="5" t="s">
        <v>5826</v>
      </c>
      <c r="D33" s="2">
        <f>DATE(2020,6,15)+TIME(3,33,29)</f>
        <v>43997.148252314815</v>
      </c>
    </row>
    <row r="34" spans="1:4" ht="17">
      <c r="A34" s="5" t="s">
        <v>3041</v>
      </c>
      <c r="B34" s="5" t="s">
        <v>3042</v>
      </c>
      <c r="C34" s="5" t="s">
        <v>3043</v>
      </c>
      <c r="D34" s="2">
        <f>DATE(2020,6,24)+TIME(11,13,48)</f>
        <v>44006.467916666668</v>
      </c>
    </row>
    <row r="35" spans="1:4" ht="17">
      <c r="A35" s="5" t="s">
        <v>3041</v>
      </c>
      <c r="B35" s="5" t="s">
        <v>4975</v>
      </c>
      <c r="C35" s="5" t="s">
        <v>4976</v>
      </c>
      <c r="D35" s="2">
        <f>DATE(2020,6,24)+TIME(11,31,36)</f>
        <v>44006.48027777778</v>
      </c>
    </row>
    <row r="36" spans="1:4" ht="17">
      <c r="A36" s="4" t="s">
        <v>3041</v>
      </c>
      <c r="B36" s="4" t="s">
        <v>4619</v>
      </c>
      <c r="C36" s="4" t="s">
        <v>4620</v>
      </c>
      <c r="D36" s="1">
        <f>DATE(2020,6,25)+TIME(11,29,55)</f>
        <v>44007.479108796295</v>
      </c>
    </row>
    <row r="37" spans="1:4" ht="17">
      <c r="A37" s="4" t="s">
        <v>6126</v>
      </c>
      <c r="B37" s="4" t="s">
        <v>6127</v>
      </c>
      <c r="C37" s="4" t="s">
        <v>6128</v>
      </c>
      <c r="D37" s="1">
        <f>DATE(2020,6,27)+TIME(15,25,38)</f>
        <v>44009.642800925925</v>
      </c>
    </row>
    <row r="38" spans="1:4" ht="17">
      <c r="A38" s="5" t="s">
        <v>3041</v>
      </c>
      <c r="B38" s="5" t="s">
        <v>6852</v>
      </c>
      <c r="C38" s="5" t="s">
        <v>6853</v>
      </c>
      <c r="D38" s="2">
        <f>DATE(2020,6,29)+TIME(1,16,52)</f>
        <v>44011.053379629629</v>
      </c>
    </row>
    <row r="39" spans="1:4" ht="17">
      <c r="A39" s="5" t="s">
        <v>5887</v>
      </c>
      <c r="B39" s="5" t="s">
        <v>680</v>
      </c>
      <c r="C39" s="5" t="s">
        <v>5888</v>
      </c>
      <c r="D39" s="2">
        <f>DATE(2020,6,26)+TIME(22,30,33)</f>
        <v>44008.937881944446</v>
      </c>
    </row>
    <row r="40" spans="1:4" ht="17">
      <c r="A40" s="4" t="s">
        <v>12</v>
      </c>
      <c r="B40" s="4" t="s">
        <v>13</v>
      </c>
      <c r="C40" s="4" t="s">
        <v>14</v>
      </c>
      <c r="D40" s="1">
        <f>DATE(2020,6,24)+TIME(15,38,48)</f>
        <v>44006.651944444442</v>
      </c>
    </row>
    <row r="41" spans="1:4" ht="17">
      <c r="A41" s="5" t="s">
        <v>6719</v>
      </c>
      <c r="B41" s="5" t="s">
        <v>6720</v>
      </c>
      <c r="C41" s="5" t="s">
        <v>6721</v>
      </c>
      <c r="D41" s="2">
        <f>DATE(2020,6,19)+TIME(8,55,45)</f>
        <v>44001.372048611112</v>
      </c>
    </row>
    <row r="42" spans="1:4" ht="17">
      <c r="A42" s="5" t="s">
        <v>5931</v>
      </c>
      <c r="B42" s="5" t="s">
        <v>5932</v>
      </c>
      <c r="C42" s="5" t="s">
        <v>5933</v>
      </c>
      <c r="D42" s="2">
        <f>DATE(2020,5,5)+TIME(15,56,41)</f>
        <v>43956.664363425924</v>
      </c>
    </row>
    <row r="43" spans="1:4" ht="17">
      <c r="A43" s="4" t="s">
        <v>2216</v>
      </c>
      <c r="B43" s="4" t="s">
        <v>3815</v>
      </c>
      <c r="C43" s="4" t="s">
        <v>3816</v>
      </c>
      <c r="D43" s="1">
        <f>DATE(2020,5,5)+TIME(17,34,43)</f>
        <v>43956.732442129629</v>
      </c>
    </row>
    <row r="44" spans="1:4" ht="17">
      <c r="A44" s="4" t="s">
        <v>2216</v>
      </c>
      <c r="B44" s="4" t="s">
        <v>401</v>
      </c>
      <c r="C44" s="4" t="s">
        <v>9362</v>
      </c>
      <c r="D44" s="1">
        <f>DATE(2020,5,20)+TIME(19,32,26)</f>
        <v>43971.814189814817</v>
      </c>
    </row>
    <row r="45" spans="1:4" ht="17">
      <c r="A45" s="4" t="s">
        <v>2216</v>
      </c>
      <c r="B45" s="4" t="s">
        <v>9260</v>
      </c>
      <c r="C45" s="4" t="s">
        <v>9261</v>
      </c>
      <c r="D45" s="1">
        <f>DATE(2020,6,17)+TIME(22,56,8)</f>
        <v>43999.955648148149</v>
      </c>
    </row>
    <row r="46" spans="1:4" ht="17">
      <c r="A46" s="5" t="s">
        <v>2216</v>
      </c>
      <c r="B46" s="5" t="s">
        <v>8944</v>
      </c>
      <c r="C46" s="5" t="s">
        <v>8945</v>
      </c>
      <c r="D46" s="2">
        <f>DATE(2020,6,22)+TIME(9,22,47)</f>
        <v>44004.390821759262</v>
      </c>
    </row>
    <row r="47" spans="1:4" ht="17">
      <c r="A47" s="4" t="s">
        <v>2216</v>
      </c>
      <c r="B47" s="4" t="s">
        <v>7171</v>
      </c>
      <c r="C47" s="4" t="s">
        <v>7172</v>
      </c>
      <c r="D47" s="1">
        <f>DATE(2020,6,24)+TIME(15,40,58)</f>
        <v>44006.653449074074</v>
      </c>
    </row>
    <row r="48" spans="1:4" ht="17">
      <c r="A48" s="4" t="s">
        <v>2216</v>
      </c>
      <c r="B48" s="4" t="s">
        <v>6658</v>
      </c>
      <c r="C48" s="4" t="s">
        <v>6659</v>
      </c>
      <c r="D48" s="1">
        <f>DATE(2020,6,26)+TIME(11,10,45)</f>
        <v>44008.465798611112</v>
      </c>
    </row>
    <row r="49" spans="1:4" ht="17">
      <c r="A49" s="4" t="s">
        <v>2216</v>
      </c>
      <c r="B49" s="4" t="s">
        <v>476</v>
      </c>
      <c r="C49" s="4" t="s">
        <v>2217</v>
      </c>
      <c r="D49" s="1">
        <f>DATE(2020,6,27)+TIME(17,41,49)</f>
        <v>44009.737372685187</v>
      </c>
    </row>
    <row r="50" spans="1:4" ht="17">
      <c r="A50" s="5" t="s">
        <v>2216</v>
      </c>
      <c r="B50" s="5" t="s">
        <v>2449</v>
      </c>
      <c r="C50" s="5" t="s">
        <v>2450</v>
      </c>
      <c r="D50" s="2">
        <f>DATE(2020,6,29)+TIME(8,30,46)</f>
        <v>44011.354699074072</v>
      </c>
    </row>
    <row r="51" spans="1:4" ht="17">
      <c r="A51" s="4" t="s">
        <v>7515</v>
      </c>
      <c r="B51" s="4" t="s">
        <v>158</v>
      </c>
      <c r="C51" s="4" t="s">
        <v>7516</v>
      </c>
      <c r="D51" s="1">
        <f>DATE(2020,5,6)+TIME(8,41,32)</f>
        <v>43957.362175925926</v>
      </c>
    </row>
    <row r="52" spans="1:4" ht="17">
      <c r="A52" s="5" t="s">
        <v>2418</v>
      </c>
      <c r="B52" s="5" t="s">
        <v>2419</v>
      </c>
      <c r="C52" s="5" t="s">
        <v>2420</v>
      </c>
      <c r="D52" s="2">
        <f>DATE(2020,5,24)+TIME(2,40,47)</f>
        <v>43975.111655092594</v>
      </c>
    </row>
    <row r="53" spans="1:4" ht="17">
      <c r="A53" s="4" t="s">
        <v>7103</v>
      </c>
      <c r="B53" s="4" t="s">
        <v>7104</v>
      </c>
      <c r="C53" s="4" t="s">
        <v>7105</v>
      </c>
      <c r="D53" s="1">
        <f>DATE(2020,6,23)+TIME(22,32,55)</f>
        <v>44005.939525462964</v>
      </c>
    </row>
    <row r="54" spans="1:4" ht="17">
      <c r="A54" s="5" t="s">
        <v>3421</v>
      </c>
      <c r="B54" s="5" t="s">
        <v>3422</v>
      </c>
      <c r="C54" s="5" t="s">
        <v>3423</v>
      </c>
      <c r="D54" s="2">
        <f>DATE(2020,6,25)+TIME(9,16,42)</f>
        <v>44007.386597222219</v>
      </c>
    </row>
    <row r="55" spans="1:4" ht="17">
      <c r="A55" s="4" t="s">
        <v>1384</v>
      </c>
      <c r="B55" s="4" t="s">
        <v>1385</v>
      </c>
      <c r="C55" s="4" t="s">
        <v>1386</v>
      </c>
      <c r="D55" s="1">
        <f>DATE(2020,5,18)+TIME(1,35,15)</f>
        <v>43969.066145833334</v>
      </c>
    </row>
    <row r="56" spans="1:4" ht="17">
      <c r="A56" s="5" t="s">
        <v>6524</v>
      </c>
      <c r="B56" s="5" t="s">
        <v>6525</v>
      </c>
      <c r="C56" s="5" t="s">
        <v>6526</v>
      </c>
      <c r="D56" s="2">
        <f>DATE(2020,5,14)+TIME(16,6,6)</f>
        <v>43965.670902777776</v>
      </c>
    </row>
    <row r="57" spans="1:4" ht="17">
      <c r="A57" s="5" t="s">
        <v>8797</v>
      </c>
      <c r="B57" s="5" t="s">
        <v>4419</v>
      </c>
      <c r="C57" s="5" t="s">
        <v>8798</v>
      </c>
      <c r="D57" s="2">
        <f>DATE(2020,6,26)+TIME(4,29,25)</f>
        <v>44008.187094907407</v>
      </c>
    </row>
    <row r="58" spans="1:4" ht="17">
      <c r="A58" s="4" t="s">
        <v>802</v>
      </c>
      <c r="B58" s="4" t="s">
        <v>109</v>
      </c>
      <c r="C58" s="4" t="s">
        <v>3394</v>
      </c>
      <c r="D58" s="1">
        <f>DATE(2020,3,27)+TIME(16,49,11)</f>
        <v>43917.700821759259</v>
      </c>
    </row>
    <row r="59" spans="1:4" ht="17">
      <c r="A59" s="4" t="s">
        <v>802</v>
      </c>
      <c r="B59" s="4" t="s">
        <v>553</v>
      </c>
      <c r="C59" s="4" t="s">
        <v>3373</v>
      </c>
      <c r="D59" s="1">
        <f>DATE(2020,5,29)+TIME(14,50,26)</f>
        <v>43980.618356481478</v>
      </c>
    </row>
    <row r="60" spans="1:4" ht="17">
      <c r="A60" s="5" t="s">
        <v>802</v>
      </c>
      <c r="B60" s="5" t="s">
        <v>2333</v>
      </c>
      <c r="C60" s="5" t="s">
        <v>6119</v>
      </c>
      <c r="D60" s="2">
        <f>DATE(2020,6,13)+TIME(8,4,12)</f>
        <v>43995.33625</v>
      </c>
    </row>
    <row r="61" spans="1:4" ht="17">
      <c r="A61" s="5" t="s">
        <v>802</v>
      </c>
      <c r="B61" s="5" t="s">
        <v>803</v>
      </c>
      <c r="C61" s="5" t="s">
        <v>804</v>
      </c>
      <c r="D61" s="2">
        <f>DATE(2020,6,24)+TIME(13,36,57)</f>
        <v>44006.567326388889</v>
      </c>
    </row>
    <row r="62" spans="1:4" ht="17">
      <c r="A62" s="4" t="s">
        <v>802</v>
      </c>
      <c r="B62" s="4" t="s">
        <v>553</v>
      </c>
      <c r="C62" s="4" t="s">
        <v>7822</v>
      </c>
      <c r="D62" s="1">
        <f>DATE(2020,6,24)+TIME(14,58,3)</f>
        <v>44006.623645833337</v>
      </c>
    </row>
    <row r="63" spans="1:4" ht="17">
      <c r="A63" s="5" t="s">
        <v>802</v>
      </c>
      <c r="B63" s="5" t="s">
        <v>1468</v>
      </c>
      <c r="C63" s="5" t="s">
        <v>2072</v>
      </c>
      <c r="D63" s="2">
        <f>DATE(2020,6,26)+TIME(9,2,51)</f>
        <v>44008.376979166664</v>
      </c>
    </row>
    <row r="64" spans="1:4" ht="17">
      <c r="A64" s="4" t="s">
        <v>5266</v>
      </c>
      <c r="B64" s="4" t="s">
        <v>5267</v>
      </c>
      <c r="C64" s="4" t="s">
        <v>5268</v>
      </c>
      <c r="D64" s="1">
        <f>DATE(2020,5,5)+TIME(16,25,21)</f>
        <v>43956.684270833335</v>
      </c>
    </row>
    <row r="65" spans="1:4" ht="17">
      <c r="A65" s="4" t="s">
        <v>8399</v>
      </c>
      <c r="B65" s="4" t="s">
        <v>8400</v>
      </c>
      <c r="C65" s="4" t="s">
        <v>8401</v>
      </c>
      <c r="D65" s="1">
        <f>DATE(2020,6,17)+TIME(10,21,53)</f>
        <v>43999.431863425925</v>
      </c>
    </row>
    <row r="66" spans="1:4" ht="17">
      <c r="A66" s="5" t="s">
        <v>7471</v>
      </c>
      <c r="B66" s="5" t="s">
        <v>7472</v>
      </c>
      <c r="C66" s="5" t="s">
        <v>7473</v>
      </c>
      <c r="D66" s="2">
        <f>DATE(2020,6,24)+TIME(14,28,0)</f>
        <v>44006.602777777778</v>
      </c>
    </row>
    <row r="67" spans="1:4" ht="17">
      <c r="A67" s="5" t="s">
        <v>968</v>
      </c>
      <c r="B67" s="5" t="s">
        <v>58</v>
      </c>
      <c r="C67" s="5" t="s">
        <v>969</v>
      </c>
      <c r="D67" s="2">
        <f>DATE(2020,5,22)+TIME(8,45,58)</f>
        <v>43973.365254629629</v>
      </c>
    </row>
    <row r="68" spans="1:4" ht="17">
      <c r="A68" s="4" t="s">
        <v>160</v>
      </c>
      <c r="B68" s="4" t="s">
        <v>161</v>
      </c>
      <c r="C68" s="4" t="s">
        <v>162</v>
      </c>
      <c r="D68" s="1">
        <f>DATE(2020,6,29)+TIME(13,4,56)</f>
        <v>44011.545092592591</v>
      </c>
    </row>
    <row r="69" spans="1:4" ht="17">
      <c r="A69" s="5" t="s">
        <v>5308</v>
      </c>
      <c r="B69" s="5" t="s">
        <v>5309</v>
      </c>
      <c r="C69" s="5" t="s">
        <v>5310</v>
      </c>
      <c r="D69" s="2">
        <f>DATE(2020,4,10)+TIME(18,43,28)</f>
        <v>43931.780185185184</v>
      </c>
    </row>
    <row r="70" spans="1:4" ht="17">
      <c r="A70" s="5" t="s">
        <v>619</v>
      </c>
      <c r="B70" s="5" t="s">
        <v>620</v>
      </c>
      <c r="C70" s="5" t="s">
        <v>621</v>
      </c>
      <c r="D70" s="2">
        <f>DATE(2020,6,19)+TIME(9,18,19)</f>
        <v>44001.387719907405</v>
      </c>
    </row>
    <row r="71" spans="1:4" ht="17">
      <c r="A71" s="5" t="s">
        <v>4051</v>
      </c>
      <c r="B71" s="5" t="s">
        <v>6114</v>
      </c>
      <c r="C71" s="5" t="s">
        <v>6115</v>
      </c>
      <c r="D71" s="2">
        <f>DATE(2020,5,30)+TIME(16,43,39)</f>
        <v>43981.696979166663</v>
      </c>
    </row>
    <row r="72" spans="1:4" ht="17">
      <c r="A72" s="4" t="s">
        <v>4051</v>
      </c>
      <c r="B72" s="4" t="s">
        <v>4052</v>
      </c>
      <c r="C72" s="4" t="s">
        <v>4053</v>
      </c>
      <c r="D72" s="1">
        <f>DATE(2020,6,23)+TIME(13,50,32)</f>
        <v>44005.57675925926</v>
      </c>
    </row>
    <row r="73" spans="1:4" ht="17">
      <c r="A73" s="4" t="s">
        <v>5293</v>
      </c>
      <c r="B73" s="4" t="s">
        <v>5294</v>
      </c>
      <c r="C73" s="4" t="s">
        <v>5295</v>
      </c>
      <c r="D73" s="1">
        <f>DATE(2020,6,13)+TIME(16,16,49)</f>
        <v>43995.678344907406</v>
      </c>
    </row>
    <row r="74" spans="1:4" ht="17">
      <c r="A74" s="5" t="s">
        <v>873</v>
      </c>
      <c r="B74" s="5" t="s">
        <v>874</v>
      </c>
      <c r="C74" s="5" t="s">
        <v>875</v>
      </c>
      <c r="D74" s="2">
        <f>DATE(2020,6,23)+TIME(20,39,40)</f>
        <v>44005.860879629632</v>
      </c>
    </row>
    <row r="75" spans="1:4" ht="17">
      <c r="A75" s="4" t="s">
        <v>907</v>
      </c>
      <c r="B75" s="4" t="s">
        <v>7314</v>
      </c>
      <c r="C75" s="4" t="s">
        <v>7315</v>
      </c>
      <c r="D75" s="1">
        <f>DATE(2020,6,23)+TIME(20,13,16)</f>
        <v>44005.842546296299</v>
      </c>
    </row>
    <row r="76" spans="1:4" ht="17">
      <c r="A76" s="4" t="s">
        <v>907</v>
      </c>
      <c r="B76" s="4" t="s">
        <v>3683</v>
      </c>
      <c r="C76" s="4" t="s">
        <v>3684</v>
      </c>
      <c r="D76" s="1">
        <f>DATE(2020,6,28)+TIME(23,36,51)</f>
        <v>44010.983923611115</v>
      </c>
    </row>
    <row r="77" spans="1:4" ht="17">
      <c r="A77" s="4" t="s">
        <v>7750</v>
      </c>
      <c r="B77" s="4" t="s">
        <v>7751</v>
      </c>
      <c r="C77" s="4" t="s">
        <v>7752</v>
      </c>
      <c r="D77" s="1">
        <f>DATE(2020,6,8)+TIME(15,55,5)</f>
        <v>43990.663252314815</v>
      </c>
    </row>
    <row r="78" spans="1:4" ht="17">
      <c r="A78" s="4" t="s">
        <v>1456</v>
      </c>
      <c r="B78" s="4" t="s">
        <v>1647</v>
      </c>
      <c r="C78" s="4" t="s">
        <v>1648</v>
      </c>
      <c r="D78" s="1">
        <f>DATE(2020,6,24)+TIME(12,24,24)</f>
        <v>44006.516944444447</v>
      </c>
    </row>
    <row r="79" spans="1:4" ht="17">
      <c r="A79" s="4" t="s">
        <v>9169</v>
      </c>
      <c r="B79" s="4" t="s">
        <v>9170</v>
      </c>
      <c r="C79" s="4" t="s">
        <v>9171</v>
      </c>
      <c r="D79" s="1">
        <f>DATE(2020,6,23)+TIME(3,11,46)</f>
        <v>44005.133171296293</v>
      </c>
    </row>
    <row r="80" spans="1:4" ht="17">
      <c r="A80" s="4" t="s">
        <v>8726</v>
      </c>
      <c r="B80" s="4" t="s">
        <v>8727</v>
      </c>
      <c r="C80" s="4" t="s">
        <v>8728</v>
      </c>
      <c r="D80" s="1">
        <f>DATE(2020,6,24)+TIME(8,23,45)</f>
        <v>44006.349826388891</v>
      </c>
    </row>
    <row r="81" spans="1:4" ht="17">
      <c r="A81" s="4" t="s">
        <v>7125</v>
      </c>
      <c r="B81" s="4" t="s">
        <v>7126</v>
      </c>
      <c r="C81" s="4" t="s">
        <v>7127</v>
      </c>
      <c r="D81" s="1">
        <f>DATE(2020,6,29)+TIME(4,53,1)</f>
        <v>44011.203483796293</v>
      </c>
    </row>
    <row r="82" spans="1:4" ht="17">
      <c r="A82" s="5" t="s">
        <v>5378</v>
      </c>
      <c r="B82" s="5" t="s">
        <v>5379</v>
      </c>
      <c r="C82" s="5" t="s">
        <v>5380</v>
      </c>
      <c r="D82" s="2">
        <f>DATE(2020,6,18)+TIME(16,18,1)</f>
        <v>44000.679178240738</v>
      </c>
    </row>
    <row r="83" spans="1:4" ht="17">
      <c r="A83" s="5" t="s">
        <v>2004</v>
      </c>
      <c r="B83" s="5" t="s">
        <v>5171</v>
      </c>
      <c r="C83" s="5" t="s">
        <v>5172</v>
      </c>
      <c r="D83" s="2">
        <f>DATE(2020,5,5)+TIME(16,5,43)</f>
        <v>43956.670636574076</v>
      </c>
    </row>
    <row r="84" spans="1:4" ht="17">
      <c r="A84" s="4" t="s">
        <v>2004</v>
      </c>
      <c r="B84" s="4" t="s">
        <v>2005</v>
      </c>
      <c r="C84" s="4" t="s">
        <v>2006</v>
      </c>
      <c r="D84" s="1">
        <f>DATE(2020,6,15)+TIME(16,32,55)</f>
        <v>43997.689525462964</v>
      </c>
    </row>
    <row r="85" spans="1:4" ht="17">
      <c r="A85" s="4" t="s">
        <v>2461</v>
      </c>
      <c r="B85" s="4" t="s">
        <v>2462</v>
      </c>
      <c r="C85" s="4" t="s">
        <v>2463</v>
      </c>
      <c r="D85" s="1">
        <f>DATE(2020,6,22)+TIME(20,3,30)</f>
        <v>44004.835763888892</v>
      </c>
    </row>
    <row r="86" spans="1:4" ht="17">
      <c r="A86" s="4" t="s">
        <v>4497</v>
      </c>
      <c r="B86" s="4" t="s">
        <v>4498</v>
      </c>
      <c r="C86" s="4" t="s">
        <v>4499</v>
      </c>
      <c r="D86" s="1">
        <f>DATE(2020,5,7)+TIME(18,30,48)</f>
        <v>43958.77138888889</v>
      </c>
    </row>
    <row r="87" spans="1:4" ht="17">
      <c r="A87" s="5" t="s">
        <v>9238</v>
      </c>
      <c r="B87" s="5" t="s">
        <v>9239</v>
      </c>
      <c r="C87" s="5" t="s">
        <v>9240</v>
      </c>
      <c r="D87" s="2">
        <f>DATE(2020,6,26)+TIME(23,38,0)</f>
        <v>44008.984722222223</v>
      </c>
    </row>
    <row r="88" spans="1:4" ht="17">
      <c r="A88" s="5" t="s">
        <v>7596</v>
      </c>
      <c r="B88" s="5" t="s">
        <v>7788</v>
      </c>
      <c r="C88" s="5" t="s">
        <v>7789</v>
      </c>
      <c r="D88" s="2">
        <f>DATE(2020,5,27)+TIME(9,2,10)</f>
        <v>43978.376504629632</v>
      </c>
    </row>
    <row r="89" spans="1:4" ht="17">
      <c r="A89" s="4" t="s">
        <v>7596</v>
      </c>
      <c r="B89" s="4" t="s">
        <v>9314</v>
      </c>
      <c r="C89" s="4" t="s">
        <v>9315</v>
      </c>
      <c r="D89" s="1">
        <f>DATE(2020,6,25)+TIME(5,19,38)</f>
        <v>44007.221967592595</v>
      </c>
    </row>
    <row r="90" spans="1:4" ht="17">
      <c r="A90" s="5" t="s">
        <v>7596</v>
      </c>
      <c r="B90" s="5" t="s">
        <v>7597</v>
      </c>
      <c r="C90" s="5" t="s">
        <v>7598</v>
      </c>
      <c r="D90" s="2">
        <f>DATE(2020,6,25)+TIME(12,16,33)</f>
        <v>44007.511493055557</v>
      </c>
    </row>
    <row r="91" spans="1:4" ht="17">
      <c r="A91" s="5" t="s">
        <v>4341</v>
      </c>
      <c r="B91" s="5" t="s">
        <v>4342</v>
      </c>
      <c r="C91" s="5" t="s">
        <v>4343</v>
      </c>
      <c r="D91" s="2">
        <f>DATE(2020,6,23)+TIME(15,51,43)</f>
        <v>44005.660914351851</v>
      </c>
    </row>
    <row r="92" spans="1:4" ht="17">
      <c r="A92" s="4" t="s">
        <v>8515</v>
      </c>
      <c r="B92" s="4" t="s">
        <v>8516</v>
      </c>
      <c r="C92" s="4" t="s">
        <v>8517</v>
      </c>
      <c r="D92" s="1">
        <f>DATE(2020,6,19)+TIME(7,37,51)</f>
        <v>44001.31795138889</v>
      </c>
    </row>
    <row r="93" spans="1:4" ht="17">
      <c r="A93" s="4" t="s">
        <v>7300</v>
      </c>
      <c r="B93" s="4" t="s">
        <v>1845</v>
      </c>
      <c r="C93" s="4" t="s">
        <v>7301</v>
      </c>
      <c r="D93" s="1">
        <f>DATE(2020,6,24)+TIME(2,40,41)</f>
        <v>44006.111585648148</v>
      </c>
    </row>
    <row r="94" spans="1:4" ht="17">
      <c r="A94" s="4" t="s">
        <v>4842</v>
      </c>
      <c r="B94" s="4" t="s">
        <v>567</v>
      </c>
      <c r="C94" s="4" t="s">
        <v>4843</v>
      </c>
      <c r="D94" s="1">
        <f>DATE(2020,6,12)+TIME(18,24,29)</f>
        <v>43994.767002314817</v>
      </c>
    </row>
    <row r="95" spans="1:4" ht="17">
      <c r="A95" s="4" t="s">
        <v>4842</v>
      </c>
      <c r="B95" s="4" t="s">
        <v>568</v>
      </c>
      <c r="C95" s="4" t="s">
        <v>6649</v>
      </c>
      <c r="D95" s="1">
        <f>DATE(2020,6,19)+TIME(12,41,6)</f>
        <v>44001.528541666667</v>
      </c>
    </row>
    <row r="96" spans="1:4" ht="17">
      <c r="A96" s="4" t="s">
        <v>1252</v>
      </c>
      <c r="B96" s="4" t="s">
        <v>647</v>
      </c>
      <c r="C96" s="4" t="s">
        <v>1460</v>
      </c>
      <c r="D96" s="1">
        <f>DATE(2020,6,14)+TIME(8,9,28)</f>
        <v>43996.339907407404</v>
      </c>
    </row>
    <row r="97" spans="1:4" ht="17">
      <c r="A97" s="5" t="s">
        <v>1252</v>
      </c>
      <c r="B97" s="5" t="s">
        <v>1253</v>
      </c>
      <c r="C97" s="5" t="s">
        <v>1254</v>
      </c>
      <c r="D97" s="2">
        <f>DATE(2020,6,22)+TIME(16,2,36)</f>
        <v>44004.66847222222</v>
      </c>
    </row>
    <row r="98" spans="1:4" ht="17">
      <c r="A98" s="5" t="s">
        <v>1252</v>
      </c>
      <c r="B98" s="5" t="s">
        <v>4243</v>
      </c>
      <c r="C98" s="5" t="s">
        <v>4244</v>
      </c>
      <c r="D98" s="2">
        <f>DATE(2020,6,25)+TIME(11,52,5)</f>
        <v>44007.494502314818</v>
      </c>
    </row>
    <row r="99" spans="1:4" ht="17">
      <c r="A99" s="4" t="s">
        <v>671</v>
      </c>
      <c r="B99" s="4" t="s">
        <v>672</v>
      </c>
      <c r="C99" s="4" t="s">
        <v>673</v>
      </c>
      <c r="D99" s="1">
        <f>DATE(2020,5,5)+TIME(15,52,27)</f>
        <v>43956.661423611113</v>
      </c>
    </row>
    <row r="100" spans="1:4" ht="17">
      <c r="A100" s="5" t="s">
        <v>671</v>
      </c>
      <c r="B100" s="5" t="s">
        <v>8467</v>
      </c>
      <c r="C100" s="5" t="s">
        <v>8468</v>
      </c>
      <c r="D100" s="2">
        <f>DATE(2020,6,23)+TIME(15,30,11)</f>
        <v>44005.645960648151</v>
      </c>
    </row>
    <row r="101" spans="1:4" ht="17">
      <c r="A101" s="4" t="s">
        <v>1187</v>
      </c>
      <c r="B101" s="4" t="s">
        <v>2597</v>
      </c>
      <c r="C101" s="4" t="s">
        <v>8317</v>
      </c>
      <c r="D101" s="1">
        <f>DATE(2020,4,2)+TIME(7,18,50)</f>
        <v>43923.304745370369</v>
      </c>
    </row>
    <row r="102" spans="1:4" ht="17">
      <c r="A102" s="5" t="s">
        <v>1187</v>
      </c>
      <c r="B102" s="5" t="s">
        <v>1188</v>
      </c>
      <c r="C102" s="5" t="s">
        <v>1189</v>
      </c>
      <c r="D102" s="2">
        <f>DATE(2020,5,19)+TIME(21,48,41)</f>
        <v>43970.908807870372</v>
      </c>
    </row>
    <row r="103" spans="1:4" ht="17">
      <c r="A103" s="4" t="s">
        <v>1187</v>
      </c>
      <c r="B103" s="4" t="s">
        <v>6100</v>
      </c>
      <c r="C103" s="4" t="s">
        <v>6101</v>
      </c>
      <c r="D103" s="1">
        <f>DATE(2020,6,15)+TIME(11,36,3)</f>
        <v>43997.483368055553</v>
      </c>
    </row>
    <row r="104" spans="1:4" ht="17">
      <c r="A104" s="5" t="s">
        <v>1187</v>
      </c>
      <c r="B104" s="5" t="s">
        <v>2559</v>
      </c>
      <c r="C104" s="5" t="s">
        <v>6429</v>
      </c>
      <c r="D104" s="2">
        <f>DATE(2020,6,23)+TIME(17,50,1)</f>
        <v>44005.743067129632</v>
      </c>
    </row>
    <row r="105" spans="1:4" ht="17">
      <c r="A105" s="4" t="s">
        <v>5750</v>
      </c>
      <c r="B105" s="4" t="s">
        <v>102</v>
      </c>
      <c r="C105" s="4" t="s">
        <v>5751</v>
      </c>
      <c r="D105" s="1">
        <f>DATE(2020,6,11)+TIME(17,4,46)</f>
        <v>43993.711643518516</v>
      </c>
    </row>
    <row r="106" spans="1:4" ht="17">
      <c r="A106" s="5" t="s">
        <v>2587</v>
      </c>
      <c r="B106" s="5" t="s">
        <v>7606</v>
      </c>
      <c r="C106" s="5" t="s">
        <v>7607</v>
      </c>
      <c r="D106" s="2">
        <f>DATE(2020,6,25)+TIME(6,27,45)</f>
        <v>44007.269270833334</v>
      </c>
    </row>
    <row r="107" spans="1:4" ht="17">
      <c r="A107" s="4" t="s">
        <v>2587</v>
      </c>
      <c r="B107" s="4" t="s">
        <v>2588</v>
      </c>
      <c r="C107" s="4" t="s">
        <v>2589</v>
      </c>
      <c r="D107" s="1">
        <f>DATE(2020,6,26)+TIME(12,25,18)</f>
        <v>44008.517569444448</v>
      </c>
    </row>
    <row r="108" spans="1:4" ht="17">
      <c r="A108" s="4" t="s">
        <v>4059</v>
      </c>
      <c r="B108" s="4" t="s">
        <v>6645</v>
      </c>
      <c r="C108" s="4" t="s">
        <v>6646</v>
      </c>
      <c r="D108" s="1">
        <f>DATE(2020,5,29)+TIME(19,28,8)</f>
        <v>43980.811203703706</v>
      </c>
    </row>
    <row r="109" spans="1:4" ht="17">
      <c r="A109" s="5" t="s">
        <v>4059</v>
      </c>
      <c r="B109" s="5" t="s">
        <v>4060</v>
      </c>
      <c r="C109" s="5" t="s">
        <v>4061</v>
      </c>
      <c r="D109" s="2">
        <f>DATE(2020,6,23)+TIME(16,59,52)</f>
        <v>44005.708240740743</v>
      </c>
    </row>
    <row r="110" spans="1:4" ht="17">
      <c r="A110" s="5" t="s">
        <v>686</v>
      </c>
      <c r="B110" s="5" t="s">
        <v>686</v>
      </c>
      <c r="C110" s="5" t="s">
        <v>687</v>
      </c>
      <c r="D110" s="2">
        <f>DATE(2020,4,7)+TIME(8,25,24)</f>
        <v>43928.350972222222</v>
      </c>
    </row>
    <row r="111" spans="1:4" ht="17">
      <c r="A111" s="5" t="s">
        <v>9406</v>
      </c>
      <c r="B111" s="5" t="s">
        <v>9407</v>
      </c>
      <c r="C111" s="5" t="s">
        <v>9408</v>
      </c>
      <c r="D111" s="2">
        <f>DATE(2020,6,24)+TIME(10,43,46)</f>
        <v>44006.447060185186</v>
      </c>
    </row>
    <row r="112" spans="1:4" ht="17">
      <c r="A112" s="4" t="s">
        <v>1371</v>
      </c>
      <c r="B112" s="4" t="s">
        <v>1399</v>
      </c>
      <c r="C112" s="4" t="s">
        <v>4250</v>
      </c>
      <c r="D112" s="1">
        <f>DATE(2020,3,27)+TIME(16,40,0)</f>
        <v>43917.694444444445</v>
      </c>
    </row>
    <row r="113" spans="1:4" ht="17">
      <c r="A113" s="4" t="s">
        <v>1371</v>
      </c>
      <c r="B113" s="4" t="s">
        <v>5142</v>
      </c>
      <c r="C113" s="4" t="s">
        <v>5143</v>
      </c>
      <c r="D113" s="1">
        <f>DATE(2020,3,27)+TIME(19,2,57)</f>
        <v>43917.793715277781</v>
      </c>
    </row>
    <row r="114" spans="1:4" ht="17">
      <c r="A114" s="5" t="s">
        <v>1371</v>
      </c>
      <c r="B114" s="5" t="s">
        <v>1372</v>
      </c>
      <c r="C114" s="5" t="s">
        <v>1373</v>
      </c>
      <c r="D114" s="2">
        <f>DATE(2020,5,13)+TIME(2,42,5)</f>
        <v>43964.112557870372</v>
      </c>
    </row>
    <row r="115" spans="1:4" ht="17">
      <c r="A115" s="5" t="s">
        <v>1371</v>
      </c>
      <c r="B115" s="5" t="s">
        <v>4110</v>
      </c>
      <c r="C115" s="5" t="s">
        <v>4111</v>
      </c>
      <c r="D115" s="2">
        <f>DATE(2020,6,12)+TIME(11,45,48)</f>
        <v>43994.49013888889</v>
      </c>
    </row>
    <row r="116" spans="1:4" ht="17">
      <c r="A116" s="5" t="s">
        <v>4251</v>
      </c>
      <c r="B116" s="5" t="s">
        <v>4252</v>
      </c>
      <c r="C116" s="5" t="s">
        <v>4253</v>
      </c>
      <c r="D116" s="2">
        <f>DATE(2020,3,28)+TIME(19,8,36)</f>
        <v>43918.797638888886</v>
      </c>
    </row>
    <row r="117" spans="1:4" ht="17">
      <c r="A117" s="4" t="s">
        <v>3624</v>
      </c>
      <c r="B117" s="4" t="s">
        <v>3625</v>
      </c>
      <c r="C117" s="4" t="s">
        <v>3626</v>
      </c>
      <c r="D117" s="1">
        <f>DATE(2020,6,15)+TIME(9,18,51)</f>
        <v>43997.388090277775</v>
      </c>
    </row>
    <row r="118" spans="1:4" ht="17">
      <c r="A118" s="5" t="s">
        <v>8082</v>
      </c>
      <c r="B118" s="5" t="s">
        <v>8083</v>
      </c>
      <c r="C118" s="5" t="s">
        <v>8084</v>
      </c>
      <c r="D118" s="2">
        <f>DATE(2020,6,29)+TIME(10,30,21)</f>
        <v>44011.437743055554</v>
      </c>
    </row>
    <row r="119" spans="1:4" ht="17">
      <c r="A119" s="5" t="s">
        <v>6608</v>
      </c>
      <c r="B119" s="5" t="s">
        <v>6609</v>
      </c>
      <c r="C119" s="5" t="s">
        <v>6610</v>
      </c>
      <c r="D119" s="2">
        <f>DATE(2020,6,22)+TIME(6,48,12)</f>
        <v>44004.283472222225</v>
      </c>
    </row>
    <row r="120" spans="1:4" ht="17">
      <c r="A120" s="4" t="s">
        <v>4112</v>
      </c>
      <c r="B120" s="4" t="s">
        <v>1095</v>
      </c>
      <c r="C120" s="4" t="s">
        <v>4113</v>
      </c>
      <c r="D120" s="1">
        <f>DATE(2020,5,24)+TIME(22,36,29)</f>
        <v>43975.942002314812</v>
      </c>
    </row>
    <row r="121" spans="1:4" ht="17">
      <c r="A121" s="5" t="s">
        <v>6656</v>
      </c>
      <c r="B121" s="5" t="s">
        <v>9582</v>
      </c>
      <c r="C121" s="5" t="s">
        <v>9583</v>
      </c>
      <c r="D121" s="2">
        <f>DATE(2020,5,18)+TIME(16,11,11)</f>
        <v>43969.674432870372</v>
      </c>
    </row>
    <row r="122" spans="1:4" ht="17">
      <c r="A122" s="5" t="s">
        <v>6656</v>
      </c>
      <c r="B122" s="5" t="s">
        <v>3416</v>
      </c>
      <c r="C122" s="5" t="s">
        <v>6657</v>
      </c>
      <c r="D122" s="2">
        <f>DATE(2020,6,17)+TIME(11,30,43)</f>
        <v>43999.479664351849</v>
      </c>
    </row>
    <row r="123" spans="1:4" ht="17">
      <c r="A123" s="4" t="s">
        <v>712</v>
      </c>
      <c r="B123" s="4" t="s">
        <v>425</v>
      </c>
      <c r="C123" s="4" t="s">
        <v>2772</v>
      </c>
      <c r="D123" s="1">
        <f>DATE(2020,1,24)+TIME(21,45,19)</f>
        <v>43854.906469907408</v>
      </c>
    </row>
    <row r="124" spans="1:4" ht="17">
      <c r="A124" s="4" t="s">
        <v>712</v>
      </c>
      <c r="B124" s="4" t="s">
        <v>4370</v>
      </c>
      <c r="C124" s="4" t="s">
        <v>6672</v>
      </c>
      <c r="D124" s="1">
        <f>DATE(2020,3,31)+TIME(11,37,23)</f>
        <v>43921.484293981484</v>
      </c>
    </row>
    <row r="125" spans="1:4" ht="17">
      <c r="A125" s="5" t="s">
        <v>712</v>
      </c>
      <c r="B125" s="5" t="s">
        <v>5641</v>
      </c>
      <c r="C125" s="5" t="s">
        <v>5642</v>
      </c>
      <c r="D125" s="2">
        <f>DATE(2020,5,6)+TIME(5,14,33)</f>
        <v>43957.2184375</v>
      </c>
    </row>
    <row r="126" spans="1:4" ht="17">
      <c r="A126" s="4" t="s">
        <v>712</v>
      </c>
      <c r="B126" s="4" t="s">
        <v>3219</v>
      </c>
      <c r="C126" s="4" t="s">
        <v>3282</v>
      </c>
      <c r="D126" s="1">
        <f>DATE(2020,5,8)+TIME(19,24,0)</f>
        <v>43959.808333333334</v>
      </c>
    </row>
    <row r="127" spans="1:4" ht="17">
      <c r="A127" s="4" t="s">
        <v>712</v>
      </c>
      <c r="B127" s="4" t="s">
        <v>1541</v>
      </c>
      <c r="C127" s="4" t="s">
        <v>3849</v>
      </c>
      <c r="D127" s="1">
        <f>DATE(2020,5,15)+TIME(15,36,2)</f>
        <v>43966.650023148148</v>
      </c>
    </row>
    <row r="128" spans="1:4" ht="17">
      <c r="A128" s="4" t="s">
        <v>712</v>
      </c>
      <c r="B128" s="4" t="s">
        <v>2158</v>
      </c>
      <c r="C128" s="4" t="s">
        <v>2159</v>
      </c>
      <c r="D128" s="1">
        <f>DATE(2020,5,16)+TIME(13,12,33)</f>
        <v>43967.550381944442</v>
      </c>
    </row>
    <row r="129" spans="1:4" ht="17">
      <c r="A129" s="5" t="s">
        <v>712</v>
      </c>
      <c r="B129" s="5" t="s">
        <v>2335</v>
      </c>
      <c r="C129" s="5" t="s">
        <v>2336</v>
      </c>
      <c r="D129" s="2">
        <f>DATE(2020,5,26)+TIME(15,47,52)</f>
        <v>43977.65824074074</v>
      </c>
    </row>
    <row r="130" spans="1:4" ht="17">
      <c r="A130" s="5" t="s">
        <v>712</v>
      </c>
      <c r="B130" s="5" t="s">
        <v>5279</v>
      </c>
      <c r="C130" s="5" t="s">
        <v>5280</v>
      </c>
      <c r="D130" s="2">
        <f>DATE(2020,6,3)+TIME(10,48,37)</f>
        <v>43985.450428240743</v>
      </c>
    </row>
    <row r="131" spans="1:4" ht="17">
      <c r="A131" s="4" t="s">
        <v>712</v>
      </c>
      <c r="B131" s="4" t="s">
        <v>5742</v>
      </c>
      <c r="C131" s="4" t="s">
        <v>5743</v>
      </c>
      <c r="D131" s="1">
        <f>DATE(2020,6,3)+TIME(17,41,44)</f>
        <v>43985.737314814818</v>
      </c>
    </row>
    <row r="132" spans="1:4" ht="17">
      <c r="A132" s="4" t="s">
        <v>712</v>
      </c>
      <c r="B132" s="4" t="s">
        <v>2111</v>
      </c>
      <c r="C132" s="4" t="s">
        <v>2112</v>
      </c>
      <c r="D132" s="1">
        <f>DATE(2020,6,4)+TIME(18,38,49)</f>
        <v>43986.776956018519</v>
      </c>
    </row>
    <row r="133" spans="1:4" ht="17">
      <c r="A133" s="4" t="s">
        <v>712</v>
      </c>
      <c r="B133" s="4" t="s">
        <v>3228</v>
      </c>
      <c r="C133" s="4" t="s">
        <v>3229</v>
      </c>
      <c r="D133" s="1">
        <f>DATE(2020,6,10)+TIME(19,10,6)</f>
        <v>43992.798680555556</v>
      </c>
    </row>
    <row r="134" spans="1:4" ht="17">
      <c r="A134" s="5" t="s">
        <v>712</v>
      </c>
      <c r="B134" s="5" t="s">
        <v>9037</v>
      </c>
      <c r="C134" s="5" t="s">
        <v>9038</v>
      </c>
      <c r="D134" s="2">
        <f>DATE(2020,6,13)+TIME(14,43,51)</f>
        <v>43995.61378472222</v>
      </c>
    </row>
    <row r="135" spans="1:4" ht="17">
      <c r="A135" s="5" t="s">
        <v>712</v>
      </c>
      <c r="B135" s="5" t="s">
        <v>713</v>
      </c>
      <c r="C135" s="5" t="s">
        <v>714</v>
      </c>
      <c r="D135" s="2">
        <f>DATE(2020,6,19)+TIME(21,31,11)</f>
        <v>44001.896655092591</v>
      </c>
    </row>
    <row r="136" spans="1:4" ht="17">
      <c r="A136" s="5" t="s">
        <v>712</v>
      </c>
      <c r="B136" s="5" t="s">
        <v>4653</v>
      </c>
      <c r="C136" s="5" t="s">
        <v>8015</v>
      </c>
      <c r="D136" s="2">
        <f>DATE(2020,6,22)+TIME(11,52,0)</f>
        <v>44004.494444444441</v>
      </c>
    </row>
    <row r="137" spans="1:4" ht="17">
      <c r="A137" s="5" t="s">
        <v>712</v>
      </c>
      <c r="B137" s="5" t="s">
        <v>9111</v>
      </c>
      <c r="C137" s="5" t="s">
        <v>9112</v>
      </c>
      <c r="D137" s="2">
        <f>DATE(2020,6,24)+TIME(18,32,54)</f>
        <v>44006.772847222222</v>
      </c>
    </row>
    <row r="138" spans="1:4" ht="17">
      <c r="A138" s="4" t="s">
        <v>712</v>
      </c>
      <c r="B138" s="4" t="s">
        <v>8122</v>
      </c>
      <c r="C138" s="4" t="s">
        <v>8123</v>
      </c>
      <c r="D138" s="1">
        <f>DATE(2020,6,25)+TIME(14,36,25)</f>
        <v>44007.608622685184</v>
      </c>
    </row>
    <row r="139" spans="1:4" ht="17">
      <c r="A139" s="4" t="s">
        <v>712</v>
      </c>
      <c r="B139" s="4" t="s">
        <v>6591</v>
      </c>
      <c r="C139" s="4" t="s">
        <v>6592</v>
      </c>
      <c r="D139" s="1">
        <f>DATE(2020,6,29)+TIME(9,26,43)</f>
        <v>44011.393553240741</v>
      </c>
    </row>
    <row r="140" spans="1:4" ht="17">
      <c r="A140" s="5" t="s">
        <v>712</v>
      </c>
      <c r="B140" s="5" t="s">
        <v>140</v>
      </c>
      <c r="C140" s="5" t="s">
        <v>3977</v>
      </c>
      <c r="D140" s="2">
        <f>DATE(2020,6,29)+TIME(12,42,8)</f>
        <v>44011.52925925926</v>
      </c>
    </row>
    <row r="141" spans="1:4" ht="17">
      <c r="A141" s="5" t="s">
        <v>5212</v>
      </c>
      <c r="B141" s="5" t="s">
        <v>5212</v>
      </c>
      <c r="C141" s="5" t="s">
        <v>5213</v>
      </c>
      <c r="D141" s="2">
        <f>DATE(2020,6,5)+TIME(14,2,1)</f>
        <v>43987.584733796299</v>
      </c>
    </row>
    <row r="142" spans="1:4" ht="17">
      <c r="A142" s="4" t="s">
        <v>1679</v>
      </c>
      <c r="B142" s="4" t="s">
        <v>5562</v>
      </c>
      <c r="C142" s="4" t="s">
        <v>5563</v>
      </c>
      <c r="D142" s="1">
        <f>DATE(2020,5,6)+TIME(5,5,25)</f>
        <v>43957.212094907409</v>
      </c>
    </row>
    <row r="143" spans="1:4" ht="17">
      <c r="A143" s="4" t="s">
        <v>1679</v>
      </c>
      <c r="B143" s="4" t="s">
        <v>1680</v>
      </c>
      <c r="C143" s="4" t="s">
        <v>1681</v>
      </c>
      <c r="D143" s="1">
        <f>DATE(2020,5,21)+TIME(6,56,18)</f>
        <v>43972.289097222223</v>
      </c>
    </row>
    <row r="144" spans="1:4" ht="17">
      <c r="A144" s="4" t="s">
        <v>1679</v>
      </c>
      <c r="B144" s="4" t="s">
        <v>6443</v>
      </c>
      <c r="C144" s="4" t="s">
        <v>8067</v>
      </c>
      <c r="D144" s="1">
        <f>DATE(2020,5,27)+TIME(10,15,40)</f>
        <v>43978.427546296298</v>
      </c>
    </row>
    <row r="145" spans="1:4" ht="17">
      <c r="A145" s="5" t="s">
        <v>1679</v>
      </c>
      <c r="B145" s="5" t="s">
        <v>6102</v>
      </c>
      <c r="C145" s="5" t="s">
        <v>6103</v>
      </c>
      <c r="D145" s="2">
        <f>DATE(2020,6,7)+TIME(2,11,15)</f>
        <v>43989.091145833336</v>
      </c>
    </row>
    <row r="146" spans="1:4" ht="17">
      <c r="A146" s="4" t="s">
        <v>1679</v>
      </c>
      <c r="B146" s="4" t="s">
        <v>9337</v>
      </c>
      <c r="C146" s="4" t="s">
        <v>9338</v>
      </c>
      <c r="D146" s="1">
        <f>DATE(2020,6,16)+TIME(16,21,48)</f>
        <v>43998.681805555556</v>
      </c>
    </row>
    <row r="147" spans="1:4" ht="17">
      <c r="A147" s="5" t="s">
        <v>1679</v>
      </c>
      <c r="B147" s="5" t="s">
        <v>8874</v>
      </c>
      <c r="C147" s="5" t="s">
        <v>8875</v>
      </c>
      <c r="D147" s="2">
        <f>DATE(2020,6,17)+TIME(8,32,57)</f>
        <v>43999.356215277781</v>
      </c>
    </row>
    <row r="148" spans="1:4" ht="17">
      <c r="A148" s="4" t="s">
        <v>1679</v>
      </c>
      <c r="B148" s="4" t="s">
        <v>6272</v>
      </c>
      <c r="C148" s="4" t="s">
        <v>6273</v>
      </c>
      <c r="D148" s="1">
        <f>DATE(2020,6,24)+TIME(13,25,55)</f>
        <v>44006.559664351851</v>
      </c>
    </row>
    <row r="149" spans="1:4" ht="17">
      <c r="A149" s="5" t="s">
        <v>1679</v>
      </c>
      <c r="B149" s="5" t="s">
        <v>8065</v>
      </c>
      <c r="C149" s="5" t="s">
        <v>8066</v>
      </c>
      <c r="D149" s="2">
        <f>DATE(2020,6,27)+TIME(12,37,2)</f>
        <v>44009.525717592594</v>
      </c>
    </row>
    <row r="150" spans="1:4" ht="17">
      <c r="A150" s="5" t="s">
        <v>333</v>
      </c>
      <c r="B150" s="5" t="s">
        <v>322</v>
      </c>
      <c r="C150" s="5" t="s">
        <v>334</v>
      </c>
      <c r="D150" s="2">
        <f>DATE(2020,5,27)+TIME(0,27,12)</f>
        <v>43978.018888888888</v>
      </c>
    </row>
    <row r="151" spans="1:4" ht="17">
      <c r="A151" s="4" t="s">
        <v>333</v>
      </c>
      <c r="B151" s="4" t="s">
        <v>1576</v>
      </c>
      <c r="C151" s="4" t="s">
        <v>5404</v>
      </c>
      <c r="D151" s="1">
        <f>DATE(2020,6,19)+TIME(8,45,47)</f>
        <v>44001.365127314813</v>
      </c>
    </row>
    <row r="152" spans="1:4" ht="17">
      <c r="A152" s="5" t="s">
        <v>333</v>
      </c>
      <c r="B152" s="5" t="s">
        <v>7263</v>
      </c>
      <c r="C152" s="5" t="s">
        <v>7264</v>
      </c>
      <c r="D152" s="2">
        <f>DATE(2020,6,29)+TIME(10,3,1)</f>
        <v>44011.418761574074</v>
      </c>
    </row>
    <row r="153" spans="1:4" ht="17">
      <c r="A153" s="5" t="s">
        <v>5517</v>
      </c>
      <c r="B153" s="5" t="s">
        <v>5518</v>
      </c>
      <c r="C153" s="5" t="s">
        <v>5519</v>
      </c>
      <c r="D153" s="2">
        <f>DATE(2020,6,19)+TIME(11,20,2)</f>
        <v>44001.472245370373</v>
      </c>
    </row>
    <row r="154" spans="1:4" ht="17">
      <c r="A154" s="4" t="s">
        <v>114</v>
      </c>
      <c r="B154" s="4" t="s">
        <v>115</v>
      </c>
      <c r="C154" s="4" t="s">
        <v>116</v>
      </c>
      <c r="D154" s="1">
        <f>DATE(2020,4,3)+TIME(11,18,33)</f>
        <v>43924.471215277779</v>
      </c>
    </row>
    <row r="155" spans="1:4" ht="17">
      <c r="A155" s="4" t="s">
        <v>114</v>
      </c>
      <c r="B155" s="4" t="s">
        <v>149</v>
      </c>
      <c r="C155" s="4" t="s">
        <v>150</v>
      </c>
      <c r="D155" s="1">
        <f>DATE(2020,5,5)+TIME(23,55,50)</f>
        <v>43956.997106481482</v>
      </c>
    </row>
    <row r="156" spans="1:4" ht="17">
      <c r="A156" s="5" t="s">
        <v>4226</v>
      </c>
      <c r="B156" s="5" t="s">
        <v>641</v>
      </c>
      <c r="C156" s="5" t="s">
        <v>4227</v>
      </c>
      <c r="D156" s="2">
        <f>DATE(2020,6,26)+TIME(17,49,57)</f>
        <v>44008.743020833332</v>
      </c>
    </row>
    <row r="157" spans="1:4" ht="17">
      <c r="A157" s="4" t="s">
        <v>1759</v>
      </c>
      <c r="B157" s="4" t="s">
        <v>1760</v>
      </c>
      <c r="C157" s="4" t="s">
        <v>1761</v>
      </c>
      <c r="D157" s="1">
        <f>DATE(2020,6,26)+TIME(4,9,51)</f>
        <v>44008.173506944448</v>
      </c>
    </row>
    <row r="158" spans="1:4" ht="17">
      <c r="A158" s="5" t="s">
        <v>3015</v>
      </c>
      <c r="B158" s="5" t="s">
        <v>6576</v>
      </c>
      <c r="C158" s="5" t="s">
        <v>6577</v>
      </c>
      <c r="D158" s="2">
        <f>DATE(2020,4,2)+TIME(8,30,9)</f>
        <v>43923.354270833333</v>
      </c>
    </row>
    <row r="159" spans="1:4" ht="17">
      <c r="A159" s="5" t="s">
        <v>3015</v>
      </c>
      <c r="B159" s="5" t="s">
        <v>3016</v>
      </c>
      <c r="C159" s="5" t="s">
        <v>3017</v>
      </c>
      <c r="D159" s="2">
        <f>DATE(2020,4,9)+TIME(10,14,22)</f>
        <v>43930.42664351852</v>
      </c>
    </row>
    <row r="160" spans="1:4" ht="17">
      <c r="A160" s="5" t="s">
        <v>7887</v>
      </c>
      <c r="B160" s="5" t="s">
        <v>7888</v>
      </c>
      <c r="C160" s="5" t="s">
        <v>7889</v>
      </c>
      <c r="D160" s="2">
        <f>DATE(2020,6,26)+TIME(4,33,24)</f>
        <v>44008.18986111111</v>
      </c>
    </row>
    <row r="161" spans="1:4" ht="17">
      <c r="A161" s="5" t="s">
        <v>2930</v>
      </c>
      <c r="B161" s="5" t="s">
        <v>2931</v>
      </c>
      <c r="C161" s="5" t="s">
        <v>2932</v>
      </c>
      <c r="D161" s="2">
        <f>DATE(2020,6,26)+TIME(16,27,5)</f>
        <v>44008.685474537036</v>
      </c>
    </row>
    <row r="162" spans="1:4" ht="17">
      <c r="A162" s="4" t="s">
        <v>887</v>
      </c>
      <c r="B162" s="4" t="s">
        <v>888</v>
      </c>
      <c r="C162" s="4" t="s">
        <v>889</v>
      </c>
      <c r="D162" s="1">
        <f>DATE(2020,6,29)+TIME(12,5,23)</f>
        <v>44011.503738425927</v>
      </c>
    </row>
    <row r="163" spans="1:4" ht="17">
      <c r="A163" s="5" t="s">
        <v>658</v>
      </c>
      <c r="B163" s="5" t="s">
        <v>57</v>
      </c>
      <c r="C163" s="5" t="s">
        <v>659</v>
      </c>
      <c r="D163" s="2">
        <f>DATE(2020,5,12)+TIME(19,20,53)</f>
        <v>43963.806168981479</v>
      </c>
    </row>
    <row r="164" spans="1:4" ht="17">
      <c r="A164" s="4" t="s">
        <v>658</v>
      </c>
      <c r="B164" s="4" t="s">
        <v>1955</v>
      </c>
      <c r="C164" s="4" t="s">
        <v>1956</v>
      </c>
      <c r="D164" s="1">
        <f>DATE(2020,6,17)+TIME(18,59,2)</f>
        <v>43999.790995370371</v>
      </c>
    </row>
    <row r="165" spans="1:4" ht="17">
      <c r="A165" s="5" t="s">
        <v>7851</v>
      </c>
      <c r="B165" s="5" t="s">
        <v>7852</v>
      </c>
      <c r="C165" s="5" t="s">
        <v>7853</v>
      </c>
      <c r="D165" s="2">
        <f>DATE(2020,6,8)+TIME(2,54,32)</f>
        <v>43990.121203703704</v>
      </c>
    </row>
    <row r="166" spans="1:4" ht="17">
      <c r="A166" s="5" t="s">
        <v>9440</v>
      </c>
      <c r="B166" s="5" t="s">
        <v>9441</v>
      </c>
      <c r="C166" s="5" t="s">
        <v>9442</v>
      </c>
      <c r="D166" s="2">
        <f>DATE(2020,6,19)+TIME(10,28,42)</f>
        <v>44001.436597222222</v>
      </c>
    </row>
    <row r="167" spans="1:4" ht="17">
      <c r="A167" s="4" t="s">
        <v>1892</v>
      </c>
      <c r="B167" s="4" t="s">
        <v>4635</v>
      </c>
      <c r="C167" s="4" t="s">
        <v>4636</v>
      </c>
      <c r="D167" s="1">
        <f>DATE(2020,6,1)+TIME(23,12,32)</f>
        <v>43983.967037037037</v>
      </c>
    </row>
    <row r="168" spans="1:4" ht="17">
      <c r="A168" s="5" t="s">
        <v>7743</v>
      </c>
      <c r="B168" s="5" t="s">
        <v>2639</v>
      </c>
      <c r="C168" s="5" t="s">
        <v>7744</v>
      </c>
      <c r="D168" s="2">
        <f>DATE(2020,6,16)+TIME(9,36,54)</f>
        <v>43998.400625000002</v>
      </c>
    </row>
    <row r="169" spans="1:4" ht="17">
      <c r="A169" s="4" t="s">
        <v>1413</v>
      </c>
      <c r="B169" s="4" t="s">
        <v>1414</v>
      </c>
      <c r="C169" s="4" t="s">
        <v>1415</v>
      </c>
      <c r="D169" s="1">
        <f>DATE(2020,6,16)+TIME(8,23,53)</f>
        <v>43998.349918981483</v>
      </c>
    </row>
    <row r="170" spans="1:4" ht="17">
      <c r="A170" s="4" t="s">
        <v>1413</v>
      </c>
      <c r="B170" s="4" t="s">
        <v>3722</v>
      </c>
      <c r="C170" s="4" t="s">
        <v>3723</v>
      </c>
      <c r="D170" s="1">
        <f>DATE(2020,6,28)+TIME(8,46,23)</f>
        <v>44010.365543981483</v>
      </c>
    </row>
    <row r="171" spans="1:4" ht="17">
      <c r="A171" s="5" t="s">
        <v>5147</v>
      </c>
      <c r="B171" s="5" t="s">
        <v>5148</v>
      </c>
      <c r="C171" s="5" t="s">
        <v>5149</v>
      </c>
      <c r="D171" s="2">
        <f>DATE(2020,5,5)+TIME(15,26,48)</f>
        <v>43956.643611111111</v>
      </c>
    </row>
    <row r="172" spans="1:4" ht="17">
      <c r="A172" s="4" t="s">
        <v>166</v>
      </c>
      <c r="B172" s="4" t="s">
        <v>2736</v>
      </c>
      <c r="C172" s="4" t="s">
        <v>5915</v>
      </c>
      <c r="D172" s="1">
        <f>DATE(2020,3,29)+TIME(20,35,30)</f>
        <v>43919.857986111114</v>
      </c>
    </row>
    <row r="173" spans="1:4" ht="17">
      <c r="A173" s="4" t="s">
        <v>166</v>
      </c>
      <c r="B173" s="4" t="s">
        <v>698</v>
      </c>
      <c r="C173" s="4" t="s">
        <v>700</v>
      </c>
      <c r="D173" s="1">
        <f>DATE(2020,5,6)+TIME(14,26,40)</f>
        <v>43957.601851851854</v>
      </c>
    </row>
    <row r="174" spans="1:4" ht="17">
      <c r="A174" s="4" t="s">
        <v>166</v>
      </c>
      <c r="B174" s="4" t="s">
        <v>1092</v>
      </c>
      <c r="C174" s="4" t="s">
        <v>1093</v>
      </c>
      <c r="D174" s="1">
        <f>DATE(2020,5,8)+TIME(13,45,52)</f>
        <v>43959.573518518519</v>
      </c>
    </row>
    <row r="175" spans="1:4" ht="17">
      <c r="A175" s="4" t="s">
        <v>166</v>
      </c>
      <c r="B175" s="4" t="s">
        <v>167</v>
      </c>
      <c r="C175" s="4" t="s">
        <v>168</v>
      </c>
      <c r="D175" s="1">
        <f>DATE(2020,5,11)+TIME(17,14,51)</f>
        <v>43962.718645833331</v>
      </c>
    </row>
    <row r="176" spans="1:4" ht="17">
      <c r="A176" s="4" t="s">
        <v>166</v>
      </c>
      <c r="B176" s="4" t="s">
        <v>5990</v>
      </c>
      <c r="C176" s="4" t="s">
        <v>5991</v>
      </c>
      <c r="D176" s="1">
        <f>DATE(2020,6,26)+TIME(12,10,30)</f>
        <v>44008.507291666669</v>
      </c>
    </row>
    <row r="177" spans="1:4" ht="17">
      <c r="A177" s="4" t="s">
        <v>8164</v>
      </c>
      <c r="B177" s="4" t="s">
        <v>3187</v>
      </c>
      <c r="C177" s="4" t="s">
        <v>8165</v>
      </c>
      <c r="D177" s="1">
        <f>DATE(2020,5,7)+TIME(14,44,8)</f>
        <v>43958.613981481481</v>
      </c>
    </row>
    <row r="178" spans="1:4" ht="17">
      <c r="A178" s="5" t="s">
        <v>8164</v>
      </c>
      <c r="B178" s="5" t="s">
        <v>9474</v>
      </c>
      <c r="C178" s="5" t="s">
        <v>9475</v>
      </c>
      <c r="D178" s="2">
        <f>DATE(2020,5,26)+TIME(22,24,15)</f>
        <v>43977.933506944442</v>
      </c>
    </row>
    <row r="179" spans="1:4" ht="17">
      <c r="A179" s="5" t="s">
        <v>2113</v>
      </c>
      <c r="B179" s="5" t="s">
        <v>2114</v>
      </c>
      <c r="C179" s="5" t="s">
        <v>2115</v>
      </c>
      <c r="D179" s="2">
        <f>DATE(2020,6,12)+TIME(7,32,47)</f>
        <v>43994.314432870371</v>
      </c>
    </row>
    <row r="180" spans="1:4" ht="17">
      <c r="A180" s="5" t="s">
        <v>5618</v>
      </c>
      <c r="B180" s="5" t="s">
        <v>8116</v>
      </c>
      <c r="C180" s="5" t="s">
        <v>8117</v>
      </c>
      <c r="D180" s="2">
        <f>DATE(2020,6,23)+TIME(7,12,20)</f>
        <v>44005.30023148148</v>
      </c>
    </row>
    <row r="181" spans="1:4" ht="17">
      <c r="A181" s="5" t="s">
        <v>5114</v>
      </c>
      <c r="B181" s="5" t="s">
        <v>5114</v>
      </c>
      <c r="C181" s="5" t="s">
        <v>5115</v>
      </c>
      <c r="D181" s="2">
        <f>DATE(2020,6,13)+TIME(0,34,38)</f>
        <v>43995.024050925924</v>
      </c>
    </row>
    <row r="182" spans="1:4" ht="17">
      <c r="A182" s="4" t="s">
        <v>3176</v>
      </c>
      <c r="B182" s="4" t="s">
        <v>6025</v>
      </c>
      <c r="C182" s="4" t="s">
        <v>6026</v>
      </c>
      <c r="D182" s="1">
        <f>DATE(2020,5,8)+TIME(0,27,36)</f>
        <v>43959.019166666665</v>
      </c>
    </row>
    <row r="183" spans="1:4" ht="17">
      <c r="A183" s="5" t="s">
        <v>3176</v>
      </c>
      <c r="B183" s="5" t="s">
        <v>3177</v>
      </c>
      <c r="C183" s="5" t="s">
        <v>3178</v>
      </c>
      <c r="D183" s="2">
        <f>DATE(2020,5,28)+TIME(20,24,32)</f>
        <v>43979.850370370368</v>
      </c>
    </row>
    <row r="184" spans="1:4" ht="17">
      <c r="A184" s="5" t="s">
        <v>3176</v>
      </c>
      <c r="B184" s="5" t="s">
        <v>6993</v>
      </c>
      <c r="C184" s="5" t="s">
        <v>6994</v>
      </c>
      <c r="D184" s="2">
        <f>DATE(2020,6,16)+TIME(23,17,51)</f>
        <v>43998.970729166664</v>
      </c>
    </row>
    <row r="185" spans="1:4" ht="17">
      <c r="A185" s="5" t="s">
        <v>1209</v>
      </c>
      <c r="B185" s="5" t="s">
        <v>1210</v>
      </c>
      <c r="C185" s="5" t="s">
        <v>1211</v>
      </c>
      <c r="D185" s="2">
        <f>DATE(2020,6,4)+TIME(16,33,47)</f>
        <v>43986.690127314818</v>
      </c>
    </row>
    <row r="186" spans="1:4" ht="17">
      <c r="A186" s="5" t="s">
        <v>9145</v>
      </c>
      <c r="B186" s="5" t="s">
        <v>416</v>
      </c>
      <c r="C186" s="5" t="s">
        <v>9146</v>
      </c>
      <c r="D186" s="2">
        <f>DATE(2020,5,13)+TIME(21,23,10)</f>
        <v>43964.891087962962</v>
      </c>
    </row>
    <row r="187" spans="1:4" ht="17">
      <c r="A187" s="4" t="s">
        <v>1863</v>
      </c>
      <c r="B187" s="4" t="s">
        <v>553</v>
      </c>
      <c r="C187" s="4" t="s">
        <v>1864</v>
      </c>
      <c r="D187" s="1">
        <f>DATE(2020,4,2)+TIME(17,20,32)</f>
        <v>43923.722592592596</v>
      </c>
    </row>
    <row r="188" spans="1:4" ht="17">
      <c r="A188" s="5" t="s">
        <v>3550</v>
      </c>
      <c r="B188" s="5" t="s">
        <v>1486</v>
      </c>
      <c r="C188" s="5" t="s">
        <v>3551</v>
      </c>
      <c r="D188" s="2">
        <f>DATE(2020,6,22)+TIME(19,3,26)</f>
        <v>44004.794050925928</v>
      </c>
    </row>
    <row r="189" spans="1:4" ht="17">
      <c r="A189" s="5" t="s">
        <v>2621</v>
      </c>
      <c r="B189" s="5" t="s">
        <v>118</v>
      </c>
      <c r="C189" s="5" t="s">
        <v>2622</v>
      </c>
      <c r="D189" s="2">
        <f>DATE(2020,6,24)+TIME(9,32,37)</f>
        <v>44006.397650462961</v>
      </c>
    </row>
    <row r="190" spans="1:4" ht="17">
      <c r="A190" s="5" t="s">
        <v>2621</v>
      </c>
      <c r="B190" s="5" t="s">
        <v>8743</v>
      </c>
      <c r="C190" s="5" t="s">
        <v>8744</v>
      </c>
      <c r="D190" s="2">
        <f>DATE(2020,6,24)+TIME(13,52,25)</f>
        <v>44006.578067129631</v>
      </c>
    </row>
    <row r="191" spans="1:4" ht="17">
      <c r="A191" s="5" t="s">
        <v>1751</v>
      </c>
      <c r="B191" s="5" t="s">
        <v>1752</v>
      </c>
      <c r="C191" s="5" t="s">
        <v>1753</v>
      </c>
      <c r="D191" s="2">
        <f>DATE(2020,3,27)+TIME(18,30,21)</f>
        <v>43917.77107638889</v>
      </c>
    </row>
    <row r="192" spans="1:4" ht="17">
      <c r="A192" s="4" t="s">
        <v>1751</v>
      </c>
      <c r="B192" s="4" t="s">
        <v>6045</v>
      </c>
      <c r="C192" s="4" t="s">
        <v>6046</v>
      </c>
      <c r="D192" s="1">
        <f>DATE(2020,5,20)+TIME(11,59,48)</f>
        <v>43971.499861111108</v>
      </c>
    </row>
    <row r="193" spans="1:4" ht="17">
      <c r="A193" s="4" t="s">
        <v>1751</v>
      </c>
      <c r="B193" s="4" t="s">
        <v>7618</v>
      </c>
      <c r="C193" s="4" t="s">
        <v>7619</v>
      </c>
      <c r="D193" s="1">
        <f>DATE(2020,6,25)+TIME(16,21,52)</f>
        <v>44007.681851851848</v>
      </c>
    </row>
    <row r="194" spans="1:4" ht="17">
      <c r="A194" s="5" t="s">
        <v>1751</v>
      </c>
      <c r="B194" s="5" t="s">
        <v>4988</v>
      </c>
      <c r="C194" s="5" t="s">
        <v>4989</v>
      </c>
      <c r="D194" s="2">
        <f>DATE(2020,6,28)+TIME(9,34,57)</f>
        <v>44010.399270833332</v>
      </c>
    </row>
    <row r="195" spans="1:4" ht="17">
      <c r="A195" s="5" t="s">
        <v>7337</v>
      </c>
      <c r="B195" s="5" t="s">
        <v>7338</v>
      </c>
      <c r="C195" s="5" t="s">
        <v>7339</v>
      </c>
      <c r="D195" s="2">
        <f>DATE(2020,5,14)+TIME(19,50,31)</f>
        <v>43965.826747685183</v>
      </c>
    </row>
    <row r="196" spans="1:4" ht="17">
      <c r="A196" s="4" t="s">
        <v>2957</v>
      </c>
      <c r="B196" s="4" t="s">
        <v>2958</v>
      </c>
      <c r="C196" s="4" t="s">
        <v>2959</v>
      </c>
      <c r="D196" s="1">
        <f>DATE(2020,6,25)+TIME(12,15,52)</f>
        <v>44007.511018518519</v>
      </c>
    </row>
    <row r="197" spans="1:4" ht="17">
      <c r="A197" s="5" t="s">
        <v>117</v>
      </c>
      <c r="B197" s="5" t="s">
        <v>118</v>
      </c>
      <c r="C197" s="5" t="s">
        <v>119</v>
      </c>
      <c r="D197" s="2">
        <f>DATE(2020,4,2)+TIME(20,22,38)</f>
        <v>43923.849050925928</v>
      </c>
    </row>
    <row r="198" spans="1:4" ht="17">
      <c r="A198" s="5" t="s">
        <v>6286</v>
      </c>
      <c r="B198" s="5" t="s">
        <v>6287</v>
      </c>
      <c r="C198" s="5" t="s">
        <v>6288</v>
      </c>
      <c r="D198" s="2">
        <f>DATE(2020,6,17)+TIME(13,59,46)</f>
        <v>43999.583171296297</v>
      </c>
    </row>
    <row r="199" spans="1:4" ht="17">
      <c r="A199" s="5" t="s">
        <v>6067</v>
      </c>
      <c r="B199" s="5" t="s">
        <v>5333</v>
      </c>
      <c r="C199" s="5" t="s">
        <v>6068</v>
      </c>
      <c r="D199" s="2">
        <f>DATE(2020,6,25)+TIME(13,21,13)</f>
        <v>44007.556400462963</v>
      </c>
    </row>
    <row r="200" spans="1:4" ht="17">
      <c r="A200" s="4" t="s">
        <v>4629</v>
      </c>
      <c r="B200" s="4" t="s">
        <v>4630</v>
      </c>
      <c r="C200" s="4" t="s">
        <v>4631</v>
      </c>
      <c r="D200" s="1">
        <f>DATE(2020,6,27)+TIME(12,13,59)</f>
        <v>44009.509710648148</v>
      </c>
    </row>
    <row r="201" spans="1:4" ht="17">
      <c r="A201" s="4" t="s">
        <v>2355</v>
      </c>
      <c r="B201" s="4" t="s">
        <v>2356</v>
      </c>
      <c r="C201" s="4" t="s">
        <v>2357</v>
      </c>
      <c r="D201" s="1">
        <f>DATE(2020,6,8)+TIME(15,55,0)</f>
        <v>43990.663194444445</v>
      </c>
    </row>
    <row r="202" spans="1:4" ht="17">
      <c r="A202" s="4" t="s">
        <v>8405</v>
      </c>
      <c r="B202" s="4" t="s">
        <v>8406</v>
      </c>
      <c r="C202" s="4" t="s">
        <v>8407</v>
      </c>
      <c r="D202" s="1">
        <f>DATE(2020,6,20)+TIME(14,58,16)</f>
        <v>44002.623796296299</v>
      </c>
    </row>
    <row r="203" spans="1:4" ht="17">
      <c r="A203" s="5" t="s">
        <v>5125</v>
      </c>
      <c r="B203" s="5" t="s">
        <v>5126</v>
      </c>
      <c r="C203" s="5" t="s">
        <v>5127</v>
      </c>
      <c r="D203" s="2">
        <f>DATE(2020,6,17)+TIME(11,17,25)</f>
        <v>43999.47042824074</v>
      </c>
    </row>
    <row r="204" spans="1:4" ht="17">
      <c r="A204" s="4" t="s">
        <v>3479</v>
      </c>
      <c r="B204" s="4" t="s">
        <v>3480</v>
      </c>
      <c r="C204" s="4" t="s">
        <v>3481</v>
      </c>
      <c r="D204" s="1">
        <f>DATE(2020,6,24)+TIME(15,40,58)</f>
        <v>44006.653449074074</v>
      </c>
    </row>
    <row r="205" spans="1:4" ht="17">
      <c r="A205" s="4" t="s">
        <v>985</v>
      </c>
      <c r="B205" s="4" t="s">
        <v>986</v>
      </c>
      <c r="C205" s="4" t="s">
        <v>987</v>
      </c>
      <c r="D205" s="1">
        <f>DATE(2020,6,24)+TIME(8,40,16)</f>
        <v>44006.361296296294</v>
      </c>
    </row>
    <row r="206" spans="1:4" ht="17">
      <c r="A206" s="5" t="s">
        <v>4204</v>
      </c>
      <c r="B206" s="5" t="s">
        <v>6952</v>
      </c>
      <c r="C206" s="5" t="s">
        <v>6953</v>
      </c>
      <c r="D206" s="2">
        <f>DATE(2020,5,20)+TIME(17,13,52)</f>
        <v>43971.717962962961</v>
      </c>
    </row>
    <row r="207" spans="1:4" ht="17">
      <c r="A207" s="5" t="s">
        <v>4204</v>
      </c>
      <c r="B207" s="5" t="s">
        <v>4205</v>
      </c>
      <c r="C207" s="5" t="s">
        <v>4206</v>
      </c>
      <c r="D207" s="2">
        <f>DATE(2020,5,21)+TIME(23,58,38)</f>
        <v>43972.999050925922</v>
      </c>
    </row>
    <row r="208" spans="1:4" ht="17">
      <c r="A208" s="5" t="s">
        <v>4204</v>
      </c>
      <c r="B208" s="5" t="s">
        <v>6781</v>
      </c>
      <c r="C208" s="5" t="s">
        <v>6782</v>
      </c>
      <c r="D208" s="2">
        <f>DATE(2020,6,12)+TIME(23,19,51)</f>
        <v>43994.972118055557</v>
      </c>
    </row>
    <row r="209" spans="1:4" ht="17">
      <c r="A209" s="5" t="s">
        <v>4204</v>
      </c>
      <c r="B209" s="5" t="s">
        <v>109</v>
      </c>
      <c r="C209" s="5" t="s">
        <v>4392</v>
      </c>
      <c r="D209" s="2">
        <f>DATE(2020,6,25)+TIME(5,0,20)</f>
        <v>44007.208564814813</v>
      </c>
    </row>
    <row r="210" spans="1:4" ht="17">
      <c r="A210" s="5" t="s">
        <v>4204</v>
      </c>
      <c r="B210" s="5" t="s">
        <v>7236</v>
      </c>
      <c r="C210" s="5" t="s">
        <v>7237</v>
      </c>
      <c r="D210" s="2">
        <f>DATE(2020,6,26)+TIME(12,53,37)</f>
        <v>44008.537233796298</v>
      </c>
    </row>
    <row r="211" spans="1:4" ht="17">
      <c r="A211" s="5" t="s">
        <v>1005</v>
      </c>
      <c r="B211" s="5" t="s">
        <v>1006</v>
      </c>
      <c r="C211" s="5" t="s">
        <v>1007</v>
      </c>
      <c r="D211" s="2">
        <f>DATE(2020,6,24)+TIME(15,40,58)</f>
        <v>44006.653449074074</v>
      </c>
    </row>
    <row r="212" spans="1:4" ht="17">
      <c r="A212" s="4" t="s">
        <v>9426</v>
      </c>
      <c r="B212" s="4" t="s">
        <v>9427</v>
      </c>
      <c r="C212" s="4" t="s">
        <v>9428</v>
      </c>
      <c r="D212" s="1">
        <f>DATE(2020,6,23)+TIME(15,53,1)</f>
        <v>44005.661817129629</v>
      </c>
    </row>
    <row r="213" spans="1:4" ht="17">
      <c r="A213" s="5" t="s">
        <v>2084</v>
      </c>
      <c r="B213" s="5" t="s">
        <v>7424</v>
      </c>
      <c r="C213" s="5" t="s">
        <v>7425</v>
      </c>
      <c r="D213" s="2">
        <f>DATE(2020,6,16)+TIME(10,33,42)</f>
        <v>43998.440069444441</v>
      </c>
    </row>
    <row r="214" spans="1:4" ht="17">
      <c r="A214" s="4" t="s">
        <v>2084</v>
      </c>
      <c r="B214" s="4" t="s">
        <v>2085</v>
      </c>
      <c r="C214" s="4" t="s">
        <v>2086</v>
      </c>
      <c r="D214" s="1">
        <f>DATE(2020,6,25)+TIME(1,38,0)</f>
        <v>44007.068055555559</v>
      </c>
    </row>
    <row r="215" spans="1:4" ht="17">
      <c r="A215" s="5" t="s">
        <v>706</v>
      </c>
      <c r="B215" s="5" t="s">
        <v>707</v>
      </c>
      <c r="C215" s="5" t="s">
        <v>708</v>
      </c>
      <c r="D215" s="2">
        <f>DATE(2020,5,13)+TIME(19,6,22)</f>
        <v>43964.796087962961</v>
      </c>
    </row>
    <row r="216" spans="1:4" ht="17">
      <c r="A216" s="4" t="s">
        <v>6844</v>
      </c>
      <c r="B216" s="4" t="s">
        <v>556</v>
      </c>
      <c r="C216" s="4" t="s">
        <v>6845</v>
      </c>
      <c r="D216" s="1">
        <f>DATE(2020,6,23)+TIME(11,11,24)</f>
        <v>44005.466249999998</v>
      </c>
    </row>
    <row r="217" spans="1:4" ht="17">
      <c r="A217" s="5" t="s">
        <v>8892</v>
      </c>
      <c r="B217" s="5" t="s">
        <v>8893</v>
      </c>
      <c r="C217" s="5" t="s">
        <v>8894</v>
      </c>
      <c r="D217" s="2">
        <f>DATE(2020,4,19)+TIME(9,27,8)</f>
        <v>43940.393842592595</v>
      </c>
    </row>
    <row r="218" spans="1:4" ht="17">
      <c r="A218" s="4" t="s">
        <v>6435</v>
      </c>
      <c r="B218" s="4" t="s">
        <v>6436</v>
      </c>
      <c r="C218" s="4" t="s">
        <v>6437</v>
      </c>
      <c r="D218" s="1">
        <f>DATE(2020,6,29)+TIME(11,44,59)</f>
        <v>44011.489571759259</v>
      </c>
    </row>
    <row r="219" spans="1:4" ht="17">
      <c r="A219" s="4" t="s">
        <v>3125</v>
      </c>
      <c r="B219" s="4" t="s">
        <v>3126</v>
      </c>
      <c r="C219" s="4" t="s">
        <v>3127</v>
      </c>
      <c r="D219" s="1">
        <f>DATE(2020,6,16)+TIME(16,57,9)</f>
        <v>43998.706354166665</v>
      </c>
    </row>
    <row r="220" spans="1:4" ht="17">
      <c r="A220" s="4" t="s">
        <v>3012</v>
      </c>
      <c r="B220" s="4" t="s">
        <v>3013</v>
      </c>
      <c r="C220" s="4" t="s">
        <v>3014</v>
      </c>
      <c r="D220" s="1">
        <f>DATE(2020,5,22)+TIME(3,17,51)</f>
        <v>43973.137395833335</v>
      </c>
    </row>
    <row r="221" spans="1:4" ht="17">
      <c r="A221" s="4" t="s">
        <v>902</v>
      </c>
      <c r="B221" s="4" t="s">
        <v>903</v>
      </c>
      <c r="C221" s="4" t="s">
        <v>905</v>
      </c>
      <c r="D221" s="1">
        <f>DATE(2020,5,20)+TIME(23,57,45)</f>
        <v>43971.998437499999</v>
      </c>
    </row>
    <row r="222" spans="1:4" ht="17">
      <c r="A222" s="5" t="s">
        <v>3340</v>
      </c>
      <c r="B222" s="5" t="s">
        <v>3341</v>
      </c>
      <c r="C222" s="5" t="s">
        <v>3342</v>
      </c>
      <c r="D222" s="2">
        <f>DATE(2020,6,25)+TIME(0,44,38)</f>
        <v>44007.030995370369</v>
      </c>
    </row>
    <row r="223" spans="1:4" ht="17">
      <c r="A223" s="4" t="s">
        <v>1526</v>
      </c>
      <c r="B223" s="4" t="s">
        <v>1527</v>
      </c>
      <c r="C223" s="4" t="s">
        <v>1528</v>
      </c>
      <c r="D223" s="1">
        <f>DATE(2020,6,25)+TIME(0,52,13)</f>
        <v>44007.036261574074</v>
      </c>
    </row>
    <row r="224" spans="1:4" ht="17">
      <c r="A224" s="5" t="s">
        <v>567</v>
      </c>
      <c r="B224" s="5" t="s">
        <v>568</v>
      </c>
      <c r="C224" s="5" t="s">
        <v>569</v>
      </c>
      <c r="D224" s="2">
        <f>DATE(2020,5,6)+TIME(4,7,20)</f>
        <v>43957.171759259261</v>
      </c>
    </row>
    <row r="225" spans="1:4" ht="17">
      <c r="A225" s="5" t="s">
        <v>567</v>
      </c>
      <c r="B225" s="5" t="s">
        <v>8958</v>
      </c>
      <c r="C225" s="5" t="s">
        <v>8959</v>
      </c>
      <c r="D225" s="2">
        <f>DATE(2020,6,17)+TIME(17,33,16)</f>
        <v>43999.731435185182</v>
      </c>
    </row>
    <row r="226" spans="1:4" ht="17">
      <c r="A226" s="5" t="s">
        <v>567</v>
      </c>
      <c r="B226" s="5" t="s">
        <v>4352</v>
      </c>
      <c r="C226" s="5" t="s">
        <v>4353</v>
      </c>
      <c r="D226" s="2">
        <f>DATE(2020,6,23)+TIME(23,20,26)</f>
        <v>44005.97252314815</v>
      </c>
    </row>
    <row r="227" spans="1:4" ht="17">
      <c r="A227" s="4" t="s">
        <v>2060</v>
      </c>
      <c r="B227" s="4" t="s">
        <v>2061</v>
      </c>
      <c r="C227" s="4" t="s">
        <v>2062</v>
      </c>
      <c r="D227" s="1">
        <f>DATE(2020,6,25)+TIME(23,23,9)</f>
        <v>44007.974409722221</v>
      </c>
    </row>
    <row r="228" spans="1:4" ht="17">
      <c r="A228" s="4" t="s">
        <v>3402</v>
      </c>
      <c r="B228" s="4" t="s">
        <v>3403</v>
      </c>
      <c r="C228" s="4" t="s">
        <v>3404</v>
      </c>
      <c r="D228" s="1">
        <f>DATE(2020,6,26)+TIME(8,29,17)</f>
        <v>44008.353668981479</v>
      </c>
    </row>
    <row r="229" spans="1:4" ht="17">
      <c r="A229" s="4" t="s">
        <v>5638</v>
      </c>
      <c r="B229" s="4" t="s">
        <v>5639</v>
      </c>
      <c r="C229" s="4" t="s">
        <v>5640</v>
      </c>
      <c r="D229" s="1">
        <f>DATE(2020,5,5)+TIME(17,4,44)</f>
        <v>43956.71162037037</v>
      </c>
    </row>
    <row r="230" spans="1:4" ht="17">
      <c r="A230" s="4" t="s">
        <v>5638</v>
      </c>
      <c r="B230" s="4" t="s">
        <v>8394</v>
      </c>
      <c r="C230" s="4" t="s">
        <v>8395</v>
      </c>
      <c r="D230" s="1">
        <f>DATE(2020,5,18)+TIME(10,29,42)</f>
        <v>43969.437291666669</v>
      </c>
    </row>
    <row r="231" spans="1:4" ht="17">
      <c r="A231" s="4" t="s">
        <v>3007</v>
      </c>
      <c r="B231" s="4" t="s">
        <v>8534</v>
      </c>
      <c r="C231" s="4" t="s">
        <v>8535</v>
      </c>
      <c r="D231" s="1">
        <f>DATE(2020,5,12)+TIME(5,56,12)</f>
        <v>43963.247361111113</v>
      </c>
    </row>
    <row r="232" spans="1:4" ht="17">
      <c r="A232" s="4" t="s">
        <v>4660</v>
      </c>
      <c r="B232" s="4" t="s">
        <v>4661</v>
      </c>
      <c r="C232" s="4" t="s">
        <v>4662</v>
      </c>
      <c r="D232" s="1">
        <f>DATE(2020,5,5)+TIME(15,42,52)</f>
        <v>43956.654768518521</v>
      </c>
    </row>
    <row r="233" spans="1:4" ht="17">
      <c r="A233" s="5" t="s">
        <v>3028</v>
      </c>
      <c r="B233" s="5" t="s">
        <v>1316</v>
      </c>
      <c r="C233" s="5" t="s">
        <v>4637</v>
      </c>
      <c r="D233" s="2">
        <f>DATE(2020,5,6)+TIME(11,3,46)</f>
        <v>43957.460949074077</v>
      </c>
    </row>
    <row r="234" spans="1:4" ht="17">
      <c r="A234" s="4" t="s">
        <v>3028</v>
      </c>
      <c r="B234" s="4" t="s">
        <v>4364</v>
      </c>
      <c r="C234" s="4" t="s">
        <v>4365</v>
      </c>
      <c r="D234" s="1">
        <f>DATE(2020,6,19)+TIME(12,23,11)</f>
        <v>44001.516099537039</v>
      </c>
    </row>
    <row r="235" spans="1:4" ht="17">
      <c r="A235" s="4" t="s">
        <v>3028</v>
      </c>
      <c r="B235" s="4" t="s">
        <v>3029</v>
      </c>
      <c r="C235" s="4" t="s">
        <v>3030</v>
      </c>
      <c r="D235" s="1">
        <f>DATE(2020,6,28)+TIME(11,58,46)</f>
        <v>44010.499143518522</v>
      </c>
    </row>
    <row r="236" spans="1:4" ht="17">
      <c r="A236" s="5" t="s">
        <v>2862</v>
      </c>
      <c r="B236" s="5" t="s">
        <v>2863</v>
      </c>
      <c r="C236" s="5" t="s">
        <v>2864</v>
      </c>
      <c r="D236" s="2">
        <f>DATE(2020,6,17)+TIME(13,5,4)</f>
        <v>43999.545185185183</v>
      </c>
    </row>
    <row r="237" spans="1:4" ht="17">
      <c r="A237" s="4" t="s">
        <v>870</v>
      </c>
      <c r="B237" s="4" t="s">
        <v>4959</v>
      </c>
      <c r="C237" s="4" t="s">
        <v>4960</v>
      </c>
      <c r="D237" s="1">
        <f>DATE(2020,5,5)+TIME(15,30,23)</f>
        <v>43956.646099537036</v>
      </c>
    </row>
    <row r="238" spans="1:4" ht="17">
      <c r="A238" s="4" t="s">
        <v>870</v>
      </c>
      <c r="B238" s="4" t="s">
        <v>7672</v>
      </c>
      <c r="C238" s="4" t="s">
        <v>7673</v>
      </c>
      <c r="D238" s="1">
        <f>DATE(2020,5,9)+TIME(2,15,29)</f>
        <v>43960.094085648147</v>
      </c>
    </row>
    <row r="239" spans="1:4" ht="17">
      <c r="A239" s="5" t="s">
        <v>870</v>
      </c>
      <c r="B239" s="5" t="s">
        <v>2068</v>
      </c>
      <c r="C239" s="5" t="s">
        <v>2069</v>
      </c>
      <c r="D239" s="2">
        <f>DATE(2020,6,5)+TIME(6,6,40)</f>
        <v>43987.254629629628</v>
      </c>
    </row>
    <row r="240" spans="1:4" ht="17">
      <c r="A240" s="4" t="s">
        <v>870</v>
      </c>
      <c r="B240" s="4" t="s">
        <v>871</v>
      </c>
      <c r="C240" s="4" t="s">
        <v>872</v>
      </c>
      <c r="D240" s="1">
        <f>DATE(2020,6,27)+TIME(9,20,19)</f>
        <v>44009.389108796298</v>
      </c>
    </row>
    <row r="241" spans="1:4" ht="17">
      <c r="A241" s="5" t="s">
        <v>870</v>
      </c>
      <c r="B241" s="5" t="s">
        <v>4378</v>
      </c>
      <c r="C241" s="5" t="s">
        <v>4379</v>
      </c>
      <c r="D241" s="2">
        <f>DATE(2020,6,28)+TIME(12,26,22)</f>
        <v>44010.518310185187</v>
      </c>
    </row>
    <row r="242" spans="1:4" ht="17">
      <c r="A242" s="4" t="s">
        <v>21</v>
      </c>
      <c r="B242" s="4" t="s">
        <v>1771</v>
      </c>
      <c r="C242" s="4" t="s">
        <v>1772</v>
      </c>
      <c r="D242" s="1">
        <f>DATE(2020,1,26)+TIME(6,1,17)</f>
        <v>43856.250891203701</v>
      </c>
    </row>
    <row r="243" spans="1:4" ht="17">
      <c r="A243" s="4" t="s">
        <v>21</v>
      </c>
      <c r="B243" s="4" t="s">
        <v>7108</v>
      </c>
      <c r="C243" s="4" t="s">
        <v>7109</v>
      </c>
      <c r="D243" s="1">
        <f>DATE(2020,5,6)+TIME(15,49,21)</f>
        <v>43957.659270833334</v>
      </c>
    </row>
    <row r="244" spans="1:4" ht="17">
      <c r="A244" s="5" t="s">
        <v>21</v>
      </c>
      <c r="B244" s="5" t="s">
        <v>2474</v>
      </c>
      <c r="C244" s="5" t="s">
        <v>9249</v>
      </c>
      <c r="D244" s="2">
        <f>DATE(2020,5,11)+TIME(1,8,57)</f>
        <v>43962.047881944447</v>
      </c>
    </row>
    <row r="245" spans="1:4" ht="17">
      <c r="A245" s="4" t="s">
        <v>21</v>
      </c>
      <c r="B245" s="4" t="s">
        <v>5669</v>
      </c>
      <c r="C245" s="4" t="s">
        <v>5670</v>
      </c>
      <c r="D245" s="1">
        <f>DATE(2020,5,28)+TIME(2,29,23)</f>
        <v>43979.103738425925</v>
      </c>
    </row>
    <row r="246" spans="1:4" ht="17">
      <c r="A246" s="5" t="s">
        <v>21</v>
      </c>
      <c r="B246" s="5" t="s">
        <v>22</v>
      </c>
      <c r="C246" s="5" t="s">
        <v>23</v>
      </c>
      <c r="D246" s="2">
        <f>DATE(2020,5,30)+TIME(14,44,43)</f>
        <v>43981.614386574074</v>
      </c>
    </row>
    <row r="247" spans="1:4" ht="17">
      <c r="A247" s="4" t="s">
        <v>21</v>
      </c>
      <c r="B247" s="4" t="s">
        <v>2876</v>
      </c>
      <c r="C247" s="4" t="s">
        <v>2877</v>
      </c>
      <c r="D247" s="1">
        <f>DATE(2020,6,2)+TIME(6,12,32)</f>
        <v>43984.258703703701</v>
      </c>
    </row>
    <row r="248" spans="1:4" ht="17">
      <c r="A248" s="4" t="s">
        <v>21</v>
      </c>
      <c r="B248" s="4" t="s">
        <v>291</v>
      </c>
      <c r="C248" s="4" t="s">
        <v>292</v>
      </c>
      <c r="D248" s="1">
        <f>DATE(2020,6,16)+TIME(13,51,52)</f>
        <v>43998.577685185184</v>
      </c>
    </row>
    <row r="249" spans="1:4" ht="17">
      <c r="A249" s="5" t="s">
        <v>21</v>
      </c>
      <c r="B249" s="5" t="s">
        <v>4814</v>
      </c>
      <c r="C249" s="5" t="s">
        <v>4815</v>
      </c>
      <c r="D249" s="2">
        <f>DATE(2020,6,27)+TIME(5,21,58)</f>
        <v>44009.223587962966</v>
      </c>
    </row>
    <row r="250" spans="1:4" ht="17">
      <c r="A250" s="5" t="s">
        <v>21</v>
      </c>
      <c r="B250" s="5" t="s">
        <v>603</v>
      </c>
      <c r="C250" s="5" t="s">
        <v>604</v>
      </c>
      <c r="D250" s="2">
        <f>DATE(2020,6,28)+TIME(18,7,54)</f>
        <v>44010.755486111113</v>
      </c>
    </row>
    <row r="251" spans="1:4" ht="17">
      <c r="A251" s="5" t="s">
        <v>21</v>
      </c>
      <c r="B251" s="5" t="s">
        <v>9277</v>
      </c>
      <c r="C251" s="5" t="s">
        <v>9278</v>
      </c>
      <c r="D251" s="2">
        <f>DATE(2020,6,29)+TIME(8,22,47)</f>
        <v>44011.34915509259</v>
      </c>
    </row>
    <row r="252" spans="1:4" ht="17">
      <c r="A252" s="5" t="s">
        <v>607</v>
      </c>
      <c r="B252" s="5" t="s">
        <v>608</v>
      </c>
      <c r="C252" s="5" t="s">
        <v>609</v>
      </c>
      <c r="D252" s="2">
        <f>DATE(2020,5,7)+TIME(3,26,6)</f>
        <v>43958.143125000002</v>
      </c>
    </row>
    <row r="253" spans="1:4" ht="17">
      <c r="A253" s="5" t="s">
        <v>607</v>
      </c>
      <c r="B253" s="5" t="s">
        <v>6799</v>
      </c>
      <c r="C253" s="5" t="s">
        <v>6800</v>
      </c>
      <c r="D253" s="2">
        <f>DATE(2020,6,18)+TIME(16,16,49)</f>
        <v>44000.678344907406</v>
      </c>
    </row>
    <row r="254" spans="1:4" ht="17">
      <c r="A254" s="4" t="s">
        <v>607</v>
      </c>
      <c r="B254" s="4" t="s">
        <v>3082</v>
      </c>
      <c r="C254" s="4" t="s">
        <v>3083</v>
      </c>
      <c r="D254" s="1">
        <f>DATE(2020,6,23)+TIME(19,47,2)</f>
        <v>44005.824328703704</v>
      </c>
    </row>
    <row r="255" spans="1:4" ht="17">
      <c r="A255" s="5" t="s">
        <v>3709</v>
      </c>
      <c r="B255" s="5" t="s">
        <v>3710</v>
      </c>
      <c r="C255" s="5" t="s">
        <v>3711</v>
      </c>
      <c r="D255" s="2">
        <f>DATE(2020,6,24)+TIME(1,4,59)</f>
        <v>44006.045127314814</v>
      </c>
    </row>
    <row r="256" spans="1:4" ht="17">
      <c r="A256" s="5" t="s">
        <v>7848</v>
      </c>
      <c r="B256" s="5" t="s">
        <v>8491</v>
      </c>
      <c r="C256" s="5" t="s">
        <v>8492</v>
      </c>
      <c r="D256" s="2">
        <f>DATE(2020,5,5)+TIME(19,30,34)</f>
        <v>43956.812893518516</v>
      </c>
    </row>
    <row r="257" spans="1:4" ht="17">
      <c r="A257" s="4" t="s">
        <v>7848</v>
      </c>
      <c r="B257" s="4" t="s">
        <v>7849</v>
      </c>
      <c r="C257" s="4" t="s">
        <v>7850</v>
      </c>
      <c r="D257" s="1">
        <f>DATE(2020,6,25)+TIME(21,3,46)</f>
        <v>44007.877615740741</v>
      </c>
    </row>
    <row r="258" spans="1:4" ht="17">
      <c r="A258" s="4" t="s">
        <v>1203</v>
      </c>
      <c r="B258" s="4" t="s">
        <v>6816</v>
      </c>
      <c r="C258" s="4" t="s">
        <v>8152</v>
      </c>
      <c r="D258" s="1">
        <f>DATE(2020,3,27)+TIME(15,19,13)</f>
        <v>43917.638344907406</v>
      </c>
    </row>
    <row r="259" spans="1:4" ht="17">
      <c r="A259" s="5" t="s">
        <v>1203</v>
      </c>
      <c r="B259" s="5" t="s">
        <v>2949</v>
      </c>
      <c r="C259" s="5" t="s">
        <v>4612</v>
      </c>
      <c r="D259" s="2">
        <f>DATE(2020,5,5)+TIME(19,38,27)</f>
        <v>43956.818368055552</v>
      </c>
    </row>
    <row r="260" spans="1:4" ht="17">
      <c r="A260" s="5" t="s">
        <v>1203</v>
      </c>
      <c r="B260" s="5" t="s">
        <v>6081</v>
      </c>
      <c r="C260" s="5" t="s">
        <v>6082</v>
      </c>
      <c r="D260" s="2">
        <f>DATE(2020,5,11)+TIME(12,9,31)</f>
        <v>43962.506608796299</v>
      </c>
    </row>
    <row r="261" spans="1:4" ht="17">
      <c r="A261" s="5" t="s">
        <v>1203</v>
      </c>
      <c r="B261" s="5" t="s">
        <v>8054</v>
      </c>
      <c r="C261" s="5" t="s">
        <v>8055</v>
      </c>
      <c r="D261" s="2">
        <f>DATE(2020,5,29)+TIME(10,45,50)</f>
        <v>43980.448495370372</v>
      </c>
    </row>
    <row r="262" spans="1:4" ht="17">
      <c r="A262" s="4" t="s">
        <v>1203</v>
      </c>
      <c r="B262" s="4" t="s">
        <v>633</v>
      </c>
      <c r="C262" s="4" t="s">
        <v>3765</v>
      </c>
      <c r="D262" s="1">
        <f>DATE(2020,6,3)+TIME(0,59,33)</f>
        <v>43985.041354166664</v>
      </c>
    </row>
    <row r="263" spans="1:4" ht="17">
      <c r="A263" s="4" t="s">
        <v>1203</v>
      </c>
      <c r="B263" s="4" t="s">
        <v>6940</v>
      </c>
      <c r="C263" s="4" t="s">
        <v>6941</v>
      </c>
      <c r="D263" s="1">
        <f>DATE(2020,6,8)+TIME(2,54,32)</f>
        <v>43990.121203703704</v>
      </c>
    </row>
    <row r="264" spans="1:4" ht="17">
      <c r="A264" s="5" t="s">
        <v>1203</v>
      </c>
      <c r="B264" s="5" t="s">
        <v>6580</v>
      </c>
      <c r="C264" s="5" t="s">
        <v>6581</v>
      </c>
      <c r="D264" s="2">
        <f>DATE(2020,6,15)+TIME(13,1,56)</f>
        <v>43997.543009259258</v>
      </c>
    </row>
    <row r="265" spans="1:4" ht="17">
      <c r="A265" s="5" t="s">
        <v>1203</v>
      </c>
      <c r="B265" s="5" t="s">
        <v>4187</v>
      </c>
      <c r="C265" s="5" t="s">
        <v>4188</v>
      </c>
      <c r="D265" s="2">
        <f>DATE(2020,6,15)+TIME(23,8,19)</f>
        <v>43997.964108796295</v>
      </c>
    </row>
    <row r="266" spans="1:4" ht="17">
      <c r="A266" s="4" t="s">
        <v>1203</v>
      </c>
      <c r="B266" s="4" t="s">
        <v>9395</v>
      </c>
      <c r="C266" s="4" t="s">
        <v>9396</v>
      </c>
      <c r="D266" s="1">
        <f>DATE(2020,6,18)+TIME(11,41,8)</f>
        <v>44000.486898148149</v>
      </c>
    </row>
    <row r="267" spans="1:4" ht="17">
      <c r="A267" s="5" t="s">
        <v>1203</v>
      </c>
      <c r="B267" s="5" t="s">
        <v>1204</v>
      </c>
      <c r="C267" s="5" t="s">
        <v>1205</v>
      </c>
      <c r="D267" s="2">
        <f>DATE(2020,6,23)+TIME(22,44,42)</f>
        <v>44005.947708333333</v>
      </c>
    </row>
    <row r="268" spans="1:4" ht="17">
      <c r="A268" s="5" t="s">
        <v>1203</v>
      </c>
      <c r="B268" s="5" t="s">
        <v>1703</v>
      </c>
      <c r="C268" s="5" t="s">
        <v>1704</v>
      </c>
      <c r="D268" s="2">
        <f>DATE(2020,6,24)+TIME(10,37,7)</f>
        <v>44006.442442129628</v>
      </c>
    </row>
    <row r="269" spans="1:4" ht="17">
      <c r="A269" s="4" t="s">
        <v>1203</v>
      </c>
      <c r="B269" s="4" t="s">
        <v>5376</v>
      </c>
      <c r="C269" s="4" t="s">
        <v>5377</v>
      </c>
      <c r="D269" s="1">
        <f>DATE(2020,6,24)+TIME(11,18,7)</f>
        <v>44006.470914351848</v>
      </c>
    </row>
    <row r="270" spans="1:4" ht="17">
      <c r="A270" s="5" t="s">
        <v>1203</v>
      </c>
      <c r="B270" s="5" t="s">
        <v>6555</v>
      </c>
      <c r="C270" s="5" t="s">
        <v>6556</v>
      </c>
      <c r="D270" s="2">
        <f>DATE(2020,6,26)+TIME(8,41,9)</f>
        <v>44008.361909722225</v>
      </c>
    </row>
    <row r="271" spans="1:4" ht="17">
      <c r="A271" s="4" t="s">
        <v>1203</v>
      </c>
      <c r="B271" s="4" t="s">
        <v>961</v>
      </c>
      <c r="C271" s="4" t="s">
        <v>6205</v>
      </c>
      <c r="D271" s="1">
        <f>DATE(2020,6,26)+TIME(15,55,14)</f>
        <v>44008.663356481484</v>
      </c>
    </row>
    <row r="272" spans="1:4" ht="17">
      <c r="A272" s="4" t="s">
        <v>1203</v>
      </c>
      <c r="B272" s="4" t="s">
        <v>4743</v>
      </c>
      <c r="C272" s="4" t="s">
        <v>4744</v>
      </c>
      <c r="D272" s="1">
        <f>DATE(2020,6,29)+TIME(9,48,41)</f>
        <v>44011.408807870372</v>
      </c>
    </row>
    <row r="273" spans="1:4" ht="17">
      <c r="A273" s="5" t="s">
        <v>1203</v>
      </c>
      <c r="B273" s="5" t="s">
        <v>7442</v>
      </c>
      <c r="C273" s="5" t="s">
        <v>7443</v>
      </c>
      <c r="D273" s="2">
        <f>DATE(2020,6,29)+TIME(13,53,36)</f>
        <v>44011.578888888886</v>
      </c>
    </row>
    <row r="274" spans="1:4" ht="17">
      <c r="A274" s="4" t="s">
        <v>1054</v>
      </c>
      <c r="B274" s="4" t="s">
        <v>1055</v>
      </c>
      <c r="C274" s="4" t="s">
        <v>1056</v>
      </c>
      <c r="D274" s="1">
        <f>DATE(2020,6,20)+TIME(18,26,6)</f>
        <v>44002.768125000002</v>
      </c>
    </row>
    <row r="275" spans="1:4" ht="17">
      <c r="A275" s="4" t="s">
        <v>9556</v>
      </c>
      <c r="B275" s="4" t="s">
        <v>9557</v>
      </c>
      <c r="C275" s="4" t="s">
        <v>9558</v>
      </c>
      <c r="D275" s="1">
        <f>DATE(2020,6,29)+TIME(10,21,47)</f>
        <v>44011.431793981479</v>
      </c>
    </row>
    <row r="276" spans="1:4" ht="17">
      <c r="A276" s="5" t="s">
        <v>3503</v>
      </c>
      <c r="B276" s="5" t="s">
        <v>9360</v>
      </c>
      <c r="C276" s="5" t="s">
        <v>9361</v>
      </c>
      <c r="D276" s="2">
        <f>DATE(2020,5,13)+TIME(3,54,28)</f>
        <v>43964.162824074076</v>
      </c>
    </row>
    <row r="277" spans="1:4" ht="17">
      <c r="A277" s="5" t="s">
        <v>3503</v>
      </c>
      <c r="B277" s="5" t="s">
        <v>3504</v>
      </c>
      <c r="C277" s="5" t="s">
        <v>3505</v>
      </c>
      <c r="D277" s="2">
        <f>DATE(2020,6,28)+TIME(6,53,56)</f>
        <v>44010.287453703706</v>
      </c>
    </row>
    <row r="278" spans="1:4" ht="17">
      <c r="A278" s="5" t="s">
        <v>369</v>
      </c>
      <c r="B278" s="5" t="s">
        <v>370</v>
      </c>
      <c r="C278" s="5" t="s">
        <v>371</v>
      </c>
      <c r="D278" s="2">
        <f>DATE(2020,5,8)+TIME(15,38,53)</f>
        <v>43959.652002314811</v>
      </c>
    </row>
    <row r="279" spans="1:4" ht="17">
      <c r="A279" s="5" t="s">
        <v>369</v>
      </c>
      <c r="B279" s="5" t="s">
        <v>3219</v>
      </c>
      <c r="C279" s="5" t="s">
        <v>4599</v>
      </c>
      <c r="D279" s="2">
        <f>DATE(2020,5,13)+TIME(16,27,23)</f>
        <v>43964.685682870368</v>
      </c>
    </row>
    <row r="280" spans="1:4" ht="17">
      <c r="A280" s="4" t="s">
        <v>369</v>
      </c>
      <c r="B280" s="4" t="s">
        <v>7936</v>
      </c>
      <c r="C280" s="4" t="s">
        <v>7937</v>
      </c>
      <c r="D280" s="1">
        <f>DATE(2020,5,18)+TIME(9,5,28)</f>
        <v>43969.378796296296</v>
      </c>
    </row>
    <row r="281" spans="1:4" ht="17">
      <c r="A281" s="5" t="s">
        <v>369</v>
      </c>
      <c r="B281" s="5" t="s">
        <v>7081</v>
      </c>
      <c r="C281" s="5" t="s">
        <v>7082</v>
      </c>
      <c r="D281" s="2">
        <f>DATE(2020,6,26)+TIME(9,20,30)</f>
        <v>44008.389236111114</v>
      </c>
    </row>
    <row r="282" spans="1:4" ht="17">
      <c r="A282" s="5" t="s">
        <v>7828</v>
      </c>
      <c r="B282" s="5" t="s">
        <v>1616</v>
      </c>
      <c r="C282" s="5" t="s">
        <v>8364</v>
      </c>
      <c r="D282" s="2">
        <f>DATE(2020,5,6)+TIME(20,53,14)</f>
        <v>43957.870300925926</v>
      </c>
    </row>
    <row r="283" spans="1:4" ht="17">
      <c r="A283" s="5" t="s">
        <v>7828</v>
      </c>
      <c r="B283" s="5" t="s">
        <v>7829</v>
      </c>
      <c r="C283" s="5" t="s">
        <v>7830</v>
      </c>
      <c r="D283" s="2">
        <f>DATE(2020,5,27)+TIME(5,49,51)</f>
        <v>43978.242951388886</v>
      </c>
    </row>
    <row r="284" spans="1:4" ht="17">
      <c r="A284" s="4" t="s">
        <v>54</v>
      </c>
      <c r="B284" s="4" t="s">
        <v>55</v>
      </c>
      <c r="C284" s="4" t="s">
        <v>56</v>
      </c>
      <c r="D284" s="1">
        <f>DATE(2020,6,4)+TIME(17,51,8)</f>
        <v>43986.743842592594</v>
      </c>
    </row>
    <row r="285" spans="1:4" ht="17">
      <c r="A285" s="4" t="s">
        <v>3927</v>
      </c>
      <c r="B285" s="4" t="s">
        <v>1101</v>
      </c>
      <c r="C285" s="4" t="s">
        <v>3928</v>
      </c>
      <c r="D285" s="1">
        <f>DATE(2020,6,15)+TIME(14,21,38)</f>
        <v>43997.598356481481</v>
      </c>
    </row>
    <row r="286" spans="1:4" ht="17">
      <c r="A286" s="5" t="s">
        <v>487</v>
      </c>
      <c r="B286" s="5" t="s">
        <v>488</v>
      </c>
      <c r="C286" s="5" t="s">
        <v>489</v>
      </c>
      <c r="D286" s="2">
        <f>DATE(2020,5,7)+TIME(12,15,8)</f>
        <v>43958.510509259257</v>
      </c>
    </row>
    <row r="287" spans="1:4" ht="17">
      <c r="A287" s="4" t="s">
        <v>4098</v>
      </c>
      <c r="B287" s="4" t="s">
        <v>4099</v>
      </c>
      <c r="C287" s="4" t="s">
        <v>4100</v>
      </c>
      <c r="D287" s="1">
        <f>DATE(2020,6,28)+TIME(23,23,29)</f>
        <v>44010.974641203706</v>
      </c>
    </row>
    <row r="288" spans="1:4" ht="17">
      <c r="A288" s="4" t="s">
        <v>2360</v>
      </c>
      <c r="B288" s="4" t="s">
        <v>2361</v>
      </c>
      <c r="C288" s="4" t="s">
        <v>2362</v>
      </c>
      <c r="D288" s="1">
        <f>DATE(2020,5,27)+TIME(8,30,43)</f>
        <v>43978.354664351849</v>
      </c>
    </row>
    <row r="289" spans="1:4" ht="17">
      <c r="A289" s="4" t="s">
        <v>2376</v>
      </c>
      <c r="B289" s="4" t="s">
        <v>2377</v>
      </c>
      <c r="C289" s="4" t="s">
        <v>2378</v>
      </c>
      <c r="D289" s="1">
        <f>DATE(2020,6,16)+TIME(15,56,10)</f>
        <v>43998.664004629631</v>
      </c>
    </row>
    <row r="290" spans="1:4" ht="17">
      <c r="A290" s="5" t="s">
        <v>2376</v>
      </c>
      <c r="B290" s="5" t="s">
        <v>5495</v>
      </c>
      <c r="C290" s="5" t="s">
        <v>5496</v>
      </c>
      <c r="D290" s="2">
        <f>DATE(2020,6,26)+TIME(8,59,38)</f>
        <v>44008.374745370369</v>
      </c>
    </row>
    <row r="291" spans="1:4" ht="17">
      <c r="A291" s="4" t="s">
        <v>5329</v>
      </c>
      <c r="B291" s="4" t="s">
        <v>5330</v>
      </c>
      <c r="C291" s="4" t="s">
        <v>5331</v>
      </c>
      <c r="D291" s="1">
        <f>DATE(2020,6,29)+TIME(13,41,49)</f>
        <v>44011.570706018516</v>
      </c>
    </row>
    <row r="292" spans="1:4" ht="17">
      <c r="A292" s="4" t="s">
        <v>917</v>
      </c>
      <c r="B292" s="4" t="s">
        <v>3757</v>
      </c>
      <c r="C292" s="4" t="s">
        <v>3758</v>
      </c>
      <c r="D292" s="1">
        <f>DATE(2020,6,26)+TIME(14,23,18)</f>
        <v>44008.59951388889</v>
      </c>
    </row>
    <row r="293" spans="1:4" ht="17">
      <c r="A293" s="5" t="s">
        <v>917</v>
      </c>
      <c r="B293" s="5" t="s">
        <v>918</v>
      </c>
      <c r="C293" s="5" t="s">
        <v>919</v>
      </c>
      <c r="D293" s="2">
        <f>DATE(2020,6,28)+TIME(19,41,55)</f>
        <v>44010.820775462962</v>
      </c>
    </row>
    <row r="294" spans="1:4" ht="17">
      <c r="A294" s="5" t="s">
        <v>7505</v>
      </c>
      <c r="B294" s="5" t="s">
        <v>118</v>
      </c>
      <c r="C294" s="5" t="s">
        <v>7506</v>
      </c>
      <c r="D294" s="2">
        <f>DATE(2020,6,15)+TIME(12,29,10)</f>
        <v>43997.520254629628</v>
      </c>
    </row>
    <row r="295" spans="1:4" ht="17">
      <c r="A295" s="4" t="s">
        <v>7468</v>
      </c>
      <c r="B295" s="4" t="s">
        <v>7469</v>
      </c>
      <c r="C295" s="4" t="s">
        <v>7470</v>
      </c>
      <c r="D295" s="1">
        <f>DATE(2020,6,29)+TIME(12,34,25)</f>
        <v>44011.523900462962</v>
      </c>
    </row>
    <row r="296" spans="1:4" ht="17">
      <c r="A296" s="4" t="s">
        <v>4755</v>
      </c>
      <c r="B296" s="4" t="s">
        <v>4756</v>
      </c>
      <c r="C296" s="4" t="s">
        <v>4757</v>
      </c>
      <c r="D296" s="1">
        <f>DATE(2020,5,29)+TIME(19,31,14)</f>
        <v>43980.813356481478</v>
      </c>
    </row>
    <row r="297" spans="1:4" ht="17">
      <c r="A297" s="5" t="s">
        <v>421</v>
      </c>
      <c r="B297" s="5" t="s">
        <v>422</v>
      </c>
      <c r="C297" s="5" t="s">
        <v>423</v>
      </c>
      <c r="D297" s="2">
        <f>DATE(2020,6,3)+TIME(12,58,45)</f>
        <v>43985.540798611109</v>
      </c>
    </row>
    <row r="298" spans="1:4" ht="17">
      <c r="A298" s="4" t="s">
        <v>688</v>
      </c>
      <c r="B298" s="4" t="s">
        <v>689</v>
      </c>
      <c r="C298" s="4" t="s">
        <v>690</v>
      </c>
      <c r="D298" s="1">
        <f>DATE(2020,5,19)+TIME(12,16,4)</f>
        <v>43970.511157407411</v>
      </c>
    </row>
    <row r="299" spans="1:4" ht="17">
      <c r="A299" s="5" t="s">
        <v>3047</v>
      </c>
      <c r="B299" s="5" t="s">
        <v>3048</v>
      </c>
      <c r="C299" s="5" t="s">
        <v>3049</v>
      </c>
      <c r="D299" s="2">
        <f>DATE(2020,6,19)+TIME(1,1,29)</f>
        <v>44001.042696759258</v>
      </c>
    </row>
    <row r="300" spans="1:4" ht="17">
      <c r="A300" s="5" t="s">
        <v>3047</v>
      </c>
      <c r="B300" s="5" t="s">
        <v>7118</v>
      </c>
      <c r="C300" s="5" t="s">
        <v>7119</v>
      </c>
      <c r="D300" s="2">
        <f>DATE(2020,6,24)+TIME(3,38,50)</f>
        <v>44006.151967592596</v>
      </c>
    </row>
    <row r="301" spans="1:4" ht="17">
      <c r="A301" s="4" t="s">
        <v>6758</v>
      </c>
      <c r="B301" s="4" t="s">
        <v>7599</v>
      </c>
      <c r="C301" s="4" t="s">
        <v>7600</v>
      </c>
      <c r="D301" s="1">
        <f>DATE(2020,6,13)+TIME(0,27,4)</f>
        <v>43995.018796296295</v>
      </c>
    </row>
    <row r="302" spans="1:4" ht="17">
      <c r="A302" s="4" t="s">
        <v>6758</v>
      </c>
      <c r="B302" s="4" t="s">
        <v>1402</v>
      </c>
      <c r="C302" s="4" t="s">
        <v>6759</v>
      </c>
      <c r="D302" s="1">
        <f>DATE(2020,6,14)+TIME(11,22,33)</f>
        <v>43996.473993055559</v>
      </c>
    </row>
    <row r="303" spans="1:4" ht="17">
      <c r="A303" s="4" t="s">
        <v>18</v>
      </c>
      <c r="B303" s="4" t="s">
        <v>19</v>
      </c>
      <c r="C303" s="4" t="s">
        <v>20</v>
      </c>
      <c r="D303" s="1">
        <f>DATE(2020,6,1)+TIME(3,19,43)</f>
        <v>43983.138692129629</v>
      </c>
    </row>
    <row r="304" spans="1:4" ht="17">
      <c r="A304" s="5" t="s">
        <v>18</v>
      </c>
      <c r="B304" s="5" t="s">
        <v>1820</v>
      </c>
      <c r="C304" s="5" t="s">
        <v>1821</v>
      </c>
      <c r="D304" s="2">
        <f>DATE(2020,6,24)+TIME(2,41,58)</f>
        <v>44006.112476851849</v>
      </c>
    </row>
    <row r="305" spans="1:4" ht="17">
      <c r="A305" s="4" t="s">
        <v>18</v>
      </c>
      <c r="B305" s="4" t="s">
        <v>7870</v>
      </c>
      <c r="C305" s="4" t="s">
        <v>7871</v>
      </c>
      <c r="D305" s="1">
        <f>DATE(2020,6,24)+TIME(5,42,13)</f>
        <v>44006.237650462965</v>
      </c>
    </row>
    <row r="306" spans="1:4" ht="17">
      <c r="A306" s="5" t="s">
        <v>7660</v>
      </c>
      <c r="B306" s="5" t="s">
        <v>7661</v>
      </c>
      <c r="C306" s="5" t="s">
        <v>7662</v>
      </c>
      <c r="D306" s="2">
        <f>DATE(2020,6,27)+TIME(18,43,29)</f>
        <v>44009.78019675926</v>
      </c>
    </row>
    <row r="307" spans="1:4" ht="17">
      <c r="A307" s="5" t="s">
        <v>5882</v>
      </c>
      <c r="B307" s="5" t="s">
        <v>118</v>
      </c>
      <c r="C307" s="5" t="s">
        <v>5883</v>
      </c>
      <c r="D307" s="2">
        <f>DATE(2020,6,23)+TIME(22,10,11)</f>
        <v>44005.923738425925</v>
      </c>
    </row>
    <row r="308" spans="1:4" ht="17">
      <c r="A308" s="5" t="s">
        <v>9141</v>
      </c>
      <c r="B308" s="5" t="s">
        <v>6816</v>
      </c>
      <c r="C308" s="5" t="s">
        <v>9142</v>
      </c>
      <c r="D308" s="2">
        <f>DATE(2020,6,15)+TIME(14,47,40)</f>
        <v>43997.616435185184</v>
      </c>
    </row>
    <row r="309" spans="1:4" ht="17">
      <c r="A309" s="4" t="s">
        <v>1852</v>
      </c>
      <c r="B309" s="4" t="s">
        <v>1853</v>
      </c>
      <c r="C309" s="4" t="s">
        <v>1854</v>
      </c>
      <c r="D309" s="1">
        <f>DATE(2020,5,5)+TIME(15,54,46)</f>
        <v>43956.663032407407</v>
      </c>
    </row>
    <row r="310" spans="1:4" ht="17">
      <c r="A310" s="4" t="s">
        <v>1852</v>
      </c>
      <c r="B310" s="4" t="s">
        <v>2230</v>
      </c>
      <c r="C310" s="4" t="s">
        <v>2231</v>
      </c>
      <c r="D310" s="1">
        <f>DATE(2020,5,13)+TIME(19,38,52)</f>
        <v>43964.818657407406</v>
      </c>
    </row>
    <row r="311" spans="1:4" ht="17">
      <c r="A311" s="4" t="s">
        <v>1852</v>
      </c>
      <c r="B311" s="4" t="s">
        <v>9547</v>
      </c>
      <c r="C311" s="4" t="s">
        <v>9548</v>
      </c>
      <c r="D311" s="1">
        <f>DATE(2020,6,12)+TIME(18,36,0)</f>
        <v>43994.775000000001</v>
      </c>
    </row>
    <row r="312" spans="1:4" ht="17">
      <c r="A312" s="5" t="s">
        <v>1852</v>
      </c>
      <c r="B312" s="5" t="s">
        <v>6349</v>
      </c>
      <c r="C312" s="5" t="s">
        <v>6350</v>
      </c>
      <c r="D312" s="2">
        <f>DATE(2020,6,14)+TIME(8,9,28)</f>
        <v>43996.339907407404</v>
      </c>
    </row>
    <row r="313" spans="1:4" ht="17">
      <c r="A313" s="4" t="s">
        <v>1852</v>
      </c>
      <c r="B313" s="4" t="s">
        <v>3294</v>
      </c>
      <c r="C313" s="4" t="s">
        <v>3295</v>
      </c>
      <c r="D313" s="1">
        <f>DATE(2020,6,23)+TIME(13,32,17)</f>
        <v>44005.564085648148</v>
      </c>
    </row>
    <row r="314" spans="1:4" ht="17">
      <c r="A314" s="5" t="s">
        <v>1852</v>
      </c>
      <c r="B314" s="5" t="s">
        <v>1861</v>
      </c>
      <c r="C314" s="5" t="s">
        <v>1862</v>
      </c>
      <c r="D314" s="2">
        <f>DATE(2020,6,26)+TIME(18,17,50)</f>
        <v>44008.762384259258</v>
      </c>
    </row>
    <row r="315" spans="1:4" ht="17">
      <c r="A315" s="5" t="s">
        <v>7578</v>
      </c>
      <c r="B315" s="5" t="s">
        <v>7579</v>
      </c>
      <c r="C315" s="5" t="s">
        <v>7580</v>
      </c>
      <c r="D315" s="2">
        <f>DATE(2020,6,27)+TIME(9,34,2)</f>
        <v>44009.398634259262</v>
      </c>
    </row>
    <row r="316" spans="1:4" ht="17">
      <c r="A316" s="5" t="s">
        <v>1589</v>
      </c>
      <c r="B316" s="5" t="s">
        <v>1589</v>
      </c>
      <c r="C316" s="5" t="s">
        <v>1590</v>
      </c>
      <c r="D316" s="2">
        <f>DATE(2020,6,9)+TIME(9,43,48)</f>
        <v>43991.405416666668</v>
      </c>
    </row>
    <row r="317" spans="1:4" ht="17">
      <c r="A317" s="4" t="s">
        <v>251</v>
      </c>
      <c r="B317" s="4" t="s">
        <v>7058</v>
      </c>
      <c r="C317" s="4" t="s">
        <v>7059</v>
      </c>
      <c r="D317" s="1">
        <f>DATE(2020,6,17)+TIME(9,44,56)</f>
        <v>43999.4062037037</v>
      </c>
    </row>
    <row r="318" spans="1:4" ht="17">
      <c r="A318" s="4" t="s">
        <v>251</v>
      </c>
      <c r="B318" s="4" t="s">
        <v>252</v>
      </c>
      <c r="C318" s="4" t="s">
        <v>253</v>
      </c>
      <c r="D318" s="1">
        <f>DATE(2020,6,21)+TIME(2,10,49)</f>
        <v>44003.090844907405</v>
      </c>
    </row>
    <row r="319" spans="1:4" ht="17">
      <c r="A319" s="5" t="s">
        <v>1571</v>
      </c>
      <c r="B319" s="5" t="s">
        <v>7028</v>
      </c>
      <c r="C319" s="5" t="s">
        <v>7029</v>
      </c>
      <c r="D319" s="2">
        <f>DATE(2020,6,22)+TIME(13,5,56)</f>
        <v>44004.545787037037</v>
      </c>
    </row>
    <row r="320" spans="1:4" ht="17">
      <c r="A320" s="4" t="s">
        <v>1571</v>
      </c>
      <c r="B320" s="4" t="s">
        <v>1572</v>
      </c>
      <c r="C320" s="4" t="s">
        <v>1573</v>
      </c>
      <c r="D320" s="1">
        <f>DATE(2020,6,23)+TIME(16,14,47)</f>
        <v>44005.676932870374</v>
      </c>
    </row>
    <row r="321" spans="1:4" ht="17">
      <c r="A321" s="5" t="s">
        <v>1571</v>
      </c>
      <c r="B321" s="5" t="s">
        <v>4730</v>
      </c>
      <c r="C321" s="5" t="s">
        <v>6255</v>
      </c>
      <c r="D321" s="2">
        <f>DATE(2020,6,24)+TIME(13,2,16)</f>
        <v>44006.543240740742</v>
      </c>
    </row>
    <row r="322" spans="1:4" ht="17">
      <c r="A322" s="5" t="s">
        <v>1896</v>
      </c>
      <c r="B322" s="5" t="s">
        <v>1896</v>
      </c>
      <c r="C322" s="5" t="s">
        <v>1897</v>
      </c>
      <c r="D322" s="2">
        <f>DATE(2020,6,29)+TIME(0,53,40)</f>
        <v>44011.037268518521</v>
      </c>
    </row>
    <row r="323" spans="1:4" ht="17">
      <c r="A323" s="4" t="s">
        <v>6959</v>
      </c>
      <c r="B323" s="4" t="s">
        <v>6960</v>
      </c>
      <c r="C323" s="4" t="s">
        <v>6961</v>
      </c>
      <c r="D323" s="1">
        <f>DATE(2020,5,18)+TIME(22,38,28)</f>
        <v>43969.943379629629</v>
      </c>
    </row>
    <row r="324" spans="1:4" ht="17">
      <c r="A324" s="4" t="s">
        <v>7710</v>
      </c>
      <c r="B324" s="4" t="s">
        <v>7711</v>
      </c>
      <c r="C324" s="4" t="s">
        <v>7712</v>
      </c>
      <c r="D324" s="1">
        <f>DATE(2020,5,14)+TIME(5,14,25)</f>
        <v>43965.218344907407</v>
      </c>
    </row>
    <row r="325" spans="1:4" ht="17">
      <c r="A325" s="5" t="s">
        <v>7230</v>
      </c>
      <c r="B325" s="5" t="s">
        <v>7231</v>
      </c>
      <c r="C325" s="5" t="s">
        <v>7232</v>
      </c>
      <c r="D325" s="2">
        <f>DATE(2020,5,28)+TIME(14,2,2)</f>
        <v>43979.584745370368</v>
      </c>
    </row>
    <row r="326" spans="1:4" ht="17">
      <c r="A326" s="4" t="s">
        <v>1010</v>
      </c>
      <c r="B326" s="4" t="s">
        <v>2597</v>
      </c>
      <c r="C326" s="4" t="s">
        <v>3305</v>
      </c>
      <c r="D326" s="1">
        <f>DATE(2020,5,18)+TIME(11,10,5)</f>
        <v>43969.46533564815</v>
      </c>
    </row>
    <row r="327" spans="1:4" ht="17">
      <c r="A327" s="4" t="s">
        <v>1010</v>
      </c>
      <c r="B327" s="4" t="s">
        <v>4912</v>
      </c>
      <c r="C327" s="4" t="s">
        <v>4913</v>
      </c>
      <c r="D327" s="1">
        <f>DATE(2020,5,27)+TIME(13,3,3)</f>
        <v>43978.54378472222</v>
      </c>
    </row>
    <row r="328" spans="1:4" ht="17">
      <c r="A328" s="5" t="s">
        <v>1010</v>
      </c>
      <c r="B328" s="5" t="s">
        <v>3462</v>
      </c>
      <c r="C328" s="5" t="s">
        <v>3463</v>
      </c>
      <c r="D328" s="2">
        <f>DATE(2020,6,9)+TIME(15,7,55)</f>
        <v>43991.630497685182</v>
      </c>
    </row>
    <row r="329" spans="1:4" ht="17">
      <c r="A329" s="4" t="s">
        <v>1010</v>
      </c>
      <c r="B329" s="4" t="s">
        <v>3983</v>
      </c>
      <c r="C329" s="4" t="s">
        <v>3984</v>
      </c>
      <c r="D329" s="1">
        <f>DATE(2020,6,15)+TIME(11,36,28)</f>
        <v>43997.483657407407</v>
      </c>
    </row>
    <row r="330" spans="1:4" ht="17">
      <c r="A330" s="5" t="s">
        <v>1010</v>
      </c>
      <c r="B330" s="5" t="s">
        <v>1011</v>
      </c>
      <c r="C330" s="5" t="s">
        <v>1012</v>
      </c>
      <c r="D330" s="2">
        <f>DATE(2020,6,22)+TIME(20,7,54)</f>
        <v>44004.838819444441</v>
      </c>
    </row>
    <row r="331" spans="1:4" ht="17">
      <c r="A331" s="5" t="s">
        <v>1010</v>
      </c>
      <c r="B331" s="5" t="s">
        <v>466</v>
      </c>
      <c r="C331" s="5" t="s">
        <v>3585</v>
      </c>
      <c r="D331" s="2">
        <f>DATE(2020,6,23)+TIME(16,42,48)</f>
        <v>44005.696388888886</v>
      </c>
    </row>
    <row r="332" spans="1:4" ht="17">
      <c r="A332" s="5" t="s">
        <v>1010</v>
      </c>
      <c r="B332" s="5" t="s">
        <v>8709</v>
      </c>
      <c r="C332" s="5" t="s">
        <v>8710</v>
      </c>
      <c r="D332" s="2">
        <f>DATE(2020,6,25)+TIME(0,2,14)</f>
        <v>44007.001550925925</v>
      </c>
    </row>
    <row r="333" spans="1:4" ht="17">
      <c r="A333" s="4" t="s">
        <v>1010</v>
      </c>
      <c r="B333" s="4" t="s">
        <v>7772</v>
      </c>
      <c r="C333" s="4" t="s">
        <v>7773</v>
      </c>
      <c r="D333" s="1">
        <f>DATE(2020,6,27)+TIME(4,25,23)</f>
        <v>44009.184293981481</v>
      </c>
    </row>
    <row r="334" spans="1:4" ht="17">
      <c r="A334" s="4" t="s">
        <v>1010</v>
      </c>
      <c r="B334" s="4" t="s">
        <v>3874</v>
      </c>
      <c r="C334" s="4" t="s">
        <v>3875</v>
      </c>
      <c r="D334" s="1">
        <f>DATE(2020,6,27)+TIME(22,20,55)</f>
        <v>44009.931192129632</v>
      </c>
    </row>
    <row r="335" spans="1:4" ht="17">
      <c r="A335" s="4" t="s">
        <v>6144</v>
      </c>
      <c r="B335" s="4" t="s">
        <v>6145</v>
      </c>
      <c r="C335" s="4" t="s">
        <v>6146</v>
      </c>
      <c r="D335" s="1">
        <f>DATE(2020,6,5)+TIME(6,21,31)</f>
        <v>43987.26494212963</v>
      </c>
    </row>
    <row r="336" spans="1:4" ht="17">
      <c r="A336" s="5" t="s">
        <v>282</v>
      </c>
      <c r="B336" s="5" t="s">
        <v>3204</v>
      </c>
      <c r="C336" s="5" t="s">
        <v>3205</v>
      </c>
      <c r="D336" s="2">
        <f>DATE(2020,5,5)+TIME(15,52,34)</f>
        <v>43956.661504629628</v>
      </c>
    </row>
    <row r="337" spans="1:4" ht="17">
      <c r="A337" s="5" t="s">
        <v>282</v>
      </c>
      <c r="B337" s="5" t="s">
        <v>5009</v>
      </c>
      <c r="C337" s="5" t="s">
        <v>5010</v>
      </c>
      <c r="D337" s="2">
        <f>DATE(2020,6,22)+TIME(15,6,29)</f>
        <v>44004.629502314812</v>
      </c>
    </row>
    <row r="338" spans="1:4" ht="17">
      <c r="A338" s="5" t="s">
        <v>282</v>
      </c>
      <c r="B338" s="5" t="s">
        <v>283</v>
      </c>
      <c r="C338" s="5" t="s">
        <v>284</v>
      </c>
      <c r="D338" s="2">
        <f>DATE(2020,6,28)+TIME(3,39,46)</f>
        <v>44010.152615740742</v>
      </c>
    </row>
    <row r="339" spans="1:4" ht="17">
      <c r="A339" s="4" t="s">
        <v>1692</v>
      </c>
      <c r="B339" s="4" t="s">
        <v>8425</v>
      </c>
      <c r="C339" s="4" t="s">
        <v>8426</v>
      </c>
      <c r="D339" s="1">
        <f>DATE(2020,5,28)+TIME(16,46,17)</f>
        <v>43979.698807870373</v>
      </c>
    </row>
    <row r="340" spans="1:4" ht="17">
      <c r="A340" s="5" t="s">
        <v>1692</v>
      </c>
      <c r="B340" s="5" t="s">
        <v>5236</v>
      </c>
      <c r="C340" s="5" t="s">
        <v>5237</v>
      </c>
      <c r="D340" s="2">
        <f>DATE(2020,6,12)+TIME(3,24,6)</f>
        <v>43994.141736111109</v>
      </c>
    </row>
    <row r="341" spans="1:4" ht="17">
      <c r="A341" s="5" t="s">
        <v>1692</v>
      </c>
      <c r="B341" s="5" t="s">
        <v>1693</v>
      </c>
      <c r="C341" s="5" t="s">
        <v>1694</v>
      </c>
      <c r="D341" s="2">
        <f>DATE(2020,6,23)+TIME(18,45,46)</f>
        <v>44005.781782407408</v>
      </c>
    </row>
    <row r="342" spans="1:4" ht="17">
      <c r="A342" s="4" t="s">
        <v>5819</v>
      </c>
      <c r="B342" s="4" t="s">
        <v>5820</v>
      </c>
      <c r="C342" s="4" t="s">
        <v>5821</v>
      </c>
      <c r="D342" s="1">
        <f>DATE(2020,6,29)+TIME(10,35,15)</f>
        <v>44011.441145833334</v>
      </c>
    </row>
    <row r="343" spans="1:4" ht="17">
      <c r="A343" s="5" t="s">
        <v>1855</v>
      </c>
      <c r="B343" s="5" t="s">
        <v>1856</v>
      </c>
      <c r="C343" s="5" t="s">
        <v>1857</v>
      </c>
      <c r="D343" s="2">
        <f>DATE(2020,6,17)+TIME(14,52,33)</f>
        <v>43999.619826388887</v>
      </c>
    </row>
    <row r="344" spans="1:4" ht="17">
      <c r="A344" s="5" t="s">
        <v>5834</v>
      </c>
      <c r="B344" s="5" t="s">
        <v>5835</v>
      </c>
      <c r="C344" s="5" t="s">
        <v>5836</v>
      </c>
      <c r="D344" s="2">
        <f>DATE(2020,6,23)+TIME(21,17,28)</f>
        <v>44005.887129629627</v>
      </c>
    </row>
    <row r="345" spans="1:4" ht="17">
      <c r="A345" s="4" t="s">
        <v>6557</v>
      </c>
      <c r="B345" s="4" t="s">
        <v>1273</v>
      </c>
      <c r="C345" s="4" t="s">
        <v>6558</v>
      </c>
      <c r="D345" s="1">
        <f>DATE(2020,6,12)+TIME(23,30,40)</f>
        <v>43994.979629629626</v>
      </c>
    </row>
    <row r="346" spans="1:4" ht="17">
      <c r="A346" s="5" t="s">
        <v>1416</v>
      </c>
      <c r="B346" s="5" t="s">
        <v>1417</v>
      </c>
      <c r="C346" s="5" t="s">
        <v>1418</v>
      </c>
      <c r="D346" s="2">
        <f>DATE(2020,6,19)+TIME(4,56,19)</f>
        <v>44001.205775462964</v>
      </c>
    </row>
    <row r="347" spans="1:4" ht="17">
      <c r="A347" s="4" t="s">
        <v>5880</v>
      </c>
      <c r="B347" s="4" t="s">
        <v>4359</v>
      </c>
      <c r="C347" s="4" t="s">
        <v>5881</v>
      </c>
      <c r="D347" s="1">
        <f>DATE(2020,6,27)+TIME(13,26,3)</f>
        <v>44009.559756944444</v>
      </c>
    </row>
    <row r="348" spans="1:4" ht="17">
      <c r="A348" s="4" t="s">
        <v>6112</v>
      </c>
      <c r="B348" s="4" t="s">
        <v>3635</v>
      </c>
      <c r="C348" s="4" t="s">
        <v>6113</v>
      </c>
      <c r="D348" s="1">
        <f>DATE(2020,6,26)+TIME(6,28,26)</f>
        <v>44008.269745370373</v>
      </c>
    </row>
    <row r="349" spans="1:4" ht="17">
      <c r="A349" s="4" t="s">
        <v>3604</v>
      </c>
      <c r="B349" s="4" t="s">
        <v>3605</v>
      </c>
      <c r="C349" s="4" t="s">
        <v>3606</v>
      </c>
      <c r="D349" s="1">
        <f>DATE(2020,6,26)+TIME(20,29,40)</f>
        <v>44008.853935185187</v>
      </c>
    </row>
    <row r="350" spans="1:4" ht="17">
      <c r="A350" s="5" t="s">
        <v>3663</v>
      </c>
      <c r="B350" s="5" t="s">
        <v>4992</v>
      </c>
      <c r="C350" s="5" t="s">
        <v>4993</v>
      </c>
      <c r="D350" s="2">
        <f>DATE(2020,6,10)+TIME(0,7,15)</f>
        <v>43992.00503472222</v>
      </c>
    </row>
    <row r="351" spans="1:4" ht="17">
      <c r="A351" s="4" t="s">
        <v>3663</v>
      </c>
      <c r="B351" s="4" t="s">
        <v>3664</v>
      </c>
      <c r="C351" s="4" t="s">
        <v>3665</v>
      </c>
      <c r="D351" s="1">
        <f>DATE(2020,6,24)+TIME(16,27,58)</f>
        <v>44006.68608796296</v>
      </c>
    </row>
    <row r="352" spans="1:4" ht="17">
      <c r="A352" s="5" t="s">
        <v>8498</v>
      </c>
      <c r="B352" s="5" t="s">
        <v>8499</v>
      </c>
      <c r="C352" s="5" t="s">
        <v>8500</v>
      </c>
      <c r="D352" s="2">
        <f>DATE(2020,6,26)+TIME(3,54,48)</f>
        <v>44008.163055555553</v>
      </c>
    </row>
    <row r="353" spans="1:4" ht="17">
      <c r="A353" s="5" t="s">
        <v>5317</v>
      </c>
      <c r="B353" s="5" t="s">
        <v>5318</v>
      </c>
      <c r="C353" s="5" t="s">
        <v>5319</v>
      </c>
      <c r="D353" s="2">
        <f>DATE(2020,6,24)+TIME(8,40,18)</f>
        <v>44006.361319444448</v>
      </c>
    </row>
    <row r="354" spans="1:4" ht="17">
      <c r="A354" s="5" t="s">
        <v>2048</v>
      </c>
      <c r="B354" s="5" t="s">
        <v>1513</v>
      </c>
      <c r="C354" s="5" t="s">
        <v>2049</v>
      </c>
      <c r="D354" s="2">
        <f>DATE(2020,6,25)+TIME(2,36,10)</f>
        <v>44007.108449074076</v>
      </c>
    </row>
    <row r="355" spans="1:4" ht="17">
      <c r="A355" s="4" t="s">
        <v>835</v>
      </c>
      <c r="B355" s="4" t="s">
        <v>836</v>
      </c>
      <c r="C355" s="4" t="s">
        <v>837</v>
      </c>
      <c r="D355" s="1">
        <f>DATE(2020,6,26)+TIME(11,24,50)</f>
        <v>44008.475578703707</v>
      </c>
    </row>
    <row r="356" spans="1:4" ht="17">
      <c r="A356" s="5" t="s">
        <v>3675</v>
      </c>
      <c r="B356" s="5" t="s">
        <v>3676</v>
      </c>
      <c r="C356" s="5" t="s">
        <v>3677</v>
      </c>
      <c r="D356" s="2">
        <f>DATE(2020,6,15)+TIME(11,46,15)</f>
        <v>43997.490451388891</v>
      </c>
    </row>
    <row r="357" spans="1:4" ht="17">
      <c r="A357" s="5" t="s">
        <v>5044</v>
      </c>
      <c r="B357" s="5" t="s">
        <v>5045</v>
      </c>
      <c r="C357" s="5" t="s">
        <v>5046</v>
      </c>
      <c r="D357" s="2">
        <f>DATE(2020,6,1)+TIME(16,59,0)</f>
        <v>43983.707638888889</v>
      </c>
    </row>
    <row r="358" spans="1:4" ht="17">
      <c r="A358" s="5" t="s">
        <v>5263</v>
      </c>
      <c r="B358" s="5" t="s">
        <v>5264</v>
      </c>
      <c r="C358" s="5" t="s">
        <v>5265</v>
      </c>
      <c r="D358" s="2">
        <f>DATE(2020,6,13)+TIME(0,22,50)</f>
        <v>43995.015856481485</v>
      </c>
    </row>
    <row r="359" spans="1:4" ht="17">
      <c r="A359" s="4" t="s">
        <v>5233</v>
      </c>
      <c r="B359" s="4" t="s">
        <v>5234</v>
      </c>
      <c r="C359" s="4" t="s">
        <v>5235</v>
      </c>
      <c r="D359" s="1">
        <f>DATE(2020,6,25)+TIME(7,53,15)</f>
        <v>44007.328645833331</v>
      </c>
    </row>
    <row r="360" spans="1:4" ht="17">
      <c r="A360" s="4" t="s">
        <v>4591</v>
      </c>
      <c r="B360" s="4" t="s">
        <v>4592</v>
      </c>
      <c r="C360" s="4" t="s">
        <v>4593</v>
      </c>
      <c r="D360" s="1">
        <f>DATE(2020,6,9)+TIME(15,37,35)</f>
        <v>43991.651099537034</v>
      </c>
    </row>
    <row r="361" spans="1:4" ht="17">
      <c r="A361" s="4" t="s">
        <v>2650</v>
      </c>
      <c r="B361" s="4" t="s">
        <v>2651</v>
      </c>
      <c r="C361" s="4" t="s">
        <v>2652</v>
      </c>
      <c r="D361" s="1">
        <f>DATE(2020,6,23)+TIME(3,21,49)</f>
        <v>44005.140150462961</v>
      </c>
    </row>
    <row r="362" spans="1:4" ht="17">
      <c r="A362" s="4" t="s">
        <v>3348</v>
      </c>
      <c r="B362" s="4" t="s">
        <v>3349</v>
      </c>
      <c r="C362" s="4" t="s">
        <v>3350</v>
      </c>
      <c r="D362" s="1">
        <f>DATE(2020,6,27)+TIME(18,31,29)</f>
        <v>44009.771863425929</v>
      </c>
    </row>
    <row r="363" spans="1:4" ht="17">
      <c r="A363" s="5" t="s">
        <v>6539</v>
      </c>
      <c r="B363" s="5" t="s">
        <v>6540</v>
      </c>
      <c r="C363" s="5" t="s">
        <v>6541</v>
      </c>
      <c r="D363" s="2">
        <f>DATE(2020,5,23)+TIME(15,50,29)</f>
        <v>43974.660057870373</v>
      </c>
    </row>
    <row r="364" spans="1:4" ht="17">
      <c r="A364" s="4" t="s">
        <v>1295</v>
      </c>
      <c r="B364" s="4" t="s">
        <v>1296</v>
      </c>
      <c r="C364" s="4" t="s">
        <v>1297</v>
      </c>
      <c r="D364" s="1">
        <f>DATE(2020,6,26)+TIME(8,59,2)</f>
        <v>44008.374328703707</v>
      </c>
    </row>
    <row r="365" spans="1:4" ht="17">
      <c r="A365" s="5" t="s">
        <v>9050</v>
      </c>
      <c r="B365" s="5" t="s">
        <v>1191</v>
      </c>
      <c r="C365" s="5" t="s">
        <v>9051</v>
      </c>
      <c r="D365" s="2">
        <f>DATE(2020,6,23)+TIME(12,30,7)</f>
        <v>44005.520914351851</v>
      </c>
    </row>
    <row r="366" spans="1:4" ht="17">
      <c r="A366" s="4" t="s">
        <v>6582</v>
      </c>
      <c r="B366" s="4" t="s">
        <v>6583</v>
      </c>
      <c r="C366" s="4" t="s">
        <v>6584</v>
      </c>
      <c r="D366" s="1">
        <f>DATE(2020,5,6)+TIME(18,10,27)</f>
        <v>43957.757256944446</v>
      </c>
    </row>
    <row r="367" spans="1:4" ht="17">
      <c r="A367" s="4" t="s">
        <v>5824</v>
      </c>
      <c r="B367" s="4" t="s">
        <v>2333</v>
      </c>
      <c r="C367" s="4" t="s">
        <v>5825</v>
      </c>
      <c r="D367" s="1">
        <f>DATE(2020,6,24)+TIME(9,31,27)</f>
        <v>44006.396840277775</v>
      </c>
    </row>
    <row r="368" spans="1:4" ht="17">
      <c r="A368" s="4" t="s">
        <v>8867</v>
      </c>
      <c r="B368" s="4" t="s">
        <v>8868</v>
      </c>
      <c r="C368" s="4" t="s">
        <v>8869</v>
      </c>
      <c r="D368" s="1">
        <f>DATE(2020,6,14)+TIME(1,43,8)</f>
        <v>43996.071620370371</v>
      </c>
    </row>
    <row r="369" spans="1:4" ht="17">
      <c r="A369" s="5" t="s">
        <v>4176</v>
      </c>
      <c r="B369" s="5" t="s">
        <v>1339</v>
      </c>
      <c r="C369" s="5" t="s">
        <v>7780</v>
      </c>
      <c r="D369" s="2">
        <f>DATE(2020,6,16)+TIME(15,56,10)</f>
        <v>43998.664004629631</v>
      </c>
    </row>
    <row r="370" spans="1:4" ht="17">
      <c r="A370" s="4" t="s">
        <v>4176</v>
      </c>
      <c r="B370" s="4" t="s">
        <v>949</v>
      </c>
      <c r="C370" s="4" t="s">
        <v>4177</v>
      </c>
      <c r="D370" s="1">
        <f>DATE(2020,6,17)+TIME(22,48,15)</f>
        <v>43999.950173611112</v>
      </c>
    </row>
    <row r="371" spans="1:4" ht="17">
      <c r="A371" s="5" t="s">
        <v>5643</v>
      </c>
      <c r="B371" s="5" t="s">
        <v>5654</v>
      </c>
      <c r="C371" s="5" t="s">
        <v>5655</v>
      </c>
      <c r="D371" s="2">
        <f>DATE(2020,5,8)+TIME(19,24,0)</f>
        <v>43959.808333333334</v>
      </c>
    </row>
    <row r="372" spans="1:4" ht="17">
      <c r="A372" s="4" t="s">
        <v>5643</v>
      </c>
      <c r="B372" s="4" t="s">
        <v>5644</v>
      </c>
      <c r="C372" s="4" t="s">
        <v>5645</v>
      </c>
      <c r="D372" s="1">
        <f>DATE(2020,6,22)+TIME(14,49,33)</f>
        <v>44004.617743055554</v>
      </c>
    </row>
    <row r="373" spans="1:4" ht="17">
      <c r="A373" s="5" t="s">
        <v>6956</v>
      </c>
      <c r="B373" s="5" t="s">
        <v>6957</v>
      </c>
      <c r="C373" s="5" t="s">
        <v>6958</v>
      </c>
      <c r="D373" s="2">
        <f>DATE(2020,6,26)+TIME(0,22,4)</f>
        <v>44008.015324074076</v>
      </c>
    </row>
    <row r="374" spans="1:4" ht="17">
      <c r="A374" s="4" t="s">
        <v>3071</v>
      </c>
      <c r="B374" s="4" t="s">
        <v>3072</v>
      </c>
      <c r="C374" s="4" t="s">
        <v>3073</v>
      </c>
      <c r="D374" s="1">
        <f>DATE(2020,6,28)+TIME(0,39,18)</f>
        <v>44010.027291666665</v>
      </c>
    </row>
    <row r="375" spans="1:4" ht="17">
      <c r="A375" s="5" t="s">
        <v>3025</v>
      </c>
      <c r="B375" s="5" t="s">
        <v>3026</v>
      </c>
      <c r="C375" s="5" t="s">
        <v>3027</v>
      </c>
      <c r="D375" s="2">
        <f>DATE(2020,6,23)+TIME(18,16,58)</f>
        <v>44005.761782407404</v>
      </c>
    </row>
    <row r="376" spans="1:4" ht="17">
      <c r="A376" s="4" t="s">
        <v>720</v>
      </c>
      <c r="B376" s="4" t="s">
        <v>721</v>
      </c>
      <c r="C376" s="4" t="s">
        <v>722</v>
      </c>
      <c r="D376" s="1">
        <f>DATE(2020,6,4)+TIME(17,55,26)</f>
        <v>43986.746828703705</v>
      </c>
    </row>
    <row r="377" spans="1:4" ht="17">
      <c r="A377" s="4" t="s">
        <v>720</v>
      </c>
      <c r="B377" s="4" t="s">
        <v>1725</v>
      </c>
      <c r="C377" s="4" t="s">
        <v>1726</v>
      </c>
      <c r="D377" s="1">
        <f>DATE(2020,6,13)+TIME(6,56,14)</f>
        <v>43995.289050925923</v>
      </c>
    </row>
    <row r="378" spans="1:4" ht="17">
      <c r="A378" s="5" t="s">
        <v>1481</v>
      </c>
      <c r="B378" s="5" t="s">
        <v>4442</v>
      </c>
      <c r="C378" s="5" t="s">
        <v>4443</v>
      </c>
      <c r="D378" s="2">
        <f>DATE(2020,3,27)+TIME(13,1,26)</f>
        <v>43917.542662037034</v>
      </c>
    </row>
    <row r="379" spans="1:4" ht="17">
      <c r="A379" s="5" t="s">
        <v>1481</v>
      </c>
      <c r="B379" s="5" t="s">
        <v>1482</v>
      </c>
      <c r="C379" s="5" t="s">
        <v>1483</v>
      </c>
      <c r="D379" s="2">
        <f>DATE(2020,6,17)+TIME(12,20,51)</f>
        <v>43999.514479166668</v>
      </c>
    </row>
    <row r="380" spans="1:4" ht="17">
      <c r="A380" s="5" t="s">
        <v>8340</v>
      </c>
      <c r="B380" s="5" t="s">
        <v>8341</v>
      </c>
      <c r="C380" s="5" t="s">
        <v>8342</v>
      </c>
      <c r="D380" s="2">
        <f>DATE(2020,6,27)+TIME(4,5,4)</f>
        <v>44009.170185185183</v>
      </c>
    </row>
    <row r="381" spans="1:4" ht="17">
      <c r="A381" s="4" t="s">
        <v>3244</v>
      </c>
      <c r="B381" s="4" t="s">
        <v>3245</v>
      </c>
      <c r="C381" s="4" t="s">
        <v>3246</v>
      </c>
      <c r="D381" s="1">
        <f>DATE(2020,6,13)+TIME(3,34,42)</f>
        <v>43995.149097222224</v>
      </c>
    </row>
    <row r="382" spans="1:4" ht="17">
      <c r="A382" s="4" t="s">
        <v>3244</v>
      </c>
      <c r="B382" s="4" t="s">
        <v>6615</v>
      </c>
      <c r="C382" s="4" t="s">
        <v>6616</v>
      </c>
      <c r="D382" s="1">
        <f>DATE(2020,6,22)+TIME(15,26,4)</f>
        <v>44004.643101851849</v>
      </c>
    </row>
    <row r="383" spans="1:4" ht="17">
      <c r="A383" s="5" t="s">
        <v>3244</v>
      </c>
      <c r="B383" s="5" t="s">
        <v>9185</v>
      </c>
      <c r="C383" s="5" t="s">
        <v>9186</v>
      </c>
      <c r="D383" s="2">
        <f>DATE(2020,6,24)+TIME(4,5,9)</f>
        <v>44006.170243055552</v>
      </c>
    </row>
    <row r="384" spans="1:4" ht="17">
      <c r="A384" s="4" t="s">
        <v>5103</v>
      </c>
      <c r="B384" s="4" t="s">
        <v>109</v>
      </c>
      <c r="C384" s="4" t="s">
        <v>5104</v>
      </c>
      <c r="D384" s="1">
        <f>DATE(2020,6,26)+TIME(14,49,35)</f>
        <v>44008.617766203701</v>
      </c>
    </row>
    <row r="385" spans="1:4" ht="17">
      <c r="A385" s="5" t="s">
        <v>683</v>
      </c>
      <c r="B385" s="5" t="s">
        <v>5087</v>
      </c>
      <c r="C385" s="5" t="s">
        <v>6522</v>
      </c>
      <c r="D385" s="2">
        <f>DATE(2020,6,15)+TIME(2,25,16)</f>
        <v>43997.10087962963</v>
      </c>
    </row>
    <row r="386" spans="1:4" ht="17">
      <c r="A386" s="5" t="s">
        <v>683</v>
      </c>
      <c r="B386" s="5" t="s">
        <v>3992</v>
      </c>
      <c r="C386" s="5" t="s">
        <v>3993</v>
      </c>
      <c r="D386" s="2">
        <f>DATE(2020,6,26)+TIME(10,55,50)</f>
        <v>44008.455439814818</v>
      </c>
    </row>
    <row r="387" spans="1:4" ht="17">
      <c r="A387" s="4" t="s">
        <v>683</v>
      </c>
      <c r="B387" s="4" t="s">
        <v>684</v>
      </c>
      <c r="C387" s="4" t="s">
        <v>685</v>
      </c>
      <c r="D387" s="1">
        <f>DATE(2020,6,26)+TIME(23,4,29)</f>
        <v>44008.961446759262</v>
      </c>
    </row>
    <row r="388" spans="1:4" ht="17">
      <c r="A388" s="4" t="s">
        <v>3033</v>
      </c>
      <c r="B388" s="4" t="s">
        <v>3034</v>
      </c>
      <c r="C388" s="4" t="s">
        <v>3035</v>
      </c>
      <c r="D388" s="1">
        <f>DATE(2020,6,24)+TIME(1,16,58)</f>
        <v>44006.053449074076</v>
      </c>
    </row>
    <row r="389" spans="1:4" ht="17">
      <c r="A389" s="5" t="s">
        <v>8697</v>
      </c>
      <c r="B389" s="5" t="s">
        <v>8698</v>
      </c>
      <c r="C389" s="5" t="s">
        <v>8699</v>
      </c>
      <c r="D389" s="2">
        <f>DATE(2020,6,18)+TIME(16,56,31)</f>
        <v>44000.705914351849</v>
      </c>
    </row>
    <row r="390" spans="1:4" ht="17">
      <c r="A390" s="4" t="s">
        <v>5444</v>
      </c>
      <c r="B390" s="4" t="s">
        <v>5445</v>
      </c>
      <c r="C390" s="4" t="s">
        <v>5446</v>
      </c>
      <c r="D390" s="1">
        <f>DATE(2020,6,17)+TIME(9,13,39)</f>
        <v>43999.384479166663</v>
      </c>
    </row>
    <row r="391" spans="1:4" ht="17">
      <c r="A391" s="4" t="s">
        <v>4380</v>
      </c>
      <c r="B391" s="4" t="s">
        <v>4381</v>
      </c>
      <c r="C391" s="4" t="s">
        <v>4382</v>
      </c>
      <c r="D391" s="1">
        <f>DATE(2020,5,26)+TIME(9,27,31)</f>
        <v>43977.394108796296</v>
      </c>
    </row>
    <row r="392" spans="1:4" ht="17">
      <c r="A392" s="4" t="s">
        <v>5483</v>
      </c>
      <c r="B392" s="4" t="s">
        <v>2022</v>
      </c>
      <c r="C392" s="4" t="s">
        <v>5484</v>
      </c>
      <c r="D392" s="1">
        <f>DATE(2020,6,16)+TIME(9,36,54)</f>
        <v>43998.400625000002</v>
      </c>
    </row>
    <row r="393" spans="1:4" ht="17">
      <c r="A393" s="4" t="s">
        <v>576</v>
      </c>
      <c r="B393" s="4" t="s">
        <v>577</v>
      </c>
      <c r="C393" s="4" t="s">
        <v>578</v>
      </c>
      <c r="D393" s="1">
        <f>DATE(2020,6,25)+TIME(17,43,43)</f>
        <v>44007.738692129627</v>
      </c>
    </row>
    <row r="394" spans="1:4" ht="17">
      <c r="A394" s="4" t="s">
        <v>847</v>
      </c>
      <c r="B394" s="4" t="s">
        <v>848</v>
      </c>
      <c r="C394" s="4" t="s">
        <v>849</v>
      </c>
      <c r="D394" s="1">
        <f>DATE(2020,6,22)+TIME(2,4,10)</f>
        <v>44004.086226851854</v>
      </c>
    </row>
    <row r="395" spans="1:4" ht="17">
      <c r="A395" s="4" t="s">
        <v>9507</v>
      </c>
      <c r="B395" s="4" t="s">
        <v>9508</v>
      </c>
      <c r="C395" s="4" t="s">
        <v>9509</v>
      </c>
      <c r="D395" s="1">
        <f>DATE(2020,6,29)+TIME(2,2,57)</f>
        <v>44011.085381944446</v>
      </c>
    </row>
    <row r="396" spans="1:4" ht="17">
      <c r="A396" s="5" t="s">
        <v>7496</v>
      </c>
      <c r="B396" s="5" t="s">
        <v>2851</v>
      </c>
      <c r="C396" s="5" t="s">
        <v>7497</v>
      </c>
      <c r="D396" s="2">
        <f>DATE(2020,6,19)+TIME(5,13,59)</f>
        <v>44001.218043981484</v>
      </c>
    </row>
    <row r="397" spans="1:4" ht="17">
      <c r="A397" s="4" t="s">
        <v>2731</v>
      </c>
      <c r="B397" s="4" t="s">
        <v>2732</v>
      </c>
      <c r="C397" s="4" t="s">
        <v>2733</v>
      </c>
      <c r="D397" s="1">
        <f>DATE(2020,6,24)+TIME(13,54,59)</f>
        <v>44006.57984953704</v>
      </c>
    </row>
    <row r="398" spans="1:4" ht="17">
      <c r="A398" s="5" t="s">
        <v>4875</v>
      </c>
      <c r="B398" s="5" t="s">
        <v>4876</v>
      </c>
      <c r="C398" s="5" t="s">
        <v>4877</v>
      </c>
      <c r="D398" s="2">
        <f>DATE(2020,6,23)+TIME(20,10,25)</f>
        <v>44005.840567129628</v>
      </c>
    </row>
    <row r="399" spans="1:4" ht="17">
      <c r="A399" s="5" t="s">
        <v>181</v>
      </c>
      <c r="B399" s="5" t="s">
        <v>182</v>
      </c>
      <c r="C399" s="5" t="s">
        <v>183</v>
      </c>
      <c r="D399" s="2">
        <f>DATE(2020,5,16)+TIME(13,30,37)</f>
        <v>43967.562928240739</v>
      </c>
    </row>
    <row r="400" spans="1:4" ht="17">
      <c r="A400" s="5" t="s">
        <v>2812</v>
      </c>
      <c r="B400" s="5" t="s">
        <v>8924</v>
      </c>
      <c r="C400" s="5" t="s">
        <v>8925</v>
      </c>
      <c r="D400" s="2">
        <f>DATE(2020,6,3)+TIME(0,59,32)</f>
        <v>43985.041342592594</v>
      </c>
    </row>
    <row r="401" spans="1:4" ht="17">
      <c r="A401" s="4" t="s">
        <v>2812</v>
      </c>
      <c r="B401" s="4" t="s">
        <v>2813</v>
      </c>
      <c r="C401" s="4" t="s">
        <v>2814</v>
      </c>
      <c r="D401" s="1">
        <f>DATE(2020,6,27)+TIME(12,37,1)</f>
        <v>44009.525706018518</v>
      </c>
    </row>
    <row r="402" spans="1:4" ht="17">
      <c r="A402" s="5" t="s">
        <v>7814</v>
      </c>
      <c r="B402" s="5" t="s">
        <v>7815</v>
      </c>
      <c r="C402" s="5" t="s">
        <v>7816</v>
      </c>
      <c r="D402" s="2">
        <f>DATE(2020,6,14)+TIME(12,45,30)</f>
        <v>43996.531597222223</v>
      </c>
    </row>
    <row r="403" spans="1:4" ht="17">
      <c r="A403" s="4" t="s">
        <v>1983</v>
      </c>
      <c r="B403" s="4" t="s">
        <v>7167</v>
      </c>
      <c r="C403" s="4" t="s">
        <v>7168</v>
      </c>
      <c r="D403" s="1">
        <f>DATE(2020,6,19)+TIME(10,54,48)</f>
        <v>44001.454722222225</v>
      </c>
    </row>
    <row r="404" spans="1:4" ht="17">
      <c r="A404" s="4" t="s">
        <v>1983</v>
      </c>
      <c r="B404" s="4" t="s">
        <v>1984</v>
      </c>
      <c r="C404" s="4" t="s">
        <v>1985</v>
      </c>
      <c r="D404" s="1">
        <f>DATE(2020,6,24)+TIME(17,24,28)</f>
        <v>44006.725324074076</v>
      </c>
    </row>
    <row r="405" spans="1:4" ht="17">
      <c r="A405" s="5" t="s">
        <v>8031</v>
      </c>
      <c r="B405" s="5" t="s">
        <v>8032</v>
      </c>
      <c r="C405" s="5" t="s">
        <v>8033</v>
      </c>
      <c r="D405" s="2">
        <f>DATE(2020,6,26)+TIME(10,50,59)</f>
        <v>44008.45207175926</v>
      </c>
    </row>
    <row r="406" spans="1:4" ht="17">
      <c r="A406" s="4" t="s">
        <v>2269</v>
      </c>
      <c r="B406" s="4" t="s">
        <v>2270</v>
      </c>
      <c r="C406" s="4" t="s">
        <v>2271</v>
      </c>
      <c r="D406" s="1">
        <f>DATE(2020,6,13)+TIME(7,18,14)</f>
        <v>43995.304328703707</v>
      </c>
    </row>
    <row r="407" spans="1:4" ht="17">
      <c r="A407" s="5" t="s">
        <v>2145</v>
      </c>
      <c r="B407" s="5" t="s">
        <v>2146</v>
      </c>
      <c r="C407" s="5" t="s">
        <v>2147</v>
      </c>
      <c r="D407" s="2">
        <f>DATE(2020,5,7)+TIME(4,8,27)</f>
        <v>43958.172534722224</v>
      </c>
    </row>
    <row r="408" spans="1:4" ht="17">
      <c r="A408" s="5" t="s">
        <v>1682</v>
      </c>
      <c r="B408" s="5" t="s">
        <v>553</v>
      </c>
      <c r="C408" s="5" t="s">
        <v>1683</v>
      </c>
      <c r="D408" s="2">
        <f>DATE(2020,3,30)+TIME(6,52,0)</f>
        <v>43920.286111111112</v>
      </c>
    </row>
    <row r="409" spans="1:4" ht="17">
      <c r="A409" s="5" t="s">
        <v>3471</v>
      </c>
      <c r="B409" s="5" t="s">
        <v>3472</v>
      </c>
      <c r="C409" s="5" t="s">
        <v>3473</v>
      </c>
      <c r="D409" s="2">
        <f>DATE(2020,6,25)+TIME(15,8,47)</f>
        <v>44007.631099537037</v>
      </c>
    </row>
    <row r="410" spans="1:4" ht="17">
      <c r="A410" s="4" t="s">
        <v>8895</v>
      </c>
      <c r="B410" s="4" t="s">
        <v>7655</v>
      </c>
      <c r="C410" s="4" t="s">
        <v>8896</v>
      </c>
      <c r="D410" s="1">
        <f>DATE(2020,6,16)+TIME(15,56,10)</f>
        <v>43998.664004629631</v>
      </c>
    </row>
    <row r="411" spans="1:4" ht="17">
      <c r="A411" s="4" t="s">
        <v>8850</v>
      </c>
      <c r="B411" s="4" t="s">
        <v>324</v>
      </c>
      <c r="C411" s="4" t="s">
        <v>8851</v>
      </c>
      <c r="D411" s="1">
        <f>DATE(2020,6,29)+TIME(10,31,23)</f>
        <v>44011.438460648147</v>
      </c>
    </row>
    <row r="412" spans="1:4" ht="17">
      <c r="A412" s="5" t="s">
        <v>9229</v>
      </c>
      <c r="B412" s="5" t="s">
        <v>9230</v>
      </c>
      <c r="C412" s="5" t="s">
        <v>9231</v>
      </c>
      <c r="D412" s="2">
        <f>DATE(2020,6,24)+TIME(12,0,41)</f>
        <v>44006.500474537039</v>
      </c>
    </row>
    <row r="413" spans="1:4" ht="17">
      <c r="A413" s="4" t="s">
        <v>8104</v>
      </c>
      <c r="B413" s="4" t="s">
        <v>8105</v>
      </c>
      <c r="C413" s="4" t="s">
        <v>8106</v>
      </c>
      <c r="D413" s="1">
        <f>DATE(2020,6,27)+TIME(2,55,38)</f>
        <v>44009.121967592589</v>
      </c>
    </row>
    <row r="414" spans="1:4" ht="17">
      <c r="A414" s="4" t="s">
        <v>5570</v>
      </c>
      <c r="B414" s="4" t="s">
        <v>5571</v>
      </c>
      <c r="C414" s="4" t="s">
        <v>5572</v>
      </c>
      <c r="D414" s="1">
        <f>DATE(2020,5,7)+TIME(12,33,58)</f>
        <v>43958.523587962962</v>
      </c>
    </row>
    <row r="415" spans="1:4" ht="17">
      <c r="A415" s="5" t="s">
        <v>1301</v>
      </c>
      <c r="B415" s="5" t="s">
        <v>2653</v>
      </c>
      <c r="C415" s="5" t="s">
        <v>2654</v>
      </c>
      <c r="D415" s="2">
        <f>DATE(2020,5,30)+TIME(2,39,1)</f>
        <v>43981.11042824074</v>
      </c>
    </row>
    <row r="416" spans="1:4" ht="17">
      <c r="A416" s="4" t="s">
        <v>1301</v>
      </c>
      <c r="B416" s="4" t="s">
        <v>1302</v>
      </c>
      <c r="C416" s="4" t="s">
        <v>1303</v>
      </c>
      <c r="D416" s="1">
        <f>DATE(2020,6,22)+TIME(23,2,3)</f>
        <v>44004.959756944445</v>
      </c>
    </row>
    <row r="417" spans="1:4" ht="17">
      <c r="A417" s="4" t="s">
        <v>1301</v>
      </c>
      <c r="B417" s="4" t="s">
        <v>7741</v>
      </c>
      <c r="C417" s="4" t="s">
        <v>7742</v>
      </c>
      <c r="D417" s="1">
        <f>DATE(2020,6,25)+TIME(1,57,47)</f>
        <v>44007.081793981481</v>
      </c>
    </row>
    <row r="418" spans="1:4" ht="17">
      <c r="A418" s="4" t="s">
        <v>6697</v>
      </c>
      <c r="B418" s="4" t="s">
        <v>6698</v>
      </c>
      <c r="C418" s="4" t="s">
        <v>6699</v>
      </c>
      <c r="D418" s="1">
        <f>DATE(2020,6,26)+TIME(9,33,26)</f>
        <v>44008.398217592592</v>
      </c>
    </row>
    <row r="419" spans="1:4" ht="17">
      <c r="A419" s="5" t="s">
        <v>6933</v>
      </c>
      <c r="B419" s="5" t="s">
        <v>6934</v>
      </c>
      <c r="C419" s="5" t="s">
        <v>6935</v>
      </c>
      <c r="D419" s="2">
        <f>DATE(2020,6,11)+TIME(10,47,28)</f>
        <v>43993.449629629627</v>
      </c>
    </row>
    <row r="420" spans="1:4" ht="17">
      <c r="A420" s="5" t="s">
        <v>1321</v>
      </c>
      <c r="B420" s="5" t="s">
        <v>1322</v>
      </c>
      <c r="C420" s="5" t="s">
        <v>1323</v>
      </c>
      <c r="D420" s="2">
        <f>DATE(2020,5,29)+TIME(17,41,33)</f>
        <v>43980.737187500003</v>
      </c>
    </row>
    <row r="421" spans="1:4" ht="17">
      <c r="A421" s="5" t="s">
        <v>3456</v>
      </c>
      <c r="B421" s="5" t="s">
        <v>3457</v>
      </c>
      <c r="C421" s="5" t="s">
        <v>3458</v>
      </c>
      <c r="D421" s="2">
        <f>DATE(2020,6,5)+TIME(8,56,32)</f>
        <v>43987.37259259259</v>
      </c>
    </row>
    <row r="422" spans="1:4" ht="17">
      <c r="A422" s="5" t="s">
        <v>4417</v>
      </c>
      <c r="B422" s="5" t="s">
        <v>4418</v>
      </c>
      <c r="C422" s="5" t="s">
        <v>4420</v>
      </c>
      <c r="D422" s="2">
        <f>DATE(2020,6,28)+TIME(13,28,15)</f>
        <v>44010.561284722222</v>
      </c>
    </row>
    <row r="423" spans="1:4" ht="17">
      <c r="A423" s="5" t="s">
        <v>5778</v>
      </c>
      <c r="B423" s="5" t="s">
        <v>5779</v>
      </c>
      <c r="C423" s="5" t="s">
        <v>5780</v>
      </c>
      <c r="D423" s="2">
        <f>DATE(2020,6,4)+TIME(21,11,33)</f>
        <v>43986.883020833331</v>
      </c>
    </row>
    <row r="424" spans="1:4" ht="17">
      <c r="A424" s="5" t="s">
        <v>7962</v>
      </c>
      <c r="B424" s="5" t="s">
        <v>7963</v>
      </c>
      <c r="C424" s="5" t="s">
        <v>7964</v>
      </c>
      <c r="D424" s="2">
        <f>DATE(2020,6,29)+TIME(14,19,47)</f>
        <v>44011.597071759257</v>
      </c>
    </row>
    <row r="425" spans="1:4" ht="17">
      <c r="A425" s="5" t="s">
        <v>1220</v>
      </c>
      <c r="B425" s="5" t="s">
        <v>1221</v>
      </c>
      <c r="C425" s="5" t="s">
        <v>1222</v>
      </c>
      <c r="D425" s="2">
        <f>DATE(2020,5,13)+TIME(7,18,58)</f>
        <v>43964.304837962962</v>
      </c>
    </row>
    <row r="426" spans="1:4" ht="17">
      <c r="A426" s="5" t="s">
        <v>1220</v>
      </c>
      <c r="B426" s="5" t="s">
        <v>8729</v>
      </c>
      <c r="C426" s="5" t="s">
        <v>8730</v>
      </c>
      <c r="D426" s="2">
        <f>DATE(2020,5,14)+TIME(12,12,58)</f>
        <v>43965.509004629632</v>
      </c>
    </row>
    <row r="427" spans="1:4" ht="17">
      <c r="A427" s="5" t="s">
        <v>5816</v>
      </c>
      <c r="B427" s="5" t="s">
        <v>5817</v>
      </c>
      <c r="C427" s="5" t="s">
        <v>5818</v>
      </c>
      <c r="D427" s="2">
        <f>DATE(2020,6,24)+TIME(11,54,42)</f>
        <v>44006.496319444443</v>
      </c>
    </row>
    <row r="428" spans="1:4" ht="17">
      <c r="A428" s="5" t="s">
        <v>338</v>
      </c>
      <c r="B428" s="5" t="s">
        <v>339</v>
      </c>
      <c r="C428" s="5" t="s">
        <v>341</v>
      </c>
      <c r="D428" s="2">
        <f>DATE(2020,6,12)+TIME(18,11,29)</f>
        <v>43994.757974537039</v>
      </c>
    </row>
    <row r="429" spans="1:4" ht="17">
      <c r="A429" s="5" t="s">
        <v>338</v>
      </c>
      <c r="B429" s="5" t="s">
        <v>8449</v>
      </c>
      <c r="C429" s="5" t="s">
        <v>8450</v>
      </c>
      <c r="D429" s="2">
        <f>DATE(2020,6,24)+TIME(10,2,12)</f>
        <v>44006.418194444443</v>
      </c>
    </row>
    <row r="430" spans="1:4" ht="17">
      <c r="A430" s="5" t="s">
        <v>338</v>
      </c>
      <c r="B430" s="5" t="s">
        <v>8724</v>
      </c>
      <c r="C430" s="5" t="s">
        <v>8725</v>
      </c>
      <c r="D430" s="2">
        <f>DATE(2020,6,26)+TIME(11,38,51)</f>
        <v>44008.485312500001</v>
      </c>
    </row>
    <row r="431" spans="1:4" ht="17">
      <c r="A431" s="5" t="s">
        <v>338</v>
      </c>
      <c r="B431" s="5" t="s">
        <v>9510</v>
      </c>
      <c r="C431" s="5" t="s">
        <v>9511</v>
      </c>
      <c r="D431" s="2">
        <f>DATE(2020,6,26)+TIME(15,34,43)</f>
        <v>44008.649108796293</v>
      </c>
    </row>
    <row r="432" spans="1:4" ht="17">
      <c r="A432" s="5" t="s">
        <v>779</v>
      </c>
      <c r="B432" s="5" t="s">
        <v>780</v>
      </c>
      <c r="C432" s="5" t="s">
        <v>781</v>
      </c>
      <c r="D432" s="2">
        <f>DATE(2020,5,15)+TIME(16,28,51)</f>
        <v>43966.686701388891</v>
      </c>
    </row>
    <row r="433" spans="1:4" ht="17">
      <c r="A433" s="5" t="s">
        <v>8612</v>
      </c>
      <c r="B433" s="5" t="s">
        <v>8612</v>
      </c>
      <c r="C433" s="5" t="s">
        <v>8613</v>
      </c>
      <c r="D433" s="2">
        <f>DATE(2020,6,23)+TIME(14,51,51)</f>
        <v>44005.619340277779</v>
      </c>
    </row>
    <row r="434" spans="1:4" ht="17">
      <c r="A434" s="5" t="s">
        <v>4522</v>
      </c>
      <c r="B434" s="5" t="s">
        <v>4523</v>
      </c>
      <c r="C434" s="5" t="s">
        <v>4524</v>
      </c>
      <c r="D434" s="2">
        <f>DATE(2020,6,25)+TIME(5,23,55)</f>
        <v>44007.224942129629</v>
      </c>
    </row>
    <row r="435" spans="1:4" ht="17">
      <c r="A435" s="4" t="s">
        <v>547</v>
      </c>
      <c r="B435" s="4" t="s">
        <v>548</v>
      </c>
      <c r="C435" s="4" t="s">
        <v>549</v>
      </c>
      <c r="D435" s="1">
        <f>DATE(2020,6,26)+TIME(18,8,39)</f>
        <v>44008.756006944444</v>
      </c>
    </row>
    <row r="436" spans="1:4" ht="17">
      <c r="A436" s="4" t="s">
        <v>289</v>
      </c>
      <c r="B436" s="4" t="s">
        <v>5611</v>
      </c>
      <c r="C436" s="4" t="s">
        <v>5612</v>
      </c>
      <c r="D436" s="1">
        <f>DATE(2020,6,26)+TIME(22,53,42)</f>
        <v>44008.953958333332</v>
      </c>
    </row>
    <row r="437" spans="1:4" ht="17">
      <c r="A437" s="4" t="s">
        <v>5122</v>
      </c>
      <c r="B437" s="4" t="s">
        <v>5123</v>
      </c>
      <c r="C437" s="4" t="s">
        <v>5124</v>
      </c>
      <c r="D437" s="1">
        <f>DATE(2020,5,30)+TIME(5,7,26)</f>
        <v>43981.213495370372</v>
      </c>
    </row>
    <row r="438" spans="1:4" ht="17">
      <c r="A438" s="4" t="s">
        <v>9035</v>
      </c>
      <c r="B438" s="4" t="s">
        <v>5837</v>
      </c>
      <c r="C438" s="4" t="s">
        <v>9036</v>
      </c>
      <c r="D438" s="1">
        <f>DATE(2020,6,27)+TIME(2,28,11)</f>
        <v>44009.102905092594</v>
      </c>
    </row>
    <row r="439" spans="1:4" ht="17">
      <c r="A439" s="5" t="s">
        <v>9032</v>
      </c>
      <c r="B439" s="5" t="s">
        <v>9033</v>
      </c>
      <c r="C439" s="5" t="s">
        <v>9034</v>
      </c>
      <c r="D439" s="2">
        <f>DATE(2020,6,25)+TIME(11,15,44)</f>
        <v>44007.469259259262</v>
      </c>
    </row>
    <row r="440" spans="1:4" ht="17">
      <c r="A440" s="5" t="s">
        <v>4366</v>
      </c>
      <c r="B440" s="5" t="s">
        <v>4367</v>
      </c>
      <c r="C440" s="5" t="s">
        <v>4368</v>
      </c>
      <c r="D440" s="2">
        <f>DATE(2020,5,22)+TIME(13,52,3)</f>
        <v>43973.5778125</v>
      </c>
    </row>
    <row r="441" spans="1:4" ht="17">
      <c r="A441" s="4" t="s">
        <v>2827</v>
      </c>
      <c r="B441" s="4" t="s">
        <v>2828</v>
      </c>
      <c r="C441" s="4" t="s">
        <v>2829</v>
      </c>
      <c r="D441" s="1">
        <f>DATE(2020,5,13)+TIME(3,54,28)</f>
        <v>43964.162824074076</v>
      </c>
    </row>
    <row r="442" spans="1:4" ht="17">
      <c r="A442" s="4" t="s">
        <v>1754</v>
      </c>
      <c r="B442" s="4" t="s">
        <v>269</v>
      </c>
      <c r="C442" s="4" t="s">
        <v>1755</v>
      </c>
      <c r="D442" s="1">
        <f>DATE(2020,4,10)+TIME(11,29,28)</f>
        <v>43931.478796296295</v>
      </c>
    </row>
    <row r="443" spans="1:4" ht="17">
      <c r="A443" s="4" t="s">
        <v>1066</v>
      </c>
      <c r="B443" s="4" t="s">
        <v>7581</v>
      </c>
      <c r="C443" s="4" t="s">
        <v>7582</v>
      </c>
      <c r="D443" s="1">
        <f>DATE(2020,4,7)+TIME(4,59,17)</f>
        <v>43928.207835648151</v>
      </c>
    </row>
    <row r="444" spans="1:4" ht="17">
      <c r="A444" s="4" t="s">
        <v>1066</v>
      </c>
      <c r="B444" s="4" t="s">
        <v>1067</v>
      </c>
      <c r="C444" s="4" t="s">
        <v>1068</v>
      </c>
      <c r="D444" s="1">
        <f>DATE(2020,6,22)+TIME(4,53,28)</f>
        <v>44004.203796296293</v>
      </c>
    </row>
    <row r="445" spans="1:4" ht="17">
      <c r="A445" s="5" t="s">
        <v>4168</v>
      </c>
      <c r="B445" s="5" t="s">
        <v>4169</v>
      </c>
      <c r="C445" s="5" t="s">
        <v>4170</v>
      </c>
      <c r="D445" s="2">
        <f>DATE(2020,6,11)+TIME(12,6,51)</f>
        <v>43993.504756944443</v>
      </c>
    </row>
    <row r="446" spans="1:4" ht="17">
      <c r="A446" s="5" t="s">
        <v>2097</v>
      </c>
      <c r="B446" s="5" t="s">
        <v>2098</v>
      </c>
      <c r="C446" s="5" t="s">
        <v>2099</v>
      </c>
      <c r="D446" s="2">
        <f>DATE(2020,6,19)+TIME(0,39,0)</f>
        <v>44001.027083333334</v>
      </c>
    </row>
    <row r="447" spans="1:4" ht="17">
      <c r="A447" s="4" t="s">
        <v>2097</v>
      </c>
      <c r="B447" s="4" t="s">
        <v>8510</v>
      </c>
      <c r="C447" s="4" t="s">
        <v>8511</v>
      </c>
      <c r="D447" s="1">
        <f>DATE(2020,6,28)+TIME(17,52,30)</f>
        <v>44010.744791666664</v>
      </c>
    </row>
    <row r="448" spans="1:4" ht="17">
      <c r="A448" s="4" t="s">
        <v>4161</v>
      </c>
      <c r="B448" s="4" t="s">
        <v>4162</v>
      </c>
      <c r="C448" s="4" t="s">
        <v>4163</v>
      </c>
      <c r="D448" s="1">
        <f>DATE(2020,6,25)+TIME(16,2,1)</f>
        <v>44007.668067129627</v>
      </c>
    </row>
    <row r="449" spans="1:4" ht="17">
      <c r="A449" s="4" t="s">
        <v>3050</v>
      </c>
      <c r="B449" s="4" t="s">
        <v>3051</v>
      </c>
      <c r="C449" s="4" t="s">
        <v>3052</v>
      </c>
      <c r="D449" s="1">
        <f>DATE(2020,5,7)+TIME(12,50,19)</f>
        <v>43958.534942129627</v>
      </c>
    </row>
    <row r="450" spans="1:4" ht="17">
      <c r="A450" s="5" t="s">
        <v>1338</v>
      </c>
      <c r="B450" s="5" t="s">
        <v>1339</v>
      </c>
      <c r="C450" s="5" t="s">
        <v>1340</v>
      </c>
      <c r="D450" s="2">
        <f>DATE(2020,5,13)+TIME(19,44,33)</f>
        <v>43964.822604166664</v>
      </c>
    </row>
    <row r="451" spans="1:4" ht="17">
      <c r="A451" s="5" t="s">
        <v>243</v>
      </c>
      <c r="B451" s="5" t="s">
        <v>244</v>
      </c>
      <c r="C451" s="5" t="s">
        <v>245</v>
      </c>
      <c r="D451" s="2">
        <f>DATE(2020,6,24)+TIME(9,21,12)</f>
        <v>44006.389722222222</v>
      </c>
    </row>
    <row r="452" spans="1:4" ht="17">
      <c r="A452" s="5" t="s">
        <v>5082</v>
      </c>
      <c r="B452" s="5" t="s">
        <v>5083</v>
      </c>
      <c r="C452" s="5" t="s">
        <v>5084</v>
      </c>
      <c r="D452" s="2">
        <f>DATE(2020,6,26)+TIME(15,21,34)</f>
        <v>44008.639976851853</v>
      </c>
    </row>
    <row r="453" spans="1:4" ht="17">
      <c r="A453" s="4" t="s">
        <v>330</v>
      </c>
      <c r="B453" s="4" t="s">
        <v>4525</v>
      </c>
      <c r="C453" s="4" t="s">
        <v>4526</v>
      </c>
      <c r="D453" s="1">
        <f>DATE(2020,3,31)+TIME(17,49,6)</f>
        <v>43921.742430555554</v>
      </c>
    </row>
    <row r="454" spans="1:4" ht="17">
      <c r="A454" s="5" t="s">
        <v>330</v>
      </c>
      <c r="B454" s="5" t="s">
        <v>932</v>
      </c>
      <c r="C454" s="5" t="s">
        <v>933</v>
      </c>
      <c r="D454" s="2">
        <f>DATE(2020,5,12)+TIME(9,48,40)</f>
        <v>43963.408796296295</v>
      </c>
    </row>
    <row r="455" spans="1:4" ht="17">
      <c r="A455" s="5" t="s">
        <v>330</v>
      </c>
      <c r="B455" s="5" t="s">
        <v>254</v>
      </c>
      <c r="C455" s="5" t="s">
        <v>4309</v>
      </c>
      <c r="D455" s="2">
        <f>DATE(2020,6,13)+TIME(0,47,18)</f>
        <v>43995.032847222225</v>
      </c>
    </row>
    <row r="456" spans="1:4" ht="17">
      <c r="A456" s="4" t="s">
        <v>1436</v>
      </c>
      <c r="B456" s="4" t="s">
        <v>1437</v>
      </c>
      <c r="C456" s="4" t="s">
        <v>1438</v>
      </c>
      <c r="D456" s="1">
        <f>DATE(2020,6,15)+TIME(10,16,1)</f>
        <v>43997.427789351852</v>
      </c>
    </row>
    <row r="457" spans="1:4" ht="17">
      <c r="A457" s="5" t="s">
        <v>1436</v>
      </c>
      <c r="B457" s="5" t="s">
        <v>1529</v>
      </c>
      <c r="C457" s="5" t="s">
        <v>1530</v>
      </c>
      <c r="D457" s="2">
        <f>DATE(2020,6,15)+TIME(11,10,28)</f>
        <v>43997.465601851851</v>
      </c>
    </row>
    <row r="458" spans="1:4" ht="17">
      <c r="A458" s="5" t="s">
        <v>330</v>
      </c>
      <c r="B458" s="5" t="s">
        <v>6670</v>
      </c>
      <c r="C458" s="5" t="s">
        <v>6671</v>
      </c>
      <c r="D458" s="2">
        <f>DATE(2020,6,17)+TIME(11,49,26)</f>
        <v>43999.492662037039</v>
      </c>
    </row>
    <row r="459" spans="1:4" ht="17">
      <c r="A459" s="4" t="s">
        <v>330</v>
      </c>
      <c r="B459" s="4" t="s">
        <v>331</v>
      </c>
      <c r="C459" s="4" t="s">
        <v>332</v>
      </c>
      <c r="D459" s="1">
        <f>DATE(2020,6,18)+TIME(7,16,50)</f>
        <v>44000.303356481483</v>
      </c>
    </row>
    <row r="460" spans="1:4" ht="17">
      <c r="A460" s="4" t="s">
        <v>330</v>
      </c>
      <c r="B460" s="4" t="s">
        <v>6087</v>
      </c>
      <c r="C460" s="4" t="s">
        <v>6088</v>
      </c>
      <c r="D460" s="1">
        <f>DATE(2020,6,29)+TIME(1,33,50)</f>
        <v>44011.065162037034</v>
      </c>
    </row>
    <row r="461" spans="1:4" ht="17">
      <c r="A461" s="5" t="s">
        <v>330</v>
      </c>
      <c r="B461" s="5" t="s">
        <v>9011</v>
      </c>
      <c r="C461" s="5" t="s">
        <v>9012</v>
      </c>
      <c r="D461" s="2">
        <f>DATE(2020,6,29)+TIME(14,32,24)</f>
        <v>44011.605833333335</v>
      </c>
    </row>
    <row r="462" spans="1:4" ht="17">
      <c r="A462" s="5" t="s">
        <v>5241</v>
      </c>
      <c r="B462" s="5" t="s">
        <v>5242</v>
      </c>
      <c r="C462" s="5" t="s">
        <v>5243</v>
      </c>
      <c r="D462" s="2">
        <f>DATE(2020,6,17)+TIME(13,5,4)</f>
        <v>43999.545185185183</v>
      </c>
    </row>
    <row r="463" spans="1:4" ht="17">
      <c r="A463" s="5" t="s">
        <v>1881</v>
      </c>
      <c r="B463" s="5" t="s">
        <v>2156</v>
      </c>
      <c r="C463" s="5" t="s">
        <v>2157</v>
      </c>
      <c r="D463" s="2">
        <f>DATE(2020,5,15)+TIME(19,9,24)</f>
        <v>43966.798194444447</v>
      </c>
    </row>
    <row r="464" spans="1:4" ht="17">
      <c r="A464" s="5" t="s">
        <v>1881</v>
      </c>
      <c r="B464" s="5" t="s">
        <v>3482</v>
      </c>
      <c r="C464" s="5" t="s">
        <v>3483</v>
      </c>
      <c r="D464" s="2">
        <f>DATE(2020,6,24)+TIME(15,40,58)</f>
        <v>44006.653449074074</v>
      </c>
    </row>
    <row r="465" spans="1:4" ht="17">
      <c r="A465" s="4" t="s">
        <v>1881</v>
      </c>
      <c r="B465" s="4" t="s">
        <v>1432</v>
      </c>
      <c r="C465" s="4" t="s">
        <v>7398</v>
      </c>
      <c r="D465" s="1">
        <f>DATE(2020,6,25)+TIME(8,11,21)</f>
        <v>44007.341215277775</v>
      </c>
    </row>
    <row r="466" spans="1:4" ht="17">
      <c r="A466" s="5" t="s">
        <v>1881</v>
      </c>
      <c r="B466" s="5" t="s">
        <v>6474</v>
      </c>
      <c r="C466" s="5" t="s">
        <v>6475</v>
      </c>
      <c r="D466" s="2">
        <f>DATE(2020,6,25)+TIME(10,30,4)</f>
        <v>44007.4375462963</v>
      </c>
    </row>
    <row r="467" spans="1:4" ht="17">
      <c r="A467" s="5" t="s">
        <v>1881</v>
      </c>
      <c r="B467" s="5" t="s">
        <v>1882</v>
      </c>
      <c r="C467" s="5" t="s">
        <v>1883</v>
      </c>
      <c r="D467" s="2">
        <f>DATE(2020,6,26)+TIME(0,28,27)</f>
        <v>44008.019756944443</v>
      </c>
    </row>
    <row r="468" spans="1:4" ht="17">
      <c r="A468" s="5" t="s">
        <v>1881</v>
      </c>
      <c r="B468" s="5" t="s">
        <v>2026</v>
      </c>
      <c r="C468" s="5" t="s">
        <v>2027</v>
      </c>
      <c r="D468" s="2">
        <f>DATE(2020,6,26)+TIME(9,18,24)</f>
        <v>44008.387777777774</v>
      </c>
    </row>
    <row r="469" spans="1:4" ht="17">
      <c r="A469" s="4" t="s">
        <v>1881</v>
      </c>
      <c r="B469" s="4" t="s">
        <v>7261</v>
      </c>
      <c r="C469" s="4" t="s">
        <v>7262</v>
      </c>
      <c r="D469" s="1">
        <f>DATE(2020,6,27)+TIME(22,40,25)</f>
        <v>44009.944733796299</v>
      </c>
    </row>
    <row r="470" spans="1:4" ht="17">
      <c r="A470" s="5" t="s">
        <v>1881</v>
      </c>
      <c r="B470" s="5" t="s">
        <v>2825</v>
      </c>
      <c r="C470" s="5" t="s">
        <v>2826</v>
      </c>
      <c r="D470" s="2">
        <f>DATE(2020,6,29)+TIME(10,45,14)</f>
        <v>44011.448078703703</v>
      </c>
    </row>
    <row r="471" spans="1:4" ht="17">
      <c r="A471" s="4" t="s">
        <v>1775</v>
      </c>
      <c r="B471" s="4" t="s">
        <v>6095</v>
      </c>
      <c r="C471" s="4" t="s">
        <v>6096</v>
      </c>
      <c r="D471" s="1">
        <f>DATE(2020,6,25)+TIME(8,38,37)</f>
        <v>44007.360150462962</v>
      </c>
    </row>
    <row r="472" spans="1:4" ht="17">
      <c r="A472" s="4" t="s">
        <v>9342</v>
      </c>
      <c r="B472" s="4" t="s">
        <v>9343</v>
      </c>
      <c r="C472" s="4" t="s">
        <v>9344</v>
      </c>
      <c r="D472" s="1">
        <f>DATE(2020,5,21)+TIME(21,34,38)</f>
        <v>43972.899050925924</v>
      </c>
    </row>
    <row r="473" spans="1:4" ht="17">
      <c r="A473" s="5" t="s">
        <v>2943</v>
      </c>
      <c r="B473" s="5" t="s">
        <v>2944</v>
      </c>
      <c r="C473" s="5" t="s">
        <v>2945</v>
      </c>
      <c r="D473" s="2">
        <f>DATE(2020,5,13)+TIME(17,12,54)</f>
        <v>43964.717291666668</v>
      </c>
    </row>
    <row r="474" spans="1:4" ht="17">
      <c r="A474" s="4" t="s">
        <v>6573</v>
      </c>
      <c r="B474" s="4" t="s">
        <v>6574</v>
      </c>
      <c r="C474" s="4" t="s">
        <v>6575</v>
      </c>
      <c r="D474" s="1">
        <f>DATE(2020,3,27)+TIME(15,46,8)</f>
        <v>43917.657037037039</v>
      </c>
    </row>
    <row r="475" spans="1:4" ht="17">
      <c r="A475" s="4" t="s">
        <v>8731</v>
      </c>
      <c r="B475" s="4" t="s">
        <v>8732</v>
      </c>
      <c r="C475" s="4" t="s">
        <v>8733</v>
      </c>
      <c r="D475" s="1">
        <f>DATE(2020,6,16)+TIME(15,14,42)</f>
        <v>43998.635208333333</v>
      </c>
    </row>
    <row r="476" spans="1:4" ht="17">
      <c r="A476" s="5" t="s">
        <v>0</v>
      </c>
      <c r="B476" s="5" t="s">
        <v>2949</v>
      </c>
      <c r="C476" s="5" t="s">
        <v>2950</v>
      </c>
      <c r="D476" s="2">
        <f>DATE(2020,6,29)+TIME(10,6,25)</f>
        <v>44011.421122685184</v>
      </c>
    </row>
    <row r="477" spans="1:4" ht="17">
      <c r="A477" s="4" t="s">
        <v>0</v>
      </c>
      <c r="B477" s="4" t="s">
        <v>1</v>
      </c>
      <c r="C477" s="4" t="s">
        <v>2</v>
      </c>
      <c r="D477" s="1">
        <f>DATE(2020,6,29)+TIME(12,33,20)</f>
        <v>44011.523148148146</v>
      </c>
    </row>
    <row r="478" spans="1:4" ht="17">
      <c r="A478" s="4" t="s">
        <v>1135</v>
      </c>
      <c r="B478" s="4" t="s">
        <v>1136</v>
      </c>
      <c r="C478" s="4" t="s">
        <v>1137</v>
      </c>
      <c r="D478" s="1">
        <f>DATE(2020,5,27)+TIME(16,45,29)</f>
        <v>43978.698252314818</v>
      </c>
    </row>
    <row r="479" spans="1:4" ht="17">
      <c r="A479" s="4" t="s">
        <v>3762</v>
      </c>
      <c r="B479" s="4" t="s">
        <v>2226</v>
      </c>
      <c r="C479" s="4" t="s">
        <v>3763</v>
      </c>
      <c r="D479" s="1">
        <f>DATE(2020,5,25)+TIME(19,45,22)</f>
        <v>43976.823171296295</v>
      </c>
    </row>
    <row r="480" spans="1:4" ht="17">
      <c r="A480" s="5" t="s">
        <v>4714</v>
      </c>
      <c r="B480" s="5" t="s">
        <v>4715</v>
      </c>
      <c r="C480" s="5" t="s">
        <v>4716</v>
      </c>
      <c r="D480" s="2">
        <f>DATE(2020,6,16)+TIME(17,29,12)</f>
        <v>43998.72861111111</v>
      </c>
    </row>
    <row r="481" spans="1:4" ht="17">
      <c r="A481" s="4" t="s">
        <v>2973</v>
      </c>
      <c r="B481" s="4" t="s">
        <v>9390</v>
      </c>
      <c r="C481" s="4" t="s">
        <v>9391</v>
      </c>
      <c r="D481" s="1">
        <f>DATE(2020,5,5)+TIME(21,56,53)</f>
        <v>43956.914502314816</v>
      </c>
    </row>
    <row r="482" spans="1:4" ht="17">
      <c r="A482" s="4" t="s">
        <v>2973</v>
      </c>
      <c r="B482" s="4" t="s">
        <v>5625</v>
      </c>
      <c r="C482" s="4" t="s">
        <v>5626</v>
      </c>
      <c r="D482" s="1">
        <f>DATE(2020,5,19)+TIME(10,52,53)</f>
        <v>43970.4533912037</v>
      </c>
    </row>
    <row r="483" spans="1:4" ht="17">
      <c r="A483" s="4" t="s">
        <v>2973</v>
      </c>
      <c r="B483" s="4" t="s">
        <v>2974</v>
      </c>
      <c r="C483" s="4" t="s">
        <v>2975</v>
      </c>
      <c r="D483" s="1">
        <f>DATE(2020,6,5)+TIME(10,27,15)</f>
        <v>43987.435590277775</v>
      </c>
    </row>
    <row r="484" spans="1:4" ht="17">
      <c r="A484" s="4" t="s">
        <v>2973</v>
      </c>
      <c r="B484" s="4" t="s">
        <v>3768</v>
      </c>
      <c r="C484" s="4" t="s">
        <v>3769</v>
      </c>
      <c r="D484" s="1">
        <f>DATE(2020,6,6)+TIME(6,11,59)</f>
        <v>43988.258321759262</v>
      </c>
    </row>
    <row r="485" spans="1:4" ht="17">
      <c r="A485" s="5" t="s">
        <v>2973</v>
      </c>
      <c r="B485" s="5" t="s">
        <v>4083</v>
      </c>
      <c r="C485" s="5" t="s">
        <v>4084</v>
      </c>
      <c r="D485" s="2">
        <f>DATE(2020,6,15)+TIME(4,49,37)</f>
        <v>43997.201122685183</v>
      </c>
    </row>
    <row r="486" spans="1:4" ht="17">
      <c r="A486" s="5" t="s">
        <v>2973</v>
      </c>
      <c r="B486" s="5" t="s">
        <v>1610</v>
      </c>
      <c r="C486" s="5" t="s">
        <v>6024</v>
      </c>
      <c r="D486" s="2">
        <f>DATE(2020,6,17)+TIME(11,12,28)</f>
        <v>43999.466990740744</v>
      </c>
    </row>
    <row r="487" spans="1:4" ht="17">
      <c r="A487" s="5" t="s">
        <v>2973</v>
      </c>
      <c r="B487" s="5" t="s">
        <v>3861</v>
      </c>
      <c r="C487" s="5" t="s">
        <v>3862</v>
      </c>
      <c r="D487" s="2">
        <f>DATE(2020,6,25)+TIME(17,44,52)</f>
        <v>44007.739490740743</v>
      </c>
    </row>
    <row r="488" spans="1:4" ht="17">
      <c r="A488" s="4" t="s">
        <v>2973</v>
      </c>
      <c r="B488" s="4" t="s">
        <v>7613</v>
      </c>
      <c r="C488" s="4" t="s">
        <v>7614</v>
      </c>
      <c r="D488" s="1">
        <f>DATE(2020,6,26)+TIME(12,47,51)</f>
        <v>44008.533229166664</v>
      </c>
    </row>
    <row r="489" spans="1:4" ht="17">
      <c r="A489" s="4" t="s">
        <v>2973</v>
      </c>
      <c r="B489" s="4" t="s">
        <v>1576</v>
      </c>
      <c r="C489" s="4" t="s">
        <v>8456</v>
      </c>
      <c r="D489" s="1">
        <f>DATE(2020,6,26)+TIME(15,36,39)</f>
        <v>44008.650451388887</v>
      </c>
    </row>
    <row r="490" spans="1:4" ht="17">
      <c r="A490" s="5" t="s">
        <v>2973</v>
      </c>
      <c r="B490" s="5" t="s">
        <v>3446</v>
      </c>
      <c r="C490" s="5" t="s">
        <v>3447</v>
      </c>
      <c r="D490" s="2">
        <f>DATE(2020,6,26)+TIME(16,31,30)</f>
        <v>44008.68854166667</v>
      </c>
    </row>
    <row r="491" spans="1:4" ht="17">
      <c r="A491" s="5" t="s">
        <v>1016</v>
      </c>
      <c r="B491" s="5" t="s">
        <v>1017</v>
      </c>
      <c r="C491" s="5" t="s">
        <v>1018</v>
      </c>
      <c r="D491" s="2">
        <f>DATE(2020,5,5)+TIME(18,55,9)</f>
        <v>43956.788298611114</v>
      </c>
    </row>
    <row r="492" spans="1:4" ht="17">
      <c r="A492" s="5" t="s">
        <v>1941</v>
      </c>
      <c r="B492" s="5" t="s">
        <v>1486</v>
      </c>
      <c r="C492" s="5" t="s">
        <v>1942</v>
      </c>
      <c r="D492" s="2">
        <f>DATE(2020,6,15)+TIME(16,45,49)</f>
        <v>43997.698483796295</v>
      </c>
    </row>
    <row r="493" spans="1:4" ht="17">
      <c r="A493" s="4" t="s">
        <v>3212</v>
      </c>
      <c r="B493" s="4" t="s">
        <v>3213</v>
      </c>
      <c r="C493" s="4" t="s">
        <v>3214</v>
      </c>
      <c r="D493" s="1">
        <f>DATE(2020,6,28)+TIME(11,39,20)</f>
        <v>44010.485648148147</v>
      </c>
    </row>
    <row r="494" spans="1:4" ht="17">
      <c r="A494" s="5" t="s">
        <v>6269</v>
      </c>
      <c r="B494" s="5" t="s">
        <v>6270</v>
      </c>
      <c r="C494" s="5" t="s">
        <v>6271</v>
      </c>
      <c r="D494" s="2">
        <f>DATE(2020,6,24)+TIME(13,34,8)</f>
        <v>44006.565370370372</v>
      </c>
    </row>
    <row r="495" spans="1:4" ht="17">
      <c r="A495" s="5" t="s">
        <v>7007</v>
      </c>
      <c r="B495" s="5" t="s">
        <v>7008</v>
      </c>
      <c r="C495" s="5" t="s">
        <v>7009</v>
      </c>
      <c r="D495" s="2">
        <f>DATE(2020,6,12)+TIME(6,57,48)</f>
        <v>43994.290138888886</v>
      </c>
    </row>
    <row r="496" spans="1:4" ht="17">
      <c r="A496" s="5" t="s">
        <v>2439</v>
      </c>
      <c r="B496" s="5" t="s">
        <v>1124</v>
      </c>
      <c r="C496" s="5" t="s">
        <v>2440</v>
      </c>
      <c r="D496" s="2">
        <f>DATE(2020,5,11)+TIME(14,0,3)</f>
        <v>43962.583368055559</v>
      </c>
    </row>
    <row r="497" spans="1:4" ht="17">
      <c r="A497" s="5" t="s">
        <v>8437</v>
      </c>
      <c r="B497" s="5" t="s">
        <v>8438</v>
      </c>
      <c r="C497" s="5" t="s">
        <v>8439</v>
      </c>
      <c r="D497" s="2">
        <f>DATE(2020,6,24)+TIME(18,57,10)</f>
        <v>44006.789699074077</v>
      </c>
    </row>
    <row r="498" spans="1:4" ht="17">
      <c r="A498" s="5" t="s">
        <v>3241</v>
      </c>
      <c r="B498" s="5" t="s">
        <v>3242</v>
      </c>
      <c r="C498" s="5" t="s">
        <v>3243</v>
      </c>
      <c r="D498" s="2">
        <f>DATE(2020,6,24)+TIME(11,59,31)</f>
        <v>44006.499664351853</v>
      </c>
    </row>
    <row r="499" spans="1:4" ht="17">
      <c r="A499" s="5" t="s">
        <v>3074</v>
      </c>
      <c r="B499" s="5" t="s">
        <v>3075</v>
      </c>
      <c r="C499" s="5" t="s">
        <v>3076</v>
      </c>
      <c r="D499" s="2">
        <f>DATE(2020,5,19)+TIME(6,43,6)</f>
        <v>43970.279930555553</v>
      </c>
    </row>
    <row r="500" spans="1:4" ht="17">
      <c r="A500" s="4" t="s">
        <v>9493</v>
      </c>
      <c r="B500" s="4" t="s">
        <v>9494</v>
      </c>
      <c r="C500" s="4" t="s">
        <v>9495</v>
      </c>
      <c r="D500" s="1">
        <f>DATE(2020,5,29)+TIME(0,56,58)</f>
        <v>43980.039560185185</v>
      </c>
    </row>
    <row r="501" spans="1:4" ht="17">
      <c r="A501" s="5" t="s">
        <v>7804</v>
      </c>
      <c r="B501" s="5" t="s">
        <v>7805</v>
      </c>
      <c r="C501" s="5" t="s">
        <v>7806</v>
      </c>
      <c r="D501" s="2">
        <f>DATE(2020,6,27)+TIME(6,14,49)</f>
        <v>44009.260289351849</v>
      </c>
    </row>
    <row r="502" spans="1:4" ht="17">
      <c r="A502" s="5" t="s">
        <v>3266</v>
      </c>
      <c r="B502" s="5" t="s">
        <v>3267</v>
      </c>
      <c r="C502" s="5" t="s">
        <v>3268</v>
      </c>
      <c r="D502" s="2">
        <f>DATE(2020,6,25)+TIME(4,47,58)</f>
        <v>44007.199976851851</v>
      </c>
    </row>
    <row r="503" spans="1:4" ht="17">
      <c r="A503" s="4" t="s">
        <v>2119</v>
      </c>
      <c r="B503" s="4" t="s">
        <v>2559</v>
      </c>
      <c r="C503" s="4" t="s">
        <v>8227</v>
      </c>
      <c r="D503" s="1">
        <f>DATE(2020,6,15)+TIME(14,58,41)</f>
        <v>43997.624085648145</v>
      </c>
    </row>
    <row r="504" spans="1:4" ht="17">
      <c r="A504" s="5" t="s">
        <v>2119</v>
      </c>
      <c r="B504" s="5" t="s">
        <v>6948</v>
      </c>
      <c r="C504" s="5" t="s">
        <v>6949</v>
      </c>
      <c r="D504" s="2">
        <f>DATE(2020,6,24)+TIME(20,19,29)</f>
        <v>44006.846863425926</v>
      </c>
    </row>
    <row r="505" spans="1:4" ht="17">
      <c r="A505" s="5" t="s">
        <v>2119</v>
      </c>
      <c r="B505" s="5" t="s">
        <v>2120</v>
      </c>
      <c r="C505" s="5" t="s">
        <v>2121</v>
      </c>
      <c r="D505" s="2">
        <f>DATE(2020,6,28)+TIME(11,49,8)</f>
        <v>44010.4924537037</v>
      </c>
    </row>
    <row r="506" spans="1:4" ht="17">
      <c r="A506" s="5" t="s">
        <v>3117</v>
      </c>
      <c r="B506" s="5" t="s">
        <v>3118</v>
      </c>
      <c r="C506" s="5" t="s">
        <v>3119</v>
      </c>
      <c r="D506" s="2">
        <f>DATE(2020,6,24)+TIME(14,43,48)</f>
        <v>44006.613749999997</v>
      </c>
    </row>
    <row r="507" spans="1:4" ht="17">
      <c r="A507" s="4" t="s">
        <v>9187</v>
      </c>
      <c r="B507" s="4" t="s">
        <v>9188</v>
      </c>
      <c r="C507" s="4" t="s">
        <v>9189</v>
      </c>
      <c r="D507" s="1">
        <f>DATE(2020,6,15)+TIME(3,54,55)</f>
        <v>43997.163136574076</v>
      </c>
    </row>
    <row r="508" spans="1:4" ht="17">
      <c r="A508" s="4" t="s">
        <v>4260</v>
      </c>
      <c r="B508" s="4" t="s">
        <v>4261</v>
      </c>
      <c r="C508" s="4" t="s">
        <v>4262</v>
      </c>
      <c r="D508" s="1">
        <f>DATE(2020,5,26)+TIME(9,19,26)</f>
        <v>43977.388495370367</v>
      </c>
    </row>
    <row r="509" spans="1:4" ht="17">
      <c r="A509" s="5" t="s">
        <v>146</v>
      </c>
      <c r="B509" s="5" t="s">
        <v>147</v>
      </c>
      <c r="C509" s="5" t="s">
        <v>148</v>
      </c>
      <c r="D509" s="2">
        <f>DATE(2020,5,14)+TIME(5,26,46)</f>
        <v>43965.226921296293</v>
      </c>
    </row>
    <row r="510" spans="1:4" ht="17">
      <c r="A510" s="4" t="s">
        <v>146</v>
      </c>
      <c r="B510" s="4" t="s">
        <v>4973</v>
      </c>
      <c r="C510" s="4" t="s">
        <v>4974</v>
      </c>
      <c r="D510" s="1">
        <f>DATE(2020,5,21)+TIME(15,42,21)</f>
        <v>43972.654409722221</v>
      </c>
    </row>
    <row r="511" spans="1:4" ht="17">
      <c r="A511" s="4" t="s">
        <v>146</v>
      </c>
      <c r="B511" s="4" t="s">
        <v>2066</v>
      </c>
      <c r="C511" s="4" t="s">
        <v>2067</v>
      </c>
      <c r="D511" s="1">
        <f>DATE(2020,6,14)+TIME(17,33,58)</f>
        <v>43996.731921296298</v>
      </c>
    </row>
    <row r="512" spans="1:4" ht="17">
      <c r="A512" s="4" t="s">
        <v>2116</v>
      </c>
      <c r="B512" s="4" t="s">
        <v>2117</v>
      </c>
      <c r="C512" s="4" t="s">
        <v>2118</v>
      </c>
      <c r="D512" s="1">
        <f>DATE(2020,6,24)+TIME(9,43,53)</f>
        <v>44006.405474537038</v>
      </c>
    </row>
    <row r="513" spans="1:4" ht="17">
      <c r="A513" s="4" t="s">
        <v>146</v>
      </c>
      <c r="B513" s="4" t="s">
        <v>280</v>
      </c>
      <c r="C513" s="4" t="s">
        <v>281</v>
      </c>
      <c r="D513" s="1">
        <f>DATE(2020,6,24)+TIME(15,40,58)</f>
        <v>44006.653449074074</v>
      </c>
    </row>
    <row r="514" spans="1:4" ht="17">
      <c r="A514" s="4" t="s">
        <v>858</v>
      </c>
      <c r="B514" s="4" t="s">
        <v>859</v>
      </c>
      <c r="C514" s="4" t="s">
        <v>860</v>
      </c>
      <c r="D514" s="1">
        <f>DATE(2020,5,24)+TIME(23,50,9)</f>
        <v>43975.993159722224</v>
      </c>
    </row>
    <row r="515" spans="1:4" ht="17">
      <c r="A515" s="5" t="s">
        <v>858</v>
      </c>
      <c r="B515" s="5" t="s">
        <v>410</v>
      </c>
      <c r="C515" s="5" t="s">
        <v>9124</v>
      </c>
      <c r="D515" s="2">
        <f>DATE(2020,6,16)+TIME(11,43,15)</f>
        <v>43998.488368055558</v>
      </c>
    </row>
    <row r="516" spans="1:4" ht="17">
      <c r="A516" s="5" t="s">
        <v>858</v>
      </c>
      <c r="B516" s="5" t="s">
        <v>8905</v>
      </c>
      <c r="C516" s="5" t="s">
        <v>8906</v>
      </c>
      <c r="D516" s="2">
        <f>DATE(2020,6,25)+TIME(14,41,50)</f>
        <v>44007.612384259257</v>
      </c>
    </row>
    <row r="517" spans="1:4" ht="17">
      <c r="A517" s="5" t="s">
        <v>3198</v>
      </c>
      <c r="B517" s="5" t="s">
        <v>3199</v>
      </c>
      <c r="C517" s="5" t="s">
        <v>3200</v>
      </c>
      <c r="D517" s="2">
        <f>DATE(2020,5,22)+TIME(12,31,24)</f>
        <v>43973.521805555552</v>
      </c>
    </row>
    <row r="518" spans="1:4" ht="17">
      <c r="A518" s="5" t="s">
        <v>3198</v>
      </c>
      <c r="B518" s="5" t="s">
        <v>6878</v>
      </c>
      <c r="C518" s="5" t="s">
        <v>6879</v>
      </c>
      <c r="D518" s="2">
        <f>DATE(2020,5,23)+TIME(18,6,46)</f>
        <v>43974.754699074074</v>
      </c>
    </row>
    <row r="519" spans="1:4" ht="17">
      <c r="A519" s="4" t="s">
        <v>8890</v>
      </c>
      <c r="B519" s="4" t="s">
        <v>783</v>
      </c>
      <c r="C519" s="4" t="s">
        <v>8891</v>
      </c>
      <c r="D519" s="1">
        <f>DATE(2020,6,17)+TIME(17,29,51)</f>
        <v>43999.729062500002</v>
      </c>
    </row>
    <row r="520" spans="1:4" ht="17">
      <c r="A520" s="4" t="s">
        <v>1341</v>
      </c>
      <c r="B520" s="4" t="s">
        <v>1342</v>
      </c>
      <c r="C520" s="4" t="s">
        <v>1343</v>
      </c>
      <c r="D520" s="1">
        <f>DATE(2020,3,30)+TIME(7,40,40)</f>
        <v>43920.319907407407</v>
      </c>
    </row>
    <row r="521" spans="1:4" ht="17">
      <c r="A521" s="4" t="s">
        <v>4066</v>
      </c>
      <c r="B521" s="4" t="s">
        <v>4067</v>
      </c>
      <c r="C521" s="4" t="s">
        <v>4068</v>
      </c>
      <c r="D521" s="1">
        <f>DATE(2020,5,13)+TIME(23,17,17)</f>
        <v>43964.970335648148</v>
      </c>
    </row>
    <row r="522" spans="1:4" ht="17">
      <c r="A522" s="4" t="s">
        <v>400</v>
      </c>
      <c r="B522" s="4" t="s">
        <v>3444</v>
      </c>
      <c r="C522" s="4" t="s">
        <v>3445</v>
      </c>
      <c r="D522" s="1">
        <f>DATE(2020,5,19)+TIME(12,49,27)</f>
        <v>43970.53434027778</v>
      </c>
    </row>
    <row r="523" spans="1:4" ht="17">
      <c r="A523" s="4" t="s">
        <v>400</v>
      </c>
      <c r="B523" s="4" t="s">
        <v>6611</v>
      </c>
      <c r="C523" s="4" t="s">
        <v>6612</v>
      </c>
      <c r="D523" s="1">
        <f>DATE(2020,6,23)+TIME(16,18,4)</f>
        <v>44005.679212962961</v>
      </c>
    </row>
    <row r="524" spans="1:4" ht="17">
      <c r="A524" s="4" t="s">
        <v>400</v>
      </c>
      <c r="B524" s="4" t="s">
        <v>2230</v>
      </c>
      <c r="C524" s="4" t="s">
        <v>7547</v>
      </c>
      <c r="D524" s="1">
        <f>DATE(2020,6,25)+TIME(0,37,51)</f>
        <v>44007.026284722226</v>
      </c>
    </row>
    <row r="525" spans="1:4" ht="17">
      <c r="A525" s="5" t="s">
        <v>400</v>
      </c>
      <c r="B525" s="5" t="s">
        <v>6734</v>
      </c>
      <c r="C525" s="5" t="s">
        <v>6735</v>
      </c>
      <c r="D525" s="2">
        <f>DATE(2020,6,26)+TIME(16,45,38)</f>
        <v>44008.69835648148</v>
      </c>
    </row>
    <row r="526" spans="1:4" ht="17">
      <c r="A526" s="4" t="s">
        <v>400</v>
      </c>
      <c r="B526" s="4" t="s">
        <v>401</v>
      </c>
      <c r="C526" s="4" t="s">
        <v>402</v>
      </c>
      <c r="D526" s="1">
        <f>DATE(2020,6,29)+TIME(0,15,27)</f>
        <v>44011.010729166665</v>
      </c>
    </row>
    <row r="527" spans="1:4" ht="17">
      <c r="A527" s="4" t="s">
        <v>400</v>
      </c>
      <c r="B527" s="4" t="s">
        <v>476</v>
      </c>
      <c r="C527" s="4" t="s">
        <v>7540</v>
      </c>
      <c r="D527" s="1">
        <f>DATE(2020,6,29)+TIME(7,57,25)</f>
        <v>44011.33153935185</v>
      </c>
    </row>
    <row r="528" spans="1:4" ht="17">
      <c r="A528" s="4" t="s">
        <v>3527</v>
      </c>
      <c r="B528" s="4" t="s">
        <v>3528</v>
      </c>
      <c r="C528" s="4" t="s">
        <v>3529</v>
      </c>
      <c r="D528" s="1">
        <f>DATE(2020,6,24)+TIME(17,52,54)</f>
        <v>44006.745069444441</v>
      </c>
    </row>
    <row r="529" spans="1:4" ht="17">
      <c r="A529" s="4" t="s">
        <v>210</v>
      </c>
      <c r="B529" s="4" t="s">
        <v>211</v>
      </c>
      <c r="C529" s="4" t="s">
        <v>212</v>
      </c>
      <c r="D529" s="1">
        <f>DATE(2020,6,22)+TIME(10,41,43)</f>
        <v>44004.445636574077</v>
      </c>
    </row>
    <row r="530" spans="1:4" ht="17">
      <c r="A530" s="4" t="s">
        <v>210</v>
      </c>
      <c r="B530" s="4" t="s">
        <v>7331</v>
      </c>
      <c r="C530" s="4" t="s">
        <v>7332</v>
      </c>
      <c r="D530" s="1">
        <f>DATE(2020,6,25)+TIME(21,3,46)</f>
        <v>44007.877615740741</v>
      </c>
    </row>
    <row r="531" spans="1:4" ht="17">
      <c r="A531" s="4" t="s">
        <v>2471</v>
      </c>
      <c r="B531" s="4" t="s">
        <v>2472</v>
      </c>
      <c r="C531" s="4" t="s">
        <v>2473</v>
      </c>
      <c r="D531" s="1">
        <f>DATE(2020,6,26)+TIME(16,29,24)</f>
        <v>44008.687083333331</v>
      </c>
    </row>
    <row r="532" spans="1:4" ht="17">
      <c r="A532" s="4" t="s">
        <v>7940</v>
      </c>
      <c r="B532" s="4" t="s">
        <v>7941</v>
      </c>
      <c r="C532" s="4" t="s">
        <v>7942</v>
      </c>
      <c r="D532" s="1">
        <f>DATE(2020,6,26)+TIME(3,13,41)</f>
        <v>44008.134502314817</v>
      </c>
    </row>
    <row r="533" spans="1:4" ht="17">
      <c r="A533" s="4" t="s">
        <v>5969</v>
      </c>
      <c r="B533" s="4" t="s">
        <v>5970</v>
      </c>
      <c r="C533" s="4" t="s">
        <v>5971</v>
      </c>
      <c r="D533" s="1">
        <f>DATE(2020,6,2)+TIME(11,14,18)</f>
        <v>43984.468263888892</v>
      </c>
    </row>
    <row r="534" spans="1:4" ht="17">
      <c r="A534" s="5" t="s">
        <v>2171</v>
      </c>
      <c r="B534" s="5" t="s">
        <v>1101</v>
      </c>
      <c r="C534" s="5" t="s">
        <v>2172</v>
      </c>
      <c r="D534" s="2">
        <f>DATE(2020,6,23)+TIME(11,19,0)</f>
        <v>44005.47152777778</v>
      </c>
    </row>
    <row r="535" spans="1:4" ht="17">
      <c r="A535" s="4" t="s">
        <v>1989</v>
      </c>
      <c r="B535" s="4" t="s">
        <v>1990</v>
      </c>
      <c r="C535" s="4" t="s">
        <v>1991</v>
      </c>
      <c r="D535" s="1">
        <f>DATE(2020,6,25)+TIME(14,0,16)</f>
        <v>44007.583518518521</v>
      </c>
    </row>
    <row r="536" spans="1:4" ht="17">
      <c r="A536" s="4" t="s">
        <v>709</v>
      </c>
      <c r="B536" s="4" t="s">
        <v>710</v>
      </c>
      <c r="C536" s="4" t="s">
        <v>711</v>
      </c>
      <c r="D536" s="1">
        <f>DATE(2020,5,11)+TIME(15,26,30)</f>
        <v>43962.64340277778</v>
      </c>
    </row>
    <row r="537" spans="1:4" ht="17">
      <c r="A537" s="4" t="s">
        <v>709</v>
      </c>
      <c r="B537" s="4" t="s">
        <v>7088</v>
      </c>
      <c r="C537" s="4" t="s">
        <v>7089</v>
      </c>
      <c r="D537" s="1">
        <f>DATE(2020,6,3)+TIME(0,59,33)</f>
        <v>43985.041354166664</v>
      </c>
    </row>
    <row r="538" spans="1:4" ht="17">
      <c r="A538" s="5" t="s">
        <v>709</v>
      </c>
      <c r="B538" s="5" t="s">
        <v>6210</v>
      </c>
      <c r="C538" s="5" t="s">
        <v>6211</v>
      </c>
      <c r="D538" s="2">
        <f>DATE(2020,6,22)+TIME(14,21,31)</f>
        <v>44004.598275462966</v>
      </c>
    </row>
    <row r="539" spans="1:4" ht="17">
      <c r="A539" s="5" t="s">
        <v>7532</v>
      </c>
      <c r="B539" s="5" t="s">
        <v>7533</v>
      </c>
      <c r="C539" s="5" t="s">
        <v>7534</v>
      </c>
      <c r="D539" s="2">
        <f>DATE(2020,6,9)+TIME(12,47,22)</f>
        <v>43991.532893518517</v>
      </c>
    </row>
    <row r="540" spans="1:4" ht="17">
      <c r="A540" s="5" t="s">
        <v>293</v>
      </c>
      <c r="B540" s="5" t="s">
        <v>6030</v>
      </c>
      <c r="C540" s="5" t="s">
        <v>6031</v>
      </c>
      <c r="D540" s="2">
        <f>DATE(2020,1,19)+TIME(9,33,10)</f>
        <v>43849.398032407407</v>
      </c>
    </row>
    <row r="541" spans="1:4" ht="17">
      <c r="A541" s="4" t="s">
        <v>293</v>
      </c>
      <c r="B541" s="4" t="s">
        <v>3842</v>
      </c>
      <c r="C541" s="4" t="s">
        <v>6225</v>
      </c>
      <c r="D541" s="1">
        <f>DATE(2020,2,11)+TIME(15,40,23)</f>
        <v>43872.653043981481</v>
      </c>
    </row>
    <row r="542" spans="1:4" ht="17">
      <c r="A542" s="5" t="s">
        <v>293</v>
      </c>
      <c r="B542" s="5" t="s">
        <v>4646</v>
      </c>
      <c r="C542" s="5" t="s">
        <v>6559</v>
      </c>
      <c r="D542" s="2">
        <f>DATE(2020,4,10)+TIME(16,55,7)</f>
        <v>43931.704942129632</v>
      </c>
    </row>
    <row r="543" spans="1:4" ht="17">
      <c r="A543" s="4" t="s">
        <v>293</v>
      </c>
      <c r="B543" s="4" t="s">
        <v>5345</v>
      </c>
      <c r="C543" s="4" t="s">
        <v>5346</v>
      </c>
      <c r="D543" s="1">
        <f>DATE(2020,5,5)+TIME(16,11,52)</f>
        <v>43956.674907407411</v>
      </c>
    </row>
    <row r="544" spans="1:4" ht="17">
      <c r="A544" s="4" t="s">
        <v>293</v>
      </c>
      <c r="B544" s="4" t="s">
        <v>2024</v>
      </c>
      <c r="C544" s="4" t="s">
        <v>2025</v>
      </c>
      <c r="D544" s="1">
        <f>DATE(2020,5,7)+TIME(12,45,2)</f>
        <v>43958.531273148146</v>
      </c>
    </row>
    <row r="545" spans="1:4" ht="17">
      <c r="A545" s="5" t="s">
        <v>293</v>
      </c>
      <c r="B545" s="5" t="s">
        <v>6678</v>
      </c>
      <c r="C545" s="5" t="s">
        <v>6679</v>
      </c>
      <c r="D545" s="2">
        <f>DATE(2020,5,8)+TIME(2,38,50)</f>
        <v>43959.110300925924</v>
      </c>
    </row>
    <row r="546" spans="1:4" ht="17">
      <c r="A546" s="5" t="s">
        <v>293</v>
      </c>
      <c r="B546" s="5" t="s">
        <v>4192</v>
      </c>
      <c r="C546" s="5" t="s">
        <v>4193</v>
      </c>
      <c r="D546" s="2">
        <f>DATE(2020,5,15)+TIME(8,50,17)</f>
        <v>43966.368252314816</v>
      </c>
    </row>
    <row r="547" spans="1:4" ht="17">
      <c r="A547" s="5" t="s">
        <v>293</v>
      </c>
      <c r="B547" s="5" t="s">
        <v>7652</v>
      </c>
      <c r="C547" s="5" t="s">
        <v>7653</v>
      </c>
      <c r="D547" s="2">
        <f>DATE(2020,5,19)+TIME(10,22,43)</f>
        <v>43970.432442129626</v>
      </c>
    </row>
    <row r="548" spans="1:4" ht="17">
      <c r="A548" s="4" t="s">
        <v>293</v>
      </c>
      <c r="B548" s="4" t="s">
        <v>9358</v>
      </c>
      <c r="C548" s="4" t="s">
        <v>9359</v>
      </c>
      <c r="D548" s="1">
        <f>DATE(2020,5,19)+TIME(12,0,34)</f>
        <v>43970.500393518516</v>
      </c>
    </row>
    <row r="549" spans="1:4" ht="17">
      <c r="A549" s="4" t="s">
        <v>293</v>
      </c>
      <c r="B549" s="4" t="s">
        <v>704</v>
      </c>
      <c r="C549" s="4" t="s">
        <v>705</v>
      </c>
      <c r="D549" s="1">
        <f>DATE(2020,5,21)+TIME(16,41,49)</f>
        <v>43972.695706018516</v>
      </c>
    </row>
    <row r="550" spans="1:4" ht="17">
      <c r="A550" s="5" t="s">
        <v>293</v>
      </c>
      <c r="B550" s="5" t="s">
        <v>294</v>
      </c>
      <c r="C550" s="5" t="s">
        <v>295</v>
      </c>
      <c r="D550" s="2">
        <f>DATE(2020,6,12)+TIME(11,39,12)</f>
        <v>43994.485555555555</v>
      </c>
    </row>
    <row r="551" spans="1:4" ht="17">
      <c r="A551" s="4" t="s">
        <v>293</v>
      </c>
      <c r="B551" s="4" t="s">
        <v>8178</v>
      </c>
      <c r="C551" s="4" t="s">
        <v>8179</v>
      </c>
      <c r="D551" s="1">
        <f>DATE(2020,6,17)+TIME(8,13,42)</f>
        <v>43999.342847222222</v>
      </c>
    </row>
    <row r="552" spans="1:4" ht="17">
      <c r="A552" s="4" t="s">
        <v>293</v>
      </c>
      <c r="B552" s="4" t="s">
        <v>904</v>
      </c>
      <c r="C552" s="4" t="s">
        <v>7252</v>
      </c>
      <c r="D552" s="1">
        <f>DATE(2020,6,22)+TIME(14,16,45)</f>
        <v>44004.594965277778</v>
      </c>
    </row>
    <row r="553" spans="1:4" ht="17">
      <c r="A553" s="4" t="s">
        <v>293</v>
      </c>
      <c r="B553" s="4" t="s">
        <v>6840</v>
      </c>
      <c r="C553" s="4" t="s">
        <v>6841</v>
      </c>
      <c r="D553" s="1">
        <f>DATE(2020,6,23)+TIME(22,23,50)</f>
        <v>44005.933217592596</v>
      </c>
    </row>
    <row r="554" spans="1:4" ht="17">
      <c r="A554" s="4" t="s">
        <v>293</v>
      </c>
      <c r="B554" s="4" t="s">
        <v>1255</v>
      </c>
      <c r="C554" s="4" t="s">
        <v>1256</v>
      </c>
      <c r="D554" s="1">
        <f>DATE(2020,6,24)+TIME(0,52,55)</f>
        <v>44006.036747685182</v>
      </c>
    </row>
    <row r="555" spans="1:4" ht="17">
      <c r="A555" s="5" t="s">
        <v>293</v>
      </c>
      <c r="B555" s="5" t="s">
        <v>1235</v>
      </c>
      <c r="C555" s="5" t="s">
        <v>1236</v>
      </c>
      <c r="D555" s="2">
        <f>DATE(2020,6,24)+TIME(9,29,4)</f>
        <v>44006.395185185182</v>
      </c>
    </row>
    <row r="556" spans="1:4" ht="17">
      <c r="A556" s="4" t="s">
        <v>293</v>
      </c>
      <c r="B556" s="4" t="s">
        <v>565</v>
      </c>
      <c r="C556" s="4" t="s">
        <v>5209</v>
      </c>
      <c r="D556" s="1">
        <f>DATE(2020,6,26)+TIME(14,8,15)</f>
        <v>44008.589062500003</v>
      </c>
    </row>
    <row r="557" spans="1:4" ht="17">
      <c r="A557" s="5" t="s">
        <v>293</v>
      </c>
      <c r="B557" s="5" t="s">
        <v>2983</v>
      </c>
      <c r="C557" s="5" t="s">
        <v>2984</v>
      </c>
      <c r="D557" s="2">
        <f>DATE(2020,6,27)+TIME(15,49,15)</f>
        <v>44009.659201388888</v>
      </c>
    </row>
    <row r="558" spans="1:4" ht="17">
      <c r="A558" s="5" t="s">
        <v>293</v>
      </c>
      <c r="B558" s="5" t="s">
        <v>7934</v>
      </c>
      <c r="C558" s="5" t="s">
        <v>7935</v>
      </c>
      <c r="D558" s="2">
        <f>DATE(2020,6,28)+TIME(12,44,29)</f>
        <v>44010.530891203707</v>
      </c>
    </row>
    <row r="559" spans="1:4" ht="17">
      <c r="A559" s="4" t="s">
        <v>7158</v>
      </c>
      <c r="B559" s="4" t="s">
        <v>6243</v>
      </c>
      <c r="C559" s="4" t="s">
        <v>7159</v>
      </c>
      <c r="D559" s="1">
        <f>DATE(2020,6,25)+TIME(12,35,13)</f>
        <v>44007.524456018517</v>
      </c>
    </row>
    <row r="560" spans="1:4" ht="17">
      <c r="A560" s="4" t="s">
        <v>2421</v>
      </c>
      <c r="B560" s="4" t="s">
        <v>2422</v>
      </c>
      <c r="C560" s="4" t="s">
        <v>2423</v>
      </c>
      <c r="D560" s="1">
        <f>DATE(2020,6,22)+TIME(12,33,8)</f>
        <v>44004.523009259261</v>
      </c>
    </row>
    <row r="561" spans="1:4" ht="17">
      <c r="A561" s="5" t="s">
        <v>4855</v>
      </c>
      <c r="B561" s="5" t="s">
        <v>4856</v>
      </c>
      <c r="C561" s="5" t="s">
        <v>4857</v>
      </c>
      <c r="D561" s="2">
        <f>DATE(2020,6,28)+TIME(10,44,39)</f>
        <v>44010.44767361111</v>
      </c>
    </row>
    <row r="562" spans="1:4" ht="17">
      <c r="A562" s="4" t="s">
        <v>335</v>
      </c>
      <c r="B562" s="4" t="s">
        <v>336</v>
      </c>
      <c r="C562" s="4" t="s">
        <v>337</v>
      </c>
      <c r="D562" s="1">
        <f>DATE(2020,5,20)+TIME(16,38,55)</f>
        <v>43971.693692129629</v>
      </c>
    </row>
    <row r="563" spans="1:4" ht="17">
      <c r="A563" s="5" t="s">
        <v>335</v>
      </c>
      <c r="B563" s="5" t="s">
        <v>5669</v>
      </c>
      <c r="C563" s="5" t="s">
        <v>8256</v>
      </c>
      <c r="D563" s="2">
        <f>DATE(2020,6,12)+TIME(14,50,16)</f>
        <v>43994.61824074074</v>
      </c>
    </row>
    <row r="564" spans="1:4" ht="17">
      <c r="A564" s="5" t="s">
        <v>5617</v>
      </c>
      <c r="B564" s="5" t="s">
        <v>5618</v>
      </c>
      <c r="C564" s="5" t="s">
        <v>5619</v>
      </c>
      <c r="D564" s="2">
        <f>DATE(2020,6,17)+TIME(19,17,39)</f>
        <v>43999.803923611114</v>
      </c>
    </row>
    <row r="565" spans="1:4" ht="17">
      <c r="A565" s="4" t="s">
        <v>996</v>
      </c>
      <c r="B565" s="4" t="s">
        <v>997</v>
      </c>
      <c r="C565" s="4" t="s">
        <v>998</v>
      </c>
      <c r="D565" s="1">
        <f>DATE(2020,5,5)+TIME(16,20,40)</f>
        <v>43956.681018518517</v>
      </c>
    </row>
    <row r="566" spans="1:4" ht="17">
      <c r="A566" s="5" t="s">
        <v>2325</v>
      </c>
      <c r="B566" s="5" t="s">
        <v>2326</v>
      </c>
      <c r="C566" s="5" t="s">
        <v>2327</v>
      </c>
      <c r="D566" s="2">
        <f>DATE(2020,5,15)+TIME(17,28,48)</f>
        <v>43966.728333333333</v>
      </c>
    </row>
    <row r="567" spans="1:4" ht="17">
      <c r="A567" s="4" t="s">
        <v>2325</v>
      </c>
      <c r="B567" s="4" t="s">
        <v>6560</v>
      </c>
      <c r="C567" s="4" t="s">
        <v>6561</v>
      </c>
      <c r="D567" s="1">
        <f>DATE(2020,6,11)+TIME(11,11,47)</f>
        <v>43993.466516203705</v>
      </c>
    </row>
    <row r="568" spans="1:4" ht="17">
      <c r="A568" s="4" t="s">
        <v>3702</v>
      </c>
      <c r="B568" s="4" t="s">
        <v>3703</v>
      </c>
      <c r="C568" s="4" t="s">
        <v>3704</v>
      </c>
      <c r="D568" s="1">
        <f>DATE(2020,6,14)+TIME(7,44,36)</f>
        <v>43996.322638888887</v>
      </c>
    </row>
    <row r="569" spans="1:4" ht="17">
      <c r="A569" s="4" t="s">
        <v>2325</v>
      </c>
      <c r="B569" s="4" t="s">
        <v>6832</v>
      </c>
      <c r="C569" s="4" t="s">
        <v>6833</v>
      </c>
      <c r="D569" s="1">
        <f>DATE(2020,6,26)+TIME(9,51,12)</f>
        <v>44008.410555555558</v>
      </c>
    </row>
    <row r="570" spans="1:4" ht="17">
      <c r="A570" s="4" t="s">
        <v>6164</v>
      </c>
      <c r="B570" s="4" t="s">
        <v>6165</v>
      </c>
      <c r="C570" s="4" t="s">
        <v>6166</v>
      </c>
      <c r="D570" s="1">
        <f>DATE(2020,6,26)+TIME(9,47,22)</f>
        <v>44008.407893518517</v>
      </c>
    </row>
    <row r="571" spans="1:4" ht="17">
      <c r="A571" s="5" t="s">
        <v>4114</v>
      </c>
      <c r="B571" s="5" t="s">
        <v>4115</v>
      </c>
      <c r="C571" s="5" t="s">
        <v>4116</v>
      </c>
      <c r="D571" s="2">
        <f>DATE(2020,6,12)+TIME(7,32,47)</f>
        <v>43994.314432870371</v>
      </c>
    </row>
    <row r="572" spans="1:4" ht="17">
      <c r="A572" s="4" t="s">
        <v>2142</v>
      </c>
      <c r="B572" s="4" t="s">
        <v>2143</v>
      </c>
      <c r="C572" s="4" t="s">
        <v>2144</v>
      </c>
      <c r="D572" s="1">
        <f>DATE(2020,3,28)+TIME(12,43,29)</f>
        <v>43918.53019675926</v>
      </c>
    </row>
    <row r="573" spans="1:4" ht="17">
      <c r="A573" s="5" t="s">
        <v>2142</v>
      </c>
      <c r="B573" s="5" t="s">
        <v>3351</v>
      </c>
      <c r="C573" s="5" t="s">
        <v>3352</v>
      </c>
      <c r="D573" s="2">
        <f>DATE(2020,5,6)+TIME(9,29,25)</f>
        <v>43957.395428240743</v>
      </c>
    </row>
    <row r="574" spans="1:4" ht="17">
      <c r="A574" s="5" t="s">
        <v>2142</v>
      </c>
      <c r="B574" s="5" t="s">
        <v>5513</v>
      </c>
      <c r="C574" s="5" t="s">
        <v>5514</v>
      </c>
      <c r="D574" s="2">
        <f>DATE(2020,6,27)+TIME(1,12,5)</f>
        <v>44009.050057870372</v>
      </c>
    </row>
    <row r="575" spans="1:4" ht="17">
      <c r="A575" s="4" t="s">
        <v>6315</v>
      </c>
      <c r="B575" s="4" t="s">
        <v>6316</v>
      </c>
      <c r="C575" s="4" t="s">
        <v>6317</v>
      </c>
      <c r="D575" s="1">
        <f>DATE(2020,6,22)+TIME(13,21,50)</f>
        <v>44004.556828703702</v>
      </c>
    </row>
    <row r="576" spans="1:4" ht="17">
      <c r="A576" s="5" t="s">
        <v>6924</v>
      </c>
      <c r="B576" s="5" t="s">
        <v>681</v>
      </c>
      <c r="C576" s="5" t="s">
        <v>6925</v>
      </c>
      <c r="D576" s="2">
        <f>DATE(2020,6,25)+TIME(21,3,46)</f>
        <v>44007.877615740741</v>
      </c>
    </row>
    <row r="577" spans="1:4" ht="17">
      <c r="A577" s="5" t="s">
        <v>2213</v>
      </c>
      <c r="B577" s="5" t="s">
        <v>2214</v>
      </c>
      <c r="C577" s="5" t="s">
        <v>2215</v>
      </c>
      <c r="D577" s="2">
        <f>DATE(2020,5,5)+TIME(16,38,47)</f>
        <v>43956.693599537037</v>
      </c>
    </row>
    <row r="578" spans="1:4" ht="17">
      <c r="A578" s="5" t="s">
        <v>5434</v>
      </c>
      <c r="B578" s="5" t="s">
        <v>5435</v>
      </c>
      <c r="C578" s="5" t="s">
        <v>5436</v>
      </c>
      <c r="D578" s="2">
        <f>DATE(2020,6,25)+TIME(3,4,41)</f>
        <v>44007.128252314818</v>
      </c>
    </row>
    <row r="579" spans="1:4" ht="17">
      <c r="A579" s="4" t="s">
        <v>541</v>
      </c>
      <c r="B579" s="4" t="s">
        <v>542</v>
      </c>
      <c r="C579" s="4" t="s">
        <v>543</v>
      </c>
      <c r="D579" s="1">
        <f>DATE(2020,6,2)+TIME(18,20,20)</f>
        <v>43984.764120370368</v>
      </c>
    </row>
    <row r="580" spans="1:4" ht="17">
      <c r="A580" s="4" t="s">
        <v>5238</v>
      </c>
      <c r="B580" s="4" t="s">
        <v>5239</v>
      </c>
      <c r="C580" s="4" t="s">
        <v>5240</v>
      </c>
      <c r="D580" s="1">
        <f>DATE(2020,5,19)+TIME(1,4,25)</f>
        <v>43970.044733796298</v>
      </c>
    </row>
    <row r="581" spans="1:4" ht="17">
      <c r="A581" s="5" t="s">
        <v>5452</v>
      </c>
      <c r="B581" s="5" t="s">
        <v>5453</v>
      </c>
      <c r="C581" s="5" t="s">
        <v>5454</v>
      </c>
      <c r="D581" s="2">
        <f>DATE(2020,5,21)+TIME(18,56,28)</f>
        <v>43972.789212962962</v>
      </c>
    </row>
    <row r="582" spans="1:4" ht="17">
      <c r="A582" s="4" t="s">
        <v>3321</v>
      </c>
      <c r="B582" s="4" t="s">
        <v>3322</v>
      </c>
      <c r="C582" s="4" t="s">
        <v>3323</v>
      </c>
      <c r="D582" s="1">
        <f>DATE(2020,6,27)+TIME(6,26,16)</f>
        <v>44009.268240740741</v>
      </c>
    </row>
    <row r="583" spans="1:4" ht="17">
      <c r="A583" s="5" t="s">
        <v>4792</v>
      </c>
      <c r="B583" s="5" t="s">
        <v>4793</v>
      </c>
      <c r="C583" s="5" t="s">
        <v>4794</v>
      </c>
      <c r="D583" s="2">
        <f>DATE(2020,6,19)+TIME(2,43,51)</f>
        <v>44001.11378472222</v>
      </c>
    </row>
    <row r="584" spans="1:4" ht="17">
      <c r="A584" s="4" t="s">
        <v>7112</v>
      </c>
      <c r="B584" s="4" t="s">
        <v>3695</v>
      </c>
      <c r="C584" s="4" t="s">
        <v>7113</v>
      </c>
      <c r="D584" s="1">
        <f>DATE(2020,6,27)+TIME(10,16,59)</f>
        <v>44009.428460648145</v>
      </c>
    </row>
    <row r="585" spans="1:4" ht="17">
      <c r="A585" s="5" t="s">
        <v>8323</v>
      </c>
      <c r="B585" s="5" t="s">
        <v>8324</v>
      </c>
      <c r="C585" s="5" t="s">
        <v>8325</v>
      </c>
      <c r="D585" s="2">
        <f>DATE(2020,5,21)+TIME(16,43,27)</f>
        <v>43972.696840277778</v>
      </c>
    </row>
    <row r="586" spans="1:4" ht="17">
      <c r="A586" s="5" t="s">
        <v>5450</v>
      </c>
      <c r="B586" s="5" t="s">
        <v>5909</v>
      </c>
      <c r="C586" s="5" t="s">
        <v>5910</v>
      </c>
      <c r="D586" s="2">
        <f>DATE(2020,3,30)+TIME(8,59,20)</f>
        <v>43920.374537037038</v>
      </c>
    </row>
    <row r="587" spans="1:4" ht="17">
      <c r="A587" s="4" t="s">
        <v>9385</v>
      </c>
      <c r="B587" s="4" t="s">
        <v>9386</v>
      </c>
      <c r="C587" s="4" t="s">
        <v>9387</v>
      </c>
      <c r="D587" s="1">
        <f>DATE(2020,6,18)+TIME(17,17,36)</f>
        <v>44000.720555555556</v>
      </c>
    </row>
    <row r="588" spans="1:4" ht="17">
      <c r="A588" s="5" t="s">
        <v>850</v>
      </c>
      <c r="B588" s="5" t="s">
        <v>750</v>
      </c>
      <c r="C588" s="5" t="s">
        <v>851</v>
      </c>
      <c r="D588" s="2">
        <f>DATE(2020,6,23)+TIME(13,42,55)</f>
        <v>44005.571469907409</v>
      </c>
    </row>
    <row r="589" spans="1:4" ht="17">
      <c r="A589" s="4" t="s">
        <v>1509</v>
      </c>
      <c r="B589" s="4" t="s">
        <v>1510</v>
      </c>
      <c r="C589" s="4" t="s">
        <v>1511</v>
      </c>
      <c r="D589" s="1">
        <f>DATE(2020,6,27)+TIME(9,25,32)</f>
        <v>44009.392731481479</v>
      </c>
    </row>
    <row r="590" spans="1:4" ht="17">
      <c r="A590" s="4" t="s">
        <v>9247</v>
      </c>
      <c r="B590" s="4" t="s">
        <v>1025</v>
      </c>
      <c r="C590" s="4" t="s">
        <v>9248</v>
      </c>
      <c r="D590" s="1">
        <f>DATE(2020,6,25)+TIME(8,13,27)</f>
        <v>44007.342673611114</v>
      </c>
    </row>
    <row r="591" spans="1:4" ht="17">
      <c r="A591" s="4" t="s">
        <v>184</v>
      </c>
      <c r="B591" s="4" t="s">
        <v>4298</v>
      </c>
      <c r="C591" s="4" t="s">
        <v>4299</v>
      </c>
      <c r="D591" s="1">
        <f>DATE(2020,5,20)+TIME(18,41,53)</f>
        <v>43971.779085648152</v>
      </c>
    </row>
    <row r="592" spans="1:4" ht="17">
      <c r="A592" s="4" t="s">
        <v>184</v>
      </c>
      <c r="B592" s="4" t="s">
        <v>185</v>
      </c>
      <c r="C592" s="4" t="s">
        <v>186</v>
      </c>
      <c r="D592" s="1">
        <f>DATE(2020,6,29)+TIME(11,25,37)</f>
        <v>44011.476122685184</v>
      </c>
    </row>
    <row r="593" spans="1:4" ht="17">
      <c r="A593" s="5" t="s">
        <v>9006</v>
      </c>
      <c r="B593" s="5" t="s">
        <v>9007</v>
      </c>
      <c r="C593" s="5" t="s">
        <v>9008</v>
      </c>
      <c r="D593" s="2">
        <f>DATE(2020,6,2)+TIME(10,44,55)</f>
        <v>43984.447858796295</v>
      </c>
    </row>
    <row r="594" spans="1:4" ht="17">
      <c r="A594" s="5" t="s">
        <v>1126</v>
      </c>
      <c r="B594" s="5" t="s">
        <v>9150</v>
      </c>
      <c r="C594" s="5" t="s">
        <v>9151</v>
      </c>
      <c r="D594" s="2">
        <f>DATE(2020,5,12)+TIME(22,43,9)</f>
        <v>43963.946631944447</v>
      </c>
    </row>
    <row r="595" spans="1:4" ht="17">
      <c r="A595" s="5" t="s">
        <v>1126</v>
      </c>
      <c r="B595" s="5" t="s">
        <v>1127</v>
      </c>
      <c r="C595" s="5" t="s">
        <v>1128</v>
      </c>
      <c r="D595" s="2">
        <f>DATE(2020,6,8)+TIME(11,42,23)</f>
        <v>43990.487766203703</v>
      </c>
    </row>
    <row r="596" spans="1:4" ht="17">
      <c r="A596" s="4" t="s">
        <v>1126</v>
      </c>
      <c r="B596" s="4" t="s">
        <v>4426</v>
      </c>
      <c r="C596" s="4" t="s">
        <v>5508</v>
      </c>
      <c r="D596" s="1">
        <f>DATE(2020,6,29)+TIME(12,21,37)</f>
        <v>44011.515011574076</v>
      </c>
    </row>
    <row r="597" spans="1:4" ht="17">
      <c r="A597" s="5" t="s">
        <v>1072</v>
      </c>
      <c r="B597" s="5" t="s">
        <v>3477</v>
      </c>
      <c r="C597" s="5" t="s">
        <v>3478</v>
      </c>
      <c r="D597" s="2">
        <f>DATE(2020,6,16)+TIME(13,58,39)</f>
        <v>43998.582395833335</v>
      </c>
    </row>
    <row r="598" spans="1:4" ht="17">
      <c r="A598" s="4" t="s">
        <v>1072</v>
      </c>
      <c r="B598" s="4" t="s">
        <v>1073</v>
      </c>
      <c r="C598" s="4" t="s">
        <v>1074</v>
      </c>
      <c r="D598" s="1">
        <f>DATE(2020,6,26)+TIME(17,19,33)</f>
        <v>44008.721909722219</v>
      </c>
    </row>
    <row r="599" spans="1:4" ht="17">
      <c r="A599" s="4" t="s">
        <v>6578</v>
      </c>
      <c r="B599" s="4" t="s">
        <v>1933</v>
      </c>
      <c r="C599" s="4" t="s">
        <v>6579</v>
      </c>
      <c r="D599" s="1">
        <f>DATE(2020,6,26)+TIME(11,24,18)</f>
        <v>44008.475208333337</v>
      </c>
    </row>
    <row r="600" spans="1:4" ht="17">
      <c r="A600" s="4" t="s">
        <v>3066</v>
      </c>
      <c r="B600" s="4" t="s">
        <v>3067</v>
      </c>
      <c r="C600" s="4" t="s">
        <v>3068</v>
      </c>
      <c r="D600" s="1">
        <f>DATE(2020,6,15)+TIME(11,36,3)</f>
        <v>43997.483368055553</v>
      </c>
    </row>
    <row r="601" spans="1:4" ht="17">
      <c r="A601" s="4" t="s">
        <v>8415</v>
      </c>
      <c r="B601" s="4" t="s">
        <v>8416</v>
      </c>
      <c r="C601" s="4" t="s">
        <v>8417</v>
      </c>
      <c r="D601" s="1">
        <f>DATE(2020,6,16)+TIME(6,6,8)</f>
        <v>43998.254259259258</v>
      </c>
    </row>
    <row r="602" spans="1:4" ht="17">
      <c r="A602" s="5" t="s">
        <v>9091</v>
      </c>
      <c r="B602" s="5" t="s">
        <v>269</v>
      </c>
      <c r="C602" s="5" t="s">
        <v>9522</v>
      </c>
      <c r="D602" s="2">
        <f>DATE(2020,5,21)+TIME(17,36,51)</f>
        <v>43972.733923611115</v>
      </c>
    </row>
    <row r="603" spans="1:4" ht="17">
      <c r="A603" s="4" t="s">
        <v>9091</v>
      </c>
      <c r="B603" s="4" t="s">
        <v>9092</v>
      </c>
      <c r="C603" s="4" t="s">
        <v>9093</v>
      </c>
      <c r="D603" s="1">
        <f>DATE(2020,6,17)+TIME(13,13,21)</f>
        <v>43999.550937499997</v>
      </c>
    </row>
    <row r="604" spans="1:4" ht="17">
      <c r="A604" s="4" t="s">
        <v>6875</v>
      </c>
      <c r="B604" s="4" t="s">
        <v>6876</v>
      </c>
      <c r="C604" s="4" t="s">
        <v>6877</v>
      </c>
      <c r="D604" s="1">
        <f>DATE(2020,6,5)+TIME(12,53,9)</f>
        <v>43987.536909722221</v>
      </c>
    </row>
    <row r="605" spans="1:4" ht="17">
      <c r="A605" s="5" t="s">
        <v>5921</v>
      </c>
      <c r="B605" s="5" t="s">
        <v>5922</v>
      </c>
      <c r="C605" s="5" t="s">
        <v>5923</v>
      </c>
      <c r="D605" s="2">
        <f>DATE(2020,6,17)+TIME(9,55,14)</f>
        <v>43999.413356481484</v>
      </c>
    </row>
    <row r="606" spans="1:4" ht="17">
      <c r="A606" s="4" t="s">
        <v>2163</v>
      </c>
      <c r="B606" s="4" t="s">
        <v>8903</v>
      </c>
      <c r="C606" s="4" t="s">
        <v>8904</v>
      </c>
      <c r="D606" s="1">
        <f>DATE(2020,5,5)+TIME(15,23,22)</f>
        <v>43956.641226851854</v>
      </c>
    </row>
    <row r="607" spans="1:4" ht="17">
      <c r="A607" s="5" t="s">
        <v>2163</v>
      </c>
      <c r="B607" s="5" t="s">
        <v>8545</v>
      </c>
      <c r="C607" s="5" t="s">
        <v>8546</v>
      </c>
      <c r="D607" s="2">
        <f>DATE(2020,5,6)+TIME(18,29,6)</f>
        <v>43957.770208333335</v>
      </c>
    </row>
    <row r="608" spans="1:4" ht="17">
      <c r="A608" s="5" t="s">
        <v>2163</v>
      </c>
      <c r="B608" s="5" t="s">
        <v>8312</v>
      </c>
      <c r="C608" s="5" t="s">
        <v>8313</v>
      </c>
      <c r="D608" s="2">
        <f>DATE(2020,5,22)+TIME(20,8,30)</f>
        <v>43973.839236111111</v>
      </c>
    </row>
    <row r="609" spans="1:4" ht="17">
      <c r="A609" s="5" t="s">
        <v>2163</v>
      </c>
      <c r="B609" s="5" t="s">
        <v>3952</v>
      </c>
      <c r="C609" s="5" t="s">
        <v>3953</v>
      </c>
      <c r="D609" s="2">
        <f>DATE(2020,6,22)+TIME(14,10,2)</f>
        <v>44004.590300925927</v>
      </c>
    </row>
    <row r="610" spans="1:4" ht="17">
      <c r="A610" s="4" t="s">
        <v>2163</v>
      </c>
      <c r="B610" s="4" t="s">
        <v>2164</v>
      </c>
      <c r="C610" s="4" t="s">
        <v>2165</v>
      </c>
      <c r="D610" s="1">
        <f>DATE(2020,6,23)+TIME(16,33,1)</f>
        <v>44005.68959490741</v>
      </c>
    </row>
    <row r="611" spans="1:4" ht="17">
      <c r="A611" s="5" t="s">
        <v>2163</v>
      </c>
      <c r="B611" s="5" t="s">
        <v>2310</v>
      </c>
      <c r="C611" s="5" t="s">
        <v>2311</v>
      </c>
      <c r="D611" s="2">
        <f>DATE(2020,6,25)+TIME(11,3,16)</f>
        <v>44007.460601851853</v>
      </c>
    </row>
    <row r="612" spans="1:4" ht="17">
      <c r="A612" s="4" t="s">
        <v>2163</v>
      </c>
      <c r="B612" s="4" t="s">
        <v>6409</v>
      </c>
      <c r="C612" s="4" t="s">
        <v>6410</v>
      </c>
      <c r="D612" s="1">
        <f>DATE(2020,6,27)+TIME(4,8,23)</f>
        <v>44009.172488425924</v>
      </c>
    </row>
    <row r="613" spans="1:4" ht="17">
      <c r="A613" s="4" t="s">
        <v>5455</v>
      </c>
      <c r="B613" s="4" t="s">
        <v>5456</v>
      </c>
      <c r="C613" s="4" t="s">
        <v>5457</v>
      </c>
      <c r="D613" s="1">
        <f>DATE(2020,6,24)+TIME(17,49,2)</f>
        <v>44006.742384259262</v>
      </c>
    </row>
    <row r="614" spans="1:4" ht="17">
      <c r="A614" s="5" t="s">
        <v>8502</v>
      </c>
      <c r="B614" s="5" t="s">
        <v>8503</v>
      </c>
      <c r="C614" s="5" t="s">
        <v>8504</v>
      </c>
      <c r="D614" s="2">
        <f>DATE(2020,5,14)+TIME(17,17,26)</f>
        <v>43965.720439814817</v>
      </c>
    </row>
    <row r="615" spans="1:4" ht="17">
      <c r="A615" s="5" t="s">
        <v>1727</v>
      </c>
      <c r="B615" s="5" t="s">
        <v>1728</v>
      </c>
      <c r="C615" s="5" t="s">
        <v>1729</v>
      </c>
      <c r="D615" s="2">
        <f>DATE(2020,6,26)+TIME(3,54,48)</f>
        <v>44008.163055555553</v>
      </c>
    </row>
    <row r="616" spans="1:4" ht="17">
      <c r="A616" s="5" t="s">
        <v>4886</v>
      </c>
      <c r="B616" s="5" t="s">
        <v>1095</v>
      </c>
      <c r="C616" s="5" t="s">
        <v>4887</v>
      </c>
      <c r="D616" s="2">
        <f>DATE(2020,4,3)+TIME(15,3,30)</f>
        <v>43924.627430555556</v>
      </c>
    </row>
    <row r="617" spans="1:4" ht="17">
      <c r="A617" s="4" t="s">
        <v>4886</v>
      </c>
      <c r="B617" s="4" t="s">
        <v>4467</v>
      </c>
      <c r="C617" s="4" t="s">
        <v>7925</v>
      </c>
      <c r="D617" s="1">
        <f>DATE(2020,5,16)+TIME(23,47,26)</f>
        <v>43967.991273148145</v>
      </c>
    </row>
    <row r="618" spans="1:4" ht="17">
      <c r="A618" s="5" t="s">
        <v>6447</v>
      </c>
      <c r="B618" s="5" t="s">
        <v>8097</v>
      </c>
      <c r="C618" s="5" t="s">
        <v>8098</v>
      </c>
      <c r="D618" s="2">
        <f>DATE(2020,6,23)+TIME(17,42,24)</f>
        <v>44005.73777777778</v>
      </c>
    </row>
    <row r="619" spans="1:4" ht="17">
      <c r="A619" s="4" t="s">
        <v>6447</v>
      </c>
      <c r="B619" s="4" t="s">
        <v>6448</v>
      </c>
      <c r="C619" s="4" t="s">
        <v>6449</v>
      </c>
      <c r="D619" s="1">
        <f>DATE(2020,6,29)+TIME(3,31,37)</f>
        <v>44011.146956018521</v>
      </c>
    </row>
    <row r="620" spans="1:4" ht="17">
      <c r="A620" s="5" t="s">
        <v>2505</v>
      </c>
      <c r="B620" s="5" t="s">
        <v>2506</v>
      </c>
      <c r="C620" s="5" t="s">
        <v>2507</v>
      </c>
      <c r="D620" s="2">
        <f>DATE(2020,6,12)+TIME(11,14,45)</f>
        <v>43994.468576388892</v>
      </c>
    </row>
    <row r="621" spans="1:4" ht="17">
      <c r="A621" s="4" t="s">
        <v>7900</v>
      </c>
      <c r="B621" s="4" t="s">
        <v>7840</v>
      </c>
      <c r="C621" s="4" t="s">
        <v>7901</v>
      </c>
      <c r="D621" s="1">
        <f>DATE(2020,6,23)+TIME(6,3,44)</f>
        <v>44005.252592592595</v>
      </c>
    </row>
    <row r="622" spans="1:4" ht="17">
      <c r="A622" s="4" t="s">
        <v>738</v>
      </c>
      <c r="B622" s="4" t="s">
        <v>8999</v>
      </c>
      <c r="C622" s="4" t="s">
        <v>9000</v>
      </c>
      <c r="D622" s="1">
        <f>DATE(2020,5,23)+TIME(12,4,40)</f>
        <v>43974.503240740742</v>
      </c>
    </row>
    <row r="623" spans="1:4" ht="17">
      <c r="A623" s="5" t="s">
        <v>738</v>
      </c>
      <c r="B623" s="5" t="s">
        <v>739</v>
      </c>
      <c r="C623" s="5" t="s">
        <v>740</v>
      </c>
      <c r="D623" s="2">
        <f>DATE(2020,6,17)+TIME(11,12,10)</f>
        <v>43999.466782407406</v>
      </c>
    </row>
    <row r="624" spans="1:4" ht="17">
      <c r="A624" s="4" t="s">
        <v>738</v>
      </c>
      <c r="B624" s="4" t="s">
        <v>3692</v>
      </c>
      <c r="C624" s="4" t="s">
        <v>3693</v>
      </c>
      <c r="D624" s="1">
        <f>DATE(2020,6,26)+TIME(18,53,21)</f>
        <v>44008.787048611113</v>
      </c>
    </row>
    <row r="625" spans="1:4" ht="17">
      <c r="A625" s="5" t="s">
        <v>5525</v>
      </c>
      <c r="B625" s="5" t="s">
        <v>5526</v>
      </c>
      <c r="C625" s="5" t="s">
        <v>5527</v>
      </c>
      <c r="D625" s="2">
        <f>DATE(2020,6,25)+TIME(15,57,30)</f>
        <v>44007.664930555555</v>
      </c>
    </row>
    <row r="626" spans="1:4" ht="17">
      <c r="A626" s="4" t="s">
        <v>499</v>
      </c>
      <c r="B626" s="4" t="s">
        <v>2604</v>
      </c>
      <c r="C626" s="4" t="s">
        <v>2605</v>
      </c>
      <c r="D626" s="1">
        <f>DATE(2020,5,5)+TIME(10,19,25)</f>
        <v>43956.430150462962</v>
      </c>
    </row>
    <row r="627" spans="1:4" ht="17">
      <c r="A627" s="5" t="s">
        <v>499</v>
      </c>
      <c r="B627" s="5" t="s">
        <v>500</v>
      </c>
      <c r="C627" s="5" t="s">
        <v>501</v>
      </c>
      <c r="D627" s="2">
        <f>DATE(2020,5,12)+TIME(14,7,30)</f>
        <v>43963.588541666664</v>
      </c>
    </row>
    <row r="628" spans="1:4" ht="17">
      <c r="A628" s="5" t="s">
        <v>5119</v>
      </c>
      <c r="B628" s="5" t="s">
        <v>5120</v>
      </c>
      <c r="C628" s="5" t="s">
        <v>5121</v>
      </c>
      <c r="D628" s="2">
        <f>DATE(2020,5,29)+TIME(2,25,48)</f>
        <v>43980.10125</v>
      </c>
    </row>
    <row r="629" spans="1:4" ht="17">
      <c r="A629" s="5" t="s">
        <v>5119</v>
      </c>
      <c r="B629" s="5" t="s">
        <v>9001</v>
      </c>
      <c r="C629" s="5" t="s">
        <v>9002</v>
      </c>
      <c r="D629" s="2">
        <f>DATE(2020,6,22)+TIME(15,29,54)</f>
        <v>44004.64576388889</v>
      </c>
    </row>
    <row r="630" spans="1:4" ht="17">
      <c r="A630" s="5" t="s">
        <v>4748</v>
      </c>
      <c r="B630" s="5" t="s">
        <v>4749</v>
      </c>
      <c r="C630" s="5" t="s">
        <v>4750</v>
      </c>
      <c r="D630" s="2">
        <f>DATE(2020,5,31)+TIME(22,54,7)</f>
        <v>43982.954247685186</v>
      </c>
    </row>
    <row r="631" spans="1:4" ht="17">
      <c r="A631" s="5" t="s">
        <v>4748</v>
      </c>
      <c r="B631" s="5" t="s">
        <v>6297</v>
      </c>
      <c r="C631" s="5" t="s">
        <v>6298</v>
      </c>
      <c r="D631" s="2">
        <f>DATE(2020,6,5)+TIME(1,27,27)</f>
        <v>43987.060729166667</v>
      </c>
    </row>
    <row r="632" spans="1:4" ht="17">
      <c r="A632" s="5" t="s">
        <v>2965</v>
      </c>
      <c r="B632" s="5" t="s">
        <v>1983</v>
      </c>
      <c r="C632" s="5" t="s">
        <v>2966</v>
      </c>
      <c r="D632" s="2">
        <f>DATE(2020,6,5)+TIME(12,32,8)</f>
        <v>43987.522314814814</v>
      </c>
    </row>
    <row r="633" spans="1:4" ht="17">
      <c r="A633" s="5" t="s">
        <v>1461</v>
      </c>
      <c r="B633" s="5" t="s">
        <v>1462</v>
      </c>
      <c r="C633" s="5" t="s">
        <v>1463</v>
      </c>
      <c r="D633" s="2">
        <f>DATE(2020,5,21)+TIME(15,43,37)</f>
        <v>43972.655289351853</v>
      </c>
    </row>
    <row r="634" spans="1:4" ht="17">
      <c r="A634" s="4" t="s">
        <v>2927</v>
      </c>
      <c r="B634" s="4" t="s">
        <v>2928</v>
      </c>
      <c r="C634" s="4" t="s">
        <v>2929</v>
      </c>
      <c r="D634" s="1">
        <f>DATE(2020,6,15)+TIME(21,8,25)</f>
        <v>43997.880844907406</v>
      </c>
    </row>
    <row r="635" spans="1:4" ht="17">
      <c r="A635" s="5" t="s">
        <v>7897</v>
      </c>
      <c r="B635" s="5" t="s">
        <v>7898</v>
      </c>
      <c r="C635" s="5" t="s">
        <v>7899</v>
      </c>
      <c r="D635" s="2">
        <f>DATE(2020,6,29)+TIME(2,23,50)</f>
        <v>44011.09988425926</v>
      </c>
    </row>
    <row r="636" spans="1:4" ht="17">
      <c r="A636" s="5" t="s">
        <v>6724</v>
      </c>
      <c r="B636" s="5" t="s">
        <v>6725</v>
      </c>
      <c r="C636" s="5" t="s">
        <v>6726</v>
      </c>
      <c r="D636" s="2">
        <f>DATE(2020,6,29)+TIME(9,7,55)</f>
        <v>44011.380497685182</v>
      </c>
    </row>
    <row r="637" spans="1:4" ht="17">
      <c r="A637" s="5" t="s">
        <v>4128</v>
      </c>
      <c r="B637" s="5" t="s">
        <v>4129</v>
      </c>
      <c r="C637" s="5" t="s">
        <v>4130</v>
      </c>
      <c r="D637" s="2">
        <f>DATE(2020,6,19)+TIME(3,57,19)</f>
        <v>44001.164803240739</v>
      </c>
    </row>
    <row r="638" spans="1:4" ht="17">
      <c r="A638" s="5" t="s">
        <v>753</v>
      </c>
      <c r="B638" s="5" t="s">
        <v>6234</v>
      </c>
      <c r="C638" s="5" t="s">
        <v>6235</v>
      </c>
      <c r="D638" s="2">
        <f>DATE(2020,6,22)+TIME(20,9,42)</f>
        <v>44004.840069444443</v>
      </c>
    </row>
    <row r="639" spans="1:4" ht="17">
      <c r="A639" s="4" t="s">
        <v>753</v>
      </c>
      <c r="B639" s="4" t="s">
        <v>754</v>
      </c>
      <c r="C639" s="4" t="s">
        <v>755</v>
      </c>
      <c r="D639" s="1">
        <f>DATE(2020,6,23)+TIME(18,11,37)</f>
        <v>44005.758067129631</v>
      </c>
    </row>
    <row r="640" spans="1:4" ht="17">
      <c r="A640" s="4" t="s">
        <v>753</v>
      </c>
      <c r="B640" s="4" t="s">
        <v>85</v>
      </c>
      <c r="C640" s="4" t="s">
        <v>1157</v>
      </c>
      <c r="D640" s="1">
        <f>DATE(2020,6,26)+TIME(22,30,57)</f>
        <v>44008.938159722224</v>
      </c>
    </row>
    <row r="641" spans="1:4" ht="17">
      <c r="A641" s="4" t="s">
        <v>753</v>
      </c>
      <c r="B641" s="4" t="s">
        <v>4487</v>
      </c>
      <c r="C641" s="4" t="s">
        <v>4488</v>
      </c>
      <c r="D641" s="1">
        <f>DATE(2020,6,27)+TIME(21,28,26)</f>
        <v>44009.894745370373</v>
      </c>
    </row>
    <row r="642" spans="1:4" ht="17">
      <c r="A642" s="4" t="s">
        <v>3146</v>
      </c>
      <c r="B642" s="4" t="s">
        <v>3147</v>
      </c>
      <c r="C642" s="4" t="s">
        <v>3148</v>
      </c>
      <c r="D642" s="1">
        <f>DATE(2020,5,15)+TIME(15,4,34)</f>
        <v>43966.628171296295</v>
      </c>
    </row>
    <row r="643" spans="1:4" ht="17">
      <c r="A643" s="5" t="s">
        <v>3146</v>
      </c>
      <c r="B643" s="5" t="s">
        <v>4607</v>
      </c>
      <c r="C643" s="5" t="s">
        <v>4608</v>
      </c>
      <c r="D643" s="2">
        <f>DATE(2020,6,13)+TIME(0,13,41)</f>
        <v>43995.009502314817</v>
      </c>
    </row>
    <row r="644" spans="1:4" ht="17">
      <c r="A644" s="4" t="s">
        <v>4321</v>
      </c>
      <c r="B644" s="4" t="s">
        <v>8935</v>
      </c>
      <c r="C644" s="4" t="s">
        <v>8936</v>
      </c>
      <c r="D644" s="1">
        <f>DATE(2020,5,11)+TIME(13,11,14)</f>
        <v>43962.549467592595</v>
      </c>
    </row>
    <row r="645" spans="1:4" ht="17">
      <c r="A645" s="4" t="s">
        <v>8919</v>
      </c>
      <c r="B645" s="4" t="s">
        <v>8919</v>
      </c>
      <c r="C645" s="4" t="s">
        <v>8920</v>
      </c>
      <c r="D645" s="1">
        <f>DATE(2020,6,14)+TIME(2,19,52)</f>
        <v>43996.097129629627</v>
      </c>
    </row>
    <row r="646" spans="1:4" ht="17">
      <c r="A646" s="5" t="s">
        <v>7975</v>
      </c>
      <c r="B646" s="5" t="s">
        <v>1486</v>
      </c>
      <c r="C646" s="5" t="s">
        <v>7976</v>
      </c>
      <c r="D646" s="2">
        <f>DATE(2020,6,20)+TIME(14,52,32)</f>
        <v>44002.619814814818</v>
      </c>
    </row>
    <row r="647" spans="1:4" ht="17">
      <c r="A647" s="5" t="s">
        <v>5587</v>
      </c>
      <c r="B647" s="5" t="s">
        <v>5588</v>
      </c>
      <c r="C647" s="5" t="s">
        <v>5589</v>
      </c>
      <c r="D647" s="2">
        <f>DATE(2020,6,19)+TIME(9,18,19)</f>
        <v>44001.387719907405</v>
      </c>
    </row>
    <row r="648" spans="1:4" ht="17">
      <c r="A648" s="4" t="s">
        <v>5256</v>
      </c>
      <c r="B648" s="4" t="s">
        <v>5257</v>
      </c>
      <c r="C648" s="4" t="s">
        <v>5258</v>
      </c>
      <c r="D648" s="1">
        <f>DATE(2020,6,21)+TIME(11,1,33)</f>
        <v>44003.459409722222</v>
      </c>
    </row>
    <row r="649" spans="1:4" ht="17">
      <c r="A649" s="4" t="s">
        <v>829</v>
      </c>
      <c r="B649" s="4" t="s">
        <v>830</v>
      </c>
      <c r="C649" s="4" t="s">
        <v>831</v>
      </c>
      <c r="D649" s="1">
        <f>DATE(2020,6,23)+TIME(13,42,35)</f>
        <v>44005.571238425924</v>
      </c>
    </row>
    <row r="650" spans="1:4" ht="17">
      <c r="A650" s="5" t="s">
        <v>1158</v>
      </c>
      <c r="B650" s="5" t="s">
        <v>9491</v>
      </c>
      <c r="C650" s="5" t="s">
        <v>9492</v>
      </c>
      <c r="D650" s="2">
        <f>DATE(2020,3,27)+TIME(16,23,33)</f>
        <v>43917.683020833334</v>
      </c>
    </row>
    <row r="651" spans="1:4" ht="17">
      <c r="A651" s="4" t="s">
        <v>1158</v>
      </c>
      <c r="B651" s="4" t="s">
        <v>4151</v>
      </c>
      <c r="C651" s="4" t="s">
        <v>4152</v>
      </c>
      <c r="D651" s="1">
        <f>DATE(2020,3,30)+TIME(22,14,30)</f>
        <v>43920.926736111112</v>
      </c>
    </row>
    <row r="652" spans="1:4" ht="17">
      <c r="A652" s="5" t="s">
        <v>1158</v>
      </c>
      <c r="B652" s="5" t="s">
        <v>7648</v>
      </c>
      <c r="C652" s="5" t="s">
        <v>7649</v>
      </c>
      <c r="D652" s="2">
        <f>DATE(2020,4,19)+TIME(11,45,59)</f>
        <v>43940.490266203706</v>
      </c>
    </row>
    <row r="653" spans="1:4" ht="17">
      <c r="A653" s="4" t="s">
        <v>1158</v>
      </c>
      <c r="B653" s="4" t="s">
        <v>7977</v>
      </c>
      <c r="C653" s="4" t="s">
        <v>7978</v>
      </c>
      <c r="D653" s="1">
        <f>DATE(2020,5,6)+TIME(9,29,25)</f>
        <v>43957.395428240743</v>
      </c>
    </row>
    <row r="654" spans="1:4" ht="17">
      <c r="A654" s="5" t="s">
        <v>1158</v>
      </c>
      <c r="B654" s="5" t="s">
        <v>2830</v>
      </c>
      <c r="C654" s="5" t="s">
        <v>2831</v>
      </c>
      <c r="D654" s="2">
        <f>DATE(2020,6,12)+TIME(14,6,47)</f>
        <v>43994.588043981479</v>
      </c>
    </row>
    <row r="655" spans="1:4" ht="17">
      <c r="A655" s="5" t="s">
        <v>1158</v>
      </c>
      <c r="B655" s="5" t="s">
        <v>1794</v>
      </c>
      <c r="C655" s="5" t="s">
        <v>1795</v>
      </c>
      <c r="D655" s="2">
        <f>DATE(2020,6,13)+TIME(8,39,32)</f>
        <v>43995.36078703704</v>
      </c>
    </row>
    <row r="656" spans="1:4" ht="17">
      <c r="A656" s="5" t="s">
        <v>1158</v>
      </c>
      <c r="B656" s="5" t="s">
        <v>1159</v>
      </c>
      <c r="C656" s="5" t="s">
        <v>1160</v>
      </c>
      <c r="D656" s="2">
        <f>DATE(2020,6,26)+TIME(13,26,52)</f>
        <v>44008.560324074075</v>
      </c>
    </row>
    <row r="657" spans="1:4" ht="17">
      <c r="A657" s="5" t="s">
        <v>3230</v>
      </c>
      <c r="B657" s="5" t="s">
        <v>3231</v>
      </c>
      <c r="C657" s="5" t="s">
        <v>3232</v>
      </c>
      <c r="D657" s="2">
        <f>DATE(2020,6,29)+TIME(8,34,52)</f>
        <v>44011.357546296298</v>
      </c>
    </row>
    <row r="658" spans="1:4" ht="17">
      <c r="A658" s="4" t="s">
        <v>7460</v>
      </c>
      <c r="B658" s="4" t="s">
        <v>7461</v>
      </c>
      <c r="C658" s="4" t="s">
        <v>7462</v>
      </c>
      <c r="D658" s="1">
        <f>DATE(2020,6,16)+TIME(20,56,44)</f>
        <v>43998.872731481482</v>
      </c>
    </row>
    <row r="659" spans="1:4" ht="17">
      <c r="A659" s="4" t="s">
        <v>2427</v>
      </c>
      <c r="B659" s="4" t="s">
        <v>2428</v>
      </c>
      <c r="C659" s="4" t="s">
        <v>2429</v>
      </c>
      <c r="D659" s="1">
        <f>DATE(2020,5,14)+TIME(16,22,30)</f>
        <v>43965.682291666664</v>
      </c>
    </row>
    <row r="660" spans="1:4" ht="17">
      <c r="A660" s="4" t="s">
        <v>7444</v>
      </c>
      <c r="B660" s="4" t="s">
        <v>7445</v>
      </c>
      <c r="C660" s="4" t="s">
        <v>7446</v>
      </c>
      <c r="D660" s="1">
        <f>DATE(2020,5,5)+TIME(17,34,43)</f>
        <v>43956.732442129629</v>
      </c>
    </row>
    <row r="661" spans="1:4" ht="17">
      <c r="A661" s="5" t="s">
        <v>1094</v>
      </c>
      <c r="B661" s="5" t="s">
        <v>1095</v>
      </c>
      <c r="C661" s="5" t="s">
        <v>1096</v>
      </c>
      <c r="D661" s="2">
        <f>DATE(2020,6,2)+TIME(19,14,35)</f>
        <v>43984.801793981482</v>
      </c>
    </row>
    <row r="662" spans="1:4" ht="17">
      <c r="A662" s="4" t="s">
        <v>1374</v>
      </c>
      <c r="B662" s="4" t="s">
        <v>1375</v>
      </c>
      <c r="C662" s="4" t="s">
        <v>1376</v>
      </c>
      <c r="D662" s="1">
        <f>DATE(2020,6,29)+TIME(13,54,42)</f>
        <v>44011.579652777778</v>
      </c>
    </row>
    <row r="663" spans="1:4" ht="17">
      <c r="A663" s="5" t="s">
        <v>7392</v>
      </c>
      <c r="B663" s="5" t="s">
        <v>7393</v>
      </c>
      <c r="C663" s="5" t="s">
        <v>7394</v>
      </c>
      <c r="D663" s="2">
        <f>DATE(2020,6,16)+TIME(14,34,34)</f>
        <v>43998.60733796296</v>
      </c>
    </row>
    <row r="664" spans="1:4" ht="17">
      <c r="A664" s="4" t="s">
        <v>6212</v>
      </c>
      <c r="B664" s="4" t="s">
        <v>6213</v>
      </c>
      <c r="C664" s="4" t="s">
        <v>6214</v>
      </c>
      <c r="D664" s="1">
        <f>DATE(2020,5,13)+TIME(13,46,47)</f>
        <v>43964.574155092596</v>
      </c>
    </row>
    <row r="665" spans="1:4" ht="17">
      <c r="A665" s="4" t="s">
        <v>5350</v>
      </c>
      <c r="B665" s="4" t="s">
        <v>5351</v>
      </c>
      <c r="C665" s="4" t="s">
        <v>5352</v>
      </c>
      <c r="D665" s="1">
        <f>DATE(2020,6,11)+TIME(0,54,30)</f>
        <v>43993.037847222222</v>
      </c>
    </row>
    <row r="666" spans="1:4" ht="17">
      <c r="A666" s="5" t="s">
        <v>6097</v>
      </c>
      <c r="B666" s="5" t="s">
        <v>6098</v>
      </c>
      <c r="C666" s="5" t="s">
        <v>6099</v>
      </c>
      <c r="D666" s="2">
        <f>DATE(2020,6,25)+TIME(4,10,35)</f>
        <v>44007.174016203702</v>
      </c>
    </row>
    <row r="667" spans="1:4" ht="17">
      <c r="A667" s="4" t="s">
        <v>823</v>
      </c>
      <c r="B667" s="4" t="s">
        <v>824</v>
      </c>
      <c r="C667" s="4" t="s">
        <v>825</v>
      </c>
      <c r="D667" s="1">
        <f>DATE(2020,6,27)+TIME(22,46,9)</f>
        <v>44009.94871527778</v>
      </c>
    </row>
    <row r="668" spans="1:4" ht="17">
      <c r="A668" s="4" t="s">
        <v>6912</v>
      </c>
      <c r="B668" s="4" t="s">
        <v>6913</v>
      </c>
      <c r="C668" s="4" t="s">
        <v>6914</v>
      </c>
      <c r="D668" s="1">
        <f>DATE(2020,6,26)+TIME(20,6,4)</f>
        <v>44008.837546296294</v>
      </c>
    </row>
    <row r="669" spans="1:4" ht="17">
      <c r="A669" s="4" t="s">
        <v>6788</v>
      </c>
      <c r="B669" s="4" t="s">
        <v>6488</v>
      </c>
      <c r="C669" s="4" t="s">
        <v>6789</v>
      </c>
      <c r="D669" s="1">
        <f>DATE(2020,6,15)+TIME(16,40,35)</f>
        <v>43997.694849537038</v>
      </c>
    </row>
    <row r="670" spans="1:4" ht="17">
      <c r="A670" s="4" t="s">
        <v>3044</v>
      </c>
      <c r="B670" s="4" t="s">
        <v>2273</v>
      </c>
      <c r="C670" s="4" t="s">
        <v>8983</v>
      </c>
      <c r="D670" s="1">
        <f>DATE(2020,6,4)+TIME(12,41,5)</f>
        <v>43986.52853009259</v>
      </c>
    </row>
    <row r="671" spans="1:4" ht="17">
      <c r="A671" s="4" t="s">
        <v>3044</v>
      </c>
      <c r="B671" s="4" t="s">
        <v>3045</v>
      </c>
      <c r="C671" s="4" t="s">
        <v>3046</v>
      </c>
      <c r="D671" s="1">
        <f>DATE(2020,6,20)+TIME(12,39,7)</f>
        <v>44002.52716435185</v>
      </c>
    </row>
    <row r="672" spans="1:4" ht="17">
      <c r="A672" s="5" t="s">
        <v>27</v>
      </c>
      <c r="B672" s="5" t="s">
        <v>5022</v>
      </c>
      <c r="C672" s="5" t="s">
        <v>5023</v>
      </c>
      <c r="D672" s="2">
        <f>DATE(2020,4,13)+TIME(19,7,21)</f>
        <v>43934.796770833331</v>
      </c>
    </row>
    <row r="673" spans="1:4" ht="17">
      <c r="A673" s="5" t="s">
        <v>27</v>
      </c>
      <c r="B673" s="5" t="s">
        <v>427</v>
      </c>
      <c r="C673" s="5" t="s">
        <v>428</v>
      </c>
      <c r="D673" s="2">
        <f>DATE(2020,5,4)+TIME(12,45,24)</f>
        <v>43955.531527777777</v>
      </c>
    </row>
    <row r="674" spans="1:4" ht="17">
      <c r="A674" s="4" t="s">
        <v>27</v>
      </c>
      <c r="B674" s="4" t="s">
        <v>5595</v>
      </c>
      <c r="C674" s="4" t="s">
        <v>5596</v>
      </c>
      <c r="D674" s="1">
        <f>DATE(2020,5,8)+TIME(18,39,15)</f>
        <v>43959.777256944442</v>
      </c>
    </row>
    <row r="675" spans="1:4" ht="17">
      <c r="A675" s="4" t="s">
        <v>27</v>
      </c>
      <c r="B675" s="4" t="s">
        <v>3274</v>
      </c>
      <c r="C675" s="4" t="s">
        <v>3275</v>
      </c>
      <c r="D675" s="1">
        <f>DATE(2020,5,8)+TIME(19,24,0)</f>
        <v>43959.808333333334</v>
      </c>
    </row>
    <row r="676" spans="1:4" ht="17">
      <c r="A676" s="4" t="s">
        <v>27</v>
      </c>
      <c r="B676" s="4" t="s">
        <v>123</v>
      </c>
      <c r="C676" s="4" t="s">
        <v>8210</v>
      </c>
      <c r="D676" s="1">
        <f>DATE(2020,5,12)+TIME(19,43,34)</f>
        <v>43963.821921296294</v>
      </c>
    </row>
    <row r="677" spans="1:4" ht="17">
      <c r="A677" s="4" t="s">
        <v>27</v>
      </c>
      <c r="B677" s="4" t="s">
        <v>446</v>
      </c>
      <c r="C677" s="4" t="s">
        <v>447</v>
      </c>
      <c r="D677" s="1">
        <f>DATE(2020,5,13)+TIME(22,8,53)</f>
        <v>43964.922835648147</v>
      </c>
    </row>
    <row r="678" spans="1:4" ht="17">
      <c r="A678" s="5" t="s">
        <v>27</v>
      </c>
      <c r="B678" s="5" t="s">
        <v>2559</v>
      </c>
      <c r="C678" s="5" t="s">
        <v>9537</v>
      </c>
      <c r="D678" s="2">
        <f>DATE(2020,5,14)+TIME(1,27,56)</f>
        <v>43965.061064814814</v>
      </c>
    </row>
    <row r="679" spans="1:4" ht="17">
      <c r="A679" s="5" t="s">
        <v>27</v>
      </c>
      <c r="B679" s="5" t="s">
        <v>1835</v>
      </c>
      <c r="C679" s="5" t="s">
        <v>1836</v>
      </c>
      <c r="D679" s="2">
        <f>DATE(2020,5,21)+TIME(17,32,34)</f>
        <v>43972.730949074074</v>
      </c>
    </row>
    <row r="680" spans="1:4" ht="17">
      <c r="A680" s="5" t="s">
        <v>27</v>
      </c>
      <c r="B680" s="5" t="s">
        <v>187</v>
      </c>
      <c r="C680" s="5" t="s">
        <v>188</v>
      </c>
      <c r="D680" s="2">
        <f>DATE(2020,5,22)+TIME(16,23,54)</f>
        <v>43973.683263888888</v>
      </c>
    </row>
    <row r="681" spans="1:4" ht="17">
      <c r="A681" s="4" t="s">
        <v>27</v>
      </c>
      <c r="B681" s="4" t="s">
        <v>6443</v>
      </c>
      <c r="C681" s="4" t="s">
        <v>8700</v>
      </c>
      <c r="D681" s="1">
        <f>DATE(2020,5,26)+TIME(17,8,38)</f>
        <v>43977.714328703703</v>
      </c>
    </row>
    <row r="682" spans="1:4" ht="17">
      <c r="A682" s="5" t="s">
        <v>27</v>
      </c>
      <c r="B682" s="5" t="s">
        <v>2298</v>
      </c>
      <c r="C682" s="5" t="s">
        <v>5953</v>
      </c>
      <c r="D682" s="2">
        <f>DATE(2020,5,31)+TIME(16,45,10)</f>
        <v>43982.69803240741</v>
      </c>
    </row>
    <row r="683" spans="1:4" ht="17">
      <c r="A683" s="5" t="s">
        <v>27</v>
      </c>
      <c r="B683" s="5" t="s">
        <v>970</v>
      </c>
      <c r="C683" s="5" t="s">
        <v>6770</v>
      </c>
      <c r="D683" s="2">
        <f>DATE(2020,6,3)+TIME(3,42,32)</f>
        <v>43985.154537037037</v>
      </c>
    </row>
    <row r="684" spans="1:4" ht="17">
      <c r="A684" s="4" t="s">
        <v>27</v>
      </c>
      <c r="B684" s="4" t="s">
        <v>473</v>
      </c>
      <c r="C684" s="4" t="s">
        <v>474</v>
      </c>
      <c r="D684" s="1">
        <f>DATE(2020,6,4)+TIME(18,51,53)</f>
        <v>43986.786030092589</v>
      </c>
    </row>
    <row r="685" spans="1:4" ht="17">
      <c r="A685" s="5" t="s">
        <v>27</v>
      </c>
      <c r="B685" s="5" t="s">
        <v>28</v>
      </c>
      <c r="C685" s="5" t="s">
        <v>29</v>
      </c>
      <c r="D685" s="2">
        <f>DATE(2020,6,12)+TIME(10,59,15)</f>
        <v>43994.457812499997</v>
      </c>
    </row>
    <row r="686" spans="1:4" ht="17">
      <c r="A686" s="4" t="s">
        <v>27</v>
      </c>
      <c r="B686" s="4" t="s">
        <v>356</v>
      </c>
      <c r="C686" s="4" t="s">
        <v>357</v>
      </c>
      <c r="D686" s="1">
        <f>DATE(2020,6,16)+TIME(14,4,46)</f>
        <v>43998.586643518516</v>
      </c>
    </row>
    <row r="687" spans="1:4" ht="17">
      <c r="A687" s="4" t="s">
        <v>27</v>
      </c>
      <c r="B687" s="4" t="s">
        <v>4433</v>
      </c>
      <c r="C687" s="4" t="s">
        <v>9552</v>
      </c>
      <c r="D687" s="1">
        <f>DATE(2020,6,17)+TIME(12,50,21)</f>
        <v>43999.53496527778</v>
      </c>
    </row>
    <row r="688" spans="1:4" ht="17">
      <c r="A688" s="4" t="s">
        <v>27</v>
      </c>
      <c r="B688" s="4" t="s">
        <v>8420</v>
      </c>
      <c r="C688" s="4" t="s">
        <v>8421</v>
      </c>
      <c r="D688" s="1">
        <f>DATE(2020,6,19)+TIME(6,57,43)</f>
        <v>44001.290081018517</v>
      </c>
    </row>
    <row r="689" spans="1:4" ht="17">
      <c r="A689" s="5" t="s">
        <v>27</v>
      </c>
      <c r="B689" s="5" t="s">
        <v>9329</v>
      </c>
      <c r="C689" s="5" t="s">
        <v>9330</v>
      </c>
      <c r="D689" s="2">
        <f>DATE(2020,6,19)+TIME(13,57,50)</f>
        <v>44001.581828703704</v>
      </c>
    </row>
    <row r="690" spans="1:4" ht="17">
      <c r="A690" s="4" t="s">
        <v>27</v>
      </c>
      <c r="B690" s="4" t="s">
        <v>8269</v>
      </c>
      <c r="C690" s="4" t="s">
        <v>8270</v>
      </c>
      <c r="D690" s="1">
        <f>DATE(2020,6,22)+TIME(1,41,15)</f>
        <v>44004.0703125</v>
      </c>
    </row>
    <row r="691" spans="1:4" ht="17">
      <c r="A691" s="4" t="s">
        <v>27</v>
      </c>
      <c r="B691" s="4" t="s">
        <v>1127</v>
      </c>
      <c r="C691" s="4" t="s">
        <v>8979</v>
      </c>
      <c r="D691" s="1">
        <f>DATE(2020,6,22)+TIME(20,5,46)</f>
        <v>44004.837337962963</v>
      </c>
    </row>
    <row r="692" spans="1:4" ht="17">
      <c r="A692" s="5" t="s">
        <v>27</v>
      </c>
      <c r="B692" s="5" t="s">
        <v>5313</v>
      </c>
      <c r="C692" s="5" t="s">
        <v>5314</v>
      </c>
      <c r="D692" s="2">
        <f>DATE(2020,6,23)+TIME(11,23,52)</f>
        <v>44005.474907407406</v>
      </c>
    </row>
    <row r="693" spans="1:4" ht="17">
      <c r="A693" s="5" t="s">
        <v>27</v>
      </c>
      <c r="B693" s="5" t="s">
        <v>8285</v>
      </c>
      <c r="C693" s="5" t="s">
        <v>8286</v>
      </c>
      <c r="D693" s="2">
        <f>DATE(2020,6,24)+TIME(13,0,40)</f>
        <v>44006.542129629626</v>
      </c>
    </row>
    <row r="694" spans="1:4" ht="17">
      <c r="A694" s="5" t="s">
        <v>27</v>
      </c>
      <c r="B694" s="5" t="s">
        <v>6892</v>
      </c>
      <c r="C694" s="5" t="s">
        <v>6893</v>
      </c>
      <c r="D694" s="2">
        <f>DATE(2020,6,25)+TIME(3,56,3)</f>
        <v>44007.163923611108</v>
      </c>
    </row>
    <row r="695" spans="1:4" ht="17">
      <c r="A695" s="5" t="s">
        <v>27</v>
      </c>
      <c r="B695" s="5" t="s">
        <v>3535</v>
      </c>
      <c r="C695" s="5" t="s">
        <v>3536</v>
      </c>
      <c r="D695" s="2">
        <f>DATE(2020,6,25)+TIME(12,15,57)</f>
        <v>44007.511076388888</v>
      </c>
    </row>
    <row r="696" spans="1:4" ht="17">
      <c r="A696" s="5" t="s">
        <v>27</v>
      </c>
      <c r="B696" s="5" t="s">
        <v>5216</v>
      </c>
      <c r="C696" s="5" t="s">
        <v>5217</v>
      </c>
      <c r="D696" s="2">
        <f>DATE(2020,6,26)+TIME(10,41,17)</f>
        <v>44008.445335648146</v>
      </c>
    </row>
    <row r="697" spans="1:4" ht="17">
      <c r="A697" s="4" t="s">
        <v>27</v>
      </c>
      <c r="B697" s="4" t="s">
        <v>2447</v>
      </c>
      <c r="C697" s="4" t="s">
        <v>2448</v>
      </c>
      <c r="D697" s="1">
        <f>DATE(2020,6,26)+TIME(11,15,41)</f>
        <v>44008.469224537039</v>
      </c>
    </row>
    <row r="698" spans="1:4" ht="17">
      <c r="A698" s="4" t="s">
        <v>27</v>
      </c>
      <c r="B698" s="4" t="s">
        <v>3174</v>
      </c>
      <c r="C698" s="4" t="s">
        <v>3175</v>
      </c>
      <c r="D698" s="1">
        <f>DATE(2020,6,26)+TIME(12,19,35)</f>
        <v>44008.513599537036</v>
      </c>
    </row>
    <row r="699" spans="1:4" ht="17">
      <c r="A699" s="5" t="s">
        <v>27</v>
      </c>
      <c r="B699" s="5" t="s">
        <v>8549</v>
      </c>
      <c r="C699" s="5" t="s">
        <v>8550</v>
      </c>
      <c r="D699" s="2">
        <f>DATE(2020,6,26)+TIME(13,8,37)</f>
        <v>44008.547650462962</v>
      </c>
    </row>
    <row r="700" spans="1:4" ht="17">
      <c r="A700" s="4" t="s">
        <v>27</v>
      </c>
      <c r="B700" s="4" t="s">
        <v>1054</v>
      </c>
      <c r="C700" s="4" t="s">
        <v>4203</v>
      </c>
      <c r="D700" s="1">
        <f>DATE(2020,6,26)+TIME(20,25,0)</f>
        <v>44008.850694444445</v>
      </c>
    </row>
    <row r="701" spans="1:4" ht="17">
      <c r="A701" s="5" t="s">
        <v>27</v>
      </c>
      <c r="B701" s="5" t="s">
        <v>2585</v>
      </c>
      <c r="C701" s="5" t="s">
        <v>2586</v>
      </c>
      <c r="D701" s="2">
        <f>DATE(2020,6,29)+TIME(7,30,35)</f>
        <v>44011.312905092593</v>
      </c>
    </row>
    <row r="702" spans="1:4" ht="17">
      <c r="A702" s="4" t="s">
        <v>27</v>
      </c>
      <c r="B702" s="4" t="s">
        <v>3533</v>
      </c>
      <c r="C702" s="4" t="s">
        <v>3534</v>
      </c>
      <c r="D702" s="1">
        <f>DATE(2020,6,29)+TIME(9,58,53)</f>
        <v>44011.415891203702</v>
      </c>
    </row>
    <row r="703" spans="1:4" ht="17">
      <c r="A703" s="5" t="s">
        <v>27</v>
      </c>
      <c r="B703" s="5" t="s">
        <v>7253</v>
      </c>
      <c r="C703" s="5" t="s">
        <v>7254</v>
      </c>
      <c r="D703" s="2">
        <f>DATE(2020,6,29)+TIME(10,7,25)</f>
        <v>44011.421817129631</v>
      </c>
    </row>
    <row r="704" spans="1:4" ht="17">
      <c r="A704" s="4" t="s">
        <v>1837</v>
      </c>
      <c r="B704" s="4" t="s">
        <v>5590</v>
      </c>
      <c r="C704" s="4" t="s">
        <v>5591</v>
      </c>
      <c r="D704" s="1">
        <f>DATE(2020,3,29)+TIME(7,15,34)</f>
        <v>43919.302476851852</v>
      </c>
    </row>
    <row r="705" spans="1:4" ht="17">
      <c r="A705" s="4" t="s">
        <v>1837</v>
      </c>
      <c r="B705" s="4" t="s">
        <v>7826</v>
      </c>
      <c r="C705" s="4" t="s">
        <v>7827</v>
      </c>
      <c r="D705" s="1">
        <f>DATE(2020,5,5)+TIME(15,30,57)</f>
        <v>43956.646493055552</v>
      </c>
    </row>
    <row r="706" spans="1:4" ht="17">
      <c r="A706" s="4" t="s">
        <v>1837</v>
      </c>
      <c r="B706" s="4" t="s">
        <v>5827</v>
      </c>
      <c r="C706" s="4" t="s">
        <v>5828</v>
      </c>
      <c r="D706" s="1">
        <f>DATE(2020,5,7)+TIME(5,19,9)</f>
        <v>43958.221631944441</v>
      </c>
    </row>
    <row r="707" spans="1:4" ht="17">
      <c r="A707" s="5" t="s">
        <v>1837</v>
      </c>
      <c r="B707" s="5" t="s">
        <v>7670</v>
      </c>
      <c r="C707" s="5" t="s">
        <v>7671</v>
      </c>
      <c r="D707" s="2">
        <f>DATE(2020,5,7)+TIME(5,41,24)</f>
        <v>43958.237083333333</v>
      </c>
    </row>
    <row r="708" spans="1:4" ht="17">
      <c r="A708" s="4" t="s">
        <v>1837</v>
      </c>
      <c r="B708" s="4" t="s">
        <v>1838</v>
      </c>
      <c r="C708" s="4" t="s">
        <v>1839</v>
      </c>
      <c r="D708" s="1">
        <f>DATE(2020,5,28)+TIME(13,51,23)</f>
        <v>43979.577349537038</v>
      </c>
    </row>
    <row r="709" spans="1:4" ht="17">
      <c r="A709" s="4" t="s">
        <v>1837</v>
      </c>
      <c r="B709" s="4" t="s">
        <v>5214</v>
      </c>
      <c r="C709" s="4" t="s">
        <v>5215</v>
      </c>
      <c r="D709" s="1">
        <f>DATE(2020,6,18)+TIME(11,49,4)</f>
        <v>44000.492407407408</v>
      </c>
    </row>
    <row r="710" spans="1:4" ht="17">
      <c r="A710" s="4" t="s">
        <v>1837</v>
      </c>
      <c r="B710" s="4" t="s">
        <v>5523</v>
      </c>
      <c r="C710" s="4" t="s">
        <v>5524</v>
      </c>
      <c r="D710" s="1">
        <f>DATE(2020,6,26)+TIME(4,11,24)</f>
        <v>44008.174583333333</v>
      </c>
    </row>
    <row r="711" spans="1:4" ht="17">
      <c r="A711" s="4" t="s">
        <v>1837</v>
      </c>
      <c r="B711" s="4" t="s">
        <v>8882</v>
      </c>
      <c r="C711" s="4" t="s">
        <v>8883</v>
      </c>
      <c r="D711" s="1">
        <f>DATE(2020,6,27)+TIME(11,5,41)</f>
        <v>44009.462280092594</v>
      </c>
    </row>
    <row r="712" spans="1:4" ht="17">
      <c r="A712" s="5" t="s">
        <v>1837</v>
      </c>
      <c r="B712" s="5" t="s">
        <v>4423</v>
      </c>
      <c r="C712" s="5" t="s">
        <v>4424</v>
      </c>
      <c r="D712" s="2">
        <f>DATE(2020,6,29)+TIME(11,12,11)</f>
        <v>44011.466793981483</v>
      </c>
    </row>
    <row r="713" spans="1:4" ht="17">
      <c r="A713" s="4" t="s">
        <v>4800</v>
      </c>
      <c r="B713" s="4" t="s">
        <v>4801</v>
      </c>
      <c r="C713" s="4" t="s">
        <v>4802</v>
      </c>
      <c r="D713" s="1">
        <f>DATE(2020,6,22)+TIME(11,13,18)</f>
        <v>44004.467569444445</v>
      </c>
    </row>
    <row r="714" spans="1:4" ht="17">
      <c r="A714" s="5" t="s">
        <v>8965</v>
      </c>
      <c r="B714" s="5" t="s">
        <v>6816</v>
      </c>
      <c r="C714" s="5" t="s">
        <v>8966</v>
      </c>
      <c r="D714" s="2">
        <f>DATE(2020,6,26)+TIME(11,38,18)</f>
        <v>44008.484930555554</v>
      </c>
    </row>
    <row r="715" spans="1:4" ht="17">
      <c r="A715" s="4" t="s">
        <v>3189</v>
      </c>
      <c r="B715" s="4" t="s">
        <v>3190</v>
      </c>
      <c r="C715" s="4" t="s">
        <v>3191</v>
      </c>
      <c r="D715" s="1">
        <f>DATE(2020,3,5)+TIME(12,23,30)</f>
        <v>43895.516319444447</v>
      </c>
    </row>
    <row r="716" spans="1:4" ht="17">
      <c r="A716" s="5" t="s">
        <v>1497</v>
      </c>
      <c r="B716" s="5" t="s">
        <v>2338</v>
      </c>
      <c r="C716" s="5" t="s">
        <v>2339</v>
      </c>
      <c r="D716" s="2">
        <f>DATE(2020,5,28)+TIME(15,46,10)</f>
        <v>43979.657060185185</v>
      </c>
    </row>
    <row r="717" spans="1:4" ht="17">
      <c r="A717" s="4" t="s">
        <v>1497</v>
      </c>
      <c r="B717" s="4" t="s">
        <v>1498</v>
      </c>
      <c r="C717" s="4" t="s">
        <v>1499</v>
      </c>
      <c r="D717" s="1">
        <f>DATE(2020,6,26)+TIME(20,41,52)</f>
        <v>44008.862407407411</v>
      </c>
    </row>
    <row r="718" spans="1:4" ht="17">
      <c r="A718" s="4" t="s">
        <v>1497</v>
      </c>
      <c r="B718" s="4" t="s">
        <v>4727</v>
      </c>
      <c r="C718" s="4" t="s">
        <v>4728</v>
      </c>
      <c r="D718" s="1">
        <f>DATE(2020,6,28)+TIME(16,20,23)</f>
        <v>44010.680821759262</v>
      </c>
    </row>
    <row r="719" spans="1:4" ht="17">
      <c r="A719" s="4" t="s">
        <v>5276</v>
      </c>
      <c r="B719" s="4" t="s">
        <v>5277</v>
      </c>
      <c r="C719" s="4" t="s">
        <v>5278</v>
      </c>
      <c r="D719" s="1">
        <f>DATE(2020,5,6)+TIME(4,28,9)</f>
        <v>43957.186215277776</v>
      </c>
    </row>
    <row r="720" spans="1:4" ht="17">
      <c r="A720" s="5" t="s">
        <v>6977</v>
      </c>
      <c r="B720" s="5" t="s">
        <v>6978</v>
      </c>
      <c r="C720" s="5" t="s">
        <v>6979</v>
      </c>
      <c r="D720" s="2">
        <f>DATE(2020,6,23)+TIME(2,30,32)</f>
        <v>44005.104537037034</v>
      </c>
    </row>
    <row r="721" spans="1:4" ht="17">
      <c r="A721" s="5" t="s">
        <v>1997</v>
      </c>
      <c r="B721" s="5" t="s">
        <v>5296</v>
      </c>
      <c r="C721" s="5" t="s">
        <v>5297</v>
      </c>
      <c r="D721" s="2">
        <f>DATE(2020,5,6)+TIME(4,21,52)</f>
        <v>43957.181851851848</v>
      </c>
    </row>
    <row r="722" spans="1:4" ht="17">
      <c r="A722" s="4" t="s">
        <v>1997</v>
      </c>
      <c r="B722" s="4" t="s">
        <v>6074</v>
      </c>
      <c r="C722" s="4" t="s">
        <v>6075</v>
      </c>
      <c r="D722" s="1">
        <f>DATE(2020,5,25)+TIME(0,7,29)</f>
        <v>43976.005196759259</v>
      </c>
    </row>
    <row r="723" spans="1:4" ht="17">
      <c r="A723" s="5" t="s">
        <v>1997</v>
      </c>
      <c r="B723" s="5" t="s">
        <v>4282</v>
      </c>
      <c r="C723" s="5" t="s">
        <v>4283</v>
      </c>
      <c r="D723" s="2">
        <f>DATE(2020,5,28)+TIME(14,20,12)</f>
        <v>43979.597361111111</v>
      </c>
    </row>
    <row r="724" spans="1:4" ht="17">
      <c r="A724" s="5" t="s">
        <v>1997</v>
      </c>
      <c r="B724" s="5" t="s">
        <v>5600</v>
      </c>
      <c r="C724" s="5" t="s">
        <v>5601</v>
      </c>
      <c r="D724" s="2">
        <f>DATE(2020,5,29)+TIME(20,47,55)</f>
        <v>43980.866608796299</v>
      </c>
    </row>
    <row r="725" spans="1:4" ht="17">
      <c r="A725" s="5" t="s">
        <v>1997</v>
      </c>
      <c r="B725" s="5" t="s">
        <v>1998</v>
      </c>
      <c r="C725" s="5" t="s">
        <v>1999</v>
      </c>
      <c r="D725" s="2">
        <f>DATE(2020,6,4)+TIME(9,57,51)</f>
        <v>43986.415173611109</v>
      </c>
    </row>
    <row r="726" spans="1:4" ht="17">
      <c r="A726" s="5" t="s">
        <v>1997</v>
      </c>
      <c r="B726" s="5" t="s">
        <v>8666</v>
      </c>
      <c r="C726" s="5" t="s">
        <v>8667</v>
      </c>
      <c r="D726" s="2">
        <f>DATE(2020,6,19)+TIME(6,3,36)</f>
        <v>44001.252500000002</v>
      </c>
    </row>
    <row r="727" spans="1:4" ht="17">
      <c r="A727" s="5" t="s">
        <v>1997</v>
      </c>
      <c r="B727" s="5" t="s">
        <v>8078</v>
      </c>
      <c r="C727" s="5" t="s">
        <v>8079</v>
      </c>
      <c r="D727" s="2">
        <f>DATE(2020,6,22)+TIME(8,38,26)</f>
        <v>44004.360023148147</v>
      </c>
    </row>
    <row r="728" spans="1:4" ht="17">
      <c r="A728" s="4" t="s">
        <v>1997</v>
      </c>
      <c r="B728" s="4" t="s">
        <v>6065</v>
      </c>
      <c r="C728" s="4" t="s">
        <v>6066</v>
      </c>
      <c r="D728" s="1">
        <f>DATE(2020,6,24)+TIME(9,6,47)</f>
        <v>44006.379710648151</v>
      </c>
    </row>
    <row r="729" spans="1:4" ht="17">
      <c r="A729" s="5" t="s">
        <v>1997</v>
      </c>
      <c r="B729" s="5" t="s">
        <v>7289</v>
      </c>
      <c r="C729" s="5" t="s">
        <v>7290</v>
      </c>
      <c r="D729" s="2">
        <f>DATE(2020,6,24)+TIME(18,21,51)</f>
        <v>44006.765173611115</v>
      </c>
    </row>
    <row r="730" spans="1:4" ht="17">
      <c r="A730" s="5" t="s">
        <v>1997</v>
      </c>
      <c r="B730" s="5" t="s">
        <v>5267</v>
      </c>
      <c r="C730" s="5" t="s">
        <v>8245</v>
      </c>
      <c r="D730" s="2">
        <f>DATE(2020,6,26)+TIME(12,23,11)</f>
        <v>44008.516099537039</v>
      </c>
    </row>
    <row r="731" spans="1:4" ht="17">
      <c r="A731" s="5" t="s">
        <v>1997</v>
      </c>
      <c r="B731" s="5" t="s">
        <v>2559</v>
      </c>
      <c r="C731" s="5" t="s">
        <v>3848</v>
      </c>
      <c r="D731" s="2">
        <f>DATE(2020,6,28)+TIME(2,26,55)</f>
        <v>44010.102025462962</v>
      </c>
    </row>
    <row r="732" spans="1:4" ht="17">
      <c r="A732" s="5" t="s">
        <v>1997</v>
      </c>
      <c r="B732" s="5" t="s">
        <v>7907</v>
      </c>
      <c r="C732" s="5" t="s">
        <v>7908</v>
      </c>
      <c r="D732" s="2">
        <f>DATE(2020,6,28)+TIME(20,54,44)</f>
        <v>44010.871342592596</v>
      </c>
    </row>
    <row r="733" spans="1:4" ht="17">
      <c r="A733" s="4" t="s">
        <v>1997</v>
      </c>
      <c r="B733" s="4" t="s">
        <v>4537</v>
      </c>
      <c r="C733" s="4" t="s">
        <v>4538</v>
      </c>
      <c r="D733" s="1">
        <f>DATE(2020,6,29)+TIME(2,45,44)</f>
        <v>44011.11509259259</v>
      </c>
    </row>
    <row r="734" spans="1:4" ht="17">
      <c r="A734" s="5" t="s">
        <v>1997</v>
      </c>
      <c r="B734" s="5" t="s">
        <v>2799</v>
      </c>
      <c r="C734" s="5" t="s">
        <v>2800</v>
      </c>
      <c r="D734" s="2">
        <f>DATE(2020,6,29)+TIME(10,13,49)</f>
        <v>44011.426261574074</v>
      </c>
    </row>
    <row r="735" spans="1:4" ht="17">
      <c r="A735" s="5" t="s">
        <v>9190</v>
      </c>
      <c r="B735" s="5" t="s">
        <v>633</v>
      </c>
      <c r="C735" s="5" t="s">
        <v>9191</v>
      </c>
      <c r="D735" s="2">
        <f>DATE(2020,6,24)+TIME(16,41,8)</f>
        <v>44006.695231481484</v>
      </c>
    </row>
    <row r="736" spans="1:4" ht="17">
      <c r="A736" s="5" t="s">
        <v>6172</v>
      </c>
      <c r="B736" s="5" t="s">
        <v>6173</v>
      </c>
      <c r="C736" s="5" t="s">
        <v>6174</v>
      </c>
      <c r="D736" s="2">
        <f>DATE(2020,4,20)+TIME(18,30,30)</f>
        <v>43941.771180555559</v>
      </c>
    </row>
    <row r="737" spans="1:4" ht="17">
      <c r="A737" s="5" t="s">
        <v>3932</v>
      </c>
      <c r="B737" s="5" t="s">
        <v>3933</v>
      </c>
      <c r="C737" s="5" t="s">
        <v>3934</v>
      </c>
      <c r="D737" s="2">
        <f>DATE(2020,5,5)+TIME(16,5,43)</f>
        <v>43956.670636574076</v>
      </c>
    </row>
    <row r="738" spans="1:4" ht="17">
      <c r="A738" s="4" t="s">
        <v>3932</v>
      </c>
      <c r="B738" s="4" t="s">
        <v>170</v>
      </c>
      <c r="C738" s="4" t="s">
        <v>8923</v>
      </c>
      <c r="D738" s="1">
        <f>DATE(2020,6,18)+TIME(10,31,17)</f>
        <v>44000.438391203701</v>
      </c>
    </row>
    <row r="739" spans="1:4" ht="17">
      <c r="A739" s="4" t="s">
        <v>8254</v>
      </c>
      <c r="B739" s="4" t="s">
        <v>1218</v>
      </c>
      <c r="C739" s="4" t="s">
        <v>8255</v>
      </c>
      <c r="D739" s="1">
        <f>DATE(2020,5,5)+TIME(20,44,14)</f>
        <v>43956.864050925928</v>
      </c>
    </row>
    <row r="740" spans="1:4" ht="17">
      <c r="A740" s="4" t="s">
        <v>4452</v>
      </c>
      <c r="B740" s="4" t="s">
        <v>4453</v>
      </c>
      <c r="C740" s="4" t="s">
        <v>4454</v>
      </c>
      <c r="D740" s="1">
        <f>DATE(2020,6,29)+TIME(12,17,9)</f>
        <v>44011.51190972222</v>
      </c>
    </row>
    <row r="741" spans="1:4" ht="17">
      <c r="A741" s="5" t="s">
        <v>7915</v>
      </c>
      <c r="B741" s="5" t="s">
        <v>7916</v>
      </c>
      <c r="C741" s="5" t="s">
        <v>7917</v>
      </c>
      <c r="D741" s="2">
        <f>DATE(2020,6,12)+TIME(20,0,19)</f>
        <v>43994.833553240744</v>
      </c>
    </row>
    <row r="742" spans="1:4" ht="17">
      <c r="A742" s="5" t="s">
        <v>4736</v>
      </c>
      <c r="B742" s="5" t="s">
        <v>4737</v>
      </c>
      <c r="C742" s="5" t="s">
        <v>4738</v>
      </c>
      <c r="D742" s="2">
        <f>DATE(2020,6,27)+TIME(14,41,1)</f>
        <v>44009.611817129633</v>
      </c>
    </row>
    <row r="743" spans="1:4" ht="17">
      <c r="A743" s="4" t="s">
        <v>6493</v>
      </c>
      <c r="B743" s="4" t="s">
        <v>6494</v>
      </c>
      <c r="C743" s="4" t="s">
        <v>6495</v>
      </c>
      <c r="D743" s="1">
        <f>DATE(2020,6,24)+TIME(15,57,54)</f>
        <v>44006.665208333332</v>
      </c>
    </row>
    <row r="744" spans="1:4" ht="17">
      <c r="A744" s="5" t="s">
        <v>2559</v>
      </c>
      <c r="B744" s="5" t="s">
        <v>2560</v>
      </c>
      <c r="C744" s="5" t="s">
        <v>2561</v>
      </c>
      <c r="D744" s="2">
        <f>DATE(2020,6,26)+TIME(13,7,16)</f>
        <v>44008.546712962961</v>
      </c>
    </row>
    <row r="745" spans="1:4" ht="17">
      <c r="A745" s="5" t="s">
        <v>2913</v>
      </c>
      <c r="B745" s="5" t="s">
        <v>2914</v>
      </c>
      <c r="C745" s="5" t="s">
        <v>2915</v>
      </c>
      <c r="D745" s="2">
        <f>DATE(2020,6,25)+TIME(10,32,36)</f>
        <v>44007.439305555556</v>
      </c>
    </row>
    <row r="746" spans="1:4" ht="17">
      <c r="A746" s="5" t="s">
        <v>1175</v>
      </c>
      <c r="B746" s="5" t="s">
        <v>1176</v>
      </c>
      <c r="C746" s="5" t="s">
        <v>1177</v>
      </c>
      <c r="D746" s="2">
        <f>DATE(2020,5,28)+TIME(22,44,29)</f>
        <v>43979.947557870371</v>
      </c>
    </row>
    <row r="747" spans="1:4" ht="17">
      <c r="A747" s="4" t="s">
        <v>1175</v>
      </c>
      <c r="B747" s="4" t="s">
        <v>6243</v>
      </c>
      <c r="C747" s="4" t="s">
        <v>6602</v>
      </c>
      <c r="D747" s="1">
        <f>DATE(2020,5,29)+TIME(13,47,11)</f>
        <v>43980.574432870373</v>
      </c>
    </row>
    <row r="748" spans="1:4" ht="17">
      <c r="A748" s="5" t="s">
        <v>1523</v>
      </c>
      <c r="B748" s="5" t="s">
        <v>1524</v>
      </c>
      <c r="C748" s="5" t="s">
        <v>1525</v>
      </c>
      <c r="D748" s="2">
        <f>DATE(2020,6,24)+TIME(17,45,2)</f>
        <v>44006.739606481482</v>
      </c>
    </row>
    <row r="749" spans="1:4" ht="17">
      <c r="A749" s="4" t="s">
        <v>5813</v>
      </c>
      <c r="B749" s="4" t="s">
        <v>5814</v>
      </c>
      <c r="C749" s="4" t="s">
        <v>5815</v>
      </c>
      <c r="D749" s="1">
        <f>DATE(2020,6,29)+TIME(12,39,44)</f>
        <v>44011.527592592596</v>
      </c>
    </row>
    <row r="750" spans="1:4" ht="17">
      <c r="A750" s="4" t="s">
        <v>9409</v>
      </c>
      <c r="B750" s="4" t="s">
        <v>9410</v>
      </c>
      <c r="C750" s="4" t="s">
        <v>9411</v>
      </c>
      <c r="D750" s="1">
        <f>DATE(2020,6,26)+TIME(17,33,48)</f>
        <v>44008.731805555559</v>
      </c>
    </row>
    <row r="751" spans="1:4" ht="17">
      <c r="A751" s="5" t="s">
        <v>1286</v>
      </c>
      <c r="B751" s="5" t="s">
        <v>1287</v>
      </c>
      <c r="C751" s="5" t="s">
        <v>1288</v>
      </c>
      <c r="D751" s="2">
        <f>DATE(2020,6,23)+TIME(7,29,27)</f>
        <v>44005.312118055554</v>
      </c>
    </row>
    <row r="752" spans="1:4" ht="17">
      <c r="A752" s="4" t="s">
        <v>1742</v>
      </c>
      <c r="B752" s="4" t="s">
        <v>1743</v>
      </c>
      <c r="C752" s="4" t="s">
        <v>1744</v>
      </c>
      <c r="D752" s="1">
        <f>DATE(2020,5,9)+TIME(17,31,36)</f>
        <v>43960.73027777778</v>
      </c>
    </row>
    <row r="753" spans="1:4" ht="17">
      <c r="A753" s="5" t="s">
        <v>7979</v>
      </c>
      <c r="B753" s="5" t="s">
        <v>7980</v>
      </c>
      <c r="C753" s="5" t="s">
        <v>7981</v>
      </c>
      <c r="D753" s="2">
        <f>DATE(2020,6,24)+TIME(9,50,2)</f>
        <v>44006.409745370373</v>
      </c>
    </row>
    <row r="754" spans="1:4" ht="17">
      <c r="A754" s="4" t="s">
        <v>4566</v>
      </c>
      <c r="B754" s="4" t="s">
        <v>1127</v>
      </c>
      <c r="C754" s="4" t="s">
        <v>4567</v>
      </c>
      <c r="D754" s="1">
        <f>DATE(2020,5,26)+TIME(19,56,21)</f>
        <v>43977.83079861111</v>
      </c>
    </row>
    <row r="755" spans="1:4" ht="17">
      <c r="A755" s="5" t="s">
        <v>6291</v>
      </c>
      <c r="B755" s="5" t="s">
        <v>6292</v>
      </c>
      <c r="C755" s="5" t="s">
        <v>6293</v>
      </c>
      <c r="D755" s="2">
        <f>DATE(2020,6,15)+TIME(13,31,40)</f>
        <v>43997.563657407409</v>
      </c>
    </row>
    <row r="756" spans="1:4" ht="17">
      <c r="A756" s="4" t="s">
        <v>7719</v>
      </c>
      <c r="B756" s="4" t="s">
        <v>1701</v>
      </c>
      <c r="C756" s="4" t="s">
        <v>7720</v>
      </c>
      <c r="D756" s="1">
        <f>DATE(2020,6,18)+TIME(23,54,17)</f>
        <v>44000.996030092596</v>
      </c>
    </row>
    <row r="757" spans="1:4" ht="17">
      <c r="A757" s="5" t="s">
        <v>1660</v>
      </c>
      <c r="B757" s="5" t="s">
        <v>1661</v>
      </c>
      <c r="C757" s="5" t="s">
        <v>1662</v>
      </c>
      <c r="D757" s="2">
        <f>DATE(2020,5,8)+TIME(8,16,0)</f>
        <v>43959.344444444447</v>
      </c>
    </row>
    <row r="758" spans="1:4" ht="17">
      <c r="A758" s="4" t="s">
        <v>2297</v>
      </c>
      <c r="B758" s="4" t="s">
        <v>9101</v>
      </c>
      <c r="C758" s="4" t="s">
        <v>9102</v>
      </c>
      <c r="D758" s="1">
        <f>DATE(2020,5,15)+TIME(15,13,25)</f>
        <v>43966.634317129632</v>
      </c>
    </row>
    <row r="759" spans="1:4" ht="17">
      <c r="A759" s="4" t="s">
        <v>2297</v>
      </c>
      <c r="B759" s="4" t="s">
        <v>2298</v>
      </c>
      <c r="C759" s="4" t="s">
        <v>2299</v>
      </c>
      <c r="D759" s="1">
        <f>DATE(2020,6,17)+TIME(8,39,34)</f>
        <v>43999.360810185186</v>
      </c>
    </row>
    <row r="760" spans="1:4" ht="17">
      <c r="A760" s="4" t="s">
        <v>2297</v>
      </c>
      <c r="B760" s="4" t="s">
        <v>1028</v>
      </c>
      <c r="C760" s="4" t="s">
        <v>3000</v>
      </c>
      <c r="D760" s="1">
        <f>DATE(2020,6,19)+TIME(13,50,7)</f>
        <v>44001.576469907406</v>
      </c>
    </row>
    <row r="761" spans="1:4" ht="17">
      <c r="A761" s="5" t="s">
        <v>5447</v>
      </c>
      <c r="B761" s="5" t="s">
        <v>5448</v>
      </c>
      <c r="C761" s="5" t="s">
        <v>5449</v>
      </c>
      <c r="D761" s="2">
        <f>DATE(2020,6,24)+TIME(11,14,39)</f>
        <v>44006.468506944446</v>
      </c>
    </row>
    <row r="762" spans="1:4" ht="17">
      <c r="A762" s="5" t="s">
        <v>6215</v>
      </c>
      <c r="B762" s="5" t="s">
        <v>6216</v>
      </c>
      <c r="C762" s="5" t="s">
        <v>6217</v>
      </c>
      <c r="D762" s="2">
        <f>DATE(2020,6,26)+TIME(11,49,20)</f>
        <v>44008.492592592593</v>
      </c>
    </row>
    <row r="763" spans="1:4" ht="17">
      <c r="A763" s="4" t="s">
        <v>728</v>
      </c>
      <c r="B763" s="4" t="s">
        <v>8703</v>
      </c>
      <c r="C763" s="4" t="s">
        <v>8704</v>
      </c>
      <c r="D763" s="1">
        <f>DATE(2020,5,13)+TIME(13,14,18)</f>
        <v>43964.55159722222</v>
      </c>
    </row>
    <row r="764" spans="1:4" ht="17">
      <c r="A764" s="5" t="s">
        <v>728</v>
      </c>
      <c r="B764" s="5" t="s">
        <v>729</v>
      </c>
      <c r="C764" s="5" t="s">
        <v>730</v>
      </c>
      <c r="D764" s="2">
        <f>DATE(2020,6,1)+TIME(10,13,21)</f>
        <v>43983.425937499997</v>
      </c>
    </row>
    <row r="765" spans="1:4" ht="17">
      <c r="A765" s="5" t="s">
        <v>4549</v>
      </c>
      <c r="B765" s="5" t="s">
        <v>4550</v>
      </c>
      <c r="C765" s="5" t="s">
        <v>4551</v>
      </c>
      <c r="D765" s="2">
        <f>DATE(2020,6,19)+TIME(21,57,7)</f>
        <v>44001.914664351854</v>
      </c>
    </row>
    <row r="766" spans="1:4" ht="17">
      <c r="A766" s="5" t="s">
        <v>3651</v>
      </c>
      <c r="B766" s="5" t="s">
        <v>3652</v>
      </c>
      <c r="C766" s="5" t="s">
        <v>3653</v>
      </c>
      <c r="D766" s="2">
        <f>DATE(2020,6,28)+TIME(5,8,10)</f>
        <v>44010.214004629626</v>
      </c>
    </row>
    <row r="767" spans="1:4" ht="17">
      <c r="A767" s="5" t="s">
        <v>3735</v>
      </c>
      <c r="B767" s="5" t="s">
        <v>3736</v>
      </c>
      <c r="C767" s="5" t="s">
        <v>3737</v>
      </c>
      <c r="D767" s="2">
        <f>DATE(2020,6,4)+TIME(2,32,13)</f>
        <v>43986.105706018519</v>
      </c>
    </row>
    <row r="768" spans="1:4" ht="17">
      <c r="A768" s="4" t="s">
        <v>3735</v>
      </c>
      <c r="B768" s="4" t="s">
        <v>9009</v>
      </c>
      <c r="C768" s="4" t="s">
        <v>9010</v>
      </c>
      <c r="D768" s="1">
        <f>DATE(2020,6,17)+TIME(1,24,2)</f>
        <v>43999.058356481481</v>
      </c>
    </row>
    <row r="769" spans="1:4" ht="17">
      <c r="A769" s="5" t="s">
        <v>3919</v>
      </c>
      <c r="B769" s="5" t="s">
        <v>3920</v>
      </c>
      <c r="C769" s="5" t="s">
        <v>3921</v>
      </c>
      <c r="D769" s="2">
        <f>DATE(2020,5,12)+TIME(2,14,49)</f>
        <v>43963.093622685185</v>
      </c>
    </row>
    <row r="770" spans="1:4" ht="17">
      <c r="A770" s="4" t="s">
        <v>7351</v>
      </c>
      <c r="B770" s="4" t="s">
        <v>7352</v>
      </c>
      <c r="C770" s="4" t="s">
        <v>7353</v>
      </c>
      <c r="D770" s="1">
        <f>DATE(2020,6,10)+TIME(12,57,1)</f>
        <v>43992.539594907408</v>
      </c>
    </row>
    <row r="771" spans="1:4" ht="17">
      <c r="A771" s="4" t="s">
        <v>4828</v>
      </c>
      <c r="B771" s="4" t="s">
        <v>4829</v>
      </c>
      <c r="C771" s="4" t="s">
        <v>4830</v>
      </c>
      <c r="D771" s="1">
        <f>DATE(2020,6,23)+TIME(11,53,46)</f>
        <v>44005.495671296296</v>
      </c>
    </row>
    <row r="772" spans="1:4" ht="17">
      <c r="A772" s="4" t="s">
        <v>7535</v>
      </c>
      <c r="B772" s="4" t="s">
        <v>7536</v>
      </c>
      <c r="C772" s="4" t="s">
        <v>7537</v>
      </c>
      <c r="D772" s="1">
        <f>DATE(2020,6,18)+TIME(23,53,8)</f>
        <v>44000.99523148148</v>
      </c>
    </row>
    <row r="773" spans="1:4" ht="17">
      <c r="A773" s="4" t="s">
        <v>1932</v>
      </c>
      <c r="B773" s="4" t="s">
        <v>2583</v>
      </c>
      <c r="C773" s="4" t="s">
        <v>2584</v>
      </c>
      <c r="D773" s="1">
        <f>DATE(2020,5,16)+TIME(19,7,24)</f>
        <v>43967.796805555554</v>
      </c>
    </row>
    <row r="774" spans="1:4" ht="17">
      <c r="A774" s="5" t="s">
        <v>1932</v>
      </c>
      <c r="B774" s="5" t="s">
        <v>7453</v>
      </c>
      <c r="C774" s="5" t="s">
        <v>7454</v>
      </c>
      <c r="D774" s="2">
        <f>DATE(2020,6,19)+TIME(11,2,4)</f>
        <v>44001.459768518522</v>
      </c>
    </row>
    <row r="775" spans="1:4" ht="17">
      <c r="A775" s="4" t="s">
        <v>1932</v>
      </c>
      <c r="B775" s="4" t="s">
        <v>4228</v>
      </c>
      <c r="C775" s="4" t="s">
        <v>4229</v>
      </c>
      <c r="D775" s="1">
        <f>DATE(2020,6,23)+TIME(11,54,58)</f>
        <v>44005.496504629627</v>
      </c>
    </row>
    <row r="776" spans="1:4" ht="17">
      <c r="A776" s="5" t="s">
        <v>1932</v>
      </c>
      <c r="B776" s="5" t="s">
        <v>4745</v>
      </c>
      <c r="C776" s="5" t="s">
        <v>4746</v>
      </c>
      <c r="D776" s="2">
        <f>DATE(2020,6,23)+TIME(12,49,32)</f>
        <v>44005.534398148149</v>
      </c>
    </row>
    <row r="777" spans="1:4" ht="17">
      <c r="A777" s="4" t="s">
        <v>1932</v>
      </c>
      <c r="B777" s="4" t="s">
        <v>1933</v>
      </c>
      <c r="C777" s="4" t="s">
        <v>1934</v>
      </c>
      <c r="D777" s="1">
        <f>DATE(2020,6,29)+TIME(12,25,58)</f>
        <v>44011.51803240741</v>
      </c>
    </row>
    <row r="778" spans="1:4" ht="17">
      <c r="A778" s="4" t="s">
        <v>3060</v>
      </c>
      <c r="B778" s="4" t="s">
        <v>3061</v>
      </c>
      <c r="C778" s="4" t="s">
        <v>3062</v>
      </c>
      <c r="D778" s="1">
        <f>DATE(2020,5,23)+TIME(17,1,38)</f>
        <v>43974.709467592591</v>
      </c>
    </row>
    <row r="779" spans="1:4" ht="17">
      <c r="A779" s="5" t="s">
        <v>299</v>
      </c>
      <c r="B779" s="5" t="s">
        <v>300</v>
      </c>
      <c r="C779" s="5" t="s">
        <v>301</v>
      </c>
      <c r="D779" s="2">
        <f>DATE(2020,5,11)+TIME(17,14,52)</f>
        <v>43962.718657407408</v>
      </c>
    </row>
    <row r="780" spans="1:4" ht="17">
      <c r="A780" s="5" t="s">
        <v>2606</v>
      </c>
      <c r="B780" s="5" t="s">
        <v>2607</v>
      </c>
      <c r="C780" s="5" t="s">
        <v>2608</v>
      </c>
      <c r="D780" s="2">
        <f>DATE(2020,6,25)+TIME(13,18,57)</f>
        <v>44007.554826388892</v>
      </c>
    </row>
    <row r="781" spans="1:4" ht="17">
      <c r="A781" s="4" t="s">
        <v>299</v>
      </c>
      <c r="B781" s="4" t="s">
        <v>8915</v>
      </c>
      <c r="C781" s="4" t="s">
        <v>8916</v>
      </c>
      <c r="D781" s="1">
        <f>DATE(2020,6,26)+TIME(20,12,56)</f>
        <v>44008.842314814814</v>
      </c>
    </row>
    <row r="782" spans="1:4" ht="17">
      <c r="A782" s="5" t="s">
        <v>5544</v>
      </c>
      <c r="B782" s="5" t="s">
        <v>5545</v>
      </c>
      <c r="C782" s="5" t="s">
        <v>5546</v>
      </c>
      <c r="D782" s="2">
        <f>DATE(2020,5,22)+TIME(1,25,59)</f>
        <v>43973.059710648151</v>
      </c>
    </row>
    <row r="783" spans="1:4" ht="17">
      <c r="A783" s="4" t="s">
        <v>4985</v>
      </c>
      <c r="B783" s="4" t="s">
        <v>4986</v>
      </c>
      <c r="C783" s="4" t="s">
        <v>4987</v>
      </c>
      <c r="D783" s="1">
        <f>DATE(2020,6,15)+TIME(3,40,8)</f>
        <v>43997.152870370373</v>
      </c>
    </row>
    <row r="784" spans="1:4" ht="17">
      <c r="A784" s="4" t="s">
        <v>5755</v>
      </c>
      <c r="B784" s="4" t="s">
        <v>5756</v>
      </c>
      <c r="C784" s="4" t="s">
        <v>5757</v>
      </c>
      <c r="D784" s="1">
        <f>DATE(2020,5,14)+TIME(16,9,36)</f>
        <v>43965.673333333332</v>
      </c>
    </row>
    <row r="785" spans="1:4" ht="17">
      <c r="A785" s="5" t="s">
        <v>7199</v>
      </c>
      <c r="B785" s="5" t="s">
        <v>7176</v>
      </c>
      <c r="C785" s="5" t="s">
        <v>7200</v>
      </c>
      <c r="D785" s="2">
        <f>DATE(2020,6,11)+TIME(14,26,29)</f>
        <v>43993.601724537039</v>
      </c>
    </row>
    <row r="786" spans="1:4" ht="17">
      <c r="A786" s="4" t="s">
        <v>3569</v>
      </c>
      <c r="B786" s="4" t="s">
        <v>3570</v>
      </c>
      <c r="C786" s="4" t="s">
        <v>3571</v>
      </c>
      <c r="D786" s="1">
        <f>DATE(2020,6,26)+TIME(15,12,54)</f>
        <v>44008.633958333332</v>
      </c>
    </row>
    <row r="787" spans="1:4" ht="17">
      <c r="A787" s="5" t="s">
        <v>6544</v>
      </c>
      <c r="B787" s="5" t="s">
        <v>6545</v>
      </c>
      <c r="C787" s="5" t="s">
        <v>6546</v>
      </c>
      <c r="D787" s="2">
        <f>DATE(2020,6,28)+TIME(15,52,49)</f>
        <v>44010.661678240744</v>
      </c>
    </row>
    <row r="788" spans="1:4" ht="17">
      <c r="A788" s="4" t="s">
        <v>2890</v>
      </c>
      <c r="B788" s="4" t="s">
        <v>2891</v>
      </c>
      <c r="C788" s="4" t="s">
        <v>2892</v>
      </c>
      <c r="D788" s="1">
        <f>DATE(2020,6,27)+TIME(12,18,58)</f>
        <v>44009.513171296298</v>
      </c>
    </row>
    <row r="789" spans="1:4" ht="17">
      <c r="A789" s="4" t="s">
        <v>4207</v>
      </c>
      <c r="B789" s="4" t="s">
        <v>1127</v>
      </c>
      <c r="C789" s="4" t="s">
        <v>4208</v>
      </c>
      <c r="D789" s="1">
        <f>DATE(2020,5,29)+TIME(13,47,11)</f>
        <v>43980.574432870373</v>
      </c>
    </row>
    <row r="790" spans="1:4" ht="17">
      <c r="A790" s="5" t="s">
        <v>4489</v>
      </c>
      <c r="B790" s="5" t="s">
        <v>4490</v>
      </c>
      <c r="C790" s="5" t="s">
        <v>4491</v>
      </c>
      <c r="D790" s="2">
        <f>DATE(2020,5,6)+TIME(3,23,25)</f>
        <v>43957.141261574077</v>
      </c>
    </row>
    <row r="791" spans="1:4" ht="17">
      <c r="A791" s="5" t="s">
        <v>7271</v>
      </c>
      <c r="B791" s="5" t="s">
        <v>7272</v>
      </c>
      <c r="C791" s="5" t="s">
        <v>7273</v>
      </c>
      <c r="D791" s="2">
        <f>DATE(2020,5,13)+TIME(3,54,28)</f>
        <v>43964.162824074076</v>
      </c>
    </row>
    <row r="792" spans="1:4" ht="17">
      <c r="A792" s="4" t="s">
        <v>6974</v>
      </c>
      <c r="B792" s="4" t="s">
        <v>6975</v>
      </c>
      <c r="C792" s="4" t="s">
        <v>6976</v>
      </c>
      <c r="D792" s="1">
        <f>DATE(2020,6,29)+TIME(3,15,13)</f>
        <v>44011.135567129626</v>
      </c>
    </row>
    <row r="793" spans="1:4" ht="17">
      <c r="A793" s="5" t="s">
        <v>397</v>
      </c>
      <c r="B793" s="5" t="s">
        <v>2218</v>
      </c>
      <c r="C793" s="5" t="s">
        <v>2219</v>
      </c>
      <c r="D793" s="2">
        <f>DATE(2020,5,5)+TIME(20,50,52)</f>
        <v>43956.868657407409</v>
      </c>
    </row>
    <row r="794" spans="1:4" ht="17">
      <c r="A794" s="5" t="s">
        <v>397</v>
      </c>
      <c r="B794" s="5" t="s">
        <v>1101</v>
      </c>
      <c r="C794" s="5" t="s">
        <v>5764</v>
      </c>
      <c r="D794" s="2">
        <f>DATE(2020,5,11)+TIME(11,23,16)</f>
        <v>43962.474490740744</v>
      </c>
    </row>
    <row r="795" spans="1:4" ht="17">
      <c r="A795" s="4" t="s">
        <v>397</v>
      </c>
      <c r="B795" s="4" t="s">
        <v>6599</v>
      </c>
      <c r="C795" s="4" t="s">
        <v>6600</v>
      </c>
      <c r="D795" s="1">
        <f>DATE(2020,5,14)+TIME(12,2,53)</f>
        <v>43965.502002314817</v>
      </c>
    </row>
    <row r="796" spans="1:4" ht="17">
      <c r="A796" s="4" t="s">
        <v>397</v>
      </c>
      <c r="B796" s="4" t="s">
        <v>8007</v>
      </c>
      <c r="C796" s="4" t="s">
        <v>8008</v>
      </c>
      <c r="D796" s="1">
        <f>DATE(2020,5,27)+TIME(17,59,31)</f>
        <v>43978.749664351853</v>
      </c>
    </row>
    <row r="797" spans="1:4" ht="17">
      <c r="A797" s="4" t="s">
        <v>397</v>
      </c>
      <c r="B797" s="4" t="s">
        <v>8114</v>
      </c>
      <c r="C797" s="4" t="s">
        <v>8115</v>
      </c>
      <c r="D797" s="1">
        <f>DATE(2020,6,5)+TIME(0,58,52)</f>
        <v>43987.040879629632</v>
      </c>
    </row>
    <row r="798" spans="1:4" ht="17">
      <c r="A798" s="4" t="s">
        <v>397</v>
      </c>
      <c r="B798" s="4" t="s">
        <v>4448</v>
      </c>
      <c r="C798" s="4" t="s">
        <v>4449</v>
      </c>
      <c r="D798" s="1">
        <f>DATE(2020,6,17)+TIME(11,24,53)</f>
        <v>43999.475613425922</v>
      </c>
    </row>
    <row r="799" spans="1:4" ht="17">
      <c r="A799" s="5" t="s">
        <v>397</v>
      </c>
      <c r="B799" s="5" t="s">
        <v>1825</v>
      </c>
      <c r="C799" s="5" t="s">
        <v>1826</v>
      </c>
      <c r="D799" s="2">
        <f>DATE(2020,6,25)+TIME(16,48,30)</f>
        <v>44007.70034722222</v>
      </c>
    </row>
    <row r="800" spans="1:4" ht="17">
      <c r="A800" s="5" t="s">
        <v>397</v>
      </c>
      <c r="B800" s="5" t="s">
        <v>2188</v>
      </c>
      <c r="C800" s="5" t="s">
        <v>2189</v>
      </c>
      <c r="D800" s="2">
        <f>DATE(2020,6,26)+TIME(16,7,44)</f>
        <v>44008.672037037039</v>
      </c>
    </row>
    <row r="801" spans="1:4" ht="17">
      <c r="A801" s="5" t="s">
        <v>397</v>
      </c>
      <c r="B801" s="5" t="s">
        <v>3084</v>
      </c>
      <c r="C801" s="5" t="s">
        <v>3085</v>
      </c>
      <c r="D801" s="2">
        <f>DATE(2020,6,29)+TIME(9,5,58)</f>
        <v>44011.379143518519</v>
      </c>
    </row>
    <row r="802" spans="1:4" ht="17">
      <c r="A802" s="5" t="s">
        <v>397</v>
      </c>
      <c r="B802" s="5" t="s">
        <v>398</v>
      </c>
      <c r="C802" s="5" t="s">
        <v>399</v>
      </c>
      <c r="D802" s="2">
        <f>DATE(2020,6,29)+TIME(14,1,2)</f>
        <v>44011.584050925929</v>
      </c>
    </row>
    <row r="803" spans="1:4" ht="17">
      <c r="A803" s="5" t="s">
        <v>7680</v>
      </c>
      <c r="B803" s="5" t="s">
        <v>7681</v>
      </c>
      <c r="C803" s="5" t="s">
        <v>7682</v>
      </c>
      <c r="D803" s="2">
        <f>DATE(2020,6,27)+TIME(20,4,50)</f>
        <v>44009.836689814816</v>
      </c>
    </row>
    <row r="804" spans="1:4" ht="17">
      <c r="A804" s="5" t="s">
        <v>6274</v>
      </c>
      <c r="B804" s="5" t="s">
        <v>6275</v>
      </c>
      <c r="C804" s="5" t="s">
        <v>6276</v>
      </c>
      <c r="D804" s="2">
        <f>DATE(2020,3,27)+TIME(20,28,15)</f>
        <v>43917.852951388886</v>
      </c>
    </row>
    <row r="805" spans="1:4" ht="17">
      <c r="A805" s="5" t="s">
        <v>507</v>
      </c>
      <c r="B805" s="5" t="s">
        <v>4124</v>
      </c>
      <c r="C805" s="5" t="s">
        <v>4125</v>
      </c>
      <c r="D805" s="2">
        <f>DATE(2020,3,28)+TIME(13,18,7)</f>
        <v>43918.554247685184</v>
      </c>
    </row>
    <row r="806" spans="1:4" ht="17">
      <c r="A806" s="5" t="s">
        <v>507</v>
      </c>
      <c r="B806" s="5" t="s">
        <v>4951</v>
      </c>
      <c r="C806" s="5" t="s">
        <v>4952</v>
      </c>
      <c r="D806" s="2">
        <f>DATE(2020,3,31)+TIME(12,56,8)</f>
        <v>43921.538981481484</v>
      </c>
    </row>
    <row r="807" spans="1:4" ht="17">
      <c r="A807" s="4" t="s">
        <v>507</v>
      </c>
      <c r="B807" s="4" t="s">
        <v>5714</v>
      </c>
      <c r="C807" s="4" t="s">
        <v>5715</v>
      </c>
      <c r="D807" s="1">
        <f>DATE(2020,3,31)+TIME(20,32,51)</f>
        <v>43921.856145833335</v>
      </c>
    </row>
    <row r="808" spans="1:4" ht="17">
      <c r="A808" s="5" t="s">
        <v>507</v>
      </c>
      <c r="B808" s="5" t="s">
        <v>8828</v>
      </c>
      <c r="C808" s="5" t="s">
        <v>8829</v>
      </c>
      <c r="D808" s="2">
        <f>DATE(2020,5,6)+TIME(0,15,16)</f>
        <v>43957.010601851849</v>
      </c>
    </row>
    <row r="809" spans="1:4" ht="17">
      <c r="A809" s="4" t="s">
        <v>507</v>
      </c>
      <c r="B809" s="4" t="s">
        <v>1884</v>
      </c>
      <c r="C809" s="4" t="s">
        <v>1885</v>
      </c>
      <c r="D809" s="1">
        <f>DATE(2020,5,7)+TIME(3,20,22)</f>
        <v>43958.139143518521</v>
      </c>
    </row>
    <row r="810" spans="1:4" ht="17">
      <c r="A810" s="5" t="s">
        <v>507</v>
      </c>
      <c r="B810" s="5" t="s">
        <v>8652</v>
      </c>
      <c r="C810" s="5" t="s">
        <v>8653</v>
      </c>
      <c r="D810" s="2">
        <f>DATE(2020,5,7)+TIME(8,58,41)</f>
        <v>43958.374085648145</v>
      </c>
    </row>
    <row r="811" spans="1:4" ht="17">
      <c r="A811" s="4" t="s">
        <v>507</v>
      </c>
      <c r="B811" s="4" t="s">
        <v>6061</v>
      </c>
      <c r="C811" s="4" t="s">
        <v>6062</v>
      </c>
      <c r="D811" s="1">
        <f>DATE(2020,5,8)+TIME(19,24,0)</f>
        <v>43959.808333333334</v>
      </c>
    </row>
    <row r="812" spans="1:4" ht="17">
      <c r="A812" s="4" t="s">
        <v>507</v>
      </c>
      <c r="B812" s="4" t="s">
        <v>3659</v>
      </c>
      <c r="C812" s="4" t="s">
        <v>3660</v>
      </c>
      <c r="D812" s="1">
        <f>DATE(2020,5,9)+TIME(10,43,31)</f>
        <v>43960.446886574071</v>
      </c>
    </row>
    <row r="813" spans="1:4" ht="17">
      <c r="A813" s="4" t="s">
        <v>507</v>
      </c>
      <c r="B813" s="4" t="s">
        <v>1639</v>
      </c>
      <c r="C813" s="4" t="s">
        <v>1640</v>
      </c>
      <c r="D813" s="1">
        <f>DATE(2020,5,11)+TIME(16,17,53)</f>
        <v>43962.679085648146</v>
      </c>
    </row>
    <row r="814" spans="1:4" ht="17">
      <c r="A814" s="5" t="s">
        <v>507</v>
      </c>
      <c r="B814" s="5" t="s">
        <v>2198</v>
      </c>
      <c r="C814" s="5" t="s">
        <v>2199</v>
      </c>
      <c r="D814" s="2">
        <f>DATE(2020,5,12)+TIME(21,59,20)</f>
        <v>43963.916203703702</v>
      </c>
    </row>
    <row r="815" spans="1:4" ht="17">
      <c r="A815" s="4" t="s">
        <v>507</v>
      </c>
      <c r="B815" s="4" t="s">
        <v>3774</v>
      </c>
      <c r="C815" s="4" t="s">
        <v>6072</v>
      </c>
      <c r="D815" s="1">
        <f>DATE(2020,5,13)+TIME(23,8,4)</f>
        <v>43964.963935185187</v>
      </c>
    </row>
    <row r="816" spans="1:4" ht="17">
      <c r="A816" s="5" t="s">
        <v>507</v>
      </c>
      <c r="B816" s="5" t="s">
        <v>681</v>
      </c>
      <c r="C816" s="5" t="s">
        <v>2300</v>
      </c>
      <c r="D816" s="2">
        <f>DATE(2020,5,14)+TIME(3,51,44)</f>
        <v>43965.160925925928</v>
      </c>
    </row>
    <row r="817" spans="1:4" ht="17">
      <c r="A817" s="4" t="s">
        <v>507</v>
      </c>
      <c r="B817" s="4" t="s">
        <v>4949</v>
      </c>
      <c r="C817" s="4" t="s">
        <v>4950</v>
      </c>
      <c r="D817" s="1">
        <f>DATE(2020,5,19)+TIME(12,8,24)</f>
        <v>43970.505833333336</v>
      </c>
    </row>
    <row r="818" spans="1:4" ht="17">
      <c r="A818" s="5" t="s">
        <v>507</v>
      </c>
      <c r="B818" s="5" t="s">
        <v>1127</v>
      </c>
      <c r="C818" s="5" t="s">
        <v>8910</v>
      </c>
      <c r="D818" s="2">
        <f>DATE(2020,5,19)+TIME(12,23,34)</f>
        <v>43970.516365740739</v>
      </c>
    </row>
    <row r="819" spans="1:4" ht="17">
      <c r="A819" s="4" t="s">
        <v>507</v>
      </c>
      <c r="B819" s="4" t="s">
        <v>7585</v>
      </c>
      <c r="C819" s="4" t="s">
        <v>7586</v>
      </c>
      <c r="D819" s="1">
        <f>DATE(2020,5,20)+TIME(15,33,5)</f>
        <v>43971.647974537038</v>
      </c>
    </row>
    <row r="820" spans="1:4" ht="17">
      <c r="A820" s="5" t="s">
        <v>507</v>
      </c>
      <c r="B820" s="5" t="s">
        <v>5897</v>
      </c>
      <c r="C820" s="5" t="s">
        <v>5898</v>
      </c>
      <c r="D820" s="2">
        <f>DATE(2020,5,20)+TIME(16,53,42)</f>
        <v>43971.703958333332</v>
      </c>
    </row>
    <row r="821" spans="1:4" ht="17">
      <c r="A821" s="4" t="s">
        <v>507</v>
      </c>
      <c r="B821" s="4" t="s">
        <v>8654</v>
      </c>
      <c r="C821" s="4" t="s">
        <v>8655</v>
      </c>
      <c r="D821" s="1">
        <f>DATE(2020,5,20)+TIME(19,5,42)</f>
        <v>43971.795624999999</v>
      </c>
    </row>
    <row r="822" spans="1:4" ht="17">
      <c r="A822" s="4" t="s">
        <v>507</v>
      </c>
      <c r="B822" s="4" t="s">
        <v>4126</v>
      </c>
      <c r="C822" s="4" t="s">
        <v>4127</v>
      </c>
      <c r="D822" s="1">
        <f>DATE(2020,5,24)+TIME(16,28,8)</f>
        <v>43975.686203703706</v>
      </c>
    </row>
    <row r="823" spans="1:4" ht="17">
      <c r="A823" s="5" t="s">
        <v>507</v>
      </c>
      <c r="B823" s="5" t="s">
        <v>9452</v>
      </c>
      <c r="C823" s="5" t="s">
        <v>9453</v>
      </c>
      <c r="D823" s="2">
        <f>DATE(2020,5,27)+TIME(2,40,41)</f>
        <v>43978.111585648148</v>
      </c>
    </row>
    <row r="824" spans="1:4" ht="17">
      <c r="A824" s="4" t="s">
        <v>507</v>
      </c>
      <c r="B824" s="4" t="s">
        <v>3269</v>
      </c>
      <c r="C824" s="4" t="s">
        <v>3270</v>
      </c>
      <c r="D824" s="1">
        <f>DATE(2020,5,28)+TIME(18,56,19)</f>
        <v>43979.7891087963</v>
      </c>
    </row>
    <row r="825" spans="1:4" ht="17">
      <c r="A825" s="5" t="s">
        <v>507</v>
      </c>
      <c r="B825" s="5" t="s">
        <v>2794</v>
      </c>
      <c r="C825" s="5" t="s">
        <v>2795</v>
      </c>
      <c r="D825" s="2">
        <f>DATE(2020,5,31)+TIME(13,18,20)</f>
        <v>43982.554398148146</v>
      </c>
    </row>
    <row r="826" spans="1:4" ht="17">
      <c r="A826" s="4" t="s">
        <v>507</v>
      </c>
      <c r="B826" s="4" t="s">
        <v>6369</v>
      </c>
      <c r="C826" s="4" t="s">
        <v>6370</v>
      </c>
      <c r="D826" s="1">
        <f>DATE(2020,6,9)+TIME(12,38,31)</f>
        <v>43991.526747685188</v>
      </c>
    </row>
    <row r="827" spans="1:4" ht="17">
      <c r="A827" s="5" t="s">
        <v>507</v>
      </c>
      <c r="B827" s="5" t="s">
        <v>419</v>
      </c>
      <c r="C827" s="5" t="s">
        <v>7436</v>
      </c>
      <c r="D827" s="2">
        <f>DATE(2020,6,10)+TIME(18,48,24)</f>
        <v>43992.78361111111</v>
      </c>
    </row>
    <row r="828" spans="1:4" ht="17">
      <c r="A828" s="4" t="s">
        <v>507</v>
      </c>
      <c r="B828" s="4" t="s">
        <v>632</v>
      </c>
      <c r="C828" s="4" t="s">
        <v>6885</v>
      </c>
      <c r="D828" s="1">
        <f>DATE(2020,6,12)+TIME(21,19,36)</f>
        <v>43994.888611111113</v>
      </c>
    </row>
    <row r="829" spans="1:4" ht="17">
      <c r="A829" s="4" t="s">
        <v>507</v>
      </c>
      <c r="B829" s="4" t="s">
        <v>254</v>
      </c>
      <c r="C829" s="4" t="s">
        <v>9140</v>
      </c>
      <c r="D829" s="1">
        <f>DATE(2020,6,16)+TIME(21,36,19)</f>
        <v>43998.900219907409</v>
      </c>
    </row>
    <row r="830" spans="1:4" ht="17">
      <c r="A830" s="4" t="s">
        <v>507</v>
      </c>
      <c r="B830" s="4" t="s">
        <v>507</v>
      </c>
      <c r="C830" s="4" t="s">
        <v>6069</v>
      </c>
      <c r="D830" s="1">
        <f>DATE(2020,6,18)+TIME(14,25,21)</f>
        <v>44000.600937499999</v>
      </c>
    </row>
    <row r="831" spans="1:4" ht="17">
      <c r="A831" s="4" t="s">
        <v>507</v>
      </c>
      <c r="B831" s="4" t="s">
        <v>322</v>
      </c>
      <c r="C831" s="4" t="s">
        <v>3931</v>
      </c>
      <c r="D831" s="1">
        <f>DATE(2020,6,23)+TIME(15,45,19)</f>
        <v>44005.656469907408</v>
      </c>
    </row>
    <row r="832" spans="1:4" ht="17">
      <c r="A832" s="5" t="s">
        <v>507</v>
      </c>
      <c r="B832" s="5" t="s">
        <v>545</v>
      </c>
      <c r="C832" s="5" t="s">
        <v>3093</v>
      </c>
      <c r="D832" s="2">
        <f>DATE(2020,6,23)+TIME(17,53,9)</f>
        <v>44005.745243055557</v>
      </c>
    </row>
    <row r="833" spans="1:4" ht="17">
      <c r="A833" s="5" t="s">
        <v>507</v>
      </c>
      <c r="B833" s="5" t="s">
        <v>550</v>
      </c>
      <c r="C833" s="5" t="s">
        <v>551</v>
      </c>
      <c r="D833" s="2">
        <f>DATE(2020,6,24)+TIME(9,46,50)</f>
        <v>44006.407523148147</v>
      </c>
    </row>
    <row r="834" spans="1:4" ht="17">
      <c r="A834" s="4" t="s">
        <v>507</v>
      </c>
      <c r="B834" s="4" t="s">
        <v>3185</v>
      </c>
      <c r="C834" s="4" t="s">
        <v>3186</v>
      </c>
      <c r="D834" s="1">
        <f>DATE(2020,6,24)+TIME(12,17,12)</f>
        <v>44006.511944444443</v>
      </c>
    </row>
    <row r="835" spans="1:4" ht="17">
      <c r="A835" s="4" t="s">
        <v>507</v>
      </c>
      <c r="B835" s="4" t="s">
        <v>2849</v>
      </c>
      <c r="C835" s="4" t="s">
        <v>2850</v>
      </c>
      <c r="D835" s="1">
        <f>DATE(2020,6,26)+TIME(8,25,56)</f>
        <v>44008.351342592592</v>
      </c>
    </row>
    <row r="836" spans="1:4" ht="17">
      <c r="A836" s="5" t="s">
        <v>507</v>
      </c>
      <c r="B836" s="5" t="s">
        <v>6190</v>
      </c>
      <c r="C836" s="5" t="s">
        <v>6191</v>
      </c>
      <c r="D836" s="2">
        <f>DATE(2020,6,26)+TIME(9,14,0)</f>
        <v>44008.384722222225</v>
      </c>
    </row>
    <row r="837" spans="1:4" ht="17">
      <c r="A837" s="4" t="s">
        <v>507</v>
      </c>
      <c r="B837" s="4" t="s">
        <v>4265</v>
      </c>
      <c r="C837" s="4" t="s">
        <v>4266</v>
      </c>
      <c r="D837" s="1">
        <f>DATE(2020,6,26)+TIME(15,51,13)</f>
        <v>44008.660567129627</v>
      </c>
    </row>
    <row r="838" spans="1:4" ht="17">
      <c r="A838" s="5" t="s">
        <v>507</v>
      </c>
      <c r="B838" s="5" t="s">
        <v>3671</v>
      </c>
      <c r="C838" s="5" t="s">
        <v>3672</v>
      </c>
      <c r="D838" s="2">
        <f>DATE(2020,6,26)+TIME(16,31,32)</f>
        <v>44008.688564814816</v>
      </c>
    </row>
    <row r="839" spans="1:4" ht="17">
      <c r="A839" s="5" t="s">
        <v>507</v>
      </c>
      <c r="B839" s="5" t="s">
        <v>6203</v>
      </c>
      <c r="C839" s="5" t="s">
        <v>6204</v>
      </c>
      <c r="D839" s="2">
        <f>DATE(2020,6,26)+TIME(18,58,37)</f>
        <v>44008.790706018517</v>
      </c>
    </row>
    <row r="840" spans="1:4" ht="17">
      <c r="A840" s="4" t="s">
        <v>507</v>
      </c>
      <c r="B840" s="4" t="s">
        <v>508</v>
      </c>
      <c r="C840" s="4" t="s">
        <v>509</v>
      </c>
      <c r="D840" s="1">
        <f>DATE(2020,6,27)+TIME(17,34,33)</f>
        <v>44009.73232638889</v>
      </c>
    </row>
    <row r="841" spans="1:4" ht="17">
      <c r="A841" s="5" t="s">
        <v>507</v>
      </c>
      <c r="B841" s="5" t="s">
        <v>8792</v>
      </c>
      <c r="C841" s="5" t="s">
        <v>8793</v>
      </c>
      <c r="D841" s="2">
        <f>DATE(2020,6,29)+TIME(4,27,51)</f>
        <v>44011.186006944445</v>
      </c>
    </row>
    <row r="842" spans="1:4" ht="17">
      <c r="A842" s="4" t="s">
        <v>507</v>
      </c>
      <c r="B842" s="4" t="s">
        <v>3941</v>
      </c>
      <c r="C842" s="4" t="s">
        <v>6523</v>
      </c>
      <c r="D842" s="1">
        <f>DATE(2020,6,29)+TIME(12,17,14)</f>
        <v>44011.511967592596</v>
      </c>
    </row>
    <row r="843" spans="1:4" ht="17">
      <c r="A843" s="4" t="s">
        <v>1668</v>
      </c>
      <c r="B843" s="4" t="s">
        <v>815</v>
      </c>
      <c r="C843" s="4" t="s">
        <v>1669</v>
      </c>
      <c r="D843" s="1">
        <f>DATE(2020,5,8)+TIME(2,4,56)</f>
        <v>43959.086759259262</v>
      </c>
    </row>
    <row r="844" spans="1:4" ht="17">
      <c r="A844" s="5" t="s">
        <v>561</v>
      </c>
      <c r="B844" s="5" t="s">
        <v>562</v>
      </c>
      <c r="C844" s="5" t="s">
        <v>563</v>
      </c>
      <c r="D844" s="2">
        <f>DATE(2020,6,22)+TIME(18,16,16)</f>
        <v>44004.761296296296</v>
      </c>
    </row>
    <row r="845" spans="1:4" ht="17">
      <c r="A845" s="4" t="s">
        <v>6021</v>
      </c>
      <c r="B845" s="4" t="s">
        <v>6022</v>
      </c>
      <c r="C845" s="4" t="s">
        <v>6023</v>
      </c>
      <c r="D845" s="1">
        <f>DATE(2020,5,28)+TIME(14,24,29)</f>
        <v>43979.600335648145</v>
      </c>
    </row>
    <row r="846" spans="1:4" ht="17">
      <c r="A846" s="4" t="s">
        <v>2010</v>
      </c>
      <c r="B846" s="4" t="s">
        <v>254</v>
      </c>
      <c r="C846" s="4" t="s">
        <v>2011</v>
      </c>
      <c r="D846" s="1">
        <f>DATE(2020,6,25)+TIME(18,11,7)</f>
        <v>44007.757719907408</v>
      </c>
    </row>
    <row r="847" spans="1:4" ht="17">
      <c r="A847" s="4" t="s">
        <v>4089</v>
      </c>
      <c r="B847" s="4" t="s">
        <v>4090</v>
      </c>
      <c r="C847" s="4" t="s">
        <v>4091</v>
      </c>
      <c r="D847" s="1">
        <f>DATE(2020,5,5)+TIME(23,0,35)</f>
        <v>43956.958738425928</v>
      </c>
    </row>
    <row r="848" spans="1:4" ht="17">
      <c r="A848" s="5" t="s">
        <v>39</v>
      </c>
      <c r="B848" s="5" t="s">
        <v>2472</v>
      </c>
      <c r="C848" s="5" t="s">
        <v>9363</v>
      </c>
      <c r="D848" s="2">
        <f>DATE(2020,2,20)+TIME(18,0,11)</f>
        <v>43881.750127314815</v>
      </c>
    </row>
    <row r="849" spans="1:4" ht="17">
      <c r="A849" s="4" t="s">
        <v>39</v>
      </c>
      <c r="B849" s="4" t="s">
        <v>2472</v>
      </c>
      <c r="C849" s="4" t="s">
        <v>7224</v>
      </c>
      <c r="D849" s="1">
        <f>DATE(2020,3,27)+TIME(18,34,1)</f>
        <v>43917.773622685185</v>
      </c>
    </row>
    <row r="850" spans="1:4" ht="17">
      <c r="A850" s="5" t="s">
        <v>39</v>
      </c>
      <c r="B850" s="5" t="s">
        <v>40</v>
      </c>
      <c r="C850" s="5" t="s">
        <v>41</v>
      </c>
      <c r="D850" s="2">
        <f>DATE(2020,6,5)+TIME(14,19,20)</f>
        <v>43987.596759259257</v>
      </c>
    </row>
    <row r="851" spans="1:4" ht="17">
      <c r="A851" s="4" t="s">
        <v>39</v>
      </c>
      <c r="B851" s="4" t="s">
        <v>6547</v>
      </c>
      <c r="C851" s="4" t="s">
        <v>6548</v>
      </c>
      <c r="D851" s="1">
        <f>DATE(2020,6,18)+TIME(8,50,50)</f>
        <v>44000.368634259263</v>
      </c>
    </row>
    <row r="852" spans="1:4" ht="17">
      <c r="A852" s="4" t="s">
        <v>5606</v>
      </c>
      <c r="B852" s="4" t="s">
        <v>5607</v>
      </c>
      <c r="C852" s="4" t="s">
        <v>5608</v>
      </c>
      <c r="D852" s="1">
        <f>DATE(2020,6,15)+TIME(16,18,8)</f>
        <v>43997.679259259261</v>
      </c>
    </row>
    <row r="853" spans="1:4" ht="17">
      <c r="A853" s="4" t="s">
        <v>7474</v>
      </c>
      <c r="B853" s="4" t="s">
        <v>7475</v>
      </c>
      <c r="C853" s="4" t="s">
        <v>7476</v>
      </c>
      <c r="D853" s="1">
        <f>DATE(2020,6,12)+TIME(12,11,30)</f>
        <v>43994.507986111108</v>
      </c>
    </row>
    <row r="854" spans="1:4" ht="17">
      <c r="A854" s="5" t="s">
        <v>2402</v>
      </c>
      <c r="B854" s="5" t="s">
        <v>2374</v>
      </c>
      <c r="C854" s="5" t="s">
        <v>2403</v>
      </c>
      <c r="D854" s="2">
        <f>DATE(2020,6,22)+TIME(20,49,24)</f>
        <v>44004.867638888885</v>
      </c>
    </row>
    <row r="855" spans="1:4" ht="17">
      <c r="A855" s="5" t="s">
        <v>84</v>
      </c>
      <c r="B855" s="5" t="s">
        <v>103</v>
      </c>
      <c r="C855" s="5" t="s">
        <v>6839</v>
      </c>
      <c r="D855" s="2">
        <f>DATE(2020,5,5)+TIME(15,56,39)</f>
        <v>43956.664340277777</v>
      </c>
    </row>
    <row r="856" spans="1:4" ht="17">
      <c r="A856" s="5" t="s">
        <v>84</v>
      </c>
      <c r="B856" s="5" t="s">
        <v>2600</v>
      </c>
      <c r="C856" s="5" t="s">
        <v>7142</v>
      </c>
      <c r="D856" s="2">
        <f>DATE(2020,5,6)+TIME(18,54,11)</f>
        <v>43957.787627314814</v>
      </c>
    </row>
    <row r="857" spans="1:4" ht="17">
      <c r="A857" s="4" t="s">
        <v>84</v>
      </c>
      <c r="B857" s="4" t="s">
        <v>3935</v>
      </c>
      <c r="C857" s="4" t="s">
        <v>3936</v>
      </c>
      <c r="D857" s="1">
        <f>DATE(2020,6,11)+TIME(11,45,24)</f>
        <v>43993.489861111113</v>
      </c>
    </row>
    <row r="858" spans="1:4" ht="17">
      <c r="A858" s="4" t="s">
        <v>84</v>
      </c>
      <c r="B858" s="4" t="s">
        <v>85</v>
      </c>
      <c r="C858" s="4" t="s">
        <v>86</v>
      </c>
      <c r="D858" s="1">
        <f>DATE(2020,6,18)+TIME(17,12,45)</f>
        <v>44000.717187499999</v>
      </c>
    </row>
    <row r="859" spans="1:4" ht="17">
      <c r="A859" s="4" t="s">
        <v>84</v>
      </c>
      <c r="B859" s="4" t="s">
        <v>2832</v>
      </c>
      <c r="C859" s="4" t="s">
        <v>2833</v>
      </c>
      <c r="D859" s="1">
        <f>DATE(2020,6,25)+TIME(17,56,52)</f>
        <v>44007.747824074075</v>
      </c>
    </row>
    <row r="860" spans="1:4" ht="17">
      <c r="A860" s="5" t="s">
        <v>84</v>
      </c>
      <c r="B860" s="5" t="s">
        <v>8302</v>
      </c>
      <c r="C860" s="5" t="s">
        <v>8303</v>
      </c>
      <c r="D860" s="2">
        <f>DATE(2020,6,26)+TIME(12,1,20)</f>
        <v>44008.500925925924</v>
      </c>
    </row>
    <row r="861" spans="1:4" ht="17">
      <c r="A861" s="4" t="s">
        <v>99</v>
      </c>
      <c r="B861" s="4" t="s">
        <v>1101</v>
      </c>
      <c r="C861" s="4" t="s">
        <v>3630</v>
      </c>
      <c r="D861" s="1">
        <f>DATE(2020,3,27)+TIME(16,36,14)</f>
        <v>43917.691828703704</v>
      </c>
    </row>
    <row r="862" spans="1:4" ht="17">
      <c r="A862" s="4" t="s">
        <v>99</v>
      </c>
      <c r="B862" s="4" t="s">
        <v>6625</v>
      </c>
      <c r="C862" s="4" t="s">
        <v>6626</v>
      </c>
      <c r="D862" s="1">
        <f>DATE(2020,5,5)+TIME(15,53,34)</f>
        <v>43956.662199074075</v>
      </c>
    </row>
    <row r="863" spans="1:4" ht="17">
      <c r="A863" s="5" t="s">
        <v>99</v>
      </c>
      <c r="B863" s="5" t="s">
        <v>4961</v>
      </c>
      <c r="C863" s="5" t="s">
        <v>4962</v>
      </c>
      <c r="D863" s="2">
        <f>DATE(2020,5,5)+TIME(16,27,55)</f>
        <v>43956.686053240737</v>
      </c>
    </row>
    <row r="864" spans="1:4" ht="17">
      <c r="A864" s="5" t="s">
        <v>99</v>
      </c>
      <c r="B864" s="5" t="s">
        <v>7324</v>
      </c>
      <c r="C864" s="5" t="s">
        <v>7325</v>
      </c>
      <c r="D864" s="2">
        <f>DATE(2020,5,5)+TIME(20,10,28)</f>
        <v>43956.840601851851</v>
      </c>
    </row>
    <row r="865" spans="1:4" ht="17">
      <c r="A865" s="4" t="s">
        <v>99</v>
      </c>
      <c r="B865" s="4" t="s">
        <v>9214</v>
      </c>
      <c r="C865" s="4" t="s">
        <v>9215</v>
      </c>
      <c r="D865" s="1">
        <f>DATE(2020,5,6)+TIME(8,57,27)</f>
        <v>43957.373229166667</v>
      </c>
    </row>
    <row r="866" spans="1:4" ht="17">
      <c r="A866" s="4" t="s">
        <v>99</v>
      </c>
      <c r="B866" s="4" t="s">
        <v>2905</v>
      </c>
      <c r="C866" s="4" t="s">
        <v>2906</v>
      </c>
      <c r="D866" s="1">
        <f>DATE(2020,5,7)+TIME(15,22,43)</f>
        <v>43958.640775462962</v>
      </c>
    </row>
    <row r="867" spans="1:4" ht="17">
      <c r="A867" s="4" t="s">
        <v>99</v>
      </c>
      <c r="B867" s="4" t="s">
        <v>2177</v>
      </c>
      <c r="C867" s="4" t="s">
        <v>2178</v>
      </c>
      <c r="D867" s="1">
        <f>DATE(2020,5,8)+TIME(12,12,37)</f>
        <v>43959.508761574078</v>
      </c>
    </row>
    <row r="868" spans="1:4" ht="17">
      <c r="A868" s="5" t="s">
        <v>99</v>
      </c>
      <c r="B868" s="5" t="s">
        <v>5613</v>
      </c>
      <c r="C868" s="5" t="s">
        <v>5614</v>
      </c>
      <c r="D868" s="2">
        <f>DATE(2020,5,11)+TIME(19,56,41)</f>
        <v>43962.831030092595</v>
      </c>
    </row>
    <row r="869" spans="1:4" ht="17">
      <c r="A869" s="5" t="s">
        <v>99</v>
      </c>
      <c r="B869" s="5" t="s">
        <v>9132</v>
      </c>
      <c r="C869" s="5" t="s">
        <v>9133</v>
      </c>
      <c r="D869" s="2">
        <f>DATE(2020,5,14)+TIME(2,14,55)</f>
        <v>43965.093692129631</v>
      </c>
    </row>
    <row r="870" spans="1:4" ht="17">
      <c r="A870" s="4" t="s">
        <v>99</v>
      </c>
      <c r="B870" s="4" t="s">
        <v>219</v>
      </c>
      <c r="C870" s="4" t="s">
        <v>5528</v>
      </c>
      <c r="D870" s="1">
        <f>DATE(2020,5,14)+TIME(8,22,13)</f>
        <v>43965.348761574074</v>
      </c>
    </row>
    <row r="871" spans="1:4" ht="17">
      <c r="A871" s="5" t="s">
        <v>99</v>
      </c>
      <c r="B871" s="5" t="s">
        <v>5736</v>
      </c>
      <c r="C871" s="5" t="s">
        <v>5737</v>
      </c>
      <c r="D871" s="2">
        <f>DATE(2020,5,16)+TIME(15,34,23)</f>
        <v>43967.648877314816</v>
      </c>
    </row>
    <row r="872" spans="1:4" ht="17">
      <c r="A872" s="5" t="s">
        <v>99</v>
      </c>
      <c r="B872" s="5" t="s">
        <v>4929</v>
      </c>
      <c r="C872" s="5" t="s">
        <v>4930</v>
      </c>
      <c r="D872" s="2">
        <f>DATE(2020,5,17)+TIME(12,47,46)</f>
        <v>43968.533171296294</v>
      </c>
    </row>
    <row r="873" spans="1:4" ht="17">
      <c r="A873" s="4" t="s">
        <v>99</v>
      </c>
      <c r="B873" s="4" t="s">
        <v>5853</v>
      </c>
      <c r="C873" s="4" t="s">
        <v>5854</v>
      </c>
      <c r="D873" s="1">
        <f>DATE(2020,5,19)+TIME(14,26,11)</f>
        <v>43970.6015162037</v>
      </c>
    </row>
    <row r="874" spans="1:4" ht="17">
      <c r="A874" s="5" t="s">
        <v>99</v>
      </c>
      <c r="B874" s="5" t="s">
        <v>9545</v>
      </c>
      <c r="C874" s="5" t="s">
        <v>9546</v>
      </c>
      <c r="D874" s="2">
        <f>DATE(2020,5,21)+TIME(14,8,4)</f>
        <v>43972.588935185187</v>
      </c>
    </row>
    <row r="875" spans="1:4" ht="17">
      <c r="A875" s="4" t="s">
        <v>99</v>
      </c>
      <c r="B875" s="4" t="s">
        <v>7909</v>
      </c>
      <c r="C875" s="4" t="s">
        <v>7910</v>
      </c>
      <c r="D875" s="1">
        <f>DATE(2020,5,21)+TIME(14,14,6)</f>
        <v>43972.593124999999</v>
      </c>
    </row>
    <row r="876" spans="1:4" ht="17">
      <c r="A876" s="5" t="s">
        <v>99</v>
      </c>
      <c r="B876" s="5" t="s">
        <v>198</v>
      </c>
      <c r="C876" s="5" t="s">
        <v>199</v>
      </c>
      <c r="D876" s="2">
        <f>DATE(2020,5,21)+TIME(18,7,12)</f>
        <v>43972.754999999997</v>
      </c>
    </row>
    <row r="877" spans="1:4" ht="17">
      <c r="A877" s="5" t="s">
        <v>99</v>
      </c>
      <c r="B877" s="5" t="s">
        <v>7427</v>
      </c>
      <c r="C877" s="5" t="s">
        <v>7428</v>
      </c>
      <c r="D877" s="2">
        <f>DATE(2020,5,22)+TIME(8,16,30)</f>
        <v>43973.34479166667</v>
      </c>
    </row>
    <row r="878" spans="1:4" ht="17">
      <c r="A878" s="5" t="s">
        <v>99</v>
      </c>
      <c r="B878" s="5" t="s">
        <v>2261</v>
      </c>
      <c r="C878" s="5" t="s">
        <v>2262</v>
      </c>
      <c r="D878" s="2">
        <f>DATE(2020,5,22)+TIME(17,9,14)</f>
        <v>43973.714745370373</v>
      </c>
    </row>
    <row r="879" spans="1:4" ht="17">
      <c r="A879" s="5" t="s">
        <v>99</v>
      </c>
      <c r="B879" s="5" t="s">
        <v>5429</v>
      </c>
      <c r="C879" s="5" t="s">
        <v>5430</v>
      </c>
      <c r="D879" s="2">
        <f>DATE(2020,5,28)+TIME(13,41,0)</f>
        <v>43979.570138888892</v>
      </c>
    </row>
    <row r="880" spans="1:4" ht="17">
      <c r="A880" s="5" t="s">
        <v>99</v>
      </c>
      <c r="B880" s="5" t="s">
        <v>5740</v>
      </c>
      <c r="C880" s="5" t="s">
        <v>5741</v>
      </c>
      <c r="D880" s="2">
        <f>DATE(2020,5,28)+TIME(13,55,23)</f>
        <v>43979.580127314817</v>
      </c>
    </row>
    <row r="881" spans="1:4" ht="17">
      <c r="A881" s="5" t="s">
        <v>99</v>
      </c>
      <c r="B881" s="5" t="s">
        <v>5744</v>
      </c>
      <c r="C881" s="5" t="s">
        <v>5745</v>
      </c>
      <c r="D881" s="2">
        <f>DATE(2020,5,28)+TIME(16,29,24)</f>
        <v>43979.687083333331</v>
      </c>
    </row>
    <row r="882" spans="1:4" ht="17">
      <c r="A882" s="5" t="s">
        <v>99</v>
      </c>
      <c r="B882" s="5" t="s">
        <v>100</v>
      </c>
      <c r="C882" s="5" t="s">
        <v>101</v>
      </c>
      <c r="D882" s="2">
        <f>DATE(2020,5,29)+TIME(7,45,54)</f>
        <v>43980.323541666665</v>
      </c>
    </row>
    <row r="883" spans="1:4" ht="17">
      <c r="A883" s="5" t="s">
        <v>99</v>
      </c>
      <c r="B883" s="5" t="s">
        <v>2773</v>
      </c>
      <c r="C883" s="5" t="s">
        <v>2774</v>
      </c>
      <c r="D883" s="2">
        <f>DATE(2020,6,2)+TIME(10,51,29)</f>
        <v>43984.452418981484</v>
      </c>
    </row>
    <row r="884" spans="1:4" ht="17">
      <c r="A884" s="5" t="s">
        <v>99</v>
      </c>
      <c r="B884" s="5" t="s">
        <v>380</v>
      </c>
      <c r="C884" s="5" t="s">
        <v>381</v>
      </c>
      <c r="D884" s="2">
        <f>DATE(2020,6,2)+TIME(11,39,11)</f>
        <v>43984.485543981478</v>
      </c>
    </row>
    <row r="885" spans="1:4" ht="17">
      <c r="A885" s="5" t="s">
        <v>99</v>
      </c>
      <c r="B885" s="5" t="s">
        <v>7387</v>
      </c>
      <c r="C885" s="5" t="s">
        <v>7388</v>
      </c>
      <c r="D885" s="2">
        <f>DATE(2020,6,4)+TIME(17,21,27)</f>
        <v>43986.723229166666</v>
      </c>
    </row>
    <row r="886" spans="1:4" ht="17">
      <c r="A886" s="4" t="s">
        <v>99</v>
      </c>
      <c r="B886" s="4" t="s">
        <v>2792</v>
      </c>
      <c r="C886" s="4" t="s">
        <v>2793</v>
      </c>
      <c r="D886" s="1">
        <f>DATE(2020,6,5)+TIME(12,43,14)</f>
        <v>43987.530023148145</v>
      </c>
    </row>
    <row r="887" spans="1:4" ht="17">
      <c r="A887" s="4" t="s">
        <v>99</v>
      </c>
      <c r="B887" s="4" t="s">
        <v>4108</v>
      </c>
      <c r="C887" s="4" t="s">
        <v>4109</v>
      </c>
      <c r="D887" s="1">
        <f>DATE(2020,6,9)+TIME(5,54,31)</f>
        <v>43991.246192129627</v>
      </c>
    </row>
    <row r="888" spans="1:4" ht="17">
      <c r="A888" s="5" t="s">
        <v>99</v>
      </c>
      <c r="B888" s="5" t="s">
        <v>3685</v>
      </c>
      <c r="C888" s="5" t="s">
        <v>4092</v>
      </c>
      <c r="D888" s="2">
        <f>DATE(2020,6,12)+TIME(18,33,39)</f>
        <v>43994.773368055554</v>
      </c>
    </row>
    <row r="889" spans="1:4" ht="17">
      <c r="A889" s="5" t="s">
        <v>99</v>
      </c>
      <c r="B889" s="5" t="s">
        <v>3442</v>
      </c>
      <c r="C889" s="5" t="s">
        <v>3443</v>
      </c>
      <c r="D889" s="2">
        <f>DATE(2020,6,17)+TIME(8,30,41)</f>
        <v>43999.354641203703</v>
      </c>
    </row>
    <row r="890" spans="1:4" ht="17">
      <c r="A890" s="4" t="s">
        <v>99</v>
      </c>
      <c r="B890" s="4" t="s">
        <v>6805</v>
      </c>
      <c r="C890" s="4" t="s">
        <v>6806</v>
      </c>
      <c r="D890" s="1">
        <f>DATE(2020,6,17)+TIME(13,28,35)</f>
        <v>43999.561516203707</v>
      </c>
    </row>
    <row r="891" spans="1:4" ht="17">
      <c r="A891" s="4" t="s">
        <v>99</v>
      </c>
      <c r="B891" s="4" t="s">
        <v>3442</v>
      </c>
      <c r="C891" s="4" t="s">
        <v>8030</v>
      </c>
      <c r="D891" s="1">
        <f>DATE(2020,6,17)+TIME(19,27,35)</f>
        <v>43999.81082175926</v>
      </c>
    </row>
    <row r="892" spans="1:4" ht="17">
      <c r="A892" s="4" t="s">
        <v>99</v>
      </c>
      <c r="B892" s="4" t="s">
        <v>2497</v>
      </c>
      <c r="C892" s="4" t="s">
        <v>2498</v>
      </c>
      <c r="D892" s="1">
        <f>DATE(2020,6,19)+TIME(10,49,18)</f>
        <v>44001.450902777775</v>
      </c>
    </row>
    <row r="893" spans="1:4" ht="17">
      <c r="A893" s="5" t="s">
        <v>99</v>
      </c>
      <c r="B893" s="5" t="s">
        <v>5662</v>
      </c>
      <c r="C893" s="5" t="s">
        <v>5663</v>
      </c>
      <c r="D893" s="2">
        <f>DATE(2020,6,19)+TIME(12,37,58)</f>
        <v>44001.526365740741</v>
      </c>
    </row>
    <row r="894" spans="1:4" ht="17">
      <c r="A894" s="4" t="s">
        <v>99</v>
      </c>
      <c r="B894" s="4" t="s">
        <v>7322</v>
      </c>
      <c r="C894" s="4" t="s">
        <v>7323</v>
      </c>
      <c r="D894" s="1">
        <f>DATE(2020,6,19)+TIME(14,1,23)</f>
        <v>44001.584293981483</v>
      </c>
    </row>
    <row r="895" spans="1:4" ht="17">
      <c r="A895" s="4" t="s">
        <v>99</v>
      </c>
      <c r="B895" s="4" t="s">
        <v>8695</v>
      </c>
      <c r="C895" s="4" t="s">
        <v>8696</v>
      </c>
      <c r="D895" s="1">
        <f>DATE(2020,6,22)+TIME(15,22,16)</f>
        <v>44004.640462962961</v>
      </c>
    </row>
    <row r="896" spans="1:4" ht="17">
      <c r="A896" s="4" t="s">
        <v>99</v>
      </c>
      <c r="B896" s="4" t="s">
        <v>4977</v>
      </c>
      <c r="C896" s="4" t="s">
        <v>4978</v>
      </c>
      <c r="D896" s="1">
        <f>DATE(2020,6,23)+TIME(14,12,57)</f>
        <v>44005.592326388891</v>
      </c>
    </row>
    <row r="897" spans="1:4" ht="17">
      <c r="A897" s="4" t="s">
        <v>99</v>
      </c>
      <c r="B897" s="4" t="s">
        <v>6801</v>
      </c>
      <c r="C897" s="4" t="s">
        <v>6802</v>
      </c>
      <c r="D897" s="1">
        <f>DATE(2020,6,24)+TIME(4,35,31)</f>
        <v>44006.191331018519</v>
      </c>
    </row>
    <row r="898" spans="1:4" ht="17">
      <c r="A898" s="4" t="s">
        <v>99</v>
      </c>
      <c r="B898" s="4" t="s">
        <v>3688</v>
      </c>
      <c r="C898" s="4" t="s">
        <v>3689</v>
      </c>
      <c r="D898" s="1">
        <f>DATE(2020,6,24)+TIME(8,52,24)</f>
        <v>44006.369722222225</v>
      </c>
    </row>
    <row r="899" spans="1:4" ht="17">
      <c r="A899" s="5" t="s">
        <v>99</v>
      </c>
      <c r="B899" s="5" t="s">
        <v>1754</v>
      </c>
      <c r="C899" s="5" t="s">
        <v>9519</v>
      </c>
      <c r="D899" s="2">
        <f>DATE(2020,6,24)+TIME(10,10,6)</f>
        <v>44006.423680555556</v>
      </c>
    </row>
    <row r="900" spans="1:4" ht="17">
      <c r="A900" s="5" t="s">
        <v>99</v>
      </c>
      <c r="B900" s="5" t="s">
        <v>3395</v>
      </c>
      <c r="C900" s="5" t="s">
        <v>3396</v>
      </c>
      <c r="D900" s="2">
        <f>DATE(2020,6,24)+TIME(11,6,49)</f>
        <v>44006.463067129633</v>
      </c>
    </row>
    <row r="901" spans="1:4" ht="17">
      <c r="A901" s="4" t="s">
        <v>99</v>
      </c>
      <c r="B901" s="4" t="s">
        <v>970</v>
      </c>
      <c r="C901" s="4" t="s">
        <v>971</v>
      </c>
      <c r="D901" s="1">
        <f>DATE(2020,6,24)+TIME(14,46,4)</f>
        <v>44006.615324074075</v>
      </c>
    </row>
    <row r="902" spans="1:4" ht="17">
      <c r="A902" s="4" t="s">
        <v>99</v>
      </c>
      <c r="B902" s="4" t="s">
        <v>2000</v>
      </c>
      <c r="C902" s="4" t="s">
        <v>2001</v>
      </c>
      <c r="D902" s="1">
        <f>DATE(2020,6,24)+TIME(17,45,19)</f>
        <v>44006.739803240744</v>
      </c>
    </row>
    <row r="903" spans="1:4" ht="17">
      <c r="A903" s="4" t="s">
        <v>99</v>
      </c>
      <c r="B903" s="4" t="s">
        <v>2916</v>
      </c>
      <c r="C903" s="4" t="s">
        <v>2917</v>
      </c>
      <c r="D903" s="1">
        <f>DATE(2020,6,26)+TIME(12,4,49)</f>
        <v>44008.503344907411</v>
      </c>
    </row>
    <row r="904" spans="1:4" ht="17">
      <c r="A904" s="5" t="s">
        <v>99</v>
      </c>
      <c r="B904" s="5" t="s">
        <v>2485</v>
      </c>
      <c r="C904" s="5" t="s">
        <v>2486</v>
      </c>
      <c r="D904" s="2">
        <f>DATE(2020,6,26)+TIME(15,28,10)</f>
        <v>44008.644560185188</v>
      </c>
    </row>
    <row r="905" spans="1:4" ht="17">
      <c r="A905" s="5" t="s">
        <v>99</v>
      </c>
      <c r="B905" s="5" t="s">
        <v>7513</v>
      </c>
      <c r="C905" s="5" t="s">
        <v>8952</v>
      </c>
      <c r="D905" s="2">
        <f>DATE(2020,6,26)+TIME(17,40,41)</f>
        <v>44008.736585648148</v>
      </c>
    </row>
    <row r="906" spans="1:4" ht="17">
      <c r="A906" s="4" t="s">
        <v>99</v>
      </c>
      <c r="B906" s="4" t="s">
        <v>3878</v>
      </c>
      <c r="C906" s="4" t="s">
        <v>3879</v>
      </c>
      <c r="D906" s="1">
        <f>DATE(2020,6,26)+TIME(17,46,53)</f>
        <v>44008.740891203706</v>
      </c>
    </row>
    <row r="907" spans="1:4" ht="17">
      <c r="A907" s="4" t="s">
        <v>99</v>
      </c>
      <c r="B907" s="4" t="s">
        <v>1679</v>
      </c>
      <c r="C907" s="4" t="s">
        <v>6137</v>
      </c>
      <c r="D907" s="1">
        <f>DATE(2020,6,27)+TIME(16,54,1)</f>
        <v>44009.70417824074</v>
      </c>
    </row>
    <row r="908" spans="1:4" ht="17">
      <c r="A908" s="5" t="s">
        <v>99</v>
      </c>
      <c r="B908" s="5" t="s">
        <v>5274</v>
      </c>
      <c r="C908" s="5" t="s">
        <v>5275</v>
      </c>
      <c r="D908" s="2">
        <f>DATE(2020,6,28)+TIME(19,7,17)</f>
        <v>44010.796724537038</v>
      </c>
    </row>
    <row r="909" spans="1:4" ht="17">
      <c r="A909" s="4" t="s">
        <v>99</v>
      </c>
      <c r="B909" s="4" t="s">
        <v>1149</v>
      </c>
      <c r="C909" s="4" t="s">
        <v>1150</v>
      </c>
      <c r="D909" s="1">
        <f>DATE(2020,6,29)+TIME(4,34,28)</f>
        <v>44011.190601851849</v>
      </c>
    </row>
    <row r="910" spans="1:4" ht="17">
      <c r="A910" s="5" t="s">
        <v>99</v>
      </c>
      <c r="B910" s="5" t="s">
        <v>3967</v>
      </c>
      <c r="C910" s="5" t="s">
        <v>3968</v>
      </c>
      <c r="D910" s="2">
        <f>DATE(2020,6,29)+TIME(13,54,30)</f>
        <v>44011.579513888886</v>
      </c>
    </row>
    <row r="911" spans="1:4" ht="17">
      <c r="A911" s="4" t="s">
        <v>9379</v>
      </c>
      <c r="B911" s="4" t="s">
        <v>9380</v>
      </c>
      <c r="C911" s="4" t="s">
        <v>9381</v>
      </c>
      <c r="D911" s="1">
        <f>DATE(2020,5,6)+TIME(5,34,29)</f>
        <v>43957.23228009259</v>
      </c>
    </row>
    <row r="912" spans="1:4" ht="17">
      <c r="A912" s="5" t="s">
        <v>8377</v>
      </c>
      <c r="B912" s="5" t="s">
        <v>8378</v>
      </c>
      <c r="C912" s="5" t="s">
        <v>8379</v>
      </c>
      <c r="D912" s="2">
        <f>DATE(2020,6,23)+TIME(13,13,15)</f>
        <v>44005.550868055558</v>
      </c>
    </row>
    <row r="913" spans="1:4" ht="17">
      <c r="A913" s="4" t="s">
        <v>638</v>
      </c>
      <c r="B913" s="4" t="s">
        <v>639</v>
      </c>
      <c r="C913" s="4" t="s">
        <v>640</v>
      </c>
      <c r="D913" s="1">
        <f>DATE(2020,6,27)+TIME(20,29,46)</f>
        <v>44009.854004629633</v>
      </c>
    </row>
    <row r="914" spans="1:4" ht="17">
      <c r="A914" s="4" t="s">
        <v>8380</v>
      </c>
      <c r="B914" s="4" t="s">
        <v>8381</v>
      </c>
      <c r="C914" s="4" t="s">
        <v>8382</v>
      </c>
      <c r="D914" s="1">
        <f>DATE(2020,6,8)+TIME(8,30,4)</f>
        <v>43990.354212962964</v>
      </c>
    </row>
    <row r="915" spans="1:4" ht="17">
      <c r="A915" s="5" t="s">
        <v>4824</v>
      </c>
      <c r="B915" s="5" t="s">
        <v>1028</v>
      </c>
      <c r="C915" s="5" t="s">
        <v>4825</v>
      </c>
      <c r="D915" s="2">
        <f>DATE(2020,3,30)+TIME(3,51,52)</f>
        <v>43920.16101851852</v>
      </c>
    </row>
    <row r="916" spans="1:4" ht="17">
      <c r="A916" s="4" t="s">
        <v>6190</v>
      </c>
      <c r="B916" s="4" t="s">
        <v>7895</v>
      </c>
      <c r="C916" s="4" t="s">
        <v>7896</v>
      </c>
      <c r="D916" s="1">
        <f>DATE(2020,6,26)+TIME(8,49,41)</f>
        <v>44008.367835648147</v>
      </c>
    </row>
    <row r="917" spans="1:4" ht="17">
      <c r="A917" s="5" t="s">
        <v>8240</v>
      </c>
      <c r="B917" s="5" t="s">
        <v>8241</v>
      </c>
      <c r="C917" s="5" t="s">
        <v>8242</v>
      </c>
      <c r="D917" s="2">
        <f>DATE(2020,3,30)+TIME(17,18,42)</f>
        <v>43920.721319444441</v>
      </c>
    </row>
    <row r="918" spans="1:4" ht="17">
      <c r="A918" s="5" t="s">
        <v>4918</v>
      </c>
      <c r="B918" s="5" t="s">
        <v>4919</v>
      </c>
      <c r="C918" s="5" t="s">
        <v>4920</v>
      </c>
      <c r="D918" s="2">
        <f>DATE(2020,6,2)+TIME(14,59,8)</f>
        <v>43984.624398148146</v>
      </c>
    </row>
    <row r="919" spans="1:4" ht="17">
      <c r="A919" s="5" t="s">
        <v>260</v>
      </c>
      <c r="B919" s="5" t="s">
        <v>261</v>
      </c>
      <c r="C919" s="5" t="s">
        <v>262</v>
      </c>
      <c r="D919" s="2">
        <f>DATE(2020,6,24)+TIME(20,33,45)</f>
        <v>44006.856770833336</v>
      </c>
    </row>
    <row r="920" spans="1:4" ht="17">
      <c r="A920" s="5" t="s">
        <v>3724</v>
      </c>
      <c r="B920" s="5" t="s">
        <v>3725</v>
      </c>
      <c r="C920" s="5" t="s">
        <v>3726</v>
      </c>
      <c r="D920" s="2">
        <f>DATE(2020,6,25)+TIME(9,31,20)</f>
        <v>44007.39675925926</v>
      </c>
    </row>
    <row r="921" spans="1:4" ht="17">
      <c r="A921" s="4" t="s">
        <v>3474</v>
      </c>
      <c r="B921" s="4" t="s">
        <v>3475</v>
      </c>
      <c r="C921" s="4" t="s">
        <v>3476</v>
      </c>
      <c r="D921" s="1">
        <f>DATE(2020,5,27)+TIME(9,15,3)</f>
        <v>43978.385451388887</v>
      </c>
    </row>
    <row r="922" spans="1:4" ht="17">
      <c r="A922" s="4" t="s">
        <v>2843</v>
      </c>
      <c r="B922" s="4" t="s">
        <v>2844</v>
      </c>
      <c r="C922" s="4" t="s">
        <v>2845</v>
      </c>
      <c r="D922" s="1">
        <f>DATE(2020,4,3)+TIME(2,28,4)</f>
        <v>43924.102824074071</v>
      </c>
    </row>
    <row r="923" spans="1:4" ht="17">
      <c r="A923" s="4" t="s">
        <v>2843</v>
      </c>
      <c r="B923" s="4" t="s">
        <v>7120</v>
      </c>
      <c r="C923" s="4" t="s">
        <v>7121</v>
      </c>
      <c r="D923" s="1">
        <f>DATE(2020,6,23)+TIME(18,42,32)</f>
        <v>44005.779537037037</v>
      </c>
    </row>
    <row r="924" spans="1:4" ht="17">
      <c r="A924" s="5" t="s">
        <v>2843</v>
      </c>
      <c r="B924" s="5" t="s">
        <v>7106</v>
      </c>
      <c r="C924" s="5" t="s">
        <v>7107</v>
      </c>
      <c r="D924" s="2">
        <f>DATE(2020,6,24)+TIME(9,36,24)</f>
        <v>44006.400277777779</v>
      </c>
    </row>
    <row r="925" spans="1:4" ht="17">
      <c r="A925" s="4" t="s">
        <v>9517</v>
      </c>
      <c r="B925" s="4" t="s">
        <v>432</v>
      </c>
      <c r="C925" s="4" t="s">
        <v>9518</v>
      </c>
      <c r="D925" s="1">
        <f>DATE(2020,5,20)+TIME(0,38,29)</f>
        <v>43971.026724537034</v>
      </c>
    </row>
    <row r="926" spans="1:4" ht="17">
      <c r="A926" s="4" t="s">
        <v>233</v>
      </c>
      <c r="B926" s="4" t="s">
        <v>234</v>
      </c>
      <c r="C926" s="4" t="s">
        <v>235</v>
      </c>
      <c r="D926" s="1">
        <f>DATE(2020,5,11)+TIME(13,8,25)</f>
        <v>43962.547511574077</v>
      </c>
    </row>
    <row r="927" spans="1:4" ht="17">
      <c r="A927" s="5" t="s">
        <v>4850</v>
      </c>
      <c r="B927" s="5" t="s">
        <v>4851</v>
      </c>
      <c r="C927" s="5" t="s">
        <v>4852</v>
      </c>
      <c r="D927" s="2">
        <f>DATE(2020,6,12)+TIME(13,57,44)</f>
        <v>43994.581759259258</v>
      </c>
    </row>
    <row r="928" spans="1:4" ht="17">
      <c r="A928" s="4" t="s">
        <v>9147</v>
      </c>
      <c r="B928" s="4" t="s">
        <v>9148</v>
      </c>
      <c r="C928" s="4" t="s">
        <v>9149</v>
      </c>
      <c r="D928" s="1">
        <f>DATE(2020,6,29)+TIME(0,46,59)</f>
        <v>44011.032627314817</v>
      </c>
    </row>
    <row r="929" spans="1:4" ht="17">
      <c r="A929" s="4" t="s">
        <v>8505</v>
      </c>
      <c r="B929" s="4" t="s">
        <v>8506</v>
      </c>
      <c r="C929" s="4" t="s">
        <v>8507</v>
      </c>
      <c r="D929" s="1">
        <f>DATE(2020,6,29)+TIME(3,16,46)</f>
        <v>44011.136643518519</v>
      </c>
    </row>
    <row r="930" spans="1:4" ht="17">
      <c r="A930" s="4" t="s">
        <v>7083</v>
      </c>
      <c r="B930" s="4" t="s">
        <v>7084</v>
      </c>
      <c r="C930" s="4" t="s">
        <v>7085</v>
      </c>
      <c r="D930" s="1">
        <f>DATE(2020,5,28)+TIME(14,13,56)</f>
        <v>43979.593009259261</v>
      </c>
    </row>
    <row r="931" spans="1:4" ht="17">
      <c r="A931" s="5" t="s">
        <v>7083</v>
      </c>
      <c r="B931" s="5" t="s">
        <v>8120</v>
      </c>
      <c r="C931" s="5" t="s">
        <v>8121</v>
      </c>
      <c r="D931" s="2">
        <f>DATE(2020,6,24)+TIME(11,1,7)</f>
        <v>44006.459108796298</v>
      </c>
    </row>
    <row r="932" spans="1:4" ht="17">
      <c r="A932" s="4" t="s">
        <v>7083</v>
      </c>
      <c r="B932" s="4" t="s">
        <v>8385</v>
      </c>
      <c r="C932" s="4" t="s">
        <v>8386</v>
      </c>
      <c r="D932" s="1">
        <f>DATE(2020,6,28)+TIME(1,31,57)</f>
        <v>44010.063854166663</v>
      </c>
    </row>
    <row r="933" spans="1:4" ht="17">
      <c r="A933" s="4" t="s">
        <v>3835</v>
      </c>
      <c r="B933" s="4" t="s">
        <v>3836</v>
      </c>
      <c r="C933" s="4" t="s">
        <v>3837</v>
      </c>
      <c r="D933" s="1">
        <f>DATE(2020,6,29)+TIME(8,54,16)</f>
        <v>44011.371018518519</v>
      </c>
    </row>
    <row r="934" spans="1:4" ht="17">
      <c r="A934" s="5" t="s">
        <v>2160</v>
      </c>
      <c r="B934" s="5" t="s">
        <v>2161</v>
      </c>
      <c r="C934" s="5" t="s">
        <v>2162</v>
      </c>
      <c r="D934" s="2">
        <f>DATE(2020,6,26)+TIME(9,26,0)</f>
        <v>44008.393055555556</v>
      </c>
    </row>
    <row r="935" spans="1:4" ht="17">
      <c r="A935" s="4" t="s">
        <v>2635</v>
      </c>
      <c r="B935" s="4" t="s">
        <v>5251</v>
      </c>
      <c r="C935" s="4" t="s">
        <v>5252</v>
      </c>
      <c r="D935" s="1">
        <f>DATE(2020,6,17)+TIME(8,4,44)</f>
        <v>43999.33662037037</v>
      </c>
    </row>
    <row r="936" spans="1:4" ht="17">
      <c r="A936" s="5" t="s">
        <v>2635</v>
      </c>
      <c r="B936" s="5" t="s">
        <v>2636</v>
      </c>
      <c r="C936" s="5" t="s">
        <v>2637</v>
      </c>
      <c r="D936" s="2">
        <f>DATE(2020,6,24)+TIME(4,57,8)</f>
        <v>44006.206342592595</v>
      </c>
    </row>
    <row r="937" spans="1:4" ht="17">
      <c r="A937" s="4" t="s">
        <v>2635</v>
      </c>
      <c r="B937" s="4" t="s">
        <v>8411</v>
      </c>
      <c r="C937" s="4" t="s">
        <v>8412</v>
      </c>
      <c r="D937" s="1">
        <f>DATE(2020,6,25)+TIME(10,9,27)</f>
        <v>44007.423229166663</v>
      </c>
    </row>
    <row r="938" spans="1:4" ht="17">
      <c r="A938" s="5" t="s">
        <v>9417</v>
      </c>
      <c r="B938" s="5" t="s">
        <v>9418</v>
      </c>
      <c r="C938" s="5" t="s">
        <v>9419</v>
      </c>
      <c r="D938" s="2">
        <f>DATE(2020,6,19)+TIME(0,10,13)</f>
        <v>44001.007094907407</v>
      </c>
    </row>
    <row r="939" spans="1:4" ht="17">
      <c r="A939" s="4" t="s">
        <v>6708</v>
      </c>
      <c r="B939" s="4" t="s">
        <v>6709</v>
      </c>
      <c r="C939" s="4" t="s">
        <v>6710</v>
      </c>
      <c r="D939" s="1">
        <f>DATE(2020,6,25)+TIME(19,54,45)</f>
        <v>44007.829687500001</v>
      </c>
    </row>
    <row r="940" spans="1:4" ht="17">
      <c r="A940" s="4" t="s">
        <v>7255</v>
      </c>
      <c r="B940" s="4" t="s">
        <v>7256</v>
      </c>
      <c r="C940" s="4" t="s">
        <v>7257</v>
      </c>
      <c r="D940" s="1">
        <f>DATE(2020,6,18)+TIME(14,55,42)</f>
        <v>44000.622013888889</v>
      </c>
    </row>
    <row r="941" spans="1:4" ht="17">
      <c r="A941" s="4" t="s">
        <v>1926</v>
      </c>
      <c r="B941" s="4" t="s">
        <v>1927</v>
      </c>
      <c r="C941" s="4" t="s">
        <v>1928</v>
      </c>
      <c r="D941" s="1">
        <f>DATE(2020,5,7)+TIME(14,13,18)</f>
        <v>43958.592569444445</v>
      </c>
    </row>
    <row r="942" spans="1:4" ht="17">
      <c r="A942" s="4" t="s">
        <v>1926</v>
      </c>
      <c r="B942" s="4" t="s">
        <v>4444</v>
      </c>
      <c r="C942" s="4" t="s">
        <v>4445</v>
      </c>
      <c r="D942" s="1">
        <f>DATE(2020,5,19)+TIME(12,10,21)</f>
        <v>43970.507187499999</v>
      </c>
    </row>
    <row r="943" spans="1:4" ht="17">
      <c r="A943" s="4" t="s">
        <v>1926</v>
      </c>
      <c r="B943" s="4" t="s">
        <v>5771</v>
      </c>
      <c r="C943" s="4" t="s">
        <v>5772</v>
      </c>
      <c r="D943" s="1">
        <f>DATE(2020,6,24)+TIME(15,48,25)</f>
        <v>44006.658622685187</v>
      </c>
    </row>
    <row r="944" spans="1:4" ht="17">
      <c r="A944" s="4" t="s">
        <v>1926</v>
      </c>
      <c r="B944" s="4" t="s">
        <v>4458</v>
      </c>
      <c r="C944" s="4" t="s">
        <v>4459</v>
      </c>
      <c r="D944" s="1">
        <f>DATE(2020,6,28)+TIME(0,53,0)</f>
        <v>44010.036805555559</v>
      </c>
    </row>
    <row r="945" spans="1:4" ht="17">
      <c r="A945" s="4" t="s">
        <v>6897</v>
      </c>
      <c r="B945" s="4" t="s">
        <v>6898</v>
      </c>
      <c r="C945" s="4" t="s">
        <v>6899</v>
      </c>
      <c r="D945" s="1">
        <f>DATE(2020,6,24)+TIME(18,54,53)</f>
        <v>44006.788113425922</v>
      </c>
    </row>
    <row r="946" spans="1:4" ht="17">
      <c r="A946" s="5" t="s">
        <v>8144</v>
      </c>
      <c r="B946" s="5" t="s">
        <v>8145</v>
      </c>
      <c r="C946" s="5" t="s">
        <v>8146</v>
      </c>
      <c r="D946" s="2">
        <f>DATE(2020,6,24)+TIME(19,1,24)</f>
        <v>44006.792638888888</v>
      </c>
    </row>
    <row r="947" spans="1:4" ht="17">
      <c r="A947" s="4" t="s">
        <v>2628</v>
      </c>
      <c r="B947" s="4" t="s">
        <v>266</v>
      </c>
      <c r="C947" s="4" t="s">
        <v>2629</v>
      </c>
      <c r="D947" s="1">
        <f>DATE(2020,6,17)+TIME(1,39,5)</f>
        <v>43999.068807870368</v>
      </c>
    </row>
    <row r="948" spans="1:4" ht="17">
      <c r="A948" s="4" t="s">
        <v>2837</v>
      </c>
      <c r="B948" s="4" t="s">
        <v>2838</v>
      </c>
      <c r="C948" s="4" t="s">
        <v>2839</v>
      </c>
      <c r="D948" s="1">
        <f>DATE(2020,6,12)+TIME(8,9,44)</f>
        <v>43994.340092592596</v>
      </c>
    </row>
    <row r="949" spans="1:4" ht="17">
      <c r="A949" s="4" t="s">
        <v>1307</v>
      </c>
      <c r="B949" s="4" t="s">
        <v>1308</v>
      </c>
      <c r="C949" s="4" t="s">
        <v>1309</v>
      </c>
      <c r="D949" s="1">
        <f>DATE(2020,6,27)+TIME(14,25,50)</f>
        <v>44009.601273148146</v>
      </c>
    </row>
    <row r="950" spans="1:4" ht="17">
      <c r="A950" s="5" t="s">
        <v>7357</v>
      </c>
      <c r="B950" s="5" t="s">
        <v>7358</v>
      </c>
      <c r="C950" s="5" t="s">
        <v>7359</v>
      </c>
      <c r="D950" s="2">
        <f>DATE(2020,5,19)+TIME(12,5,49)</f>
        <v>43970.50403935185</v>
      </c>
    </row>
    <row r="951" spans="1:4" ht="17">
      <c r="A951" s="5" t="s">
        <v>5957</v>
      </c>
      <c r="B951" s="5" t="s">
        <v>5958</v>
      </c>
      <c r="C951" s="5" t="s">
        <v>5959</v>
      </c>
      <c r="D951" s="2">
        <f>DATE(2020,6,24)+TIME(15,5,20)</f>
        <v>44006.628703703704</v>
      </c>
    </row>
    <row r="952" spans="1:4" ht="17">
      <c r="A952" s="5" t="s">
        <v>7576</v>
      </c>
      <c r="B952" s="5" t="s">
        <v>1536</v>
      </c>
      <c r="C952" s="5" t="s">
        <v>9534</v>
      </c>
      <c r="D952" s="2">
        <f>DATE(2020,6,28)+TIME(18,6,20)</f>
        <v>44010.75439814815</v>
      </c>
    </row>
    <row r="953" spans="1:4" ht="17">
      <c r="A953" s="5" t="s">
        <v>5032</v>
      </c>
      <c r="B953" s="5" t="s">
        <v>2815</v>
      </c>
      <c r="C953" s="5" t="s">
        <v>5033</v>
      </c>
      <c r="D953" s="2">
        <f>DATE(2020,3,27)+TIME(15,47,22)</f>
        <v>43917.657893518517</v>
      </c>
    </row>
    <row r="954" spans="1:4" ht="17">
      <c r="A954" s="5" t="s">
        <v>4008</v>
      </c>
      <c r="B954" s="5" t="s">
        <v>4008</v>
      </c>
      <c r="C954" s="5" t="s">
        <v>4009</v>
      </c>
      <c r="D954" s="2">
        <f>DATE(2020,6,29)+TIME(10,31,12)</f>
        <v>44011.438333333332</v>
      </c>
    </row>
    <row r="955" spans="1:4" ht="17">
      <c r="A955" s="5" t="s">
        <v>2081</v>
      </c>
      <c r="B955" s="5" t="s">
        <v>2082</v>
      </c>
      <c r="C955" s="5" t="s">
        <v>2083</v>
      </c>
      <c r="D955" s="2">
        <f>DATE(2020,6,16)+TIME(9,36,54)</f>
        <v>43998.400625000002</v>
      </c>
    </row>
    <row r="956" spans="1:4" ht="17">
      <c r="A956" s="5" t="s">
        <v>7466</v>
      </c>
      <c r="B956" s="5" t="s">
        <v>7466</v>
      </c>
      <c r="C956" s="5" t="s">
        <v>7467</v>
      </c>
      <c r="D956" s="2">
        <f>DATE(2020,6,17)+TIME(19,36,40)</f>
        <v>43999.817129629628</v>
      </c>
    </row>
    <row r="957" spans="1:4" ht="17">
      <c r="A957" s="4" t="s">
        <v>8609</v>
      </c>
      <c r="B957" s="4" t="s">
        <v>8610</v>
      </c>
      <c r="C957" s="4" t="s">
        <v>8611</v>
      </c>
      <c r="D957" s="1">
        <f>DATE(2020,6,24)+TIME(11,32,45)</f>
        <v>44006.481076388889</v>
      </c>
    </row>
    <row r="958" spans="1:4" ht="17">
      <c r="A958" s="5" t="s">
        <v>391</v>
      </c>
      <c r="B958" s="5" t="s">
        <v>392</v>
      </c>
      <c r="C958" s="5" t="s">
        <v>393</v>
      </c>
      <c r="D958" s="2">
        <f>DATE(2020,6,27)+TIME(13,23,48)</f>
        <v>44009.558194444442</v>
      </c>
    </row>
    <row r="959" spans="1:4" ht="17">
      <c r="A959" s="5" t="s">
        <v>6886</v>
      </c>
      <c r="B959" s="5" t="s">
        <v>6887</v>
      </c>
      <c r="C959" s="5" t="s">
        <v>6888</v>
      </c>
      <c r="D959" s="2">
        <f>DATE(2020,6,28)+TIME(5,49,33)</f>
        <v>44010.242743055554</v>
      </c>
    </row>
    <row r="960" spans="1:4" ht="17">
      <c r="A960" s="5" t="s">
        <v>528</v>
      </c>
      <c r="B960" s="5" t="s">
        <v>529</v>
      </c>
      <c r="C960" s="5" t="s">
        <v>530</v>
      </c>
      <c r="D960" s="2">
        <f>DATE(2020,6,26)+TIME(4,34,12)</f>
        <v>44008.190416666665</v>
      </c>
    </row>
    <row r="961" spans="1:4" ht="17">
      <c r="A961" s="4" t="s">
        <v>189</v>
      </c>
      <c r="B961" s="4" t="s">
        <v>190</v>
      </c>
      <c r="C961" s="4" t="s">
        <v>191</v>
      </c>
      <c r="D961" s="1">
        <f>DATE(2020,5,5)+TIME(19,13,59)</f>
        <v>43956.801377314812</v>
      </c>
    </row>
    <row r="962" spans="1:4" ht="17">
      <c r="A962" s="4" t="s">
        <v>189</v>
      </c>
      <c r="B962" s="4" t="s">
        <v>3382</v>
      </c>
      <c r="C962" s="4" t="s">
        <v>3383</v>
      </c>
      <c r="D962" s="1">
        <f>DATE(2020,6,12)+TIME(7,32,47)</f>
        <v>43994.314432870371</v>
      </c>
    </row>
    <row r="963" spans="1:4" ht="17">
      <c r="A963" s="4" t="s">
        <v>189</v>
      </c>
      <c r="B963" s="4" t="s">
        <v>5580</v>
      </c>
      <c r="C963" s="4" t="s">
        <v>5581</v>
      </c>
      <c r="D963" s="1">
        <f>DATE(2020,6,17)+TIME(5,24,9)</f>
        <v>43999.225104166668</v>
      </c>
    </row>
    <row r="964" spans="1:4" ht="17">
      <c r="A964" s="4" t="s">
        <v>189</v>
      </c>
      <c r="B964" s="4" t="s">
        <v>4833</v>
      </c>
      <c r="C964" s="4" t="s">
        <v>4834</v>
      </c>
      <c r="D964" s="1">
        <f>DATE(2020,6,23)+TIME(9,49,38)</f>
        <v>44005.409467592595</v>
      </c>
    </row>
    <row r="965" spans="1:4" ht="17">
      <c r="A965" s="4" t="s">
        <v>189</v>
      </c>
      <c r="B965" s="4" t="s">
        <v>5803</v>
      </c>
      <c r="C965" s="4" t="s">
        <v>5804</v>
      </c>
      <c r="D965" s="1">
        <f>DATE(2020,6,29)+TIME(3,21,40)</f>
        <v>44011.140046296299</v>
      </c>
    </row>
    <row r="966" spans="1:4" ht="17">
      <c r="A966" s="5" t="s">
        <v>189</v>
      </c>
      <c r="B966" s="5" t="s">
        <v>7758</v>
      </c>
      <c r="C966" s="5" t="s">
        <v>7759</v>
      </c>
      <c r="D966" s="2">
        <f>DATE(2020,6,29)+TIME(3,27,38)</f>
        <v>44011.144189814811</v>
      </c>
    </row>
    <row r="967" spans="1:4" ht="17">
      <c r="A967" s="4" t="s">
        <v>4302</v>
      </c>
      <c r="B967" s="4" t="s">
        <v>4303</v>
      </c>
      <c r="C967" s="4" t="s">
        <v>4304</v>
      </c>
      <c r="D967" s="1">
        <f>DATE(2020,6,26)+TIME(14,36,56)</f>
        <v>44008.608981481484</v>
      </c>
    </row>
    <row r="968" spans="1:4" ht="17">
      <c r="A968" s="5" t="s">
        <v>6194</v>
      </c>
      <c r="B968" s="5" t="s">
        <v>6195</v>
      </c>
      <c r="C968" s="5" t="s">
        <v>6196</v>
      </c>
      <c r="D968" s="2">
        <f>DATE(2020,5,21)+TIME(13,1,19)</f>
        <v>43972.542581018519</v>
      </c>
    </row>
    <row r="969" spans="1:4" ht="17">
      <c r="A969" s="5" t="s">
        <v>4372</v>
      </c>
      <c r="B969" s="5" t="s">
        <v>4373</v>
      </c>
      <c r="C969" s="5" t="s">
        <v>4374</v>
      </c>
      <c r="D969" s="2">
        <f>DATE(2020,6,27)+TIME(9,3,10)</f>
        <v>44009.377199074072</v>
      </c>
    </row>
    <row r="970" spans="1:4" ht="17">
      <c r="A970" s="4" t="s">
        <v>1715</v>
      </c>
      <c r="B970" s="4" t="s">
        <v>109</v>
      </c>
      <c r="C970" s="4" t="s">
        <v>1716</v>
      </c>
      <c r="D970" s="1">
        <f>DATE(2020,6,15)+TIME(1,26,44)</f>
        <v>43997.060231481482</v>
      </c>
    </row>
    <row r="971" spans="1:4" ht="17">
      <c r="A971" s="5" t="s">
        <v>3519</v>
      </c>
      <c r="B971" s="5" t="s">
        <v>3520</v>
      </c>
      <c r="C971" s="5" t="s">
        <v>3521</v>
      </c>
      <c r="D971" s="2">
        <f>DATE(2020,6,26)+TIME(14,56,53)</f>
        <v>44008.622835648152</v>
      </c>
    </row>
    <row r="972" spans="1:4" ht="17">
      <c r="A972" s="5" t="s">
        <v>2132</v>
      </c>
      <c r="B972" s="5" t="s">
        <v>5259</v>
      </c>
      <c r="C972" s="5" t="s">
        <v>5260</v>
      </c>
      <c r="D972" s="2">
        <f>DATE(2020,5,5)+TIME(16,22,57)</f>
        <v>43956.682604166665</v>
      </c>
    </row>
    <row r="973" spans="1:4" ht="17">
      <c r="A973" s="4" t="s">
        <v>2132</v>
      </c>
      <c r="B973" s="4" t="s">
        <v>2254</v>
      </c>
      <c r="C973" s="4" t="s">
        <v>2255</v>
      </c>
      <c r="D973" s="1">
        <f>DATE(2020,5,5)+TIME(18,1,34)</f>
        <v>43956.751087962963</v>
      </c>
    </row>
    <row r="974" spans="1:4" ht="17">
      <c r="A974" s="4" t="s">
        <v>2132</v>
      </c>
      <c r="B974" s="4" t="s">
        <v>2133</v>
      </c>
      <c r="C974" s="4" t="s">
        <v>2134</v>
      </c>
      <c r="D974" s="1">
        <f>DATE(2020,6,15)+TIME(9,17,42)</f>
        <v>43997.387291666666</v>
      </c>
    </row>
    <row r="975" spans="1:4" ht="17">
      <c r="A975" s="4" t="s">
        <v>2632</v>
      </c>
      <c r="B975" s="4" t="s">
        <v>1486</v>
      </c>
      <c r="C975" s="4" t="s">
        <v>2634</v>
      </c>
      <c r="D975" s="1">
        <f>DATE(2020,6,28)+TIME(3,11,41)</f>
        <v>44010.133113425924</v>
      </c>
    </row>
    <row r="976" spans="1:4" ht="17">
      <c r="A976" s="5" t="s">
        <v>3009</v>
      </c>
      <c r="B976" s="5" t="s">
        <v>3010</v>
      </c>
      <c r="C976" s="5" t="s">
        <v>3011</v>
      </c>
      <c r="D976" s="2">
        <f>DATE(2020,5,12)+TIME(13,9,55)</f>
        <v>43963.54855324074</v>
      </c>
    </row>
    <row r="977" spans="1:4" ht="17">
      <c r="A977" s="4" t="s">
        <v>3009</v>
      </c>
      <c r="B977" s="4" t="s">
        <v>7417</v>
      </c>
      <c r="C977" s="4" t="s">
        <v>7418</v>
      </c>
      <c r="D977" s="1">
        <f>DATE(2020,6,10)+TIME(14,27,46)</f>
        <v>43992.60261574074</v>
      </c>
    </row>
    <row r="978" spans="1:4" ht="17">
      <c r="A978" s="5" t="s">
        <v>3009</v>
      </c>
      <c r="B978" s="5" t="s">
        <v>9559</v>
      </c>
      <c r="C978" s="5" t="s">
        <v>9560</v>
      </c>
      <c r="D978" s="2">
        <f>DATE(2020,6,16)+TIME(17,52,35)</f>
        <v>43998.744849537034</v>
      </c>
    </row>
    <row r="979" spans="1:4" ht="17">
      <c r="A979" s="4" t="s">
        <v>3453</v>
      </c>
      <c r="B979" s="4" t="s">
        <v>3454</v>
      </c>
      <c r="C979" s="4" t="s">
        <v>3455</v>
      </c>
      <c r="D979" s="1">
        <f>DATE(2020,5,21)+TIME(15,38,49)</f>
        <v>43972.651956018519</v>
      </c>
    </row>
    <row r="980" spans="1:4" ht="17">
      <c r="A980" s="4" t="s">
        <v>3777</v>
      </c>
      <c r="B980" s="4" t="s">
        <v>3778</v>
      </c>
      <c r="C980" s="4" t="s">
        <v>3779</v>
      </c>
      <c r="D980" s="1">
        <f>DATE(2020,6,24)+TIME(6,30,28)</f>
        <v>44006.271157407406</v>
      </c>
    </row>
    <row r="981" spans="1:4" ht="17">
      <c r="A981" s="4" t="s">
        <v>8343</v>
      </c>
      <c r="B981" s="4" t="s">
        <v>8344</v>
      </c>
      <c r="C981" s="4" t="s">
        <v>8345</v>
      </c>
      <c r="D981" s="1">
        <f>DATE(2020,6,26)+TIME(14,20,55)</f>
        <v>44008.597858796296</v>
      </c>
    </row>
    <row r="982" spans="1:4" ht="17">
      <c r="A982" s="4" t="s">
        <v>2258</v>
      </c>
      <c r="B982" s="4" t="s">
        <v>5188</v>
      </c>
      <c r="C982" s="4" t="s">
        <v>5189</v>
      </c>
      <c r="D982" s="1">
        <f>DATE(2020,5,15)+TIME(10,50,49)</f>
        <v>43966.451956018522</v>
      </c>
    </row>
    <row r="983" spans="1:4" ht="17">
      <c r="A983" s="4" t="s">
        <v>7842</v>
      </c>
      <c r="B983" s="4" t="s">
        <v>7843</v>
      </c>
      <c r="C983" s="4" t="s">
        <v>7844</v>
      </c>
      <c r="D983" s="1">
        <f>DATE(2020,6,24)+TIME(20,56,1)</f>
        <v>44006.872233796297</v>
      </c>
    </row>
    <row r="984" spans="1:4" ht="17">
      <c r="A984" s="4" t="s">
        <v>2258</v>
      </c>
      <c r="B984" s="4" t="s">
        <v>2259</v>
      </c>
      <c r="C984" s="4" t="s">
        <v>2260</v>
      </c>
      <c r="D984" s="1">
        <f>DATE(2020,6,24)+TIME(21,6,31)</f>
        <v>44006.879525462966</v>
      </c>
    </row>
    <row r="985" spans="1:4" ht="17">
      <c r="A985" s="5" t="s">
        <v>826</v>
      </c>
      <c r="B985" s="5" t="s">
        <v>7399</v>
      </c>
      <c r="C985" s="5" t="s">
        <v>7400</v>
      </c>
      <c r="D985" s="2">
        <f>DATE(2020,1,24)+TIME(19,45,50)</f>
        <v>43854.823495370372</v>
      </c>
    </row>
    <row r="986" spans="1:4" ht="17">
      <c r="A986" s="5" t="s">
        <v>826</v>
      </c>
      <c r="B986" s="5" t="s">
        <v>8062</v>
      </c>
      <c r="C986" s="5" t="s">
        <v>8063</v>
      </c>
      <c r="D986" s="2">
        <f>DATE(2020,5,5)+TIME(18,10,57)</f>
        <v>43956.757604166669</v>
      </c>
    </row>
    <row r="987" spans="1:4" ht="17">
      <c r="A987" s="5" t="s">
        <v>826</v>
      </c>
      <c r="B987" s="5" t="s">
        <v>6438</v>
      </c>
      <c r="C987" s="5" t="s">
        <v>6439</v>
      </c>
      <c r="D987" s="2">
        <f>DATE(2020,5,8)+TIME(14,20,15)</f>
        <v>43959.597395833334</v>
      </c>
    </row>
    <row r="988" spans="1:4" ht="17">
      <c r="A988" s="5" t="s">
        <v>826</v>
      </c>
      <c r="B988" s="5" t="s">
        <v>827</v>
      </c>
      <c r="C988" s="5" t="s">
        <v>828</v>
      </c>
      <c r="D988" s="2">
        <f>DATE(2020,5,21)+TIME(16,6,55)</f>
        <v>43972.671469907407</v>
      </c>
    </row>
    <row r="989" spans="1:4" ht="17">
      <c r="A989" s="5" t="s">
        <v>826</v>
      </c>
      <c r="B989" s="5" t="s">
        <v>5018</v>
      </c>
      <c r="C989" s="5" t="s">
        <v>5019</v>
      </c>
      <c r="D989" s="2">
        <f>DATE(2020,6,23)+TIME(12,32,25)</f>
        <v>44005.522511574076</v>
      </c>
    </row>
    <row r="990" spans="1:4" ht="17">
      <c r="A990" s="5" t="s">
        <v>8817</v>
      </c>
      <c r="B990" s="5" t="s">
        <v>8818</v>
      </c>
      <c r="C990" s="5" t="s">
        <v>8819</v>
      </c>
      <c r="D990" s="2">
        <f>DATE(2020,5,23)+TIME(16,17,25)</f>
        <v>43974.678761574076</v>
      </c>
    </row>
    <row r="991" spans="1:4" ht="17">
      <c r="A991" s="4" t="s">
        <v>257</v>
      </c>
      <c r="B991" s="4" t="s">
        <v>258</v>
      </c>
      <c r="C991" s="4" t="s">
        <v>259</v>
      </c>
      <c r="D991" s="1">
        <f>DATE(2020,6,27)+TIME(14,4,40)</f>
        <v>44009.586574074077</v>
      </c>
    </row>
    <row r="992" spans="1:4" ht="17">
      <c r="A992" s="5" t="s">
        <v>4703</v>
      </c>
      <c r="B992" s="5" t="s">
        <v>4704</v>
      </c>
      <c r="C992" s="5" t="s">
        <v>4705</v>
      </c>
      <c r="D992" s="2">
        <f>DATE(2020,5,8)+TIME(19,24,0)</f>
        <v>43959.808333333334</v>
      </c>
    </row>
    <row r="993" spans="1:4" ht="17">
      <c r="A993" s="5" t="s">
        <v>9216</v>
      </c>
      <c r="B993" s="5" t="s">
        <v>9217</v>
      </c>
      <c r="C993" s="5" t="s">
        <v>9218</v>
      </c>
      <c r="D993" s="2">
        <f>DATE(2020,6,23)+TIME(9,29,44)</f>
        <v>44005.395648148151</v>
      </c>
    </row>
    <row r="994" spans="1:4" ht="17">
      <c r="A994" s="4" t="s">
        <v>1796</v>
      </c>
      <c r="B994" s="4" t="s">
        <v>1797</v>
      </c>
      <c r="C994" s="4" t="s">
        <v>1798</v>
      </c>
      <c r="D994" s="1">
        <f>DATE(2020,5,13)+TIME(13,1,13)</f>
        <v>43964.542511574073</v>
      </c>
    </row>
    <row r="995" spans="1:4" ht="17">
      <c r="A995" s="4" t="s">
        <v>8042</v>
      </c>
      <c r="B995" s="4" t="s">
        <v>8043</v>
      </c>
      <c r="C995" s="4" t="s">
        <v>8044</v>
      </c>
      <c r="D995" s="1">
        <f>DATE(2020,5,13)+TIME(3,54,28)</f>
        <v>43964.162824074076</v>
      </c>
    </row>
    <row r="996" spans="1:4" ht="17">
      <c r="A996" s="4" t="s">
        <v>2762</v>
      </c>
      <c r="B996" s="4" t="s">
        <v>2763</v>
      </c>
      <c r="C996" s="4" t="s">
        <v>2764</v>
      </c>
      <c r="D996" s="1">
        <f>DATE(2020,6,13)+TIME(22,7,58)</f>
        <v>43995.922199074077</v>
      </c>
    </row>
    <row r="997" spans="1:4" ht="17">
      <c r="A997" s="4" t="s">
        <v>2762</v>
      </c>
      <c r="B997" s="4" t="s">
        <v>5160</v>
      </c>
      <c r="C997" s="4" t="s">
        <v>5161</v>
      </c>
      <c r="D997" s="1">
        <f>DATE(2020,6,17)+TIME(16,53,27)</f>
        <v>43999.703784722224</v>
      </c>
    </row>
    <row r="998" spans="1:4" ht="17">
      <c r="A998" s="5" t="s">
        <v>2762</v>
      </c>
      <c r="B998" s="5" t="s">
        <v>6514</v>
      </c>
      <c r="C998" s="5" t="s">
        <v>6515</v>
      </c>
      <c r="D998" s="2">
        <f>DATE(2020,6,26)+TIME(10,6,1)</f>
        <v>44008.420844907407</v>
      </c>
    </row>
    <row r="999" spans="1:4" ht="17">
      <c r="A999" s="5" t="s">
        <v>2762</v>
      </c>
      <c r="B999" s="5" t="s">
        <v>8997</v>
      </c>
      <c r="C999" s="5" t="s">
        <v>8998</v>
      </c>
      <c r="D999" s="2">
        <f>DATE(2020,6,26)+TIME(13,11,3)</f>
        <v>44008.549340277779</v>
      </c>
    </row>
    <row r="1000" spans="1:4" ht="17">
      <c r="A1000" s="4" t="s">
        <v>4894</v>
      </c>
      <c r="B1000" s="4" t="s">
        <v>4895</v>
      </c>
      <c r="C1000" s="4" t="s">
        <v>4896</v>
      </c>
      <c r="D1000" s="1">
        <f>DATE(2020,2,6)+TIME(12,40,21)</f>
        <v>43867.528020833335</v>
      </c>
    </row>
    <row r="1001" spans="1:4" ht="17">
      <c r="A1001" s="4" t="s">
        <v>9039</v>
      </c>
      <c r="B1001" s="4" t="s">
        <v>9040</v>
      </c>
      <c r="C1001" s="4" t="s">
        <v>9041</v>
      </c>
      <c r="D1001" s="1">
        <f>DATE(2020,6,18)+TIME(14,49,4)</f>
        <v>44000.617407407408</v>
      </c>
    </row>
    <row r="1002" spans="1:4" ht="17">
      <c r="A1002" s="5" t="s">
        <v>1170</v>
      </c>
      <c r="B1002" s="5" t="s">
        <v>322</v>
      </c>
      <c r="C1002" s="5" t="s">
        <v>1171</v>
      </c>
      <c r="D1002" s="2">
        <f>DATE(2020,6,22)+TIME(15,6,22)</f>
        <v>44004.629421296297</v>
      </c>
    </row>
    <row r="1003" spans="1:4" ht="17">
      <c r="A1003" s="5" t="s">
        <v>988</v>
      </c>
      <c r="B1003" s="5" t="s">
        <v>989</v>
      </c>
      <c r="C1003" s="5" t="s">
        <v>990</v>
      </c>
      <c r="D1003" s="2">
        <f>DATE(2020,5,28)+TIME(14,9,9)</f>
        <v>43979.589687500003</v>
      </c>
    </row>
    <row r="1004" spans="1:4" ht="17">
      <c r="A1004" s="5" t="s">
        <v>5162</v>
      </c>
      <c r="B1004" s="5" t="s">
        <v>5163</v>
      </c>
      <c r="C1004" s="5" t="s">
        <v>5164</v>
      </c>
      <c r="D1004" s="2">
        <f>DATE(2020,6,26)+TIME(20,18,39)</f>
        <v>44008.846284722225</v>
      </c>
    </row>
    <row r="1005" spans="1:4" ht="17">
      <c r="A1005" s="4" t="s">
        <v>5765</v>
      </c>
      <c r="B1005" s="4" t="s">
        <v>5766</v>
      </c>
      <c r="C1005" s="4" t="s">
        <v>5767</v>
      </c>
      <c r="D1005" s="1">
        <f>DATE(2020,6,17)+TIME(10,17,53)</f>
        <v>43999.429085648146</v>
      </c>
    </row>
    <row r="1006" spans="1:4" ht="17">
      <c r="A1006" s="5" t="s">
        <v>3104</v>
      </c>
      <c r="B1006" s="5" t="s">
        <v>3553</v>
      </c>
      <c r="C1006" s="5" t="s">
        <v>3554</v>
      </c>
      <c r="D1006" s="2">
        <f>DATE(2020,5,13)+TIME(13,14,18)</f>
        <v>43964.55159722222</v>
      </c>
    </row>
    <row r="1007" spans="1:4" ht="17">
      <c r="A1007" s="4" t="s">
        <v>3104</v>
      </c>
      <c r="B1007" s="4" t="s">
        <v>3105</v>
      </c>
      <c r="C1007" s="4" t="s">
        <v>3106</v>
      </c>
      <c r="D1007" s="1">
        <f>DATE(2020,6,18)+TIME(12,56,14)</f>
        <v>44000.539050925923</v>
      </c>
    </row>
    <row r="1008" spans="1:4" ht="17">
      <c r="A1008" s="4" t="s">
        <v>3104</v>
      </c>
      <c r="B1008" s="4" t="s">
        <v>4944</v>
      </c>
      <c r="C1008" s="4" t="s">
        <v>4945</v>
      </c>
      <c r="D1008" s="1">
        <f>DATE(2020,6,23)+TIME(19,15,3)</f>
        <v>44005.802118055559</v>
      </c>
    </row>
    <row r="1009" spans="1:4" ht="17">
      <c r="A1009" s="4" t="s">
        <v>3104</v>
      </c>
      <c r="B1009" s="4" t="s">
        <v>9013</v>
      </c>
      <c r="C1009" s="4" t="s">
        <v>9014</v>
      </c>
      <c r="D1009" s="1">
        <f>DATE(2020,6,27)+TIME(17,44,8)</f>
        <v>44009.738981481481</v>
      </c>
    </row>
    <row r="1010" spans="1:4" ht="17">
      <c r="A1010" s="5" t="s">
        <v>4646</v>
      </c>
      <c r="B1010" s="5" t="s">
        <v>4647</v>
      </c>
      <c r="C1010" s="5" t="s">
        <v>4648</v>
      </c>
      <c r="D1010" s="2">
        <f>DATE(2020,5,29)+TIME(11,8,4)</f>
        <v>43980.463935185187</v>
      </c>
    </row>
    <row r="1011" spans="1:4" ht="17">
      <c r="A1011" s="4" t="s">
        <v>2895</v>
      </c>
      <c r="B1011" s="4" t="s">
        <v>2896</v>
      </c>
      <c r="C1011" s="4" t="s">
        <v>2897</v>
      </c>
      <c r="D1011" s="1">
        <f>DATE(2020,6,17)+TIME(8,58,23)</f>
        <v>43999.373877314814</v>
      </c>
    </row>
    <row r="1012" spans="1:4" ht="17">
      <c r="A1012" s="4" t="s">
        <v>8309</v>
      </c>
      <c r="B1012" s="4" t="s">
        <v>8310</v>
      </c>
      <c r="C1012" s="4" t="s">
        <v>8311</v>
      </c>
      <c r="D1012" s="1">
        <f>DATE(2020,3,31)+TIME(13,28,47)</f>
        <v>43921.561655092592</v>
      </c>
    </row>
    <row r="1013" spans="1:4" ht="17">
      <c r="A1013" s="4" t="s">
        <v>5145</v>
      </c>
      <c r="B1013" s="4" t="s">
        <v>7555</v>
      </c>
      <c r="C1013" s="4" t="s">
        <v>7556</v>
      </c>
      <c r="D1013" s="1">
        <f>DATE(2020,6,24)+TIME(22,11,46)</f>
        <v>44006.924837962964</v>
      </c>
    </row>
    <row r="1014" spans="1:4" ht="17">
      <c r="A1014" s="5" t="s">
        <v>5145</v>
      </c>
      <c r="B1014" s="5" t="s">
        <v>8088</v>
      </c>
      <c r="C1014" s="5" t="s">
        <v>8089</v>
      </c>
      <c r="D1014" s="2">
        <f>DATE(2020,6,29)+TIME(5,52,38)</f>
        <v>44011.244884259257</v>
      </c>
    </row>
    <row r="1015" spans="1:4" ht="17">
      <c r="A1015" s="4" t="s">
        <v>3678</v>
      </c>
      <c r="B1015" s="4" t="s">
        <v>3679</v>
      </c>
      <c r="C1015" s="4" t="s">
        <v>3680</v>
      </c>
      <c r="D1015" s="1">
        <f>DATE(2020,6,18)+TIME(20,24,26)</f>
        <v>44000.850300925929</v>
      </c>
    </row>
    <row r="1016" spans="1:4" ht="17">
      <c r="A1016" s="4" t="s">
        <v>3678</v>
      </c>
      <c r="B1016" s="4" t="s">
        <v>4180</v>
      </c>
      <c r="C1016" s="4" t="s">
        <v>4181</v>
      </c>
      <c r="D1016" s="1">
        <f>DATE(2020,6,29)+TIME(9,32,39)</f>
        <v>44011.397673611114</v>
      </c>
    </row>
    <row r="1017" spans="1:4" ht="17">
      <c r="A1017" s="5" t="s">
        <v>2458</v>
      </c>
      <c r="B1017" s="5" t="s">
        <v>2459</v>
      </c>
      <c r="C1017" s="5" t="s">
        <v>2460</v>
      </c>
      <c r="D1017" s="2">
        <f>DATE(2020,6,25)+TIME(13,32,22)</f>
        <v>44007.564143518517</v>
      </c>
    </row>
    <row r="1018" spans="1:4" ht="17">
      <c r="A1018" s="5" t="s">
        <v>1554</v>
      </c>
      <c r="B1018" s="5" t="s">
        <v>1555</v>
      </c>
      <c r="C1018" s="5" t="s">
        <v>1556</v>
      </c>
      <c r="D1018" s="2">
        <f>DATE(2020,6,12)+TIME(8,4,19)</f>
        <v>43994.336331018516</v>
      </c>
    </row>
    <row r="1019" spans="1:4" ht="17">
      <c r="A1019" s="5" t="s">
        <v>4080</v>
      </c>
      <c r="B1019" s="5" t="s">
        <v>9089</v>
      </c>
      <c r="C1019" s="5" t="s">
        <v>9090</v>
      </c>
      <c r="D1019" s="2">
        <f>DATE(2020,6,1)+TIME(10,13,21)</f>
        <v>43983.425937499997</v>
      </c>
    </row>
    <row r="1020" spans="1:4" ht="17">
      <c r="A1020" s="5" t="s">
        <v>4080</v>
      </c>
      <c r="B1020" s="5" t="s">
        <v>4219</v>
      </c>
      <c r="C1020" s="5" t="s">
        <v>4220</v>
      </c>
      <c r="D1020" s="2">
        <f>DATE(2020,6,10)+TIME(21,33,14)</f>
        <v>43992.898078703707</v>
      </c>
    </row>
    <row r="1021" spans="1:4" ht="17">
      <c r="A1021" s="4" t="s">
        <v>4080</v>
      </c>
      <c r="B1021" s="4" t="s">
        <v>4900</v>
      </c>
      <c r="C1021" s="4" t="s">
        <v>4901</v>
      </c>
      <c r="D1021" s="1">
        <f>DATE(2020,6,15)+TIME(22,12,23)</f>
        <v>43997.925266203703</v>
      </c>
    </row>
    <row r="1022" spans="1:4" ht="17">
      <c r="A1022" s="4" t="s">
        <v>4080</v>
      </c>
      <c r="B1022" s="4" t="s">
        <v>4081</v>
      </c>
      <c r="C1022" s="4" t="s">
        <v>4082</v>
      </c>
      <c r="D1022" s="1">
        <f>DATE(2020,6,26)+TIME(16,31,45)</f>
        <v>44008.688715277778</v>
      </c>
    </row>
    <row r="1023" spans="1:4" ht="17">
      <c r="A1023" s="4" t="s">
        <v>4185</v>
      </c>
      <c r="B1023" s="4" t="s">
        <v>4185</v>
      </c>
      <c r="C1023" s="4" t="s">
        <v>4186</v>
      </c>
      <c r="D1023" s="1">
        <f>DATE(2020,6,25)+TIME(10,48,13)</f>
        <v>44007.450150462966</v>
      </c>
    </row>
    <row r="1024" spans="1:4" ht="17">
      <c r="A1024" s="4" t="s">
        <v>4306</v>
      </c>
      <c r="B1024" s="4" t="s">
        <v>4307</v>
      </c>
      <c r="C1024" s="4" t="s">
        <v>4308</v>
      </c>
      <c r="D1024" s="1">
        <f>DATE(2020,6,27)+TIME(20,35,5)</f>
        <v>44009.85769675926</v>
      </c>
    </row>
    <row r="1025" spans="1:4" ht="17">
      <c r="A1025" s="4" t="s">
        <v>2599</v>
      </c>
      <c r="B1025" s="4" t="s">
        <v>2600</v>
      </c>
      <c r="C1025" s="4" t="s">
        <v>2601</v>
      </c>
      <c r="D1025" s="1">
        <f>DATE(2020,6,22)+TIME(19,20,59)</f>
        <v>44004.806238425925</v>
      </c>
    </row>
    <row r="1026" spans="1:4" ht="17">
      <c r="A1026" s="5" t="s">
        <v>7077</v>
      </c>
      <c r="B1026" s="5" t="s">
        <v>7078</v>
      </c>
      <c r="C1026" s="5" t="s">
        <v>7079</v>
      </c>
      <c r="D1026" s="2">
        <f>DATE(2020,5,8)+TIME(14,42,27)</f>
        <v>43959.612812500003</v>
      </c>
    </row>
    <row r="1027" spans="1:4" ht="17">
      <c r="A1027" s="5" t="s">
        <v>5203</v>
      </c>
      <c r="B1027" s="5" t="s">
        <v>879</v>
      </c>
      <c r="C1027" s="5" t="s">
        <v>5204</v>
      </c>
      <c r="D1027" s="2">
        <f>DATE(2020,5,7)+TIME(10,2,10)</f>
        <v>43958.418171296296</v>
      </c>
    </row>
    <row r="1028" spans="1:4" ht="17">
      <c r="A1028" s="4" t="s">
        <v>5203</v>
      </c>
      <c r="B1028" s="4" t="s">
        <v>1399</v>
      </c>
      <c r="C1028" s="4" t="s">
        <v>8025</v>
      </c>
      <c r="D1028" s="1">
        <f>DATE(2020,6,14)+TIME(8,9,28)</f>
        <v>43996.339907407404</v>
      </c>
    </row>
    <row r="1029" spans="1:4" ht="17">
      <c r="A1029" s="5" t="s">
        <v>5203</v>
      </c>
      <c r="B1029" s="5" t="s">
        <v>3195</v>
      </c>
      <c r="C1029" s="5" t="s">
        <v>7521</v>
      </c>
      <c r="D1029" s="2">
        <f>DATE(2020,6,22)+TIME(9,31,54)</f>
        <v>44004.397152777776</v>
      </c>
    </row>
    <row r="1030" spans="1:4" ht="17">
      <c r="A1030" s="5" t="s">
        <v>3885</v>
      </c>
      <c r="B1030" s="5" t="s">
        <v>3886</v>
      </c>
      <c r="C1030" s="5" t="s">
        <v>3887</v>
      </c>
      <c r="D1030" s="2">
        <f>DATE(2020,6,8)+TIME(13,35,45)</f>
        <v>43990.566493055558</v>
      </c>
    </row>
    <row r="1031" spans="1:4" ht="17">
      <c r="A1031" s="4" t="s">
        <v>9081</v>
      </c>
      <c r="B1031" s="4" t="s">
        <v>9082</v>
      </c>
      <c r="C1031" s="4" t="s">
        <v>9083</v>
      </c>
      <c r="D1031" s="1">
        <f>DATE(2020,5,21)+TIME(15,5,55)</f>
        <v>43972.629108796296</v>
      </c>
    </row>
    <row r="1032" spans="1:4" ht="17">
      <c r="A1032" s="5" t="s">
        <v>993</v>
      </c>
      <c r="B1032" s="5" t="s">
        <v>994</v>
      </c>
      <c r="C1032" s="5" t="s">
        <v>995</v>
      </c>
      <c r="D1032" s="2">
        <f>DATE(2020,6,16)+TIME(10,50,42)</f>
        <v>43998.451874999999</v>
      </c>
    </row>
    <row r="1033" spans="1:4" ht="17">
      <c r="A1033" s="4" t="s">
        <v>4145</v>
      </c>
      <c r="B1033" s="4" t="s">
        <v>4146</v>
      </c>
      <c r="C1033" s="4" t="s">
        <v>4147</v>
      </c>
      <c r="D1033" s="1">
        <f>DATE(2020,5,11)+TIME(13,30,18)</f>
        <v>43962.562708333331</v>
      </c>
    </row>
    <row r="1034" spans="1:4" ht="17">
      <c r="A1034" s="5" t="s">
        <v>6076</v>
      </c>
      <c r="B1034" s="5" t="s">
        <v>6077</v>
      </c>
      <c r="C1034" s="5" t="s">
        <v>6078</v>
      </c>
      <c r="D1034" s="2">
        <f>DATE(2020,6,18)+TIME(11,22,33)</f>
        <v>44000.473993055559</v>
      </c>
    </row>
    <row r="1035" spans="1:4" ht="17">
      <c r="A1035" s="5" t="s">
        <v>6357</v>
      </c>
      <c r="B1035" s="5" t="s">
        <v>6358</v>
      </c>
      <c r="C1035" s="5" t="s">
        <v>6359</v>
      </c>
      <c r="D1035" s="2">
        <f>DATE(2020,6,23)+TIME(20,20,16)</f>
        <v>44005.847407407404</v>
      </c>
    </row>
    <row r="1036" spans="1:4" ht="17">
      <c r="A1036" s="4" t="s">
        <v>852</v>
      </c>
      <c r="B1036" s="4" t="s">
        <v>853</v>
      </c>
      <c r="C1036" s="4" t="s">
        <v>854</v>
      </c>
      <c r="D1036" s="1">
        <f>DATE(2020,5,6)+TIME(8,5,8)</f>
        <v>43957.336898148147</v>
      </c>
    </row>
    <row r="1037" spans="1:4" ht="17">
      <c r="A1037" s="4" t="s">
        <v>2404</v>
      </c>
      <c r="B1037" s="4" t="s">
        <v>2405</v>
      </c>
      <c r="C1037" s="4" t="s">
        <v>2406</v>
      </c>
      <c r="D1037" s="1">
        <f>DATE(2020,6,17)+TIME(10,8,21)</f>
        <v>43999.422465277778</v>
      </c>
    </row>
    <row r="1038" spans="1:4" ht="17">
      <c r="A1038" s="5" t="s">
        <v>1690</v>
      </c>
      <c r="B1038" s="5" t="s">
        <v>7809</v>
      </c>
      <c r="C1038" s="5" t="s">
        <v>7810</v>
      </c>
      <c r="D1038" s="2">
        <f>DATE(2020,5,28)+TIME(14,6,13)</f>
        <v>43979.587650462963</v>
      </c>
    </row>
    <row r="1039" spans="1:4" ht="17">
      <c r="A1039" s="4" t="s">
        <v>1690</v>
      </c>
      <c r="B1039" s="4" t="s">
        <v>1296</v>
      </c>
      <c r="C1039" s="4" t="s">
        <v>4062</v>
      </c>
      <c r="D1039" s="1">
        <f>DATE(2020,5,29)+TIME(10,27,57)</f>
        <v>43980.436076388891</v>
      </c>
    </row>
    <row r="1040" spans="1:4" ht="17">
      <c r="A1040" s="4" t="s">
        <v>8451</v>
      </c>
      <c r="B1040" s="4" t="s">
        <v>8452</v>
      </c>
      <c r="C1040" s="4" t="s">
        <v>8453</v>
      </c>
      <c r="D1040" s="1">
        <f>DATE(2020,6,19)+TIME(14,54,55)</f>
        <v>44001.621469907404</v>
      </c>
    </row>
    <row r="1041" spans="1:4" ht="17">
      <c r="A1041" s="4" t="s">
        <v>1690</v>
      </c>
      <c r="B1041" s="4" t="s">
        <v>4020</v>
      </c>
      <c r="C1041" s="4" t="s">
        <v>4021</v>
      </c>
      <c r="D1041" s="1">
        <f>DATE(2020,6,22)+TIME(23,7,24)</f>
        <v>44004.963472222225</v>
      </c>
    </row>
    <row r="1042" spans="1:4" ht="17">
      <c r="A1042" s="4" t="s">
        <v>1690</v>
      </c>
      <c r="B1042" s="4" t="s">
        <v>1316</v>
      </c>
      <c r="C1042" s="4" t="s">
        <v>1691</v>
      </c>
      <c r="D1042" s="1">
        <f>DATE(2020,6,28)+TIME(18,36,3)</f>
        <v>44010.775034722225</v>
      </c>
    </row>
    <row r="1043" spans="1:4" ht="17">
      <c r="A1043" s="4" t="s">
        <v>8814</v>
      </c>
      <c r="B1043" s="4" t="s">
        <v>8815</v>
      </c>
      <c r="C1043" s="4" t="s">
        <v>8816</v>
      </c>
      <c r="D1043" s="1">
        <f>DATE(2020,6,29)+TIME(8,24,14)</f>
        <v>44011.350162037037</v>
      </c>
    </row>
    <row r="1044" spans="1:4" ht="17">
      <c r="A1044" s="5" t="s">
        <v>2304</v>
      </c>
      <c r="B1044" s="5" t="s">
        <v>4178</v>
      </c>
      <c r="C1044" s="5" t="s">
        <v>4179</v>
      </c>
      <c r="D1044" s="2">
        <f>DATE(2020,5,29)+TIME(13,47,12)</f>
        <v>43980.574444444443</v>
      </c>
    </row>
    <row r="1045" spans="1:4" ht="17">
      <c r="A1045" s="5" t="s">
        <v>2304</v>
      </c>
      <c r="B1045" s="5" t="s">
        <v>2305</v>
      </c>
      <c r="C1045" s="5" t="s">
        <v>2306</v>
      </c>
      <c r="D1045" s="2">
        <f>DATE(2020,6,16)+TIME(19,54,12)</f>
        <v>43998.829305555555</v>
      </c>
    </row>
    <row r="1046" spans="1:4" ht="17">
      <c r="A1046" s="4" t="s">
        <v>2304</v>
      </c>
      <c r="B1046" s="4" t="s">
        <v>1434</v>
      </c>
      <c r="C1046" s="4" t="s">
        <v>3285</v>
      </c>
      <c r="D1046" s="1">
        <f>DATE(2020,6,29)+TIME(13,50,40)</f>
        <v>44011.576851851853</v>
      </c>
    </row>
    <row r="1047" spans="1:4" ht="17">
      <c r="A1047" s="5" t="s">
        <v>6007</v>
      </c>
      <c r="B1047" s="5" t="s">
        <v>6008</v>
      </c>
      <c r="C1047" s="5" t="s">
        <v>6009</v>
      </c>
      <c r="D1047" s="2">
        <f>DATE(2020,6,9)+TIME(10,23,26)</f>
        <v>43991.432939814818</v>
      </c>
    </row>
    <row r="1048" spans="1:4" ht="17">
      <c r="A1048" s="5" t="s">
        <v>3399</v>
      </c>
      <c r="B1048" s="5" t="s">
        <v>3400</v>
      </c>
      <c r="C1048" s="5" t="s">
        <v>3401</v>
      </c>
      <c r="D1048" s="2">
        <f>DATE(2020,6,26)+TIME(8,32,49)</f>
        <v>44008.356122685182</v>
      </c>
    </row>
    <row r="1049" spans="1:4" ht="17">
      <c r="A1049" s="5" t="s">
        <v>5500</v>
      </c>
      <c r="B1049" s="5" t="s">
        <v>5501</v>
      </c>
      <c r="C1049" s="5" t="s">
        <v>5502</v>
      </c>
      <c r="D1049" s="2">
        <f>DATE(2020,6,8)+TIME(15,34,28)</f>
        <v>43990.648935185185</v>
      </c>
    </row>
    <row r="1050" spans="1:4" ht="17">
      <c r="A1050" s="4" t="s">
        <v>5500</v>
      </c>
      <c r="B1050" s="4" t="s">
        <v>8196</v>
      </c>
      <c r="C1050" s="4" t="s">
        <v>8197</v>
      </c>
      <c r="D1050" s="1">
        <f>DATE(2020,6,28)+TIME(18,17,32)</f>
        <v>44010.762175925927</v>
      </c>
    </row>
    <row r="1051" spans="1:4" ht="17">
      <c r="A1051" s="5" t="s">
        <v>3924</v>
      </c>
      <c r="B1051" s="5" t="s">
        <v>3925</v>
      </c>
      <c r="C1051" s="5" t="s">
        <v>3926</v>
      </c>
      <c r="D1051" s="2">
        <f>DATE(2020,6,18)+TIME(11,4,2)</f>
        <v>44000.461134259262</v>
      </c>
    </row>
    <row r="1052" spans="1:4" ht="17">
      <c r="A1052" s="5" t="s">
        <v>2750</v>
      </c>
      <c r="B1052" s="5" t="s">
        <v>2751</v>
      </c>
      <c r="C1052" s="5" t="s">
        <v>2752</v>
      </c>
      <c r="D1052" s="2">
        <f>DATE(2020,6,25)+TIME(3,9,11)</f>
        <v>44007.131377314814</v>
      </c>
    </row>
    <row r="1053" spans="1:4" ht="17">
      <c r="A1053" s="5" t="s">
        <v>8004</v>
      </c>
      <c r="B1053" s="5" t="s">
        <v>8005</v>
      </c>
      <c r="C1053" s="5" t="s">
        <v>8006</v>
      </c>
      <c r="D1053" s="2">
        <f>DATE(2020,3,28)+TIME(16,35,59)</f>
        <v>43918.691655092596</v>
      </c>
    </row>
    <row r="1054" spans="1:4" ht="17">
      <c r="A1054" s="5" t="s">
        <v>8004</v>
      </c>
      <c r="B1054" s="5" t="s">
        <v>8045</v>
      </c>
      <c r="C1054" s="5" t="s">
        <v>8046</v>
      </c>
      <c r="D1054" s="2">
        <f>DATE(2020,6,16)+TIME(19,54,9)</f>
        <v>43998.829270833332</v>
      </c>
    </row>
    <row r="1055" spans="1:4" ht="17">
      <c r="A1055" s="4" t="s">
        <v>4354</v>
      </c>
      <c r="B1055" s="4" t="s">
        <v>4355</v>
      </c>
      <c r="C1055" s="4" t="s">
        <v>4356</v>
      </c>
      <c r="D1055" s="1">
        <f>DATE(2020,6,24)+TIME(3,5,39)</f>
        <v>44006.128923611112</v>
      </c>
    </row>
    <row r="1056" spans="1:4" ht="17">
      <c r="A1056" s="4" t="s">
        <v>1335</v>
      </c>
      <c r="B1056" s="4" t="s">
        <v>1336</v>
      </c>
      <c r="C1056" s="4" t="s">
        <v>8967</v>
      </c>
      <c r="D1056" s="1">
        <f>DATE(2020,6,10)+TIME(2,8,2)</f>
        <v>43992.088912037034</v>
      </c>
    </row>
    <row r="1057" spans="1:4" ht="17">
      <c r="A1057" s="4" t="s">
        <v>1335</v>
      </c>
      <c r="B1057" s="4" t="s">
        <v>7414</v>
      </c>
      <c r="C1057" s="4" t="s">
        <v>7415</v>
      </c>
      <c r="D1057" s="1">
        <f>DATE(2020,6,26)+TIME(14,0,32)</f>
        <v>44008.583703703705</v>
      </c>
    </row>
    <row r="1058" spans="1:4" ht="17">
      <c r="A1058" s="4" t="s">
        <v>1335</v>
      </c>
      <c r="B1058" s="4" t="s">
        <v>1336</v>
      </c>
      <c r="C1058" s="4" t="s">
        <v>1337</v>
      </c>
      <c r="D1058" s="1">
        <f>DATE(2020,6,28)+TIME(20,57,33)</f>
        <v>44010.873298611114</v>
      </c>
    </row>
    <row r="1059" spans="1:4" ht="17">
      <c r="A1059" s="5" t="s">
        <v>3486</v>
      </c>
      <c r="B1059" s="5" t="s">
        <v>3487</v>
      </c>
      <c r="C1059" s="5" t="s">
        <v>3488</v>
      </c>
      <c r="D1059" s="2">
        <f>DATE(2020,6,4)+TIME(11,19,55)</f>
        <v>43986.47216435185</v>
      </c>
    </row>
    <row r="1060" spans="1:4" ht="17">
      <c r="A1060" s="5" t="s">
        <v>9266</v>
      </c>
      <c r="B1060" s="5" t="s">
        <v>9267</v>
      </c>
      <c r="C1060" s="5" t="s">
        <v>9268</v>
      </c>
      <c r="D1060" s="2">
        <f>DATE(2020,6,24)+TIME(4,8,46)</f>
        <v>44006.172754629632</v>
      </c>
    </row>
    <row r="1061" spans="1:4" ht="17">
      <c r="A1061" s="4" t="s">
        <v>1595</v>
      </c>
      <c r="B1061" s="4" t="s">
        <v>1596</v>
      </c>
      <c r="C1061" s="4" t="s">
        <v>1597</v>
      </c>
      <c r="D1061" s="1">
        <f>DATE(2020,5,28)+TIME(13,0,48)</f>
        <v>43979.542222222219</v>
      </c>
    </row>
    <row r="1062" spans="1:4" ht="17">
      <c r="A1062" s="4" t="s">
        <v>7498</v>
      </c>
      <c r="B1062" s="4" t="s">
        <v>7499</v>
      </c>
      <c r="C1062" s="4" t="s">
        <v>7500</v>
      </c>
      <c r="D1062" s="1">
        <f>DATE(2020,4,3)+TIME(13,8,57)</f>
        <v>43924.547881944447</v>
      </c>
    </row>
    <row r="1063" spans="1:4" ht="17">
      <c r="A1063" s="4" t="s">
        <v>3077</v>
      </c>
      <c r="B1063" s="4" t="s">
        <v>8262</v>
      </c>
      <c r="C1063" s="4" t="s">
        <v>8263</v>
      </c>
      <c r="D1063" s="1">
        <f>DATE(2020,5,15)+TIME(12,45,11)</f>
        <v>43966.531377314815</v>
      </c>
    </row>
    <row r="1064" spans="1:4" ht="17">
      <c r="A1064" s="4" t="s">
        <v>3077</v>
      </c>
      <c r="B1064" s="4" t="s">
        <v>15</v>
      </c>
      <c r="C1064" s="4" t="s">
        <v>3078</v>
      </c>
      <c r="D1064" s="1">
        <f>DATE(2020,5,21)+TIME(12,33,18)</f>
        <v>43972.523125</v>
      </c>
    </row>
    <row r="1065" spans="1:4" ht="17">
      <c r="A1065" s="4" t="s">
        <v>3077</v>
      </c>
      <c r="B1065" s="4" t="s">
        <v>5386</v>
      </c>
      <c r="C1065" s="4" t="s">
        <v>5387</v>
      </c>
      <c r="D1065" s="1">
        <f>DATE(2020,6,25)+TIME(10,37,58)</f>
        <v>44007.443032407406</v>
      </c>
    </row>
    <row r="1066" spans="1:4" ht="17">
      <c r="A1066" s="5" t="s">
        <v>3077</v>
      </c>
      <c r="B1066" s="5" t="s">
        <v>5627</v>
      </c>
      <c r="C1066" s="5" t="s">
        <v>5628</v>
      </c>
      <c r="D1066" s="2">
        <f>DATE(2020,6,29)+TIME(11,29,36)</f>
        <v>44011.478888888887</v>
      </c>
    </row>
    <row r="1067" spans="1:4" ht="17">
      <c r="A1067" s="4" t="s">
        <v>2263</v>
      </c>
      <c r="B1067" s="4" t="s">
        <v>2264</v>
      </c>
      <c r="C1067" s="4" t="s">
        <v>2265</v>
      </c>
      <c r="D1067" s="1">
        <f>DATE(2020,4,3)+TIME(10,10,14)</f>
        <v>43924.423773148148</v>
      </c>
    </row>
    <row r="1068" spans="1:4" ht="17">
      <c r="A1068" s="4" t="s">
        <v>7233</v>
      </c>
      <c r="B1068" s="4" t="s">
        <v>7234</v>
      </c>
      <c r="C1068" s="4" t="s">
        <v>7235</v>
      </c>
      <c r="D1068" s="1">
        <f>DATE(2020,6,16)+TIME(13,37,31)</f>
        <v>43998.567719907405</v>
      </c>
    </row>
    <row r="1069" spans="1:4" ht="17">
      <c r="A1069" s="5" t="s">
        <v>475</v>
      </c>
      <c r="B1069" s="5" t="s">
        <v>476</v>
      </c>
      <c r="C1069" s="5" t="s">
        <v>477</v>
      </c>
      <c r="D1069" s="2">
        <f>DATE(2020,6,24)+TIME(21,50,17)</f>
        <v>44006.909918981481</v>
      </c>
    </row>
    <row r="1070" spans="1:4" ht="17">
      <c r="A1070" s="5" t="s">
        <v>8857</v>
      </c>
      <c r="B1070" s="5" t="s">
        <v>8858</v>
      </c>
      <c r="C1070" s="5" t="s">
        <v>8859</v>
      </c>
      <c r="D1070" s="2">
        <f>DATE(2020,6,25)+TIME(16,53,8)</f>
        <v>44007.703564814816</v>
      </c>
    </row>
    <row r="1071" spans="1:4" ht="17">
      <c r="A1071" s="4" t="s">
        <v>8547</v>
      </c>
      <c r="B1071" s="4" t="s">
        <v>6732</v>
      </c>
      <c r="C1071" s="4" t="s">
        <v>8548</v>
      </c>
      <c r="D1071" s="1">
        <f>DATE(2020,6,25)+TIME(17,48,27)</f>
        <v>44007.741979166669</v>
      </c>
    </row>
    <row r="1072" spans="1:4" ht="17">
      <c r="A1072" s="4" t="s">
        <v>5695</v>
      </c>
      <c r="B1072" s="4" t="s">
        <v>5696</v>
      </c>
      <c r="C1072" s="4" t="s">
        <v>5697</v>
      </c>
      <c r="D1072" s="1">
        <f>DATE(2020,6,16)+TIME(15,56,9)</f>
        <v>43998.663993055554</v>
      </c>
    </row>
    <row r="1073" spans="1:4" ht="17">
      <c r="A1073" s="4" t="s">
        <v>90</v>
      </c>
      <c r="B1073" s="4" t="s">
        <v>91</v>
      </c>
      <c r="C1073" s="4" t="s">
        <v>92</v>
      </c>
      <c r="D1073" s="1">
        <f>DATE(2020,5,28)+TIME(19,36,31)</f>
        <v>43979.817025462966</v>
      </c>
    </row>
    <row r="1074" spans="1:4" ht="17">
      <c r="A1074" s="5" t="s">
        <v>884</v>
      </c>
      <c r="B1074" s="5" t="s">
        <v>2135</v>
      </c>
      <c r="C1074" s="5" t="s">
        <v>2136</v>
      </c>
      <c r="D1074" s="2">
        <f>DATE(2020,3,27)+TIME(17,10,38)</f>
        <v>43917.715717592589</v>
      </c>
    </row>
    <row r="1075" spans="1:4" ht="17">
      <c r="A1075" s="5" t="s">
        <v>884</v>
      </c>
      <c r="B1075" s="5" t="s">
        <v>885</v>
      </c>
      <c r="C1075" s="5" t="s">
        <v>886</v>
      </c>
      <c r="D1075" s="2">
        <f>DATE(2020,5,7)+TIME(16,54,40)</f>
        <v>43958.704629629632</v>
      </c>
    </row>
    <row r="1076" spans="1:4" ht="17">
      <c r="A1076" s="5" t="s">
        <v>884</v>
      </c>
      <c r="B1076" s="5" t="s">
        <v>4480</v>
      </c>
      <c r="C1076" s="5" t="s">
        <v>4481</v>
      </c>
      <c r="D1076" s="2">
        <f>DATE(2020,5,11)+TIME(22,10,25)</f>
        <v>43962.923900462964</v>
      </c>
    </row>
    <row r="1077" spans="1:4" ht="17">
      <c r="A1077" s="5" t="s">
        <v>884</v>
      </c>
      <c r="B1077" s="5" t="s">
        <v>8153</v>
      </c>
      <c r="C1077" s="5" t="s">
        <v>8154</v>
      </c>
      <c r="D1077" s="2">
        <f>DATE(2020,5,22)+TIME(20,40,37)</f>
        <v>43973.861539351848</v>
      </c>
    </row>
    <row r="1078" spans="1:4" ht="17">
      <c r="A1078" s="5" t="s">
        <v>884</v>
      </c>
      <c r="B1078" s="5" t="s">
        <v>885</v>
      </c>
      <c r="C1078" s="5" t="s">
        <v>4527</v>
      </c>
      <c r="D1078" s="2">
        <f>DATE(2020,6,29)+TIME(11,9,8)</f>
        <v>44011.464675925927</v>
      </c>
    </row>
    <row r="1079" spans="1:4" ht="17">
      <c r="A1079" s="4" t="s">
        <v>2307</v>
      </c>
      <c r="B1079" s="4" t="s">
        <v>2308</v>
      </c>
      <c r="C1079" s="4" t="s">
        <v>2309</v>
      </c>
      <c r="D1079" s="1">
        <f>DATE(2020,6,23)+TIME(14,15,57)</f>
        <v>44005.594409722224</v>
      </c>
    </row>
    <row r="1080" spans="1:4" ht="17">
      <c r="A1080" s="4" t="s">
        <v>8278</v>
      </c>
      <c r="B1080" s="4" t="s">
        <v>8279</v>
      </c>
      <c r="C1080" s="4" t="s">
        <v>8280</v>
      </c>
      <c r="D1080" s="1">
        <f>DATE(2020,6,23)+TIME(13,21,11)</f>
        <v>44005.556377314817</v>
      </c>
    </row>
    <row r="1081" spans="1:4" ht="17">
      <c r="A1081" s="4" t="s">
        <v>1734</v>
      </c>
      <c r="B1081" s="4" t="s">
        <v>3905</v>
      </c>
      <c r="C1081" s="4" t="s">
        <v>3906</v>
      </c>
      <c r="D1081" s="1">
        <f>DATE(2020,5,29)+TIME(16,29,39)</f>
        <v>43980.687256944446</v>
      </c>
    </row>
    <row r="1082" spans="1:4" ht="17">
      <c r="A1082" s="4" t="s">
        <v>1734</v>
      </c>
      <c r="B1082" s="4" t="s">
        <v>1541</v>
      </c>
      <c r="C1082" s="4" t="s">
        <v>5011</v>
      </c>
      <c r="D1082" s="1">
        <f>DATE(2020,6,3)+TIME(10,19,11)</f>
        <v>43985.429988425924</v>
      </c>
    </row>
    <row r="1083" spans="1:4" ht="17">
      <c r="A1083" s="5" t="s">
        <v>1734</v>
      </c>
      <c r="B1083" s="5" t="s">
        <v>7110</v>
      </c>
      <c r="C1083" s="5" t="s">
        <v>7111</v>
      </c>
      <c r="D1083" s="2">
        <f>DATE(2020,6,23)+TIME(16,21,37)</f>
        <v>44005.68167824074</v>
      </c>
    </row>
    <row r="1084" spans="1:4" ht="17">
      <c r="A1084" s="5" t="s">
        <v>1734</v>
      </c>
      <c r="B1084" s="5" t="s">
        <v>2151</v>
      </c>
      <c r="C1084" s="5" t="s">
        <v>2152</v>
      </c>
      <c r="D1084" s="2">
        <f>DATE(2020,6,24)+TIME(14,2,49)</f>
        <v>44006.585289351853</v>
      </c>
    </row>
    <row r="1085" spans="1:4" ht="17">
      <c r="A1085" s="5" t="s">
        <v>5300</v>
      </c>
      <c r="B1085" s="5" t="s">
        <v>5301</v>
      </c>
      <c r="C1085" s="5" t="s">
        <v>5302</v>
      </c>
      <c r="D1085" s="2">
        <f>DATE(2020,6,23)+TIME(7,45,14)</f>
        <v>44005.323078703703</v>
      </c>
    </row>
    <row r="1086" spans="1:4" ht="17">
      <c r="A1086" s="5" t="s">
        <v>3309</v>
      </c>
      <c r="B1086" s="5" t="s">
        <v>9505</v>
      </c>
      <c r="C1086" s="5" t="s">
        <v>9506</v>
      </c>
      <c r="D1086" s="2">
        <f>DATE(2020,5,31)+TIME(5,2,43)</f>
        <v>43982.210219907407</v>
      </c>
    </row>
    <row r="1087" spans="1:4" ht="17">
      <c r="A1087" s="4" t="s">
        <v>3309</v>
      </c>
      <c r="B1087" s="4" t="s">
        <v>3310</v>
      </c>
      <c r="C1087" s="4" t="s">
        <v>3311</v>
      </c>
      <c r="D1087" s="1">
        <f>DATE(2020,6,29)+TIME(2,48,35)</f>
        <v>44011.117071759261</v>
      </c>
    </row>
    <row r="1088" spans="1:4" ht="17">
      <c r="A1088" s="4" t="s">
        <v>2655</v>
      </c>
      <c r="B1088" s="4" t="s">
        <v>2656</v>
      </c>
      <c r="C1088" s="4" t="s">
        <v>2657</v>
      </c>
      <c r="D1088" s="1">
        <f>DATE(2020,5,29)+TIME(5,8,44)</f>
        <v>43980.214398148149</v>
      </c>
    </row>
    <row r="1089" spans="1:4" ht="17">
      <c r="A1089" s="5" t="s">
        <v>2655</v>
      </c>
      <c r="B1089" s="5" t="s">
        <v>6687</v>
      </c>
      <c r="C1089" s="5" t="s">
        <v>6688</v>
      </c>
      <c r="D1089" s="2">
        <f>DATE(2020,6,23)+TIME(3,58,43)</f>
        <v>44005.165775462963</v>
      </c>
    </row>
    <row r="1090" spans="1:4" ht="17">
      <c r="A1090" s="5" t="s">
        <v>3627</v>
      </c>
      <c r="B1090" s="5" t="s">
        <v>3628</v>
      </c>
      <c r="C1090" s="5" t="s">
        <v>3629</v>
      </c>
      <c r="D1090" s="2">
        <f>DATE(2020,6,26)+TIME(9,56,46)</f>
        <v>44008.414421296293</v>
      </c>
    </row>
    <row r="1091" spans="1:4" ht="17">
      <c r="A1091" s="4" t="s">
        <v>288</v>
      </c>
      <c r="B1091" s="4" t="s">
        <v>502</v>
      </c>
      <c r="C1091" s="4" t="s">
        <v>503</v>
      </c>
      <c r="D1091" s="1">
        <f>DATE(2020,5,25)+TIME(11,32,54)</f>
        <v>43976.481180555558</v>
      </c>
    </row>
    <row r="1092" spans="1:4" ht="17">
      <c r="A1092" s="5" t="s">
        <v>288</v>
      </c>
      <c r="B1092" s="5" t="s">
        <v>289</v>
      </c>
      <c r="C1092" s="5" t="s">
        <v>290</v>
      </c>
      <c r="D1092" s="2">
        <f>DATE(2020,6,1)+TIME(22,33,3)</f>
        <v>43983.939618055556</v>
      </c>
    </row>
    <row r="1093" spans="1:4" ht="17">
      <c r="A1093" s="4" t="s">
        <v>288</v>
      </c>
      <c r="B1093" s="4" t="s">
        <v>5656</v>
      </c>
      <c r="C1093" s="4" t="s">
        <v>5657</v>
      </c>
      <c r="D1093" s="1">
        <f>DATE(2020,6,8)+TIME(3,3,15)</f>
        <v>43990.127256944441</v>
      </c>
    </row>
    <row r="1094" spans="1:4" ht="17">
      <c r="A1094" s="4" t="s">
        <v>4623</v>
      </c>
      <c r="B1094" s="4" t="s">
        <v>681</v>
      </c>
      <c r="C1094" s="4" t="s">
        <v>7080</v>
      </c>
      <c r="D1094" s="1">
        <f>DATE(2020,5,15)+TIME(16,49,48)</f>
        <v>43966.701249999998</v>
      </c>
    </row>
    <row r="1095" spans="1:4" ht="17">
      <c r="A1095" s="4" t="s">
        <v>4623</v>
      </c>
      <c r="B1095" s="4" t="s">
        <v>4624</v>
      </c>
      <c r="C1095" s="4" t="s">
        <v>4625</v>
      </c>
      <c r="D1095" s="1">
        <f>DATE(2020,6,29)+TIME(5,29,54)</f>
        <v>44011.229097222225</v>
      </c>
    </row>
    <row r="1096" spans="1:4" ht="17">
      <c r="A1096" s="5" t="s">
        <v>178</v>
      </c>
      <c r="B1096" s="5" t="s">
        <v>2469</v>
      </c>
      <c r="C1096" s="5" t="s">
        <v>2470</v>
      </c>
      <c r="D1096" s="2">
        <f>DATE(2020,5,5)+TIME(15,20,53)</f>
        <v>43956.639502314814</v>
      </c>
    </row>
    <row r="1097" spans="1:4" ht="17">
      <c r="A1097" s="5" t="s">
        <v>178</v>
      </c>
      <c r="B1097" s="5" t="s">
        <v>3685</v>
      </c>
      <c r="C1097" s="5" t="s">
        <v>7510</v>
      </c>
      <c r="D1097" s="2">
        <f>DATE(2020,5,12)+TIME(14,33,6)</f>
        <v>43963.606319444443</v>
      </c>
    </row>
    <row r="1098" spans="1:4" ht="17">
      <c r="A1098" s="4" t="s">
        <v>178</v>
      </c>
      <c r="B1098" s="4" t="s">
        <v>9520</v>
      </c>
      <c r="C1098" s="4" t="s">
        <v>9521</v>
      </c>
      <c r="D1098" s="1">
        <f>DATE(2020,5,13)+TIME(19,22,5)</f>
        <v>43964.807002314818</v>
      </c>
    </row>
    <row r="1099" spans="1:4" ht="17">
      <c r="A1099" s="5" t="s">
        <v>178</v>
      </c>
      <c r="B1099" s="5" t="s">
        <v>1458</v>
      </c>
      <c r="C1099" s="5" t="s">
        <v>1459</v>
      </c>
      <c r="D1099" s="2">
        <f>DATE(2020,5,14)+TIME(12,2,34)</f>
        <v>43965.501782407409</v>
      </c>
    </row>
    <row r="1100" spans="1:4" ht="17">
      <c r="A1100" s="4" t="s">
        <v>178</v>
      </c>
      <c r="B1100" s="4" t="s">
        <v>1576</v>
      </c>
      <c r="C1100" s="4" t="s">
        <v>1577</v>
      </c>
      <c r="D1100" s="1">
        <f>DATE(2020,5,24)+TIME(18,4,9)</f>
        <v>43975.752881944441</v>
      </c>
    </row>
    <row r="1101" spans="1:4" ht="17">
      <c r="A1101" s="5" t="s">
        <v>178</v>
      </c>
      <c r="B1101" s="5" t="s">
        <v>58</v>
      </c>
      <c r="C1101" s="5" t="s">
        <v>3557</v>
      </c>
      <c r="D1101" s="2">
        <f>DATE(2020,5,25)+TIME(20,29,17)</f>
        <v>43976.853668981479</v>
      </c>
    </row>
    <row r="1102" spans="1:4" ht="17">
      <c r="A1102" s="4" t="s">
        <v>178</v>
      </c>
      <c r="B1102" s="4" t="s">
        <v>5020</v>
      </c>
      <c r="C1102" s="4" t="s">
        <v>5735</v>
      </c>
      <c r="D1102" s="1">
        <f>DATE(2020,6,3)+TIME(18,15,35)</f>
        <v>43985.760821759257</v>
      </c>
    </row>
    <row r="1103" spans="1:4" ht="17">
      <c r="A1103" s="4" t="s">
        <v>178</v>
      </c>
      <c r="B1103" s="4" t="s">
        <v>8963</v>
      </c>
      <c r="C1103" s="4" t="s">
        <v>8964</v>
      </c>
      <c r="D1103" s="1">
        <f>DATE(2020,6,16)+TIME(12,26,43)</f>
        <v>43998.518553240741</v>
      </c>
    </row>
    <row r="1104" spans="1:4" ht="17">
      <c r="A1104" s="5" t="s">
        <v>178</v>
      </c>
      <c r="B1104" s="5" t="s">
        <v>4300</v>
      </c>
      <c r="C1104" s="5" t="s">
        <v>4301</v>
      </c>
      <c r="D1104" s="2">
        <f>DATE(2020,6,18)+TIME(14,33,16)</f>
        <v>44000.606435185182</v>
      </c>
    </row>
    <row r="1105" spans="1:4" ht="17">
      <c r="A1105" s="5" t="s">
        <v>178</v>
      </c>
      <c r="B1105" s="5" t="s">
        <v>723</v>
      </c>
      <c r="C1105" s="5" t="s">
        <v>724</v>
      </c>
      <c r="D1105" s="2">
        <f>DATE(2020,6,19)+TIME(15,14,27)</f>
        <v>44001.635034722225</v>
      </c>
    </row>
    <row r="1106" spans="1:4" ht="17">
      <c r="A1106" s="5" t="s">
        <v>178</v>
      </c>
      <c r="B1106" s="5" t="s">
        <v>3790</v>
      </c>
      <c r="C1106" s="5" t="s">
        <v>3791</v>
      </c>
      <c r="D1106" s="2">
        <f>DATE(2020,6,19)+TIME(16,28,56)</f>
        <v>44001.686759259261</v>
      </c>
    </row>
    <row r="1107" spans="1:4" ht="17">
      <c r="A1107" s="4" t="s">
        <v>178</v>
      </c>
      <c r="B1107" s="4" t="s">
        <v>1008</v>
      </c>
      <c r="C1107" s="4" t="s">
        <v>1009</v>
      </c>
      <c r="D1107" s="1">
        <f>DATE(2020,6,23)+TIME(19,24,29)</f>
        <v>44005.808668981481</v>
      </c>
    </row>
    <row r="1108" spans="1:4" ht="17">
      <c r="A1108" s="5" t="s">
        <v>178</v>
      </c>
      <c r="B1108" s="5" t="s">
        <v>272</v>
      </c>
      <c r="C1108" s="5" t="s">
        <v>273</v>
      </c>
      <c r="D1108" s="2">
        <f>DATE(2020,6,24)+TIME(12,30,25)</f>
        <v>44006.521122685182</v>
      </c>
    </row>
    <row r="1109" spans="1:4" ht="17">
      <c r="A1109" s="5" t="s">
        <v>178</v>
      </c>
      <c r="B1109" s="5" t="s">
        <v>2397</v>
      </c>
      <c r="C1109" s="5" t="s">
        <v>4908</v>
      </c>
      <c r="D1109" s="2">
        <f>DATE(2020,6,24)+TIME(18,25,13)</f>
        <v>44006.767511574071</v>
      </c>
    </row>
    <row r="1110" spans="1:4" ht="17">
      <c r="A1110" s="4" t="s">
        <v>178</v>
      </c>
      <c r="B1110" s="4" t="s">
        <v>2981</v>
      </c>
      <c r="C1110" s="4" t="s">
        <v>2982</v>
      </c>
      <c r="D1110" s="1">
        <f>DATE(2020,6,25)+TIME(10,34,59)</f>
        <v>44007.440960648149</v>
      </c>
    </row>
    <row r="1111" spans="1:4" ht="17">
      <c r="A1111" s="4" t="s">
        <v>178</v>
      </c>
      <c r="B1111" s="4" t="s">
        <v>6736</v>
      </c>
      <c r="C1111" s="4" t="s">
        <v>6737</v>
      </c>
      <c r="D1111" s="1">
        <f>DATE(2020,6,25)+TIME(15,45,28)</f>
        <v>44007.656574074077</v>
      </c>
    </row>
    <row r="1112" spans="1:4" ht="17">
      <c r="A1112" s="4" t="s">
        <v>9152</v>
      </c>
      <c r="B1112" s="4" t="s">
        <v>9153</v>
      </c>
      <c r="C1112" s="4" t="s">
        <v>9154</v>
      </c>
      <c r="D1112" s="1">
        <f>DATE(2020,6,25)+TIME(19,32,40)</f>
        <v>44007.814351851855</v>
      </c>
    </row>
    <row r="1113" spans="1:4" ht="17">
      <c r="A1113" s="4" t="s">
        <v>178</v>
      </c>
      <c r="B1113" s="4" t="s">
        <v>920</v>
      </c>
      <c r="C1113" s="4" t="s">
        <v>921</v>
      </c>
      <c r="D1113" s="1">
        <f>DATE(2020,6,26)+TIME(10,19,58)</f>
        <v>44008.430532407408</v>
      </c>
    </row>
    <row r="1114" spans="1:4" ht="17">
      <c r="A1114" s="5" t="s">
        <v>178</v>
      </c>
      <c r="B1114" s="5" t="s">
        <v>2838</v>
      </c>
      <c r="C1114" s="5" t="s">
        <v>3957</v>
      </c>
      <c r="D1114" s="2">
        <f>DATE(2020,6,26)+TIME(13,36,12)</f>
        <v>44008.566805555558</v>
      </c>
    </row>
    <row r="1115" spans="1:4" ht="17">
      <c r="A1115" s="4" t="s">
        <v>178</v>
      </c>
      <c r="B1115" s="4" t="s">
        <v>179</v>
      </c>
      <c r="C1115" s="4" t="s">
        <v>180</v>
      </c>
      <c r="D1115" s="1">
        <f>DATE(2020,6,26)+TIME(17,25,53)</f>
        <v>44008.726307870369</v>
      </c>
    </row>
    <row r="1116" spans="1:4" ht="17">
      <c r="A1116" s="5" t="s">
        <v>178</v>
      </c>
      <c r="B1116" s="5" t="s">
        <v>3007</v>
      </c>
      <c r="C1116" s="5" t="s">
        <v>8029</v>
      </c>
      <c r="D1116" s="2">
        <f>DATE(2020,6,29)+TIME(9,38,1)</f>
        <v>44011.401400462964</v>
      </c>
    </row>
    <row r="1117" spans="1:4" ht="17">
      <c r="A1117" s="4" t="s">
        <v>178</v>
      </c>
      <c r="B1117" s="4" t="s">
        <v>1127</v>
      </c>
      <c r="C1117" s="4" t="s">
        <v>6228</v>
      </c>
      <c r="D1117" s="1">
        <f>DATE(2020,6,29)+TIME(10,45,3)</f>
        <v>44011.447951388887</v>
      </c>
    </row>
    <row r="1118" spans="1:4" ht="17">
      <c r="A1118" s="4" t="s">
        <v>9130</v>
      </c>
      <c r="B1118" s="4" t="s">
        <v>2430</v>
      </c>
      <c r="C1118" s="4" t="s">
        <v>9131</v>
      </c>
      <c r="D1118" s="1">
        <f>DATE(2020,5,28)+TIME(15,8,20)</f>
        <v>43979.630787037036</v>
      </c>
    </row>
    <row r="1119" spans="1:4" ht="17">
      <c r="A1119" s="5" t="s">
        <v>1075</v>
      </c>
      <c r="B1119" s="5" t="s">
        <v>4291</v>
      </c>
      <c r="C1119" s="5" t="s">
        <v>4292</v>
      </c>
      <c r="D1119" s="2">
        <f>DATE(2020,5,26)+TIME(7,23,31)</f>
        <v>43977.307997685188</v>
      </c>
    </row>
    <row r="1120" spans="1:4" ht="17">
      <c r="A1120" s="5" t="s">
        <v>1075</v>
      </c>
      <c r="B1120" s="5" t="s">
        <v>1076</v>
      </c>
      <c r="C1120" s="5" t="s">
        <v>1077</v>
      </c>
      <c r="D1120" s="2">
        <f>DATE(2020,6,3)+TIME(0,59,32)</f>
        <v>43985.041342592594</v>
      </c>
    </row>
    <row r="1121" spans="1:4" ht="17">
      <c r="A1121" s="5" t="s">
        <v>1075</v>
      </c>
      <c r="B1121" s="5" t="s">
        <v>7114</v>
      </c>
      <c r="C1121" s="5" t="s">
        <v>7115</v>
      </c>
      <c r="D1121" s="2">
        <f>DATE(2020,6,23)+TIME(13,57,27)</f>
        <v>44005.581562500003</v>
      </c>
    </row>
    <row r="1122" spans="1:4" ht="17">
      <c r="A1122" s="5" t="s">
        <v>6982</v>
      </c>
      <c r="B1122" s="5" t="s">
        <v>6983</v>
      </c>
      <c r="C1122" s="5" t="s">
        <v>6984</v>
      </c>
      <c r="D1122" s="2">
        <f>DATE(2020,6,23)+TIME(13,16,53)</f>
        <v>44005.553391203706</v>
      </c>
    </row>
    <row r="1123" spans="1:4" ht="17">
      <c r="A1123" s="5" t="s">
        <v>344</v>
      </c>
      <c r="B1123" s="5" t="s">
        <v>6301</v>
      </c>
      <c r="C1123" s="5" t="s">
        <v>6302</v>
      </c>
      <c r="D1123" s="2">
        <f>DATE(2020,5,13)+TIME(15,49,21)</f>
        <v>43964.659270833334</v>
      </c>
    </row>
    <row r="1124" spans="1:4" ht="17">
      <c r="A1124" s="5" t="s">
        <v>344</v>
      </c>
      <c r="B1124" s="5" t="s">
        <v>7329</v>
      </c>
      <c r="C1124" s="5" t="s">
        <v>7330</v>
      </c>
      <c r="D1124" s="2">
        <f>DATE(2020,5,16)+TIME(18,28,12)</f>
        <v>43967.769583333335</v>
      </c>
    </row>
    <row r="1125" spans="1:4" ht="17">
      <c r="A1125" s="5" t="s">
        <v>344</v>
      </c>
      <c r="B1125" s="5" t="s">
        <v>345</v>
      </c>
      <c r="C1125" s="5" t="s">
        <v>346</v>
      </c>
      <c r="D1125" s="2">
        <f>DATE(2020,6,26)+TIME(9,42,39)</f>
        <v>44008.404618055552</v>
      </c>
    </row>
    <row r="1126" spans="1:4" ht="17">
      <c r="A1126" s="5" t="s">
        <v>344</v>
      </c>
      <c r="B1126" s="5" t="s">
        <v>2474</v>
      </c>
      <c r="C1126" s="5" t="s">
        <v>2475</v>
      </c>
      <c r="D1126" s="2">
        <f>DATE(2020,6,29)+TIME(6,45,21)</f>
        <v>44011.281493055554</v>
      </c>
    </row>
    <row r="1127" spans="1:4" ht="17">
      <c r="A1127" s="4" t="s">
        <v>7507</v>
      </c>
      <c r="B1127" s="4" t="s">
        <v>7508</v>
      </c>
      <c r="C1127" s="4" t="s">
        <v>7509</v>
      </c>
      <c r="D1127" s="1">
        <f>DATE(2020,5,5)+TIME(15,37,13)</f>
        <v>43956.65084490741</v>
      </c>
    </row>
    <row r="1128" spans="1:4" ht="17">
      <c r="A1128" s="5" t="s">
        <v>2018</v>
      </c>
      <c r="B1128" s="5" t="s">
        <v>3780</v>
      </c>
      <c r="C1128" s="5" t="s">
        <v>3781</v>
      </c>
      <c r="D1128" s="2">
        <f>DATE(2020,5,12)+TIME(19,52,31)</f>
        <v>43963.828136574077</v>
      </c>
    </row>
    <row r="1129" spans="1:4" ht="17">
      <c r="A1129" s="4" t="s">
        <v>2018</v>
      </c>
      <c r="B1129" s="4" t="s">
        <v>2019</v>
      </c>
      <c r="C1129" s="4" t="s">
        <v>2020</v>
      </c>
      <c r="D1129" s="1">
        <f>DATE(2020,5,29)+TIME(21,12,57)</f>
        <v>43980.883993055555</v>
      </c>
    </row>
    <row r="1130" spans="1:4" ht="17">
      <c r="A1130" s="4" t="s">
        <v>6980</v>
      </c>
      <c r="B1130" s="4" t="s">
        <v>1482</v>
      </c>
      <c r="C1130" s="4" t="s">
        <v>6981</v>
      </c>
      <c r="D1130" s="1">
        <f>DATE(2020,6,29)+TIME(4,40,4)</f>
        <v>44011.194490740738</v>
      </c>
    </row>
    <row r="1131" spans="1:4" ht="17">
      <c r="A1131" s="4" t="s">
        <v>4649</v>
      </c>
      <c r="B1131" s="4" t="s">
        <v>4650</v>
      </c>
      <c r="C1131" s="4" t="s">
        <v>4651</v>
      </c>
      <c r="D1131" s="1">
        <f>DATE(2020,6,13)+TIME(4,36,4)</f>
        <v>43995.191712962966</v>
      </c>
    </row>
    <row r="1132" spans="1:4" ht="17">
      <c r="A1132" s="5" t="s">
        <v>9280</v>
      </c>
      <c r="B1132" s="5" t="s">
        <v>9281</v>
      </c>
      <c r="C1132" s="5" t="s">
        <v>9282</v>
      </c>
      <c r="D1132" s="2">
        <f>DATE(2020,6,17)+TIME(19,13,13)</f>
        <v>43999.800844907404</v>
      </c>
    </row>
    <row r="1133" spans="1:4" ht="17">
      <c r="A1133" s="4" t="s">
        <v>2482</v>
      </c>
      <c r="B1133" s="4" t="s">
        <v>2483</v>
      </c>
      <c r="C1133" s="4" t="s">
        <v>2484</v>
      </c>
      <c r="D1133" s="1">
        <f>DATE(2020,6,29)+TIME(0,53,11)</f>
        <v>44011.036932870367</v>
      </c>
    </row>
    <row r="1134" spans="1:4" ht="17">
      <c r="A1134" s="4" t="s">
        <v>5884</v>
      </c>
      <c r="B1134" s="4" t="s">
        <v>5885</v>
      </c>
      <c r="C1134" s="4" t="s">
        <v>5886</v>
      </c>
      <c r="D1134" s="1">
        <f>DATE(2020,6,26)+TIME(17,46,47)</f>
        <v>44008.74082175926</v>
      </c>
    </row>
    <row r="1135" spans="1:4" ht="17">
      <c r="A1135" s="4" t="s">
        <v>8464</v>
      </c>
      <c r="B1135" s="4" t="s">
        <v>8465</v>
      </c>
      <c r="C1135" s="4" t="s">
        <v>8466</v>
      </c>
      <c r="D1135" s="1">
        <f>DATE(2020,6,23)+TIME(15,27,11)</f>
        <v>44005.643877314818</v>
      </c>
    </row>
    <row r="1136" spans="1:4" ht="17">
      <c r="A1136" s="5" t="s">
        <v>5918</v>
      </c>
      <c r="B1136" s="5" t="s">
        <v>8360</v>
      </c>
      <c r="C1136" s="5" t="s">
        <v>8361</v>
      </c>
      <c r="D1136" s="2">
        <f>DATE(2020,5,6)+TIME(2,42,26)</f>
        <v>43957.112800925926</v>
      </c>
    </row>
    <row r="1137" spans="1:4" ht="17">
      <c r="A1137" s="4" t="s">
        <v>5918</v>
      </c>
      <c r="B1137" s="4" t="s">
        <v>5919</v>
      </c>
      <c r="C1137" s="4" t="s">
        <v>5920</v>
      </c>
      <c r="D1137" s="1">
        <f>DATE(2020,6,20)+TIME(12,17,32)</f>
        <v>44002.512175925927</v>
      </c>
    </row>
    <row r="1138" spans="1:4" ht="17">
      <c r="A1138" s="4" t="s">
        <v>5918</v>
      </c>
      <c r="B1138" s="4" t="s">
        <v>7020</v>
      </c>
      <c r="C1138" s="4" t="s">
        <v>7021</v>
      </c>
      <c r="D1138" s="1">
        <f>DATE(2020,6,25)+TIME(16,53,13)</f>
        <v>44007.703622685185</v>
      </c>
    </row>
    <row r="1139" spans="1:4" ht="17">
      <c r="A1139" s="5" t="s">
        <v>7726</v>
      </c>
      <c r="B1139" s="5" t="s">
        <v>7727</v>
      </c>
      <c r="C1139" s="5" t="s">
        <v>7728</v>
      </c>
      <c r="D1139" s="2">
        <f>DATE(2020,6,28)+TIME(3,46,46)</f>
        <v>44010.157476851855</v>
      </c>
    </row>
    <row r="1140" spans="1:4" ht="17">
      <c r="A1140" s="5" t="s">
        <v>5850</v>
      </c>
      <c r="B1140" s="5" t="s">
        <v>5851</v>
      </c>
      <c r="C1140" s="5" t="s">
        <v>5852</v>
      </c>
      <c r="D1140" s="2">
        <f>DATE(2020,6,15)+TIME(11,46,30)</f>
        <v>43997.490624999999</v>
      </c>
    </row>
    <row r="1141" spans="1:4" ht="17">
      <c r="A1141" s="5" t="s">
        <v>8848</v>
      </c>
      <c r="B1141" s="5" t="s">
        <v>850</v>
      </c>
      <c r="C1141" s="5" t="s">
        <v>8849</v>
      </c>
      <c r="D1141" s="2">
        <f>DATE(2020,6,18)+TIME(20,17,43)</f>
        <v>44000.845636574071</v>
      </c>
    </row>
    <row r="1142" spans="1:4" ht="17">
      <c r="A1142" s="4" t="s">
        <v>7153</v>
      </c>
      <c r="B1142" s="4" t="s">
        <v>7154</v>
      </c>
      <c r="C1142" s="4" t="s">
        <v>7155</v>
      </c>
      <c r="D1142" s="1">
        <f>DATE(2020,6,29)+TIME(8,19,7)</f>
        <v>44011.346608796295</v>
      </c>
    </row>
    <row r="1143" spans="1:4" ht="17">
      <c r="A1143" s="4" t="s">
        <v>8352</v>
      </c>
      <c r="B1143" s="4" t="s">
        <v>8353</v>
      </c>
      <c r="C1143" s="4" t="s">
        <v>8354</v>
      </c>
      <c r="D1143" s="1">
        <f>DATE(2020,6,22)+TIME(15,53,35)</f>
        <v>44004.662210648145</v>
      </c>
    </row>
    <row r="1144" spans="1:4" ht="17">
      <c r="A1144" s="5" t="s">
        <v>663</v>
      </c>
      <c r="B1144" s="5" t="s">
        <v>664</v>
      </c>
      <c r="C1144" s="5" t="s">
        <v>665</v>
      </c>
      <c r="D1144" s="2">
        <f>DATE(2020,5,8)+TIME(1,31,36)</f>
        <v>43959.063611111109</v>
      </c>
    </row>
    <row r="1145" spans="1:4" ht="17">
      <c r="A1145" s="4" t="s">
        <v>7030</v>
      </c>
      <c r="B1145" s="4" t="s">
        <v>7031</v>
      </c>
      <c r="C1145" s="4" t="s">
        <v>7032</v>
      </c>
      <c r="D1145" s="1">
        <f>DATE(2020,6,27)+TIME(12,27,58)</f>
        <v>44009.519421296296</v>
      </c>
    </row>
    <row r="1146" spans="1:4" ht="17">
      <c r="A1146" s="4" t="s">
        <v>3910</v>
      </c>
      <c r="B1146" s="4" t="s">
        <v>3911</v>
      </c>
      <c r="C1146" s="4" t="s">
        <v>3912</v>
      </c>
      <c r="D1146" s="1">
        <f>DATE(2020,6,5)+TIME(3,25,44)</f>
        <v>43987.142870370371</v>
      </c>
    </row>
    <row r="1147" spans="1:4" ht="17">
      <c r="A1147" s="4" t="s">
        <v>6365</v>
      </c>
      <c r="B1147" s="4" t="s">
        <v>614</v>
      </c>
      <c r="C1147" s="4" t="s">
        <v>6366</v>
      </c>
      <c r="D1147" s="1">
        <f>DATE(2020,6,4)+TIME(16,44,48)</f>
        <v>43986.697777777779</v>
      </c>
    </row>
    <row r="1148" spans="1:4" ht="17">
      <c r="A1148" s="4" t="s">
        <v>4883</v>
      </c>
      <c r="B1148" s="4" t="s">
        <v>4884</v>
      </c>
      <c r="C1148" s="4" t="s">
        <v>4885</v>
      </c>
      <c r="D1148" s="1">
        <f>DATE(2020,6,14)+TIME(21,31,4)</f>
        <v>43996.896574074075</v>
      </c>
    </row>
    <row r="1149" spans="1:4" ht="17">
      <c r="A1149" s="5" t="s">
        <v>9462</v>
      </c>
      <c r="B1149" s="5" t="s">
        <v>9463</v>
      </c>
      <c r="C1149" s="5" t="s">
        <v>9464</v>
      </c>
      <c r="D1149" s="2">
        <f>DATE(2020,6,29)+TIME(8,48,27)</f>
        <v>44011.366979166669</v>
      </c>
    </row>
    <row r="1150" spans="1:4" ht="17">
      <c r="A1150" s="5" t="s">
        <v>1132</v>
      </c>
      <c r="B1150" s="5" t="s">
        <v>1133</v>
      </c>
      <c r="C1150" s="5" t="s">
        <v>1134</v>
      </c>
      <c r="D1150" s="2">
        <f>DATE(2020,6,2)+TIME(13,46,9)</f>
        <v>43984.57371527778</v>
      </c>
    </row>
    <row r="1151" spans="1:4" ht="17">
      <c r="A1151" s="4" t="s">
        <v>7777</v>
      </c>
      <c r="B1151" s="4" t="s">
        <v>7778</v>
      </c>
      <c r="C1151" s="4" t="s">
        <v>7779</v>
      </c>
      <c r="D1151" s="1">
        <f>DATE(2020,6,18)+TIME(18,3,47)</f>
        <v>44000.752627314818</v>
      </c>
    </row>
    <row r="1152" spans="1:4" ht="17">
      <c r="A1152" s="5" t="s">
        <v>2756</v>
      </c>
      <c r="B1152" s="5" t="s">
        <v>1944</v>
      </c>
      <c r="C1152" s="5" t="s">
        <v>2757</v>
      </c>
      <c r="D1152" s="2">
        <f>DATE(2020,6,10)+TIME(9,24,41)</f>
        <v>43992.392141203702</v>
      </c>
    </row>
    <row r="1153" spans="1:4" ht="17">
      <c r="A1153" s="4" t="s">
        <v>2756</v>
      </c>
      <c r="B1153" s="4" t="s">
        <v>6668</v>
      </c>
      <c r="C1153" s="4" t="s">
        <v>6669</v>
      </c>
      <c r="D1153" s="1">
        <f>DATE(2020,6,29)+TIME(11,27,57)</f>
        <v>44011.477743055555</v>
      </c>
    </row>
    <row r="1154" spans="1:4" ht="17">
      <c r="A1154" s="5" t="s">
        <v>1227</v>
      </c>
      <c r="B1154" s="5" t="s">
        <v>4766</v>
      </c>
      <c r="C1154" s="5" t="s">
        <v>5247</v>
      </c>
      <c r="D1154" s="2">
        <f>DATE(2020,5,5)+TIME(23,22,45)</f>
        <v>43956.974131944444</v>
      </c>
    </row>
    <row r="1155" spans="1:4" ht="17">
      <c r="A1155" s="4" t="s">
        <v>1227</v>
      </c>
      <c r="B1155" s="4" t="s">
        <v>1228</v>
      </c>
      <c r="C1155" s="4" t="s">
        <v>1229</v>
      </c>
      <c r="D1155" s="1">
        <f>DATE(2020,6,15)+TIME(22,7,53)</f>
        <v>43997.9221412037</v>
      </c>
    </row>
    <row r="1156" spans="1:4" ht="17">
      <c r="A1156" s="5" t="s">
        <v>2671</v>
      </c>
      <c r="B1156" s="5" t="s">
        <v>2672</v>
      </c>
      <c r="C1156" s="5" t="s">
        <v>2673</v>
      </c>
      <c r="D1156" s="2">
        <f>DATE(2020,6,23)+TIME(23,41,38)</f>
        <v>44005.987245370372</v>
      </c>
    </row>
    <row r="1157" spans="1:4" ht="17">
      <c r="A1157" s="4" t="s">
        <v>9327</v>
      </c>
      <c r="B1157" s="4" t="s">
        <v>4822</v>
      </c>
      <c r="C1157" s="4" t="s">
        <v>9328</v>
      </c>
      <c r="D1157" s="1">
        <f>DATE(2020,6,24)+TIME(9,7,17)</f>
        <v>44006.380057870374</v>
      </c>
    </row>
    <row r="1158" spans="1:4" ht="17">
      <c r="A1158" s="5" t="s">
        <v>2662</v>
      </c>
      <c r="B1158" s="5" t="s">
        <v>2663</v>
      </c>
      <c r="C1158" s="5" t="s">
        <v>2664</v>
      </c>
      <c r="D1158" s="2">
        <f>DATE(2020,6,2)+TIME(13,54,7)</f>
        <v>43984.579247685186</v>
      </c>
    </row>
    <row r="1159" spans="1:4" ht="17">
      <c r="A1159" s="4" t="s">
        <v>909</v>
      </c>
      <c r="B1159" s="4" t="s">
        <v>910</v>
      </c>
      <c r="C1159" s="4" t="s">
        <v>911</v>
      </c>
      <c r="D1159" s="1">
        <f>DATE(2020,6,24)+TIME(14,55,35)</f>
        <v>44006.621932870374</v>
      </c>
    </row>
    <row r="1160" spans="1:4" ht="17">
      <c r="A1160" s="4" t="s">
        <v>8926</v>
      </c>
      <c r="B1160" s="4" t="s">
        <v>1095</v>
      </c>
      <c r="C1160" s="4" t="s">
        <v>8927</v>
      </c>
      <c r="D1160" s="1">
        <f>DATE(2020,6,12)+TIME(18,6,54)</f>
        <v>43994.754791666666</v>
      </c>
    </row>
    <row r="1161" spans="1:4" ht="17">
      <c r="A1161" s="4" t="s">
        <v>8799</v>
      </c>
      <c r="B1161" s="4" t="s">
        <v>8800</v>
      </c>
      <c r="C1161" s="4" t="s">
        <v>8801</v>
      </c>
      <c r="D1161" s="1">
        <f>DATE(2020,5,31)+TIME(4,23,25)</f>
        <v>43982.182928240742</v>
      </c>
    </row>
    <row r="1162" spans="1:4" ht="17">
      <c r="A1162" s="4" t="s">
        <v>3830</v>
      </c>
      <c r="B1162" s="4" t="s">
        <v>3831</v>
      </c>
      <c r="C1162" s="4" t="s">
        <v>3832</v>
      </c>
      <c r="D1162" s="1">
        <f>DATE(2020,5,5)+TIME(15,26,50)</f>
        <v>43956.643634259257</v>
      </c>
    </row>
    <row r="1163" spans="1:4" ht="17">
      <c r="A1163" s="4" t="s">
        <v>1765</v>
      </c>
      <c r="B1163" s="4" t="s">
        <v>1766</v>
      </c>
      <c r="C1163" s="4" t="s">
        <v>1767</v>
      </c>
      <c r="D1163" s="1">
        <f>DATE(2020,6,25)+TIME(4,24,1)</f>
        <v>44007.183344907404</v>
      </c>
    </row>
    <row r="1164" spans="1:4" ht="17">
      <c r="A1164" s="5" t="s">
        <v>2556</v>
      </c>
      <c r="B1164" s="5" t="s">
        <v>6673</v>
      </c>
      <c r="C1164" s="5" t="s">
        <v>6674</v>
      </c>
      <c r="D1164" s="2">
        <f>DATE(2020,5,22)+TIME(22,5,29)</f>
        <v>43973.920474537037</v>
      </c>
    </row>
    <row r="1165" spans="1:4" ht="17">
      <c r="A1165" s="4" t="s">
        <v>2556</v>
      </c>
      <c r="B1165" s="4" t="s">
        <v>2557</v>
      </c>
      <c r="C1165" s="4" t="s">
        <v>2558</v>
      </c>
      <c r="D1165" s="1">
        <f>DATE(2020,6,25)+TIME(19,23,6)</f>
        <v>44007.807708333334</v>
      </c>
    </row>
    <row r="1166" spans="1:4" ht="17">
      <c r="A1166" s="5" t="s">
        <v>9262</v>
      </c>
      <c r="B1166" s="5" t="s">
        <v>4698</v>
      </c>
      <c r="C1166" s="5" t="s">
        <v>9263</v>
      </c>
      <c r="D1166" s="2">
        <f>DATE(2020,5,22)+TIME(2,53,23)</f>
        <v>43973.120405092595</v>
      </c>
    </row>
    <row r="1167" spans="1:4" ht="17">
      <c r="A1167" s="4" t="s">
        <v>8794</v>
      </c>
      <c r="B1167" s="4" t="s">
        <v>8795</v>
      </c>
      <c r="C1167" s="4" t="s">
        <v>8796</v>
      </c>
      <c r="D1167" s="1">
        <f>DATE(2020,6,24)+TIME(16,42,22)</f>
        <v>44006.696087962962</v>
      </c>
    </row>
    <row r="1168" spans="1:4" ht="17">
      <c r="A1168" s="4" t="s">
        <v>8794</v>
      </c>
      <c r="B1168" s="4" t="s">
        <v>9310</v>
      </c>
      <c r="C1168" s="4" t="s">
        <v>9311</v>
      </c>
      <c r="D1168" s="1">
        <f>DATE(2020,6,29)+TIME(13,38,12)</f>
        <v>44011.568194444444</v>
      </c>
    </row>
    <row r="1169" spans="1:4" ht="17">
      <c r="A1169" s="5" t="s">
        <v>5564</v>
      </c>
      <c r="B1169" s="5" t="s">
        <v>5565</v>
      </c>
      <c r="C1169" s="5" t="s">
        <v>5566</v>
      </c>
      <c r="D1169" s="2">
        <f>DATE(2020,5,6)+TIME(5,5,25)</f>
        <v>43957.212094907409</v>
      </c>
    </row>
    <row r="1170" spans="1:4" ht="17">
      <c r="A1170" s="4" t="s">
        <v>5679</v>
      </c>
      <c r="B1170" s="4" t="s">
        <v>5680</v>
      </c>
      <c r="C1170" s="4" t="s">
        <v>5681</v>
      </c>
      <c r="D1170" s="1">
        <f>DATE(2020,5,14)+TIME(3,5,35)</f>
        <v>43965.128877314812</v>
      </c>
    </row>
    <row r="1171" spans="1:4" ht="17">
      <c r="A1171" s="5" t="s">
        <v>579</v>
      </c>
      <c r="B1171" s="5" t="s">
        <v>580</v>
      </c>
      <c r="C1171" s="5" t="s">
        <v>581</v>
      </c>
      <c r="D1171" s="2">
        <f>DATE(2020,6,19)+TIME(15,55,6)</f>
        <v>44001.663263888891</v>
      </c>
    </row>
    <row r="1172" spans="1:4" ht="17">
      <c r="A1172" s="5" t="s">
        <v>3379</v>
      </c>
      <c r="B1172" s="5" t="s">
        <v>3380</v>
      </c>
      <c r="C1172" s="5" t="s">
        <v>3381</v>
      </c>
      <c r="D1172" s="2">
        <f>DATE(2020,6,23)+TIME(12,59,13)</f>
        <v>44005.541122685187</v>
      </c>
    </row>
    <row r="1173" spans="1:4" ht="17">
      <c r="A1173" s="4" t="s">
        <v>3379</v>
      </c>
      <c r="B1173" s="4" t="s">
        <v>8790</v>
      </c>
      <c r="C1173" s="4" t="s">
        <v>8791</v>
      </c>
      <c r="D1173" s="1">
        <f>DATE(2020,6,24)+TIME(20,36,55)</f>
        <v>44006.858969907407</v>
      </c>
    </row>
    <row r="1174" spans="1:4" ht="17">
      <c r="A1174" s="5" t="s">
        <v>3379</v>
      </c>
      <c r="B1174" s="5" t="s">
        <v>8329</v>
      </c>
      <c r="C1174" s="5" t="s">
        <v>8330</v>
      </c>
      <c r="D1174" s="2">
        <f>DATE(2020,6,24)+TIME(22,28,32)</f>
        <v>44006.936481481483</v>
      </c>
    </row>
    <row r="1175" spans="1:4" ht="17">
      <c r="A1175" s="4" t="s">
        <v>3379</v>
      </c>
      <c r="B1175" s="4" t="s">
        <v>6149</v>
      </c>
      <c r="C1175" s="4" t="s">
        <v>6150</v>
      </c>
      <c r="D1175" s="1">
        <f>DATE(2020,6,25)+TIME(8,22,43)</f>
        <v>44007.349108796298</v>
      </c>
    </row>
    <row r="1176" spans="1:4" ht="17">
      <c r="A1176" s="5" t="s">
        <v>3379</v>
      </c>
      <c r="B1176" s="5" t="s">
        <v>5801</v>
      </c>
      <c r="C1176" s="5" t="s">
        <v>5802</v>
      </c>
      <c r="D1176" s="2">
        <f>DATE(2020,6,25)+TIME(8,46,57)</f>
        <v>44007.365937499999</v>
      </c>
    </row>
    <row r="1177" spans="1:4" ht="17">
      <c r="A1177" s="5" t="s">
        <v>2278</v>
      </c>
      <c r="B1177" s="5" t="s">
        <v>2279</v>
      </c>
      <c r="C1177" s="5" t="s">
        <v>2280</v>
      </c>
      <c r="D1177" s="2">
        <f>DATE(2020,6,27)+TIME(20,45,10)</f>
        <v>44009.864699074074</v>
      </c>
    </row>
    <row r="1178" spans="1:4" ht="17">
      <c r="A1178" s="4" t="s">
        <v>6620</v>
      </c>
      <c r="B1178" s="4" t="s">
        <v>6621</v>
      </c>
      <c r="C1178" s="4" t="s">
        <v>6622</v>
      </c>
      <c r="D1178" s="1">
        <f>DATE(2020,5,28)+TIME(14,27,55)</f>
        <v>43979.602719907409</v>
      </c>
    </row>
    <row r="1179" spans="1:4" ht="17">
      <c r="A1179" s="5" t="s">
        <v>4665</v>
      </c>
      <c r="B1179" s="5" t="s">
        <v>5442</v>
      </c>
      <c r="C1179" s="5" t="s">
        <v>5443</v>
      </c>
      <c r="D1179" s="2">
        <f>DATE(2020,6,23)+TIME(18,41,0)</f>
        <v>44005.77847222222</v>
      </c>
    </row>
    <row r="1180" spans="1:4" ht="17">
      <c r="A1180" s="4" t="s">
        <v>4665</v>
      </c>
      <c r="B1180" s="4" t="s">
        <v>4666</v>
      </c>
      <c r="C1180" s="4" t="s">
        <v>4667</v>
      </c>
      <c r="D1180" s="1">
        <f>DATE(2020,6,24)+TIME(8,34,52)</f>
        <v>44006.357546296298</v>
      </c>
    </row>
    <row r="1181" spans="1:4" ht="17">
      <c r="A1181" s="4" t="s">
        <v>8474</v>
      </c>
      <c r="B1181" s="4" t="s">
        <v>8475</v>
      </c>
      <c r="C1181" s="4" t="s">
        <v>8476</v>
      </c>
      <c r="D1181" s="1">
        <f>DATE(2020,6,24)+TIME(5,30,21)</f>
        <v>44006.229409722226</v>
      </c>
    </row>
    <row r="1182" spans="1:4" ht="17">
      <c r="A1182" s="4" t="s">
        <v>2210</v>
      </c>
      <c r="B1182" s="4" t="s">
        <v>2211</v>
      </c>
      <c r="C1182" s="4" t="s">
        <v>2212</v>
      </c>
      <c r="D1182" s="1">
        <f>DATE(2020,6,26)+TIME(15,11,45)</f>
        <v>44008.633159722223</v>
      </c>
    </row>
    <row r="1183" spans="1:4" ht="17">
      <c r="A1183" s="5" t="s">
        <v>9166</v>
      </c>
      <c r="B1183" s="5" t="s">
        <v>9167</v>
      </c>
      <c r="C1183" s="5" t="s">
        <v>9168</v>
      </c>
      <c r="D1183" s="2">
        <f>DATE(2020,6,16)+TIME(9,35,52)</f>
        <v>43998.399907407409</v>
      </c>
    </row>
    <row r="1184" spans="1:4" ht="17">
      <c r="A1184" s="5" t="s">
        <v>1986</v>
      </c>
      <c r="B1184" s="5" t="s">
        <v>1987</v>
      </c>
      <c r="C1184" s="5" t="s">
        <v>1988</v>
      </c>
      <c r="D1184" s="2">
        <f>DATE(2020,6,29)+TIME(11,12,47)</f>
        <v>44011.467210648145</v>
      </c>
    </row>
    <row r="1185" spans="1:4" ht="17">
      <c r="A1185" s="4" t="s">
        <v>2885</v>
      </c>
      <c r="B1185" s="4" t="s">
        <v>2886</v>
      </c>
      <c r="C1185" s="4" t="s">
        <v>2887</v>
      </c>
      <c r="D1185" s="1">
        <f>DATE(2020,6,11)+TIME(8,49,24)</f>
        <v>43993.367638888885</v>
      </c>
    </row>
    <row r="1186" spans="1:4" ht="17">
      <c r="A1186" s="5" t="s">
        <v>4678</v>
      </c>
      <c r="B1186" s="5" t="s">
        <v>6105</v>
      </c>
      <c r="C1186" s="5" t="s">
        <v>6106</v>
      </c>
      <c r="D1186" s="2">
        <f>DATE(2020,5,14)+TIME(7,52,30)</f>
        <v>43965.328125</v>
      </c>
    </row>
    <row r="1187" spans="1:4" ht="17">
      <c r="A1187" s="5" t="s">
        <v>4678</v>
      </c>
      <c r="B1187" s="5" t="s">
        <v>4679</v>
      </c>
      <c r="C1187" s="5" t="s">
        <v>4680</v>
      </c>
      <c r="D1187" s="2">
        <f>DATE(2020,5,20)+TIME(16,6,10)</f>
        <v>43971.670949074076</v>
      </c>
    </row>
    <row r="1188" spans="1:4" ht="17">
      <c r="A1188" s="4" t="s">
        <v>4678</v>
      </c>
      <c r="B1188" s="4" t="s">
        <v>8820</v>
      </c>
      <c r="C1188" s="4" t="s">
        <v>8821</v>
      </c>
      <c r="D1188" s="1">
        <f>DATE(2020,5,28)+TIME(1,55,52)</f>
        <v>43979.080462962964</v>
      </c>
    </row>
    <row r="1189" spans="1:4" ht="17">
      <c r="A1189" s="4" t="s">
        <v>4678</v>
      </c>
      <c r="B1189" s="4" t="s">
        <v>5520</v>
      </c>
      <c r="C1189" s="4" t="s">
        <v>5521</v>
      </c>
      <c r="D1189" s="1">
        <f>DATE(2020,6,8)+TIME(9,3,53)</f>
        <v>43990.377696759257</v>
      </c>
    </row>
    <row r="1190" spans="1:4" ht="17">
      <c r="A1190" s="5" t="s">
        <v>4678</v>
      </c>
      <c r="B1190" s="5" t="s">
        <v>7686</v>
      </c>
      <c r="C1190" s="5" t="s">
        <v>7687</v>
      </c>
      <c r="D1190" s="2">
        <f>DATE(2020,6,17)+TIME(16,21,39)</f>
        <v>43999.681701388887</v>
      </c>
    </row>
    <row r="1191" spans="1:4" ht="17">
      <c r="A1191" s="4" t="s">
        <v>2704</v>
      </c>
      <c r="B1191" s="4" t="s">
        <v>2705</v>
      </c>
      <c r="C1191" s="4" t="s">
        <v>2706</v>
      </c>
      <c r="D1191" s="1">
        <f>DATE(2020,6,28)+TIME(6,56,14)</f>
        <v>44010.289050925923</v>
      </c>
    </row>
    <row r="1192" spans="1:4" ht="17">
      <c r="A1192" s="5" t="s">
        <v>1028</v>
      </c>
      <c r="B1192" s="5" t="s">
        <v>1029</v>
      </c>
      <c r="C1192" s="5" t="s">
        <v>1030</v>
      </c>
      <c r="D1192" s="2">
        <f>DATE(2020,3,11)+TIME(13,8,21)</f>
        <v>43901.547465277778</v>
      </c>
    </row>
    <row r="1193" spans="1:4" ht="17">
      <c r="A1193" s="4" t="s">
        <v>5116</v>
      </c>
      <c r="B1193" s="4" t="s">
        <v>5117</v>
      </c>
      <c r="C1193" s="4" t="s">
        <v>5118</v>
      </c>
      <c r="D1193" s="1">
        <f>DATE(2020,6,9)+TIME(20,23,36)</f>
        <v>43991.849722222221</v>
      </c>
    </row>
    <row r="1194" spans="1:4" ht="17">
      <c r="A1194" s="4" t="s">
        <v>7860</v>
      </c>
      <c r="B1194" s="4" t="s">
        <v>7861</v>
      </c>
      <c r="C1194" s="4" t="s">
        <v>7862</v>
      </c>
      <c r="D1194" s="1">
        <f>DATE(2020,5,9)+TIME(9,10,42)</f>
        <v>43960.382430555554</v>
      </c>
    </row>
    <row r="1195" spans="1:4" ht="17">
      <c r="A1195" s="4" t="s">
        <v>7860</v>
      </c>
      <c r="B1195" s="4" t="s">
        <v>8834</v>
      </c>
      <c r="C1195" s="4" t="s">
        <v>8835</v>
      </c>
      <c r="D1195" s="1">
        <f>DATE(2020,6,26)+TIME(3,3,54)</f>
        <v>44008.127708333333</v>
      </c>
    </row>
    <row r="1196" spans="1:4" ht="17">
      <c r="A1196" s="4" t="s">
        <v>1025</v>
      </c>
      <c r="B1196" s="4" t="s">
        <v>7369</v>
      </c>
      <c r="C1196" s="4" t="s">
        <v>7370</v>
      </c>
      <c r="D1196" s="1">
        <f>DATE(2020,6,10)+TIME(14,12,40)</f>
        <v>43992.592129629629</v>
      </c>
    </row>
    <row r="1197" spans="1:4" ht="17">
      <c r="A1197" s="4" t="s">
        <v>1025</v>
      </c>
      <c r="B1197" s="4" t="s">
        <v>3397</v>
      </c>
      <c r="C1197" s="4" t="s">
        <v>7531</v>
      </c>
      <c r="D1197" s="1">
        <f>DATE(2020,6,15)+TIME(22,34,43)</f>
        <v>43997.940775462965</v>
      </c>
    </row>
    <row r="1198" spans="1:4" ht="17">
      <c r="A1198" s="4" t="s">
        <v>1025</v>
      </c>
      <c r="B1198" s="4" t="s">
        <v>1026</v>
      </c>
      <c r="C1198" s="4" t="s">
        <v>1027</v>
      </c>
      <c r="D1198" s="1">
        <f>DATE(2020,6,26)+TIME(17,14,15)</f>
        <v>44008.718229166669</v>
      </c>
    </row>
    <row r="1199" spans="1:4" ht="17">
      <c r="A1199" s="4" t="s">
        <v>1025</v>
      </c>
      <c r="B1199" s="4" t="s">
        <v>3380</v>
      </c>
      <c r="C1199" s="4" t="s">
        <v>4242</v>
      </c>
      <c r="D1199" s="1">
        <f>DATE(2020,6,29)+TIME(12,32,4)</f>
        <v>44011.522268518522</v>
      </c>
    </row>
    <row r="1200" spans="1:4" ht="17">
      <c r="A1200" s="5" t="s">
        <v>4257</v>
      </c>
      <c r="B1200" s="5" t="s">
        <v>6567</v>
      </c>
      <c r="C1200" s="5" t="s">
        <v>6568</v>
      </c>
      <c r="D1200" s="2">
        <f>DATE(2020,5,6)+TIME(14,14,41)</f>
        <v>43957.593530092592</v>
      </c>
    </row>
    <row r="1201" spans="1:4" ht="17">
      <c r="A1201" s="5" t="s">
        <v>4257</v>
      </c>
      <c r="B1201" s="5" t="s">
        <v>4258</v>
      </c>
      <c r="C1201" s="5" t="s">
        <v>4259</v>
      </c>
      <c r="D1201" s="2">
        <f>DATE(2020,6,26)+TIME(11,7,28)</f>
        <v>44008.463518518518</v>
      </c>
    </row>
    <row r="1202" spans="1:4" ht="17">
      <c r="A1202" s="4" t="s">
        <v>4338</v>
      </c>
      <c r="B1202" s="4" t="s">
        <v>4339</v>
      </c>
      <c r="C1202" s="4" t="s">
        <v>4340</v>
      </c>
      <c r="D1202" s="1">
        <f>DATE(2020,6,25)+TIME(3,27,27)</f>
        <v>44007.144062500003</v>
      </c>
    </row>
    <row r="1203" spans="1:4" ht="17">
      <c r="A1203" s="5" t="s">
        <v>7333</v>
      </c>
      <c r="B1203" s="5" t="s">
        <v>7334</v>
      </c>
      <c r="C1203" s="5" t="s">
        <v>7335</v>
      </c>
      <c r="D1203" s="2">
        <f>DATE(2020,5,7)+TIME(8,27,14)</f>
        <v>43958.35224537037</v>
      </c>
    </row>
    <row r="1204" spans="1:4" ht="17">
      <c r="A1204" s="5" t="s">
        <v>8368</v>
      </c>
      <c r="B1204" s="5" t="s">
        <v>8369</v>
      </c>
      <c r="C1204" s="5" t="s">
        <v>8370</v>
      </c>
      <c r="D1204" s="2">
        <f>DATE(2020,6,24)+TIME(10,10,6)</f>
        <v>44006.423680555556</v>
      </c>
    </row>
    <row r="1205" spans="1:4" ht="17">
      <c r="A1205" s="4" t="s">
        <v>5541</v>
      </c>
      <c r="B1205" s="4" t="s">
        <v>5542</v>
      </c>
      <c r="C1205" s="4" t="s">
        <v>5543</v>
      </c>
      <c r="D1205" s="1">
        <f>DATE(2020,6,18)+TIME(3,56,12)</f>
        <v>44000.164027777777</v>
      </c>
    </row>
    <row r="1206" spans="1:4" ht="17">
      <c r="A1206" s="5" t="s">
        <v>8422</v>
      </c>
      <c r="B1206" s="5" t="s">
        <v>8423</v>
      </c>
      <c r="C1206" s="5" t="s">
        <v>8424</v>
      </c>
      <c r="D1206" s="2">
        <f>DATE(2020,6,29)+TIME(12,46,39)</f>
        <v>44011.532395833332</v>
      </c>
    </row>
    <row r="1207" spans="1:4" ht="17">
      <c r="A1207" s="5" t="s">
        <v>3768</v>
      </c>
      <c r="B1207" s="5" t="s">
        <v>7285</v>
      </c>
      <c r="C1207" s="5" t="s">
        <v>7286</v>
      </c>
      <c r="D1207" s="2">
        <f>DATE(2020,5,15)+TIME(13,18,27)</f>
        <v>43966.554479166669</v>
      </c>
    </row>
    <row r="1208" spans="1:4" ht="17">
      <c r="A1208" s="4" t="s">
        <v>3768</v>
      </c>
      <c r="B1208" s="4" t="s">
        <v>7440</v>
      </c>
      <c r="C1208" s="4" t="s">
        <v>7441</v>
      </c>
      <c r="D1208" s="1">
        <f>DATE(2020,6,8)+TIME(13,6,28)</f>
        <v>43990.546157407407</v>
      </c>
    </row>
    <row r="1209" spans="1:4" ht="17">
      <c r="A1209" s="5" t="s">
        <v>2108</v>
      </c>
      <c r="B1209" s="5" t="s">
        <v>2109</v>
      </c>
      <c r="C1209" s="5" t="s">
        <v>2110</v>
      </c>
      <c r="D1209" s="2">
        <f>DATE(2020,6,4)+TIME(7,2,41)</f>
        <v>43986.293530092589</v>
      </c>
    </row>
    <row r="1210" spans="1:4" ht="17">
      <c r="A1210" s="4" t="s">
        <v>9232</v>
      </c>
      <c r="B1210" s="4" t="s">
        <v>9233</v>
      </c>
      <c r="C1210" s="4" t="s">
        <v>9234</v>
      </c>
      <c r="D1210" s="1">
        <f>DATE(2020,6,23)+TIME(13,48,7)</f>
        <v>44005.57508101852</v>
      </c>
    </row>
    <row r="1211" spans="1:4" ht="17">
      <c r="A1211" s="4" t="s">
        <v>5691</v>
      </c>
      <c r="B1211" s="4" t="s">
        <v>5692</v>
      </c>
      <c r="C1211" s="4" t="s">
        <v>5693</v>
      </c>
      <c r="D1211" s="1">
        <f>DATE(2020,6,23)+TIME(18,55,0)</f>
        <v>44005.788194444445</v>
      </c>
    </row>
    <row r="1212" spans="1:4" ht="17">
      <c r="A1212" s="5" t="s">
        <v>3291</v>
      </c>
      <c r="B1212" s="5" t="s">
        <v>3292</v>
      </c>
      <c r="C1212" s="5" t="s">
        <v>3293</v>
      </c>
      <c r="D1212" s="2">
        <f>DATE(2020,4,9)+TIME(7,58,47)</f>
        <v>43930.332488425927</v>
      </c>
    </row>
    <row r="1213" spans="1:4" ht="17">
      <c r="A1213" s="5" t="s">
        <v>4437</v>
      </c>
      <c r="B1213" s="5" t="s">
        <v>4438</v>
      </c>
      <c r="C1213" s="5" t="s">
        <v>4439</v>
      </c>
      <c r="D1213" s="2">
        <f>DATE(2020,4,8)+TIME(16,15,29)</f>
        <v>43929.677418981482</v>
      </c>
    </row>
    <row r="1214" spans="1:4" ht="17">
      <c r="A1214" s="4" t="s">
        <v>1115</v>
      </c>
      <c r="B1214" s="4" t="s">
        <v>1484</v>
      </c>
      <c r="C1214" s="4" t="s">
        <v>1485</v>
      </c>
      <c r="D1214" s="1">
        <f>DATE(2020,5,5)+TIME(16,5,43)</f>
        <v>43956.670636574076</v>
      </c>
    </row>
    <row r="1215" spans="1:4" ht="17">
      <c r="A1215" s="4" t="s">
        <v>1115</v>
      </c>
      <c r="B1215" s="4" t="s">
        <v>7550</v>
      </c>
      <c r="C1215" s="4" t="s">
        <v>7551</v>
      </c>
      <c r="D1215" s="1">
        <f>DATE(2020,5,22)+TIME(18,50,43)</f>
        <v>43973.785219907404</v>
      </c>
    </row>
    <row r="1216" spans="1:4" ht="17">
      <c r="A1216" s="5" t="s">
        <v>1115</v>
      </c>
      <c r="B1216" s="5" t="s">
        <v>1116</v>
      </c>
      <c r="C1216" s="5" t="s">
        <v>1117</v>
      </c>
      <c r="D1216" s="2">
        <f>DATE(2020,6,27)+TIME(15,54,49)</f>
        <v>44009.66306712963</v>
      </c>
    </row>
    <row r="1217" spans="1:4" ht="17">
      <c r="A1217" s="5" t="s">
        <v>8477</v>
      </c>
      <c r="B1217" s="5" t="s">
        <v>8478</v>
      </c>
      <c r="C1217" s="5" t="s">
        <v>8479</v>
      </c>
      <c r="D1217" s="2">
        <f>DATE(2020,6,24)+TIME(17,44,35)</f>
        <v>44006.739293981482</v>
      </c>
    </row>
    <row r="1218" spans="1:4" ht="17">
      <c r="A1218" s="4" t="s">
        <v>2153</v>
      </c>
      <c r="B1218" s="4" t="s">
        <v>2154</v>
      </c>
      <c r="C1218" s="4" t="s">
        <v>2155</v>
      </c>
      <c r="D1218" s="1">
        <f>DATE(2020,6,10)+TIME(4,16,34)</f>
        <v>43992.178171296298</v>
      </c>
    </row>
    <row r="1219" spans="1:4" ht="17">
      <c r="A1219" s="5" t="s">
        <v>2499</v>
      </c>
      <c r="B1219" s="5" t="s">
        <v>2500</v>
      </c>
      <c r="C1219" s="5" t="s">
        <v>2501</v>
      </c>
      <c r="D1219" s="2">
        <f>DATE(2020,6,3)+TIME(1,46,0)</f>
        <v>43985.073611111111</v>
      </c>
    </row>
    <row r="1220" spans="1:4" ht="17">
      <c r="A1220" s="5" t="s">
        <v>1777</v>
      </c>
      <c r="B1220" s="5" t="s">
        <v>1778</v>
      </c>
      <c r="C1220" s="5" t="s">
        <v>1779</v>
      </c>
      <c r="D1220" s="2">
        <f>DATE(2020,6,5)+TIME(8,48,27)</f>
        <v>43987.366979166669</v>
      </c>
    </row>
    <row r="1221" spans="1:4" ht="17">
      <c r="A1221" s="4" t="s">
        <v>1098</v>
      </c>
      <c r="B1221" s="4" t="s">
        <v>6472</v>
      </c>
      <c r="C1221" s="4" t="s">
        <v>6473</v>
      </c>
      <c r="D1221" s="1">
        <f>DATE(2020,6,25)+TIME(14,25,39)</f>
        <v>44007.601145833331</v>
      </c>
    </row>
    <row r="1222" spans="1:4" ht="17">
      <c r="A1222" s="4" t="s">
        <v>4532</v>
      </c>
      <c r="B1222" s="4" t="s">
        <v>2109</v>
      </c>
      <c r="C1222" s="4" t="s">
        <v>4533</v>
      </c>
      <c r="D1222" s="1">
        <f>DATE(2020,5,22)+TIME(14,3,30)</f>
        <v>43973.585763888892</v>
      </c>
    </row>
    <row r="1223" spans="1:4" ht="17">
      <c r="A1223" s="5" t="s">
        <v>3694</v>
      </c>
      <c r="B1223" s="5" t="s">
        <v>3695</v>
      </c>
      <c r="C1223" s="5" t="s">
        <v>3696</v>
      </c>
      <c r="D1223" s="2">
        <f>DATE(2020,6,22)+TIME(0,18,38)</f>
        <v>44004.012939814813</v>
      </c>
    </row>
    <row r="1224" spans="1:4" ht="17">
      <c r="A1224" s="5" t="s">
        <v>844</v>
      </c>
      <c r="B1224" s="5" t="s">
        <v>5305</v>
      </c>
      <c r="C1224" s="5" t="s">
        <v>5306</v>
      </c>
      <c r="D1224" s="2">
        <f>DATE(2020,3,31)+TIME(1,14,42)</f>
        <v>43921.051874999997</v>
      </c>
    </row>
    <row r="1225" spans="1:4" ht="17">
      <c r="A1225" s="4" t="s">
        <v>844</v>
      </c>
      <c r="B1225" s="4" t="s">
        <v>1889</v>
      </c>
      <c r="C1225" s="4" t="s">
        <v>1890</v>
      </c>
      <c r="D1225" s="1">
        <f>DATE(2020,5,14)+TIME(16,6,6)</f>
        <v>43965.670902777776</v>
      </c>
    </row>
    <row r="1226" spans="1:4" ht="17">
      <c r="A1226" s="5" t="s">
        <v>844</v>
      </c>
      <c r="B1226" s="5" t="s">
        <v>879</v>
      </c>
      <c r="C1226" s="5" t="s">
        <v>6442</v>
      </c>
      <c r="D1226" s="2">
        <f>DATE(2020,5,29)+TIME(13,47,12)</f>
        <v>43980.574444444443</v>
      </c>
    </row>
    <row r="1227" spans="1:4" ht="17">
      <c r="A1227" s="4" t="s">
        <v>844</v>
      </c>
      <c r="B1227" s="4" t="s">
        <v>5440</v>
      </c>
      <c r="C1227" s="4" t="s">
        <v>5441</v>
      </c>
      <c r="D1227" s="1">
        <f>DATE(2020,6,15)+TIME(9,33,5)</f>
        <v>43997.397974537038</v>
      </c>
    </row>
    <row r="1228" spans="1:4" ht="17">
      <c r="A1228" s="4" t="s">
        <v>844</v>
      </c>
      <c r="B1228" s="4" t="s">
        <v>7807</v>
      </c>
      <c r="C1228" s="4" t="s">
        <v>7808</v>
      </c>
      <c r="D1228" s="1">
        <f>DATE(2020,6,22)+TIME(14,22,0)</f>
        <v>44004.598611111112</v>
      </c>
    </row>
    <row r="1229" spans="1:4" ht="17">
      <c r="A1229" s="4" t="s">
        <v>844</v>
      </c>
      <c r="B1229" s="4" t="s">
        <v>8246</v>
      </c>
      <c r="C1229" s="4" t="s">
        <v>8247</v>
      </c>
      <c r="D1229" s="1">
        <f>DATE(2020,6,23)+TIME(17,47,43)</f>
        <v>44005.741469907407</v>
      </c>
    </row>
    <row r="1230" spans="1:4" ht="17">
      <c r="A1230" s="4" t="s">
        <v>844</v>
      </c>
      <c r="B1230" s="4" t="s">
        <v>8810</v>
      </c>
      <c r="C1230" s="4" t="s">
        <v>8811</v>
      </c>
      <c r="D1230" s="1">
        <f>DATE(2020,6,24)+TIME(8,40,47)</f>
        <v>44006.361655092594</v>
      </c>
    </row>
    <row r="1231" spans="1:4" ht="17">
      <c r="A1231" s="4" t="s">
        <v>844</v>
      </c>
      <c r="B1231" s="4" t="s">
        <v>7604</v>
      </c>
      <c r="C1231" s="4" t="s">
        <v>7605</v>
      </c>
      <c r="D1231" s="1">
        <f>DATE(2020,6,24)+TIME(15,10,57)</f>
        <v>44006.632604166669</v>
      </c>
    </row>
    <row r="1232" spans="1:4" ht="17">
      <c r="A1232" s="5" t="s">
        <v>844</v>
      </c>
      <c r="B1232" s="5" t="s">
        <v>845</v>
      </c>
      <c r="C1232" s="5" t="s">
        <v>846</v>
      </c>
      <c r="D1232" s="2">
        <f>DATE(2020,6,29)+TIME(0,8,54)</f>
        <v>44011.006180555552</v>
      </c>
    </row>
    <row r="1233" spans="1:4" ht="17">
      <c r="A1233" s="5" t="s">
        <v>9370</v>
      </c>
      <c r="B1233" s="5" t="s">
        <v>9371</v>
      </c>
      <c r="C1233" s="5" t="s">
        <v>9372</v>
      </c>
      <c r="D1233" s="2">
        <f>DATE(2020,6,26)+TIME(19,12,59)</f>
        <v>44008.800682870373</v>
      </c>
    </row>
    <row r="1234" spans="1:4" ht="17">
      <c r="A1234" s="4" t="s">
        <v>5705</v>
      </c>
      <c r="B1234" s="4" t="s">
        <v>5706</v>
      </c>
      <c r="C1234" s="4" t="s">
        <v>5707</v>
      </c>
      <c r="D1234" s="1">
        <f>DATE(2020,6,27)+TIME(23,9,33)</f>
        <v>44009.964965277781</v>
      </c>
    </row>
    <row r="1235" spans="1:4" ht="17">
      <c r="A1235" s="5" t="s">
        <v>5966</v>
      </c>
      <c r="B1235" s="5" t="s">
        <v>5967</v>
      </c>
      <c r="C1235" s="5" t="s">
        <v>5968</v>
      </c>
      <c r="D1235" s="2">
        <f>DATE(2020,6,24)+TIME(15,40,58)</f>
        <v>44006.653449074074</v>
      </c>
    </row>
    <row r="1236" spans="1:4" ht="17">
      <c r="A1236" s="5" t="s">
        <v>1762</v>
      </c>
      <c r="B1236" s="5" t="s">
        <v>1763</v>
      </c>
      <c r="C1236" s="5" t="s">
        <v>1764</v>
      </c>
      <c r="D1236" s="2">
        <f>DATE(2020,6,5)+TIME(9,26,19)</f>
        <v>43987.393275462964</v>
      </c>
    </row>
    <row r="1237" spans="1:4" ht="17">
      <c r="A1237" s="5" t="s">
        <v>7146</v>
      </c>
      <c r="B1237" s="5" t="s">
        <v>7147</v>
      </c>
      <c r="C1237" s="5" t="s">
        <v>7148</v>
      </c>
      <c r="D1237" s="2">
        <f>DATE(2020,5,11)+TIME(10,41,26)</f>
        <v>43962.445439814815</v>
      </c>
    </row>
    <row r="1238" spans="1:4" ht="17">
      <c r="A1238" s="5" t="s">
        <v>7457</v>
      </c>
      <c r="B1238" s="5" t="s">
        <v>7458</v>
      </c>
      <c r="C1238" s="5" t="s">
        <v>7459</v>
      </c>
      <c r="D1238" s="2">
        <f>DATE(2020,5,12)+TIME(13,8,52)</f>
        <v>43963.547824074078</v>
      </c>
    </row>
    <row r="1239" spans="1:4" ht="17">
      <c r="A1239" s="5" t="s">
        <v>761</v>
      </c>
      <c r="B1239" s="5" t="s">
        <v>762</v>
      </c>
      <c r="C1239" s="5" t="s">
        <v>763</v>
      </c>
      <c r="D1239" s="2">
        <f>DATE(2020,6,16)+TIME(10,2,13)</f>
        <v>43998.418206018519</v>
      </c>
    </row>
    <row r="1240" spans="1:4" ht="17">
      <c r="A1240" s="4" t="s">
        <v>8618</v>
      </c>
      <c r="B1240" s="4" t="s">
        <v>8619</v>
      </c>
      <c r="C1240" s="4" t="s">
        <v>8620</v>
      </c>
      <c r="D1240" s="1">
        <f>DATE(2020,6,24)+TIME(15,16,53)</f>
        <v>44006.636724537035</v>
      </c>
    </row>
    <row r="1241" spans="1:4" ht="17">
      <c r="A1241" s="5" t="s">
        <v>6110</v>
      </c>
      <c r="B1241" s="5" t="s">
        <v>109</v>
      </c>
      <c r="C1241" s="5" t="s">
        <v>6111</v>
      </c>
      <c r="D1241" s="2">
        <f>DATE(2020,6,24)+TIME(21,25,10)</f>
        <v>44006.892476851855</v>
      </c>
    </row>
    <row r="1242" spans="1:4" ht="17">
      <c r="A1242" s="5" t="s">
        <v>4530</v>
      </c>
      <c r="B1242" s="5" t="s">
        <v>2273</v>
      </c>
      <c r="C1242" s="5" t="s">
        <v>4531</v>
      </c>
      <c r="D1242" s="2">
        <f>DATE(2020,5,28)+TIME(18,38,37)</f>
        <v>43979.776817129627</v>
      </c>
    </row>
    <row r="1243" spans="1:4" ht="17">
      <c r="A1243" s="4" t="s">
        <v>7097</v>
      </c>
      <c r="B1243" s="4" t="s">
        <v>7098</v>
      </c>
      <c r="C1243" s="4" t="s">
        <v>7099</v>
      </c>
      <c r="D1243" s="1">
        <f>DATE(2020,6,25)+TIME(0,17,18)</f>
        <v>44007.012013888889</v>
      </c>
    </row>
    <row r="1244" spans="1:4" ht="17">
      <c r="A1244" s="4" t="s">
        <v>1736</v>
      </c>
      <c r="B1244" s="4" t="s">
        <v>1737</v>
      </c>
      <c r="C1244" s="4" t="s">
        <v>1738</v>
      </c>
      <c r="D1244" s="1">
        <f>DATE(2020,6,24)+TIME(9,2,57)</f>
        <v>44006.37704861111</v>
      </c>
    </row>
    <row r="1245" spans="1:4" ht="17">
      <c r="A1245" s="5" t="s">
        <v>4245</v>
      </c>
      <c r="B1245" s="5" t="s">
        <v>6571</v>
      </c>
      <c r="C1245" s="5" t="s">
        <v>6572</v>
      </c>
      <c r="D1245" s="2">
        <f>DATE(2020,6,16)+TIME(1,10,29)</f>
        <v>43998.048946759256</v>
      </c>
    </row>
    <row r="1246" spans="1:4" ht="17">
      <c r="A1246" s="4" t="s">
        <v>4245</v>
      </c>
      <c r="B1246" s="4" t="s">
        <v>2838</v>
      </c>
      <c r="C1246" s="4" t="s">
        <v>4246</v>
      </c>
      <c r="D1246" s="1">
        <f>DATE(2020,6,26)+TIME(14,45,4)</f>
        <v>44008.614629629628</v>
      </c>
    </row>
    <row r="1247" spans="1:4" ht="17">
      <c r="A1247" s="4" t="s">
        <v>7831</v>
      </c>
      <c r="B1247" s="4" t="s">
        <v>7832</v>
      </c>
      <c r="C1247" s="4" t="s">
        <v>7833</v>
      </c>
      <c r="D1247" s="1">
        <f>DATE(2020,6,24)+TIME(9,52,0)</f>
        <v>44006.411111111112</v>
      </c>
    </row>
    <row r="1248" spans="1:4" ht="17">
      <c r="A1248" s="5" t="s">
        <v>3754</v>
      </c>
      <c r="B1248" s="5" t="s">
        <v>3755</v>
      </c>
      <c r="C1248" s="5" t="s">
        <v>3756</v>
      </c>
      <c r="D1248" s="2">
        <f>DATE(2020,5,15)+TIME(14,53,2)</f>
        <v>43966.620162037034</v>
      </c>
    </row>
    <row r="1249" spans="1:4" ht="17">
      <c r="A1249" s="4" t="s">
        <v>7175</v>
      </c>
      <c r="B1249" s="4" t="s">
        <v>7176</v>
      </c>
      <c r="C1249" s="4" t="s">
        <v>7177</v>
      </c>
      <c r="D1249" s="1">
        <f>DATE(2020,6,1)+TIME(22,48,40)</f>
        <v>43983.950462962966</v>
      </c>
    </row>
    <row r="1250" spans="1:4" ht="17">
      <c r="A1250" s="5" t="s">
        <v>538</v>
      </c>
      <c r="B1250" s="5" t="s">
        <v>539</v>
      </c>
      <c r="C1250" s="5" t="s">
        <v>540</v>
      </c>
      <c r="D1250" s="2">
        <f>DATE(2020,5,11)+TIME(11,51,53)</f>
        <v>43962.494363425925</v>
      </c>
    </row>
    <row r="1251" spans="1:4" ht="17">
      <c r="A1251" s="5" t="s">
        <v>5871</v>
      </c>
      <c r="B1251" s="5" t="s">
        <v>5872</v>
      </c>
      <c r="C1251" s="5" t="s">
        <v>5873</v>
      </c>
      <c r="D1251" s="2">
        <f>DATE(2020,5,31)+TIME(17,37,33)</f>
        <v>43982.734409722223</v>
      </c>
    </row>
    <row r="1252" spans="1:4" ht="17">
      <c r="A1252" s="4" t="s">
        <v>6250</v>
      </c>
      <c r="B1252" s="4" t="s">
        <v>6251</v>
      </c>
      <c r="C1252" s="4" t="s">
        <v>6252</v>
      </c>
      <c r="D1252" s="1">
        <f>DATE(2020,6,25)+TIME(20,39,6)</f>
        <v>44007.860486111109</v>
      </c>
    </row>
    <row r="1253" spans="1:4" ht="17">
      <c r="A1253" s="5" t="s">
        <v>7769</v>
      </c>
      <c r="B1253" s="5" t="s">
        <v>7770</v>
      </c>
      <c r="C1253" s="5" t="s">
        <v>7771</v>
      </c>
      <c r="D1253" s="2">
        <f>DATE(2020,6,11)+TIME(22,7,46)</f>
        <v>43993.922060185185</v>
      </c>
    </row>
    <row r="1254" spans="1:4" ht="17">
      <c r="A1254" s="5" t="s">
        <v>6420</v>
      </c>
      <c r="B1254" s="5" t="s">
        <v>6421</v>
      </c>
      <c r="C1254" s="5" t="s">
        <v>6422</v>
      </c>
      <c r="D1254" s="2">
        <f>DATE(2020,3,27)+TIME(17,21,56)</f>
        <v>43917.723564814813</v>
      </c>
    </row>
    <row r="1255" spans="1:4" ht="17">
      <c r="A1255" s="5" t="s">
        <v>269</v>
      </c>
      <c r="B1255" s="5" t="s">
        <v>4263</v>
      </c>
      <c r="C1255" s="5" t="s">
        <v>4264</v>
      </c>
      <c r="D1255" s="2">
        <f>DATE(2020,5,7)+TIME(15,22,43)</f>
        <v>43958.640775462962</v>
      </c>
    </row>
    <row r="1256" spans="1:4" ht="17">
      <c r="A1256" s="5" t="s">
        <v>269</v>
      </c>
      <c r="B1256" s="5" t="s">
        <v>1534</v>
      </c>
      <c r="C1256" s="5" t="s">
        <v>8349</v>
      </c>
      <c r="D1256" s="2">
        <f>DATE(2020,5,18)+TIME(11,32,44)</f>
        <v>43969.481064814812</v>
      </c>
    </row>
    <row r="1257" spans="1:4" ht="17">
      <c r="A1257" s="5" t="s">
        <v>269</v>
      </c>
      <c r="B1257" s="5" t="s">
        <v>123</v>
      </c>
      <c r="C1257" s="5" t="s">
        <v>3770</v>
      </c>
      <c r="D1257" s="2">
        <f>DATE(2020,5,30)+TIME(12,16,57)</f>
        <v>43981.511770833335</v>
      </c>
    </row>
    <row r="1258" spans="1:4" ht="17">
      <c r="A1258" s="4" t="s">
        <v>269</v>
      </c>
      <c r="B1258" s="4" t="s">
        <v>270</v>
      </c>
      <c r="C1258" s="4" t="s">
        <v>271</v>
      </c>
      <c r="D1258" s="1">
        <f>DATE(2020,6,2)+TIME(11,14,4)</f>
        <v>43984.468101851853</v>
      </c>
    </row>
    <row r="1259" spans="1:4" ht="17">
      <c r="A1259" s="5" t="s">
        <v>269</v>
      </c>
      <c r="B1259" s="5" t="s">
        <v>254</v>
      </c>
      <c r="C1259" s="5" t="s">
        <v>1086</v>
      </c>
      <c r="D1259" s="2">
        <f>DATE(2020,6,16)+TIME(18,44,22)</f>
        <v>43998.780810185184</v>
      </c>
    </row>
    <row r="1260" spans="1:4" ht="17">
      <c r="A1260" s="4" t="s">
        <v>269</v>
      </c>
      <c r="B1260" s="4" t="s">
        <v>715</v>
      </c>
      <c r="C1260" s="4" t="s">
        <v>716</v>
      </c>
      <c r="D1260" s="1">
        <f>DATE(2020,6,29)+TIME(9,19,55)</f>
        <v>44011.388831018521</v>
      </c>
    </row>
    <row r="1261" spans="1:4" ht="17">
      <c r="A1261" s="4" t="s">
        <v>3209</v>
      </c>
      <c r="B1261" s="4" t="s">
        <v>4722</v>
      </c>
      <c r="C1261" s="4" t="s">
        <v>4723</v>
      </c>
      <c r="D1261" s="1">
        <f>DATE(2020,6,15)+TIME(10,38,24)</f>
        <v>43997.443333333336</v>
      </c>
    </row>
    <row r="1262" spans="1:4" ht="17">
      <c r="A1262" s="5" t="s">
        <v>3209</v>
      </c>
      <c r="B1262" s="5" t="s">
        <v>3210</v>
      </c>
      <c r="C1262" s="5" t="s">
        <v>3211</v>
      </c>
      <c r="D1262" s="2">
        <f>DATE(2020,6,17)+TIME(14,0,18)</f>
        <v>43999.583541666667</v>
      </c>
    </row>
    <row r="1263" spans="1:4" ht="17">
      <c r="A1263" s="5" t="s">
        <v>5559</v>
      </c>
      <c r="B1263" s="5" t="s">
        <v>5560</v>
      </c>
      <c r="C1263" s="5" t="s">
        <v>5561</v>
      </c>
      <c r="D1263" s="2">
        <f>DATE(2020,6,23)+TIME(15,33,48)</f>
        <v>44005.648472222223</v>
      </c>
    </row>
    <row r="1264" spans="1:4" ht="17">
      <c r="A1264" s="4" t="s">
        <v>7384</v>
      </c>
      <c r="B1264" s="4" t="s">
        <v>7385</v>
      </c>
      <c r="C1264" s="4" t="s">
        <v>7386</v>
      </c>
      <c r="D1264" s="1">
        <f>DATE(2020,5,29)+TIME(8,57,1)</f>
        <v>43980.372928240744</v>
      </c>
    </row>
    <row r="1265" spans="1:4" ht="17">
      <c r="A1265" s="5" t="s">
        <v>3988</v>
      </c>
      <c r="B1265" s="5" t="s">
        <v>614</v>
      </c>
      <c r="C1265" s="5" t="s">
        <v>3989</v>
      </c>
      <c r="D1265" s="2">
        <f>DATE(2020,6,24)+TIME(8,41,44)</f>
        <v>44006.362314814818</v>
      </c>
    </row>
    <row r="1266" spans="1:4" ht="17">
      <c r="A1266" s="4" t="s">
        <v>3988</v>
      </c>
      <c r="B1266" s="4" t="s">
        <v>4024</v>
      </c>
      <c r="C1266" s="4" t="s">
        <v>4025</v>
      </c>
      <c r="D1266" s="1">
        <f>DATE(2020,6,24)+TIME(15,26,43)</f>
        <v>44006.643553240741</v>
      </c>
    </row>
    <row r="1267" spans="1:4" ht="17">
      <c r="A1267" s="5" t="s">
        <v>2744</v>
      </c>
      <c r="B1267" s="5" t="s">
        <v>2745</v>
      </c>
      <c r="C1267" s="5" t="s">
        <v>2746</v>
      </c>
      <c r="D1267" s="2">
        <f>DATE(2020,6,28)+TIME(17,17,44)</f>
        <v>44010.720648148148</v>
      </c>
    </row>
    <row r="1268" spans="1:4" ht="17">
      <c r="A1268" s="5" t="s">
        <v>2722</v>
      </c>
      <c r="B1268" s="5" t="s">
        <v>2723</v>
      </c>
      <c r="C1268" s="5" t="s">
        <v>2724</v>
      </c>
      <c r="D1268" s="2">
        <f>DATE(2020,6,26)+TIME(2,36,5)</f>
        <v>44008.108391203707</v>
      </c>
    </row>
    <row r="1269" spans="1:4" ht="17">
      <c r="A1269" s="4" t="s">
        <v>6684</v>
      </c>
      <c r="B1269" s="4" t="s">
        <v>6685</v>
      </c>
      <c r="C1269" s="4" t="s">
        <v>6686</v>
      </c>
      <c r="D1269" s="1">
        <f>DATE(2020,5,18)+TIME(9,54,34)</f>
        <v>43969.412893518522</v>
      </c>
    </row>
    <row r="1270" spans="1:4" ht="17">
      <c r="A1270" s="5" t="s">
        <v>6760</v>
      </c>
      <c r="B1270" s="5" t="s">
        <v>6761</v>
      </c>
      <c r="C1270" s="5" t="s">
        <v>6762</v>
      </c>
      <c r="D1270" s="2">
        <f>DATE(2020,6,4)+TIME(16,44,48)</f>
        <v>43986.697777777779</v>
      </c>
    </row>
    <row r="1271" spans="1:4" ht="17">
      <c r="A1271" s="5" t="s">
        <v>3524</v>
      </c>
      <c r="B1271" s="5" t="s">
        <v>3525</v>
      </c>
      <c r="C1271" s="5" t="s">
        <v>3526</v>
      </c>
      <c r="D1271" s="2">
        <f>DATE(2020,6,26)+TIME(11,13,13)</f>
        <v>44008.467511574076</v>
      </c>
    </row>
    <row r="1272" spans="1:4" ht="17">
      <c r="A1272" s="4" t="s">
        <v>7837</v>
      </c>
      <c r="B1272" s="4" t="s">
        <v>7838</v>
      </c>
      <c r="C1272" s="4" t="s">
        <v>7839</v>
      </c>
      <c r="D1272" s="1">
        <f>DATE(2020,5,19)+TIME(2,34,12)</f>
        <v>43970.107083333336</v>
      </c>
    </row>
    <row r="1273" spans="1:4" ht="17">
      <c r="A1273" s="4" t="s">
        <v>4393</v>
      </c>
      <c r="B1273" s="4" t="s">
        <v>4394</v>
      </c>
      <c r="C1273" s="4" t="s">
        <v>4395</v>
      </c>
      <c r="D1273" s="1">
        <f>DATE(2020,5,15)+TIME(15,48,47)</f>
        <v>43966.658877314818</v>
      </c>
    </row>
    <row r="1274" spans="1:4" ht="17">
      <c r="A1274" s="4" t="s">
        <v>8673</v>
      </c>
      <c r="B1274" s="4" t="s">
        <v>8673</v>
      </c>
      <c r="C1274" s="4" t="s">
        <v>8674</v>
      </c>
      <c r="D1274" s="1">
        <f>DATE(2020,6,22)+TIME(4,33,0)</f>
        <v>44004.189583333333</v>
      </c>
    </row>
    <row r="1275" spans="1:4" ht="17">
      <c r="A1275" s="5" t="s">
        <v>1349</v>
      </c>
      <c r="B1275" s="5" t="s">
        <v>1350</v>
      </c>
      <c r="C1275" s="5" t="s">
        <v>1351</v>
      </c>
      <c r="D1275" s="2">
        <f>DATE(2020,6,25)+TIME(2,22,14)</f>
        <v>44007.098773148151</v>
      </c>
    </row>
    <row r="1276" spans="1:4" ht="17">
      <c r="A1276" s="5" t="s">
        <v>6236</v>
      </c>
      <c r="B1276" s="5" t="s">
        <v>6706</v>
      </c>
      <c r="C1276" s="5" t="s">
        <v>6707</v>
      </c>
      <c r="D1276" s="2">
        <f>DATE(2020,6,18)+TIME(10,40,58)</f>
        <v>44000.445115740738</v>
      </c>
    </row>
    <row r="1277" spans="1:4" ht="17">
      <c r="A1277" s="4" t="s">
        <v>1536</v>
      </c>
      <c r="B1277" s="4" t="s">
        <v>7988</v>
      </c>
      <c r="C1277" s="4" t="s">
        <v>7989</v>
      </c>
      <c r="D1277" s="1">
        <f>DATE(2020,6,24)+TIME(12,56,32)</f>
        <v>44006.539259259262</v>
      </c>
    </row>
    <row r="1278" spans="1:4" ht="17">
      <c r="A1278" s="5" t="s">
        <v>785</v>
      </c>
      <c r="B1278" s="5" t="s">
        <v>786</v>
      </c>
      <c r="C1278" s="5" t="s">
        <v>787</v>
      </c>
      <c r="D1278" s="2">
        <f>DATE(2020,5,14)+TIME(4,28,32)</f>
        <v>43965.186481481483</v>
      </c>
    </row>
    <row r="1279" spans="1:4" ht="17">
      <c r="A1279" s="5" t="s">
        <v>3312</v>
      </c>
      <c r="B1279" s="5" t="s">
        <v>3313</v>
      </c>
      <c r="C1279" s="5" t="s">
        <v>3314</v>
      </c>
      <c r="D1279" s="2">
        <f>DATE(2020,6,12)+TIME(19,43,18)</f>
        <v>43994.821736111109</v>
      </c>
    </row>
    <row r="1280" spans="1:4" ht="17">
      <c r="A1280" s="5" t="s">
        <v>785</v>
      </c>
      <c r="B1280" s="5" t="s">
        <v>8107</v>
      </c>
      <c r="C1280" s="5" t="s">
        <v>8108</v>
      </c>
      <c r="D1280" s="2">
        <f>DATE(2020,6,24)+TIME(0,42,0)</f>
        <v>44006.029166666667</v>
      </c>
    </row>
    <row r="1281" spans="1:4" ht="17">
      <c r="A1281" s="5" t="s">
        <v>785</v>
      </c>
      <c r="B1281" s="5" t="s">
        <v>8840</v>
      </c>
      <c r="C1281" s="5" t="s">
        <v>8841</v>
      </c>
      <c r="D1281" s="2">
        <f>DATE(2020,6,25)+TIME(2,46,19)</f>
        <v>44007.115497685183</v>
      </c>
    </row>
    <row r="1282" spans="1:4" ht="17">
      <c r="A1282" s="4" t="s">
        <v>1943</v>
      </c>
      <c r="B1282" s="4" t="s">
        <v>1944</v>
      </c>
      <c r="C1282" s="4" t="s">
        <v>1945</v>
      </c>
      <c r="D1282" s="1">
        <f>DATE(2020,5,5)+TIME(15,29,53)</f>
        <v>43956.645752314813</v>
      </c>
    </row>
    <row r="1283" spans="1:4" ht="17">
      <c r="A1283" s="5" t="s">
        <v>9486</v>
      </c>
      <c r="B1283" s="5" t="s">
        <v>9487</v>
      </c>
      <c r="C1283" s="5" t="s">
        <v>9488</v>
      </c>
      <c r="D1283" s="2">
        <f>DATE(2020,6,18)+TIME(7,26,15)</f>
        <v>44000.309895833336</v>
      </c>
    </row>
    <row r="1284" spans="1:4" ht="17">
      <c r="A1284" s="4" t="s">
        <v>8430</v>
      </c>
      <c r="B1284" s="4" t="s">
        <v>8431</v>
      </c>
      <c r="C1284" s="4" t="s">
        <v>8432</v>
      </c>
      <c r="D1284" s="1">
        <f>DATE(2020,6,26)+TIME(15,21,51)</f>
        <v>44008.640173611115</v>
      </c>
    </row>
    <row r="1285" spans="1:4" ht="17">
      <c r="A1285" s="5" t="s">
        <v>3566</v>
      </c>
      <c r="B1285" s="5" t="s">
        <v>3567</v>
      </c>
      <c r="C1285" s="5" t="s">
        <v>3568</v>
      </c>
      <c r="D1285" s="2">
        <f>DATE(2020,5,15)+TIME(16,54,9)</f>
        <v>43966.704270833332</v>
      </c>
    </row>
    <row r="1286" spans="1:4" ht="17">
      <c r="A1286" s="4" t="s">
        <v>643</v>
      </c>
      <c r="B1286" s="4" t="s">
        <v>644</v>
      </c>
      <c r="C1286" s="4" t="s">
        <v>645</v>
      </c>
      <c r="D1286" s="1">
        <f>DATE(2020,6,19)+TIME(4,21,53)</f>
        <v>44001.181863425925</v>
      </c>
    </row>
    <row r="1287" spans="1:4" ht="17">
      <c r="A1287" s="4" t="s">
        <v>7797</v>
      </c>
      <c r="B1287" s="4" t="s">
        <v>7798</v>
      </c>
      <c r="C1287" s="4" t="s">
        <v>7799</v>
      </c>
      <c r="D1287" s="1">
        <f>DATE(2020,5,22)+TIME(7,30,32)</f>
        <v>43973.31287037037</v>
      </c>
    </row>
    <row r="1288" spans="1:4" ht="17">
      <c r="A1288" s="5" t="s">
        <v>4787</v>
      </c>
      <c r="B1288" s="5" t="s">
        <v>4788</v>
      </c>
      <c r="C1288" s="5" t="s">
        <v>4789</v>
      </c>
      <c r="D1288" s="2">
        <f>DATE(2020,5,7)+TIME(2,52,23)</f>
        <v>43958.119710648149</v>
      </c>
    </row>
    <row r="1289" spans="1:4" ht="17">
      <c r="A1289" s="5" t="s">
        <v>3800</v>
      </c>
      <c r="B1289" s="5" t="s">
        <v>3801</v>
      </c>
      <c r="C1289" s="5" t="s">
        <v>3802</v>
      </c>
      <c r="D1289" s="2">
        <f>DATE(2020,5,6)+TIME(7,37,22)</f>
        <v>43957.317615740743</v>
      </c>
    </row>
    <row r="1290" spans="1:4" ht="17">
      <c r="A1290" s="5" t="s">
        <v>7863</v>
      </c>
      <c r="B1290" s="5" t="s">
        <v>4560</v>
      </c>
      <c r="C1290" s="5" t="s">
        <v>7864</v>
      </c>
      <c r="D1290" s="2">
        <f>DATE(2020,6,25)+TIME(14,0,53)</f>
        <v>44007.58394675926</v>
      </c>
    </row>
    <row r="1291" spans="1:4" ht="17">
      <c r="A1291" s="5" t="s">
        <v>922</v>
      </c>
      <c r="B1291" s="5" t="s">
        <v>922</v>
      </c>
      <c r="C1291" s="5" t="s">
        <v>923</v>
      </c>
      <c r="D1291" s="2">
        <f>DATE(2020,6,19)+TIME(10,25,10)</f>
        <v>44001.43414351852</v>
      </c>
    </row>
    <row r="1292" spans="1:4" ht="17">
      <c r="A1292" s="4" t="s">
        <v>5842</v>
      </c>
      <c r="B1292" s="4" t="s">
        <v>5843</v>
      </c>
      <c r="C1292" s="4" t="s">
        <v>5844</v>
      </c>
      <c r="D1292" s="1">
        <f>DATE(2020,6,23)+TIME(17,0,58)</f>
        <v>44005.709004629629</v>
      </c>
    </row>
    <row r="1293" spans="1:4" ht="17">
      <c r="A1293" s="4" t="s">
        <v>8051</v>
      </c>
      <c r="B1293" s="4" t="s">
        <v>8052</v>
      </c>
      <c r="C1293" s="4" t="s">
        <v>8053</v>
      </c>
      <c r="D1293" s="1">
        <f>DATE(2020,6,17)+TIME(11,44,27)</f>
        <v>43999.489201388889</v>
      </c>
    </row>
    <row r="1294" spans="1:4" ht="17">
      <c r="A1294" s="4" t="s">
        <v>9523</v>
      </c>
      <c r="B1294" s="4" t="s">
        <v>9524</v>
      </c>
      <c r="C1294" s="4" t="s">
        <v>9525</v>
      </c>
      <c r="D1294" s="1">
        <f>DATE(2020,5,6)+TIME(13,12,48)</f>
        <v>43957.550555555557</v>
      </c>
    </row>
    <row r="1295" spans="1:4" ht="17">
      <c r="A1295" s="4" t="s">
        <v>2415</v>
      </c>
      <c r="B1295" s="4" t="s">
        <v>4482</v>
      </c>
      <c r="C1295" s="4" t="s">
        <v>6222</v>
      </c>
      <c r="D1295" s="1">
        <f>DATE(2020,5,13)+TIME(21,42,12)</f>
        <v>43964.904305555552</v>
      </c>
    </row>
    <row r="1296" spans="1:4" ht="17">
      <c r="A1296" s="4" t="s">
        <v>2415</v>
      </c>
      <c r="B1296" s="4" t="s">
        <v>4482</v>
      </c>
      <c r="C1296" s="4" t="s">
        <v>4483</v>
      </c>
      <c r="D1296" s="1">
        <f>DATE(2020,6,13)+TIME(12,31,33)</f>
        <v>43995.521909722222</v>
      </c>
    </row>
    <row r="1297" spans="1:4" ht="17">
      <c r="A1297" s="5" t="s">
        <v>2415</v>
      </c>
      <c r="B1297" s="5" t="s">
        <v>6177</v>
      </c>
      <c r="C1297" s="5" t="s">
        <v>6178</v>
      </c>
      <c r="D1297" s="2">
        <f>DATE(2020,6,23)+TIME(11,19,33)</f>
        <v>44005.471909722219</v>
      </c>
    </row>
    <row r="1298" spans="1:4" ht="17">
      <c r="A1298" s="4" t="s">
        <v>2415</v>
      </c>
      <c r="B1298" s="4" t="s">
        <v>2416</v>
      </c>
      <c r="C1298" s="4" t="s">
        <v>2417</v>
      </c>
      <c r="D1298" s="1">
        <f>DATE(2020,6,24)+TIME(12,23,19)</f>
        <v>44006.516192129631</v>
      </c>
    </row>
    <row r="1299" spans="1:4" ht="17">
      <c r="A1299" s="4" t="s">
        <v>2415</v>
      </c>
      <c r="B1299" s="4" t="s">
        <v>8614</v>
      </c>
      <c r="C1299" s="4" t="s">
        <v>8615</v>
      </c>
      <c r="D1299" s="1">
        <f>DATE(2020,6,25)+TIME(0,19,53)</f>
        <v>44007.013807870368</v>
      </c>
    </row>
    <row r="1300" spans="1:4" ht="17">
      <c r="A1300" s="4" t="s">
        <v>2415</v>
      </c>
      <c r="B1300" s="4" t="s">
        <v>4212</v>
      </c>
      <c r="C1300" s="4" t="s">
        <v>4213</v>
      </c>
      <c r="D1300" s="1">
        <f>DATE(2020,6,27)+TIME(23,54,45)</f>
        <v>44009.996354166666</v>
      </c>
    </row>
    <row r="1301" spans="1:4" ht="17">
      <c r="A1301" s="4" t="s">
        <v>4541</v>
      </c>
      <c r="B1301" s="4" t="s">
        <v>4542</v>
      </c>
      <c r="C1301" s="4" t="s">
        <v>4543</v>
      </c>
      <c r="D1301" s="1">
        <f>DATE(2020,6,18)+TIME(23,43,55)</f>
        <v>44000.98883101852</v>
      </c>
    </row>
    <row r="1302" spans="1:4" ht="17">
      <c r="A1302" s="4" t="s">
        <v>1813</v>
      </c>
      <c r="B1302" s="4" t="s">
        <v>1814</v>
      </c>
      <c r="C1302" s="4" t="s">
        <v>1815</v>
      </c>
      <c r="D1302" s="1">
        <f>DATE(2020,5,5)+TIME(22,58,2)</f>
        <v>43956.956967592596</v>
      </c>
    </row>
    <row r="1303" spans="1:4" ht="17">
      <c r="A1303" s="4" t="s">
        <v>5248</v>
      </c>
      <c r="B1303" s="4" t="s">
        <v>5248</v>
      </c>
      <c r="C1303" s="4" t="s">
        <v>5249</v>
      </c>
      <c r="D1303" s="1">
        <f>DATE(2020,6,23)+TIME(15,21,16)</f>
        <v>44005.639768518522</v>
      </c>
    </row>
    <row r="1304" spans="1:4" ht="17">
      <c r="A1304" s="4" t="s">
        <v>2185</v>
      </c>
      <c r="B1304" s="4" t="s">
        <v>2186</v>
      </c>
      <c r="C1304" s="4" t="s">
        <v>2187</v>
      </c>
      <c r="D1304" s="1">
        <f>DATE(2020,5,5)+TIME(16,15,51)</f>
        <v>43956.677673611113</v>
      </c>
    </row>
    <row r="1305" spans="1:4" ht="17">
      <c r="A1305" s="4" t="s">
        <v>2185</v>
      </c>
      <c r="B1305" s="4" t="s">
        <v>9269</v>
      </c>
      <c r="C1305" s="4" t="s">
        <v>9270</v>
      </c>
      <c r="D1305" s="1">
        <f>DATE(2020,6,26)+TIME(1,45,15)</f>
        <v>44008.07309027778</v>
      </c>
    </row>
    <row r="1306" spans="1:4" ht="17">
      <c r="A1306" s="5" t="s">
        <v>1607</v>
      </c>
      <c r="B1306" s="5" t="s">
        <v>1608</v>
      </c>
      <c r="C1306" s="5" t="s">
        <v>1609</v>
      </c>
      <c r="D1306" s="2">
        <f>DATE(2020,6,20)+TIME(5,8,30)</f>
        <v>44002.214236111111</v>
      </c>
    </row>
    <row r="1307" spans="1:4" ht="17">
      <c r="A1307" s="4" t="s">
        <v>57</v>
      </c>
      <c r="B1307" s="4" t="s">
        <v>6079</v>
      </c>
      <c r="C1307" s="4" t="s">
        <v>6080</v>
      </c>
      <c r="D1307" s="1">
        <f>DATE(2020,5,8)+TIME(19,24,0)</f>
        <v>43959.808333333334</v>
      </c>
    </row>
    <row r="1308" spans="1:4" ht="17">
      <c r="A1308" s="5" t="s">
        <v>57</v>
      </c>
      <c r="B1308" s="5" t="s">
        <v>1708</v>
      </c>
      <c r="C1308" s="5" t="s">
        <v>1709</v>
      </c>
      <c r="D1308" s="2">
        <f>DATE(2020,6,10)+TIME(19,15,19)</f>
        <v>43992.802303240744</v>
      </c>
    </row>
    <row r="1309" spans="1:4" ht="17">
      <c r="A1309" s="4" t="s">
        <v>57</v>
      </c>
      <c r="B1309" s="4" t="s">
        <v>9503</v>
      </c>
      <c r="C1309" s="4" t="s">
        <v>9504</v>
      </c>
      <c r="D1309" s="1">
        <f>DATE(2020,6,23)+TIME(13,38,15)</f>
        <v>44005.568229166667</v>
      </c>
    </row>
    <row r="1310" spans="1:4" ht="17">
      <c r="A1310" s="5" t="s">
        <v>57</v>
      </c>
      <c r="B1310" s="5" t="s">
        <v>58</v>
      </c>
      <c r="C1310" s="5" t="s">
        <v>59</v>
      </c>
      <c r="D1310" s="2">
        <f>DATE(2020,6,26)+TIME(13,20,58)</f>
        <v>44008.556226851855</v>
      </c>
    </row>
    <row r="1311" spans="1:4" ht="17">
      <c r="A1311" s="4" t="s">
        <v>6</v>
      </c>
      <c r="B1311" s="4" t="s">
        <v>7</v>
      </c>
      <c r="C1311" s="4" t="s">
        <v>8</v>
      </c>
      <c r="D1311" s="1">
        <f>DATE(2020,5,14)+TIME(4,19,9)</f>
        <v>43965.179965277777</v>
      </c>
    </row>
    <row r="1312" spans="1:4" ht="17">
      <c r="A1312" s="4" t="s">
        <v>1627</v>
      </c>
      <c r="B1312" s="4" t="s">
        <v>1628</v>
      </c>
      <c r="C1312" s="4" t="s">
        <v>1629</v>
      </c>
      <c r="D1312" s="1">
        <f>DATE(2020,5,6)+TIME(10,33,27)</f>
        <v>43957.439895833333</v>
      </c>
    </row>
    <row r="1313" spans="1:4" ht="17">
      <c r="A1313" s="4" t="s">
        <v>7015</v>
      </c>
      <c r="B1313" s="4" t="s">
        <v>1025</v>
      </c>
      <c r="C1313" s="4" t="s">
        <v>8520</v>
      </c>
      <c r="D1313" s="1">
        <f>DATE(2020,2,6)+TIME(15,34,1)</f>
        <v>43867.648622685185</v>
      </c>
    </row>
    <row r="1314" spans="1:4" ht="17">
      <c r="A1314" s="4" t="s">
        <v>7015</v>
      </c>
      <c r="B1314" s="4" t="s">
        <v>7228</v>
      </c>
      <c r="C1314" s="4" t="s">
        <v>7229</v>
      </c>
      <c r="D1314" s="1">
        <f>DATE(2020,3,30)+TIME(14,28,46)</f>
        <v>43920.603310185186</v>
      </c>
    </row>
    <row r="1315" spans="1:4" ht="17">
      <c r="A1315" s="4" t="s">
        <v>7015</v>
      </c>
      <c r="B1315" s="4" t="s">
        <v>5526</v>
      </c>
      <c r="C1315" s="4" t="s">
        <v>7016</v>
      </c>
      <c r="D1315" s="1">
        <f>DATE(2020,6,26)+TIME(12,41,47)</f>
        <v>44008.529016203705</v>
      </c>
    </row>
    <row r="1316" spans="1:4" ht="17">
      <c r="A1316" s="4" t="s">
        <v>2317</v>
      </c>
      <c r="B1316" s="4" t="s">
        <v>2318</v>
      </c>
      <c r="C1316" s="4" t="s">
        <v>2319</v>
      </c>
      <c r="D1316" s="1">
        <f>DATE(2020,5,5)+TIME(19,29,33)</f>
        <v>43956.8121875</v>
      </c>
    </row>
    <row r="1317" spans="1:4" ht="17">
      <c r="A1317" s="5" t="s">
        <v>3128</v>
      </c>
      <c r="B1317" s="5" t="s">
        <v>3129</v>
      </c>
      <c r="C1317" s="5" t="s">
        <v>3130</v>
      </c>
      <c r="D1317" s="2">
        <f>DATE(2020,6,29)+TIME(13,3,18)</f>
        <v>44011.543958333335</v>
      </c>
    </row>
    <row r="1318" spans="1:4" ht="17">
      <c r="A1318" s="5" t="s">
        <v>7665</v>
      </c>
      <c r="B1318" s="5" t="s">
        <v>7666</v>
      </c>
      <c r="C1318" s="5" t="s">
        <v>7667</v>
      </c>
      <c r="D1318" s="2">
        <f>DATE(2020,6,25)+TIME(10,58,31)</f>
        <v>44007.457303240742</v>
      </c>
    </row>
    <row r="1319" spans="1:4" ht="17">
      <c r="A1319" s="5" t="s">
        <v>2266</v>
      </c>
      <c r="B1319" s="5" t="s">
        <v>2267</v>
      </c>
      <c r="C1319" s="5" t="s">
        <v>2268</v>
      </c>
      <c r="D1319" s="2">
        <f>DATE(2020,5,14)+TIME(16,59,37)</f>
        <v>43965.708067129628</v>
      </c>
    </row>
    <row r="1320" spans="1:4" ht="17">
      <c r="A1320" s="4" t="s">
        <v>1377</v>
      </c>
      <c r="B1320" s="4" t="s">
        <v>3893</v>
      </c>
      <c r="C1320" s="4" t="s">
        <v>3894</v>
      </c>
      <c r="D1320" s="1">
        <f>DATE(2020,5,5)+TIME(15,44,59)</f>
        <v>43956.656238425923</v>
      </c>
    </row>
    <row r="1321" spans="1:4" ht="17">
      <c r="A1321" s="5" t="s">
        <v>1377</v>
      </c>
      <c r="B1321" s="5" t="s">
        <v>2002</v>
      </c>
      <c r="C1321" s="5" t="s">
        <v>2003</v>
      </c>
      <c r="D1321" s="2">
        <f>DATE(2020,5,5)+TIME(16,31,23)</f>
        <v>43956.688460648147</v>
      </c>
    </row>
    <row r="1322" spans="1:4" ht="17">
      <c r="A1322" s="4" t="s">
        <v>1377</v>
      </c>
      <c r="B1322" s="4" t="s">
        <v>413</v>
      </c>
      <c r="C1322" s="4" t="s">
        <v>9594</v>
      </c>
      <c r="D1322" s="1">
        <f>DATE(2020,5,13)+TIME(12,55,46)</f>
        <v>43964.538726851853</v>
      </c>
    </row>
    <row r="1323" spans="1:4" ht="17">
      <c r="A1323" s="4" t="s">
        <v>1377</v>
      </c>
      <c r="B1323" s="4" t="s">
        <v>3120</v>
      </c>
      <c r="C1323" s="4" t="s">
        <v>3121</v>
      </c>
      <c r="D1323" s="1">
        <f>DATE(2020,5,15)+TIME(10,48,9)</f>
        <v>43966.450104166666</v>
      </c>
    </row>
    <row r="1324" spans="1:4" ht="17">
      <c r="A1324" s="4" t="s">
        <v>1377</v>
      </c>
      <c r="B1324" s="4" t="s">
        <v>2173</v>
      </c>
      <c r="C1324" s="4" t="s">
        <v>2174</v>
      </c>
      <c r="D1324" s="1">
        <f>DATE(2020,5,26)+TIME(15,28,48)</f>
        <v>43977.644999999997</v>
      </c>
    </row>
    <row r="1325" spans="1:4" ht="17">
      <c r="A1325" s="5" t="s">
        <v>1377</v>
      </c>
      <c r="B1325" s="5" t="s">
        <v>1664</v>
      </c>
      <c r="C1325" s="5" t="s">
        <v>2481</v>
      </c>
      <c r="D1325" s="2">
        <f>DATE(2020,5,28)+TIME(18,0,59)</f>
        <v>43979.75068287037</v>
      </c>
    </row>
    <row r="1326" spans="1:4" ht="17">
      <c r="A1326" s="5" t="s">
        <v>1377</v>
      </c>
      <c r="B1326" s="5" t="s">
        <v>6505</v>
      </c>
      <c r="C1326" s="5" t="s">
        <v>6506</v>
      </c>
      <c r="D1326" s="2">
        <f>DATE(2020,6,3)+TIME(0,59,33)</f>
        <v>43985.041354166664</v>
      </c>
    </row>
    <row r="1327" spans="1:4" ht="17">
      <c r="A1327" s="5" t="s">
        <v>1377</v>
      </c>
      <c r="B1327" s="5" t="s">
        <v>4296</v>
      </c>
      <c r="C1327" s="5" t="s">
        <v>4297</v>
      </c>
      <c r="D1327" s="2">
        <f>DATE(2020,6,11)+TIME(14,57,22)</f>
        <v>43993.623171296298</v>
      </c>
    </row>
    <row r="1328" spans="1:4" ht="17">
      <c r="A1328" s="5" t="s">
        <v>1377</v>
      </c>
      <c r="B1328" s="5" t="s">
        <v>1257</v>
      </c>
      <c r="C1328" s="5" t="s">
        <v>1378</v>
      </c>
      <c r="D1328" s="2">
        <f>DATE(2020,6,25)+TIME(7,30,38)</f>
        <v>44007.312939814816</v>
      </c>
    </row>
    <row r="1329" spans="1:4" ht="17">
      <c r="A1329" s="4" t="s">
        <v>1377</v>
      </c>
      <c r="B1329" s="4" t="s">
        <v>3142</v>
      </c>
      <c r="C1329" s="4" t="s">
        <v>3143</v>
      </c>
      <c r="D1329" s="1">
        <f>DATE(2020,6,25)+TIME(10,41,0)</f>
        <v>44007.445138888892</v>
      </c>
    </row>
    <row r="1330" spans="1:4" ht="17">
      <c r="A1330" s="5" t="s">
        <v>1377</v>
      </c>
      <c r="B1330" s="5" t="s">
        <v>5366</v>
      </c>
      <c r="C1330" s="5" t="s">
        <v>5367</v>
      </c>
      <c r="D1330" s="2">
        <f>DATE(2020,6,25)+TIME(10,41,24)</f>
        <v>44007.445416666669</v>
      </c>
    </row>
    <row r="1331" spans="1:4" ht="17">
      <c r="A1331" s="5" t="s">
        <v>2058</v>
      </c>
      <c r="B1331" s="5" t="s">
        <v>704</v>
      </c>
      <c r="C1331" s="5" t="s">
        <v>2059</v>
      </c>
      <c r="D1331" s="2">
        <f>DATE(2020,6,14)+TIME(17,33,58)</f>
        <v>43996.731921296298</v>
      </c>
    </row>
    <row r="1332" spans="1:4" ht="17">
      <c r="A1332" s="4" t="s">
        <v>7688</v>
      </c>
      <c r="B1332" s="4" t="s">
        <v>4212</v>
      </c>
      <c r="C1332" s="4" t="s">
        <v>7689</v>
      </c>
      <c r="D1332" s="1">
        <f>DATE(2020,6,25)+TIME(18,38,13)</f>
        <v>44007.776539351849</v>
      </c>
    </row>
    <row r="1333" spans="1:4" ht="17">
      <c r="A1333" s="5" t="s">
        <v>2615</v>
      </c>
      <c r="B1333" s="5" t="s">
        <v>2616</v>
      </c>
      <c r="C1333" s="5" t="s">
        <v>2617</v>
      </c>
      <c r="D1333" s="2">
        <f>DATE(2020,5,28)+TIME(15,41,30)</f>
        <v>43979.653819444444</v>
      </c>
    </row>
    <row r="1334" spans="1:4" ht="17">
      <c r="A1334" s="4" t="s">
        <v>2615</v>
      </c>
      <c r="B1334" s="4" t="s">
        <v>9106</v>
      </c>
      <c r="C1334" s="4" t="s">
        <v>9107</v>
      </c>
      <c r="D1334" s="1">
        <f>DATE(2020,6,22)+TIME(16,33,57)</f>
        <v>44004.690243055556</v>
      </c>
    </row>
    <row r="1335" spans="1:4" ht="17">
      <c r="A1335" s="4" t="s">
        <v>2615</v>
      </c>
      <c r="B1335" s="4" t="s">
        <v>3950</v>
      </c>
      <c r="C1335" s="4" t="s">
        <v>3951</v>
      </c>
      <c r="D1335" s="1">
        <f>DATE(2020,6,27)+TIME(12,37,2)</f>
        <v>44009.525717592594</v>
      </c>
    </row>
    <row r="1336" spans="1:4" ht="17">
      <c r="A1336" s="4" t="s">
        <v>2615</v>
      </c>
      <c r="B1336" s="4" t="s">
        <v>4321</v>
      </c>
      <c r="C1336" s="4" t="s">
        <v>9465</v>
      </c>
      <c r="D1336" s="1">
        <f>DATE(2020,6,29)+TIME(14,32,26)</f>
        <v>44011.605856481481</v>
      </c>
    </row>
    <row r="1337" spans="1:4" ht="17">
      <c r="A1337" s="4" t="s">
        <v>8027</v>
      </c>
      <c r="B1337" s="4" t="s">
        <v>4289</v>
      </c>
      <c r="C1337" s="4" t="s">
        <v>8028</v>
      </c>
      <c r="D1337" s="1">
        <f>DATE(2020,5,14)+TIME(11,3,5)</f>
        <v>43965.460474537038</v>
      </c>
    </row>
    <row r="1338" spans="1:4" ht="17">
      <c r="A1338" s="5" t="s">
        <v>2716</v>
      </c>
      <c r="B1338" s="5" t="s">
        <v>2717</v>
      </c>
      <c r="C1338" s="5" t="s">
        <v>2718</v>
      </c>
      <c r="D1338" s="2">
        <f>DATE(2020,4,4)+TIME(22,50,32)</f>
        <v>43925.95175925926</v>
      </c>
    </row>
    <row r="1339" spans="1:4" ht="17">
      <c r="A1339" s="5" t="s">
        <v>8822</v>
      </c>
      <c r="B1339" s="5" t="s">
        <v>8823</v>
      </c>
      <c r="C1339" s="5" t="s">
        <v>8824</v>
      </c>
      <c r="D1339" s="2">
        <f>DATE(2020,6,24)+TIME(8,55,4)</f>
        <v>44006.371574074074</v>
      </c>
    </row>
    <row r="1340" spans="1:4" ht="17">
      <c r="A1340" s="4" t="s">
        <v>4695</v>
      </c>
      <c r="B1340" s="4" t="s">
        <v>4696</v>
      </c>
      <c r="C1340" s="4" t="s">
        <v>4697</v>
      </c>
      <c r="D1340" s="1">
        <f>DATE(2020,6,27)+TIME(1,26,51)</f>
        <v>44009.060312499998</v>
      </c>
    </row>
    <row r="1341" spans="1:4" ht="17">
      <c r="A1341" s="4" t="s">
        <v>6050</v>
      </c>
      <c r="B1341" s="4" t="s">
        <v>6051</v>
      </c>
      <c r="C1341" s="4" t="s">
        <v>6052</v>
      </c>
      <c r="D1341" s="1">
        <f>DATE(2020,5,5)+TIME(19,7,13)</f>
        <v>43956.796678240738</v>
      </c>
    </row>
    <row r="1342" spans="1:4" ht="17">
      <c r="A1342" s="4" t="s">
        <v>3058</v>
      </c>
      <c r="B1342" s="4" t="s">
        <v>5493</v>
      </c>
      <c r="C1342" s="4" t="s">
        <v>5494</v>
      </c>
      <c r="D1342" s="1">
        <f>DATE(2020,5,8)+TIME(16,24,21)</f>
        <v>43959.683576388888</v>
      </c>
    </row>
    <row r="1343" spans="1:4" ht="17">
      <c r="A1343" s="4" t="s">
        <v>3058</v>
      </c>
      <c r="B1343" s="4" t="s">
        <v>8250</v>
      </c>
      <c r="C1343" s="4" t="s">
        <v>8251</v>
      </c>
      <c r="D1343" s="1">
        <f>DATE(2020,5,8)+TIME(16,24,21)</f>
        <v>43959.683576388888</v>
      </c>
    </row>
    <row r="1344" spans="1:4" ht="17">
      <c r="A1344" s="5" t="s">
        <v>3058</v>
      </c>
      <c r="B1344" s="5" t="s">
        <v>718</v>
      </c>
      <c r="C1344" s="5" t="s">
        <v>3059</v>
      </c>
      <c r="D1344" s="2">
        <f>DATE(2020,6,26)+TIME(8,45,15)</f>
        <v>44008.364756944444</v>
      </c>
    </row>
    <row r="1345" spans="1:4" ht="17">
      <c r="A1345" s="4" t="s">
        <v>6294</v>
      </c>
      <c r="B1345" s="4" t="s">
        <v>6295</v>
      </c>
      <c r="C1345" s="4" t="s">
        <v>6296</v>
      </c>
      <c r="D1345" s="1">
        <f>DATE(2020,6,29)+TIME(10,34,56)</f>
        <v>44011.440925925926</v>
      </c>
    </row>
    <row r="1346" spans="1:4" ht="17">
      <c r="A1346" s="4" t="s">
        <v>8668</v>
      </c>
      <c r="B1346" s="4" t="s">
        <v>8669</v>
      </c>
      <c r="C1346" s="4" t="s">
        <v>8670</v>
      </c>
      <c r="D1346" s="1">
        <f>DATE(2020,5,6)+TIME(20,47,59)</f>
        <v>43957.866655092592</v>
      </c>
    </row>
    <row r="1347" spans="1:4" ht="17">
      <c r="A1347" s="4" t="s">
        <v>5099</v>
      </c>
      <c r="B1347" s="4" t="s">
        <v>568</v>
      </c>
      <c r="C1347" s="4" t="s">
        <v>5100</v>
      </c>
      <c r="D1347" s="1">
        <f>DATE(2020,6,27)+TIME(3,9,6)</f>
        <v>44009.131319444445</v>
      </c>
    </row>
    <row r="1348" spans="1:4" ht="17">
      <c r="A1348" s="4" t="s">
        <v>2312</v>
      </c>
      <c r="B1348" s="4" t="s">
        <v>1188</v>
      </c>
      <c r="C1348" s="4" t="s">
        <v>2313</v>
      </c>
      <c r="D1348" s="1">
        <f>DATE(2020,6,24)+TIME(10,39,37)</f>
        <v>44006.444178240738</v>
      </c>
    </row>
    <row r="1349" spans="1:4" ht="17">
      <c r="A1349" s="4" t="s">
        <v>5894</v>
      </c>
      <c r="B1349" s="4" t="s">
        <v>5895</v>
      </c>
      <c r="C1349" s="4" t="s">
        <v>5896</v>
      </c>
      <c r="D1349" s="1">
        <f>DATE(2020,6,29)+TIME(6,1,34)</f>
        <v>44011.251087962963</v>
      </c>
    </row>
    <row r="1350" spans="1:4" ht="17">
      <c r="A1350" s="4" t="s">
        <v>7766</v>
      </c>
      <c r="B1350" s="4" t="s">
        <v>7767</v>
      </c>
      <c r="C1350" s="4" t="s">
        <v>7768</v>
      </c>
      <c r="D1350" s="1">
        <f>DATE(2020,6,24)+TIME(14,10,50)</f>
        <v>44006.590856481482</v>
      </c>
    </row>
    <row r="1351" spans="1:4" ht="17">
      <c r="A1351" s="4" t="s">
        <v>7982</v>
      </c>
      <c r="B1351" s="4" t="s">
        <v>7983</v>
      </c>
      <c r="C1351" s="4" t="s">
        <v>7984</v>
      </c>
      <c r="D1351" s="1">
        <f>DATE(2020,6,18)+TIME(12,28,53)</f>
        <v>44000.520057870373</v>
      </c>
    </row>
    <row r="1352" spans="1:4" ht="17">
      <c r="A1352" s="5" t="s">
        <v>3902</v>
      </c>
      <c r="B1352" s="5" t="s">
        <v>3903</v>
      </c>
      <c r="C1352" s="5" t="s">
        <v>3904</v>
      </c>
      <c r="D1352" s="2">
        <f>DATE(2020,6,29)+TIME(10,4,34)</f>
        <v>44011.41983796296</v>
      </c>
    </row>
    <row r="1353" spans="1:4" ht="17">
      <c r="A1353" s="4" t="s">
        <v>1557</v>
      </c>
      <c r="B1353" s="4" t="s">
        <v>102</v>
      </c>
      <c r="C1353" s="4" t="s">
        <v>8693</v>
      </c>
      <c r="D1353" s="1">
        <f>DATE(2020,5,18)+TIME(16,30,17)</f>
        <v>43969.687696759262</v>
      </c>
    </row>
    <row r="1354" spans="1:4" ht="17">
      <c r="A1354" s="4" t="s">
        <v>1557</v>
      </c>
      <c r="B1354" s="4" t="s">
        <v>1558</v>
      </c>
      <c r="C1354" s="4" t="s">
        <v>1559</v>
      </c>
      <c r="D1354" s="1">
        <f>DATE(2020,5,27)+TIME(15,8,9)</f>
        <v>43978.630659722221</v>
      </c>
    </row>
    <row r="1355" spans="1:4" ht="17">
      <c r="A1355" s="4" t="s">
        <v>1557</v>
      </c>
      <c r="B1355" s="4" t="s">
        <v>4868</v>
      </c>
      <c r="C1355" s="4" t="s">
        <v>4869</v>
      </c>
      <c r="D1355" s="1">
        <f>DATE(2020,6,1)+TIME(17,36,44)</f>
        <v>43983.733842592592</v>
      </c>
    </row>
    <row r="1356" spans="1:4" ht="17">
      <c r="A1356" s="4" t="s">
        <v>1557</v>
      </c>
      <c r="B1356" s="4" t="s">
        <v>1600</v>
      </c>
      <c r="C1356" s="4" t="s">
        <v>1601</v>
      </c>
      <c r="D1356" s="1">
        <f>DATE(2020,6,10)+TIME(11,47,58)</f>
        <v>43992.491643518515</v>
      </c>
    </row>
    <row r="1357" spans="1:4" ht="17">
      <c r="A1357" s="5" t="s">
        <v>1557</v>
      </c>
      <c r="B1357" s="5" t="s">
        <v>4658</v>
      </c>
      <c r="C1357" s="5" t="s">
        <v>4659</v>
      </c>
      <c r="D1357" s="2">
        <f>DATE(2020,6,22)+TIME(12,49,21)</f>
        <v>44004.534270833334</v>
      </c>
    </row>
    <row r="1358" spans="1:4" ht="17">
      <c r="A1358" s="5" t="s">
        <v>1557</v>
      </c>
      <c r="B1358" s="5" t="s">
        <v>3795</v>
      </c>
      <c r="C1358" s="5" t="s">
        <v>3796</v>
      </c>
      <c r="D1358" s="2">
        <f>DATE(2020,6,26)+TIME(22,28,38)</f>
        <v>44008.936550925922</v>
      </c>
    </row>
    <row r="1359" spans="1:4" ht="17">
      <c r="A1359" s="4" t="s">
        <v>9373</v>
      </c>
      <c r="B1359" s="4" t="s">
        <v>9374</v>
      </c>
      <c r="C1359" s="4" t="s">
        <v>9375</v>
      </c>
      <c r="D1359" s="1">
        <f>DATE(2020,6,26)+TIME(8,22,15)</f>
        <v>44008.34878472222</v>
      </c>
    </row>
    <row r="1360" spans="1:4" ht="17">
      <c r="A1360" s="5" t="s">
        <v>1966</v>
      </c>
      <c r="B1360" s="5" t="s">
        <v>633</v>
      </c>
      <c r="C1360" s="5" t="s">
        <v>1967</v>
      </c>
      <c r="D1360" s="2">
        <f>DATE(2020,5,5)+TIME(22,9,8)</f>
        <v>43956.923009259262</v>
      </c>
    </row>
    <row r="1361" spans="1:4" ht="17">
      <c r="A1361" s="5" t="s">
        <v>5773</v>
      </c>
      <c r="B1361" s="5" t="s">
        <v>5774</v>
      </c>
      <c r="C1361" s="5" t="s">
        <v>5775</v>
      </c>
      <c r="D1361" s="2">
        <f>DATE(2020,1,27)+TIME(9,54,19)</f>
        <v>43857.412719907406</v>
      </c>
    </row>
    <row r="1362" spans="1:4" ht="17">
      <c r="A1362" s="4" t="s">
        <v>4760</v>
      </c>
      <c r="B1362" s="4" t="s">
        <v>1241</v>
      </c>
      <c r="C1362" s="4" t="s">
        <v>4761</v>
      </c>
      <c r="D1362" s="1">
        <f>DATE(2020,5,12)+TIME(11,22,3)</f>
        <v>43963.473645833335</v>
      </c>
    </row>
    <row r="1363" spans="1:4" ht="17">
      <c r="A1363" s="4" t="s">
        <v>4425</v>
      </c>
      <c r="B1363" s="4" t="s">
        <v>4426</v>
      </c>
      <c r="C1363" s="4" t="s">
        <v>4427</v>
      </c>
      <c r="D1363" s="1">
        <f>DATE(2020,6,26)+TIME(14,30,39)</f>
        <v>44008.604618055557</v>
      </c>
    </row>
    <row r="1364" spans="1:4" ht="17">
      <c r="A1364" s="4" t="s">
        <v>2679</v>
      </c>
      <c r="B1364" s="4" t="s">
        <v>2680</v>
      </c>
      <c r="C1364" s="4" t="s">
        <v>2681</v>
      </c>
      <c r="D1364" s="1">
        <f>DATE(2020,6,26)+TIME(5,34,21)</f>
        <v>44008.232187499998</v>
      </c>
    </row>
    <row r="1365" spans="1:4" ht="17">
      <c r="A1365" s="4" t="s">
        <v>2248</v>
      </c>
      <c r="B1365" s="4" t="s">
        <v>2249</v>
      </c>
      <c r="C1365" s="4" t="s">
        <v>2250</v>
      </c>
      <c r="D1365" s="1">
        <f>DATE(2020,5,21)+TIME(16,48,33)</f>
        <v>43972.700381944444</v>
      </c>
    </row>
    <row r="1366" spans="1:4" ht="17">
      <c r="A1366" s="5" t="s">
        <v>3122</v>
      </c>
      <c r="B1366" s="5" t="s">
        <v>3123</v>
      </c>
      <c r="C1366" s="5" t="s">
        <v>3124</v>
      </c>
      <c r="D1366" s="2">
        <f>DATE(2020,6,29)+TIME(7,38,15)</f>
        <v>44011.318229166667</v>
      </c>
    </row>
    <row r="1367" spans="1:4" ht="17">
      <c r="A1367" s="4" t="s">
        <v>1621</v>
      </c>
      <c r="B1367" s="4" t="s">
        <v>1622</v>
      </c>
      <c r="C1367" s="4" t="s">
        <v>1623</v>
      </c>
      <c r="D1367" s="1">
        <f>DATE(2020,5,25)+TIME(13,33,0)</f>
        <v>43976.564583333333</v>
      </c>
    </row>
    <row r="1368" spans="1:4" ht="17">
      <c r="A1368" s="4" t="s">
        <v>5798</v>
      </c>
      <c r="B1368" s="4" t="s">
        <v>5799</v>
      </c>
      <c r="C1368" s="4" t="s">
        <v>5800</v>
      </c>
      <c r="D1368" s="1">
        <f>DATE(2020,6,26)+TIME(10,16,30)</f>
        <v>44008.428124999999</v>
      </c>
    </row>
    <row r="1369" spans="1:4" ht="17">
      <c r="A1369" s="5" t="s">
        <v>1768</v>
      </c>
      <c r="B1369" s="5" t="s">
        <v>1769</v>
      </c>
      <c r="C1369" s="5" t="s">
        <v>1770</v>
      </c>
      <c r="D1369" s="2">
        <f>DATE(2020,6,24)+TIME(8,0,37)</f>
        <v>44006.333761574075</v>
      </c>
    </row>
    <row r="1370" spans="1:4" ht="17">
      <c r="A1370" s="5" t="s">
        <v>2125</v>
      </c>
      <c r="B1370" s="5" t="s">
        <v>2126</v>
      </c>
      <c r="C1370" s="5" t="s">
        <v>2127</v>
      </c>
      <c r="D1370" s="2">
        <f>DATE(2020,6,8)+TIME(9,42,29)</f>
        <v>43990.404502314814</v>
      </c>
    </row>
    <row r="1371" spans="1:4" ht="17">
      <c r="A1371" s="5" t="s">
        <v>1810</v>
      </c>
      <c r="B1371" s="5" t="s">
        <v>1811</v>
      </c>
      <c r="C1371" s="5" t="s">
        <v>1812</v>
      </c>
      <c r="D1371" s="2">
        <f>DATE(2020,5,24)+TIME(8,16,45)</f>
        <v>43975.344965277778</v>
      </c>
    </row>
    <row r="1372" spans="1:4" ht="17">
      <c r="A1372" s="5" t="s">
        <v>5425</v>
      </c>
      <c r="B1372" s="5" t="s">
        <v>3774</v>
      </c>
      <c r="C1372" s="5" t="s">
        <v>5426</v>
      </c>
      <c r="D1372" s="2">
        <f>DATE(2020,6,24)+TIME(10,7,42)</f>
        <v>44006.422013888892</v>
      </c>
    </row>
    <row r="1373" spans="1:4" ht="17">
      <c r="A1373" s="4" t="s">
        <v>2741</v>
      </c>
      <c r="B1373" s="4" t="s">
        <v>2742</v>
      </c>
      <c r="C1373" s="4" t="s">
        <v>2743</v>
      </c>
      <c r="D1373" s="1">
        <f>DATE(2020,5,28)+TIME(2,12,25)</f>
        <v>43979.091956018521</v>
      </c>
    </row>
    <row r="1374" spans="1:4" ht="17">
      <c r="A1374" s="5" t="s">
        <v>2741</v>
      </c>
      <c r="B1374" s="5" t="s">
        <v>6773</v>
      </c>
      <c r="C1374" s="5" t="s">
        <v>6774</v>
      </c>
      <c r="D1374" s="2">
        <f>DATE(2020,6,17)+TIME(4,36,30)</f>
        <v>43999.192013888889</v>
      </c>
    </row>
    <row r="1375" spans="1:4" ht="17">
      <c r="A1375" s="4" t="s">
        <v>5792</v>
      </c>
      <c r="B1375" s="4" t="s">
        <v>5793</v>
      </c>
      <c r="C1375" s="4" t="s">
        <v>5794</v>
      </c>
      <c r="D1375" s="1">
        <f>DATE(2020,6,17)+TIME(9,48,56)</f>
        <v>43999.40898148148</v>
      </c>
    </row>
    <row r="1376" spans="1:4" ht="17">
      <c r="A1376" s="5" t="s">
        <v>5792</v>
      </c>
      <c r="B1376" s="5" t="s">
        <v>8616</v>
      </c>
      <c r="C1376" s="5" t="s">
        <v>8617</v>
      </c>
      <c r="D1376" s="2">
        <f>DATE(2020,6,26)+TIME(12,36,40)</f>
        <v>44008.525462962964</v>
      </c>
    </row>
    <row r="1377" spans="1:4" ht="17">
      <c r="A1377" s="4" t="s">
        <v>4784</v>
      </c>
      <c r="B1377" s="4" t="s">
        <v>4785</v>
      </c>
      <c r="C1377" s="4" t="s">
        <v>4786</v>
      </c>
      <c r="D1377" s="1">
        <f>DATE(2020,6,20)+TIME(8,26,14)</f>
        <v>44002.351550925923</v>
      </c>
    </row>
    <row r="1378" spans="1:4" ht="17">
      <c r="A1378" s="4" t="s">
        <v>8639</v>
      </c>
      <c r="B1378" s="4" t="s">
        <v>8974</v>
      </c>
      <c r="C1378" s="4" t="s">
        <v>8975</v>
      </c>
      <c r="D1378" s="1">
        <f>DATE(2020,5,7)+TIME(13,6,11)</f>
        <v>43958.545960648145</v>
      </c>
    </row>
    <row r="1379" spans="1:4" ht="17">
      <c r="A1379" s="5" t="s">
        <v>6742</v>
      </c>
      <c r="B1379" s="5" t="s">
        <v>109</v>
      </c>
      <c r="C1379" s="5" t="s">
        <v>6743</v>
      </c>
      <c r="D1379" s="2">
        <f>DATE(2020,6,26)+TIME(2,21,5)</f>
        <v>44008.097974537035</v>
      </c>
    </row>
    <row r="1380" spans="1:4" ht="17">
      <c r="A1380" s="5" t="s">
        <v>5604</v>
      </c>
      <c r="B1380" s="5" t="s">
        <v>468</v>
      </c>
      <c r="C1380" s="5" t="s">
        <v>5605</v>
      </c>
      <c r="D1380" s="2">
        <f>DATE(2020,3,3)+TIME(11,21,18)</f>
        <v>43893.473124999997</v>
      </c>
    </row>
    <row r="1381" spans="1:4" ht="17">
      <c r="A1381" s="4" t="s">
        <v>3238</v>
      </c>
      <c r="B1381" s="4" t="s">
        <v>3239</v>
      </c>
      <c r="C1381" s="4" t="s">
        <v>3240</v>
      </c>
      <c r="D1381" s="1">
        <f>DATE(2020,6,12)+TIME(11,53,51)</f>
        <v>43994.495729166665</v>
      </c>
    </row>
    <row r="1382" spans="1:4" ht="17">
      <c r="A1382" s="4" t="s">
        <v>3238</v>
      </c>
      <c r="B1382" s="4" t="s">
        <v>7951</v>
      </c>
      <c r="C1382" s="4" t="s">
        <v>7952</v>
      </c>
      <c r="D1382" s="1">
        <f>DATE(2020,6,17)+TIME(14,9,28)</f>
        <v>43999.589907407404</v>
      </c>
    </row>
    <row r="1383" spans="1:4" ht="17">
      <c r="A1383" s="5" t="s">
        <v>3036</v>
      </c>
      <c r="B1383" s="5" t="s">
        <v>589</v>
      </c>
      <c r="C1383" s="5" t="s">
        <v>3037</v>
      </c>
      <c r="D1383" s="2">
        <f>DATE(2020,5,30)+TIME(3,7,8)</f>
        <v>43981.129953703705</v>
      </c>
    </row>
    <row r="1384" spans="1:4" ht="17">
      <c r="A1384" s="4" t="s">
        <v>9164</v>
      </c>
      <c r="B1384" s="4" t="s">
        <v>803</v>
      </c>
      <c r="C1384" s="4" t="s">
        <v>9165</v>
      </c>
      <c r="D1384" s="1">
        <f>DATE(2020,6,27)+TIME(1,8,4)</f>
        <v>44009.047268518516</v>
      </c>
    </row>
    <row r="1385" spans="1:4" ht="17">
      <c r="A1385" s="5" t="s">
        <v>2283</v>
      </c>
      <c r="B1385" s="5" t="s">
        <v>7783</v>
      </c>
      <c r="C1385" s="5" t="s">
        <v>7784</v>
      </c>
      <c r="D1385" s="2">
        <f>DATE(2020,3,31)+TIME(10,34,22)</f>
        <v>43921.440532407411</v>
      </c>
    </row>
    <row r="1386" spans="1:4" ht="17">
      <c r="A1386" s="4" t="s">
        <v>6331</v>
      </c>
      <c r="B1386" s="4" t="s">
        <v>6332</v>
      </c>
      <c r="C1386" s="4" t="s">
        <v>6333</v>
      </c>
      <c r="D1386" s="1">
        <f>DATE(2020,6,14)+TIME(8,9,28)</f>
        <v>43996.339907407404</v>
      </c>
    </row>
    <row r="1387" spans="1:4" ht="17">
      <c r="A1387" s="5" t="s">
        <v>878</v>
      </c>
      <c r="B1387" s="5" t="s">
        <v>879</v>
      </c>
      <c r="C1387" s="5" t="s">
        <v>880</v>
      </c>
      <c r="D1387" s="2">
        <f>DATE(2020,6,15)+TIME(9,33,22)</f>
        <v>43997.3981712963</v>
      </c>
    </row>
    <row r="1388" spans="1:4" ht="17">
      <c r="A1388" s="4" t="s">
        <v>878</v>
      </c>
      <c r="B1388" s="4" t="s">
        <v>7392</v>
      </c>
      <c r="C1388" s="4" t="s">
        <v>8350</v>
      </c>
      <c r="D1388" s="1">
        <f>DATE(2020,6,24)+TIME(19,5,23)</f>
        <v>44006.795405092591</v>
      </c>
    </row>
    <row r="1389" spans="1:4" ht="17">
      <c r="A1389" s="5" t="s">
        <v>878</v>
      </c>
      <c r="B1389" s="5" t="s">
        <v>8185</v>
      </c>
      <c r="C1389" s="5" t="s">
        <v>8186</v>
      </c>
      <c r="D1389" s="2">
        <f>DATE(2020,6,29)+TIME(12,17,43)</f>
        <v>44011.512303240743</v>
      </c>
    </row>
    <row r="1390" spans="1:4" ht="17">
      <c r="A1390" s="5" t="s">
        <v>63</v>
      </c>
      <c r="B1390" s="5" t="s">
        <v>64</v>
      </c>
      <c r="C1390" s="5" t="s">
        <v>65</v>
      </c>
      <c r="D1390" s="2">
        <f>DATE(2020,5,14)+TIME(17,51,59)</f>
        <v>43965.744432870371</v>
      </c>
    </row>
    <row r="1391" spans="1:4" ht="17">
      <c r="A1391" s="4" t="s">
        <v>63</v>
      </c>
      <c r="B1391" s="4" t="s">
        <v>9071</v>
      </c>
      <c r="C1391" s="4" t="s">
        <v>9072</v>
      </c>
      <c r="D1391" s="1">
        <f>DATE(2020,6,9)+TIME(5,40,29)</f>
        <v>43991.236446759256</v>
      </c>
    </row>
    <row r="1392" spans="1:4" ht="17">
      <c r="A1392" s="5" t="s">
        <v>899</v>
      </c>
      <c r="B1392" s="5" t="s">
        <v>900</v>
      </c>
      <c r="C1392" s="5" t="s">
        <v>901</v>
      </c>
      <c r="D1392" s="2">
        <f>DATE(2020,5,29)+TIME(16,50,33)</f>
        <v>43980.701770833337</v>
      </c>
    </row>
    <row r="1393" spans="1:4" ht="17">
      <c r="A1393" s="5" t="s">
        <v>7207</v>
      </c>
      <c r="B1393" s="5" t="s">
        <v>6347</v>
      </c>
      <c r="C1393" s="5" t="s">
        <v>7208</v>
      </c>
      <c r="D1393" s="2">
        <f>DATE(2020,5,19)+TIME(10,22,24)</f>
        <v>43970.432222222225</v>
      </c>
    </row>
    <row r="1394" spans="1:4" ht="17">
      <c r="A1394" s="4" t="s">
        <v>7455</v>
      </c>
      <c r="B1394" s="4" t="s">
        <v>2525</v>
      </c>
      <c r="C1394" s="4" t="s">
        <v>7456</v>
      </c>
      <c r="D1394" s="1">
        <f>DATE(2020,6,29)+TIME(13,56,51)</f>
        <v>44011.581145833334</v>
      </c>
    </row>
    <row r="1395" spans="1:4" ht="17">
      <c r="A1395" s="5" t="s">
        <v>1410</v>
      </c>
      <c r="B1395" s="5" t="s">
        <v>1411</v>
      </c>
      <c r="C1395" s="5" t="s">
        <v>1412</v>
      </c>
      <c r="D1395" s="2">
        <f>DATE(2020,5,28)+TIME(1,55,53)</f>
        <v>43979.080474537041</v>
      </c>
    </row>
    <row r="1396" spans="1:4" ht="17">
      <c r="A1396" s="4" t="s">
        <v>2859</v>
      </c>
      <c r="B1396" s="4" t="s">
        <v>2860</v>
      </c>
      <c r="C1396" s="4" t="s">
        <v>2861</v>
      </c>
      <c r="D1396" s="1">
        <f>DATE(2020,6,25)+TIME(1,7,56)</f>
        <v>44007.047175925924</v>
      </c>
    </row>
    <row r="1397" spans="1:4" ht="17">
      <c r="A1397" s="4" t="s">
        <v>9437</v>
      </c>
      <c r="B1397" s="4" t="s">
        <v>9438</v>
      </c>
      <c r="C1397" s="4" t="s">
        <v>9439</v>
      </c>
      <c r="D1397" s="1">
        <f>DATE(2020,6,28)+TIME(13,56,32)</f>
        <v>44010.580925925926</v>
      </c>
    </row>
    <row r="1398" spans="1:4" ht="17">
      <c r="A1398" s="4" t="s">
        <v>8147</v>
      </c>
      <c r="B1398" s="4" t="s">
        <v>8148</v>
      </c>
      <c r="C1398" s="4" t="s">
        <v>8149</v>
      </c>
      <c r="D1398" s="1">
        <f>DATE(2020,6,26)+TIME(4,59,50)</f>
        <v>44008.20821759259</v>
      </c>
    </row>
    <row r="1399" spans="1:4" ht="17">
      <c r="A1399" s="5" t="s">
        <v>2789</v>
      </c>
      <c r="B1399" s="5" t="s">
        <v>2790</v>
      </c>
      <c r="C1399" s="5" t="s">
        <v>2791</v>
      </c>
      <c r="D1399" s="2">
        <f>DATE(2020,6,15)+TIME(17,51,2)</f>
        <v>43997.743773148148</v>
      </c>
    </row>
    <row r="1400" spans="1:4" ht="17">
      <c r="A1400" s="5" t="s">
        <v>635</v>
      </c>
      <c r="B1400" s="5" t="s">
        <v>636</v>
      </c>
      <c r="C1400" s="5" t="s">
        <v>637</v>
      </c>
      <c r="D1400" s="2">
        <f>DATE(2020,6,24)+TIME(14,22,44)</f>
        <v>44006.599120370367</v>
      </c>
    </row>
    <row r="1401" spans="1:4" ht="17">
      <c r="A1401" s="4" t="s">
        <v>635</v>
      </c>
      <c r="B1401" s="4" t="s">
        <v>4994</v>
      </c>
      <c r="C1401" s="4" t="s">
        <v>4995</v>
      </c>
      <c r="D1401" s="1">
        <f>DATE(2020,6,27)+TIME(1,47,8)</f>
        <v>44009.07439814815</v>
      </c>
    </row>
    <row r="1402" spans="1:4" ht="17">
      <c r="A1402" s="4" t="s">
        <v>213</v>
      </c>
      <c r="B1402" s="4" t="s">
        <v>5899</v>
      </c>
      <c r="C1402" s="4" t="s">
        <v>5900</v>
      </c>
      <c r="D1402" s="1">
        <f>DATE(2020,4,1)+TIME(7,31,42)</f>
        <v>43922.313680555555</v>
      </c>
    </row>
    <row r="1403" spans="1:4" ht="17">
      <c r="A1403" s="5" t="s">
        <v>213</v>
      </c>
      <c r="B1403" s="5" t="s">
        <v>214</v>
      </c>
      <c r="C1403" s="5" t="s">
        <v>215</v>
      </c>
      <c r="D1403" s="2">
        <f>DATE(2020,5,8)+TIME(17,14,21)</f>
        <v>43959.718298611115</v>
      </c>
    </row>
    <row r="1404" spans="1:4" ht="17">
      <c r="A1404" s="5" t="s">
        <v>213</v>
      </c>
      <c r="B1404" s="5" t="s">
        <v>6043</v>
      </c>
      <c r="C1404" s="5" t="s">
        <v>6044</v>
      </c>
      <c r="D1404" s="2">
        <f>DATE(2020,5,28)+TIME(18,37,11)</f>
        <v>43979.775821759256</v>
      </c>
    </row>
    <row r="1405" spans="1:4" ht="17">
      <c r="A1405" s="4" t="s">
        <v>213</v>
      </c>
      <c r="B1405" s="4" t="s">
        <v>222</v>
      </c>
      <c r="C1405" s="4" t="s">
        <v>223</v>
      </c>
      <c r="D1405" s="1">
        <f>DATE(2020,6,22)+TIME(15,48,53)</f>
        <v>44004.658946759257</v>
      </c>
    </row>
    <row r="1406" spans="1:4" ht="17">
      <c r="A1406" s="4" t="s">
        <v>213</v>
      </c>
      <c r="B1406" s="4" t="s">
        <v>9227</v>
      </c>
      <c r="C1406" s="4" t="s">
        <v>9228</v>
      </c>
      <c r="D1406" s="1">
        <f>DATE(2020,6,26)+TIME(10,9,19)</f>
        <v>44008.423136574071</v>
      </c>
    </row>
    <row r="1407" spans="1:4" ht="17">
      <c r="A1407" s="4" t="s">
        <v>4953</v>
      </c>
      <c r="B1407" s="4" t="s">
        <v>3054</v>
      </c>
      <c r="C1407" s="4" t="s">
        <v>4954</v>
      </c>
      <c r="D1407" s="1">
        <f>DATE(2020,6,26)+TIME(10,41,30)</f>
        <v>44008.445486111108</v>
      </c>
    </row>
    <row r="1408" spans="1:4" ht="17">
      <c r="A1408" s="5" t="s">
        <v>4999</v>
      </c>
      <c r="B1408" s="5" t="s">
        <v>5000</v>
      </c>
      <c r="C1408" s="5" t="s">
        <v>5001</v>
      </c>
      <c r="D1408" s="2">
        <f>DATE(2020,5,28)+TIME(9,42,15)</f>
        <v>43979.404340277775</v>
      </c>
    </row>
    <row r="1409" spans="1:4" ht="17">
      <c r="A1409" s="4" t="s">
        <v>9575</v>
      </c>
      <c r="B1409" s="4" t="s">
        <v>9576</v>
      </c>
      <c r="C1409" s="4" t="s">
        <v>9577</v>
      </c>
      <c r="D1409" s="1">
        <f>DATE(2020,6,4)+TIME(20,38,40)</f>
        <v>43986.860185185185</v>
      </c>
    </row>
    <row r="1410" spans="1:4" ht="17">
      <c r="A1410" s="4" t="s">
        <v>7629</v>
      </c>
      <c r="B1410" s="4" t="s">
        <v>7630</v>
      </c>
      <c r="C1410" s="4" t="s">
        <v>7631</v>
      </c>
      <c r="D1410" s="1">
        <f>DATE(2020,6,17)+TIME(4,3,35)</f>
        <v>43999.16915509259</v>
      </c>
    </row>
    <row r="1411" spans="1:4" ht="17">
      <c r="A1411" s="4" t="s">
        <v>8825</v>
      </c>
      <c r="B1411" s="4" t="s">
        <v>8826</v>
      </c>
      <c r="C1411" s="4" t="s">
        <v>8827</v>
      </c>
      <c r="D1411" s="1">
        <f>DATE(2020,6,17)+TIME(5,16,22)</f>
        <v>43999.219699074078</v>
      </c>
    </row>
    <row r="1412" spans="1:4" ht="17">
      <c r="A1412" s="4" t="s">
        <v>5472</v>
      </c>
      <c r="B1412" s="4" t="s">
        <v>5473</v>
      </c>
      <c r="C1412" s="4" t="s">
        <v>5474</v>
      </c>
      <c r="D1412" s="1">
        <f>DATE(2020,6,29)+TIME(4,32,18)</f>
        <v>44011.189097222225</v>
      </c>
    </row>
    <row r="1413" spans="1:4" ht="17">
      <c r="A1413" s="4" t="s">
        <v>5407</v>
      </c>
      <c r="B1413" s="4" t="s">
        <v>2333</v>
      </c>
      <c r="C1413" s="4" t="s">
        <v>5408</v>
      </c>
      <c r="D1413" s="1">
        <f>DATE(2020,6,23)+TIME(14,56,57)</f>
        <v>44005.622881944444</v>
      </c>
    </row>
    <row r="1414" spans="1:4" ht="17">
      <c r="A1414" s="5" t="s">
        <v>5407</v>
      </c>
      <c r="B1414" s="5" t="s">
        <v>2333</v>
      </c>
      <c r="C1414" s="5" t="s">
        <v>6143</v>
      </c>
      <c r="D1414" s="2">
        <f>DATE(2020,6,26)+TIME(10,7,18)</f>
        <v>44008.421736111108</v>
      </c>
    </row>
    <row r="1415" spans="1:4" ht="17">
      <c r="A1415" s="4" t="s">
        <v>5407</v>
      </c>
      <c r="B1415" s="4" t="s">
        <v>5858</v>
      </c>
      <c r="C1415" s="4" t="s">
        <v>5859</v>
      </c>
      <c r="D1415" s="1">
        <f>DATE(2020,6,29)+TIME(2,52,20)</f>
        <v>44011.119675925926</v>
      </c>
    </row>
    <row r="1416" spans="1:4" ht="17">
      <c r="A1416" s="5" t="s">
        <v>5549</v>
      </c>
      <c r="B1416" s="5" t="s">
        <v>5550</v>
      </c>
      <c r="C1416" s="5" t="s">
        <v>5551</v>
      </c>
      <c r="D1416" s="2">
        <f>DATE(2020,6,18)+TIME(7,45,25)</f>
        <v>44000.323206018518</v>
      </c>
    </row>
    <row r="1417" spans="1:4" ht="17">
      <c r="A1417" s="4" t="s">
        <v>3353</v>
      </c>
      <c r="B1417" s="4" t="s">
        <v>3354</v>
      </c>
      <c r="C1417" s="4" t="s">
        <v>3355</v>
      </c>
      <c r="D1417" s="1">
        <f>DATE(2020,6,19)+TIME(1,29,21)</f>
        <v>44001.062048611115</v>
      </c>
    </row>
    <row r="1418" spans="1:4" ht="17">
      <c r="A1418" s="5" t="s">
        <v>7128</v>
      </c>
      <c r="B1418" s="5" t="s">
        <v>7129</v>
      </c>
      <c r="C1418" s="5" t="s">
        <v>7130</v>
      </c>
      <c r="D1418" s="2">
        <f>DATE(2020,5,6)+TIME(22,44,4)</f>
        <v>43957.947268518517</v>
      </c>
    </row>
    <row r="1419" spans="1:4" ht="17">
      <c r="A1419" s="4" t="s">
        <v>8899</v>
      </c>
      <c r="B1419" s="4" t="s">
        <v>8900</v>
      </c>
      <c r="C1419" s="4" t="s">
        <v>8901</v>
      </c>
      <c r="D1419" s="1">
        <f>DATE(2020,5,10)+TIME(22,9,12)</f>
        <v>43961.923055555555</v>
      </c>
    </row>
    <row r="1420" spans="1:4" ht="17">
      <c r="A1420" s="5" t="s">
        <v>8770</v>
      </c>
      <c r="B1420" s="5" t="s">
        <v>8771</v>
      </c>
      <c r="C1420" s="5" t="s">
        <v>8772</v>
      </c>
      <c r="D1420" s="2">
        <f>DATE(2020,6,16)+TIME(23,19,44)</f>
        <v>43998.972037037034</v>
      </c>
    </row>
    <row r="1421" spans="1:4" ht="17">
      <c r="A1421" s="5" t="s">
        <v>3637</v>
      </c>
      <c r="B1421" s="5" t="s">
        <v>3638</v>
      </c>
      <c r="C1421" s="5" t="s">
        <v>3639</v>
      </c>
      <c r="D1421" s="2">
        <f>DATE(2020,6,26)+TIME(5,52,50)</f>
        <v>44008.245023148149</v>
      </c>
    </row>
    <row r="1422" spans="1:4" ht="17">
      <c r="A1422" s="5" t="s">
        <v>349</v>
      </c>
      <c r="B1422" s="5" t="s">
        <v>322</v>
      </c>
      <c r="C1422" s="5" t="s">
        <v>350</v>
      </c>
      <c r="D1422" s="2">
        <f>DATE(2020,5,7)+TIME(14,15,12)</f>
        <v>43958.593888888892</v>
      </c>
    </row>
    <row r="1423" spans="1:4" ht="17">
      <c r="A1423" s="5" t="s">
        <v>5224</v>
      </c>
      <c r="B1423" s="5" t="s">
        <v>5225</v>
      </c>
      <c r="C1423" s="5" t="s">
        <v>5226</v>
      </c>
      <c r="D1423" s="2">
        <f>DATE(2020,6,27)+TIME(22,43,56)</f>
        <v>44009.947175925925</v>
      </c>
    </row>
    <row r="1424" spans="1:4" ht="17">
      <c r="A1424" s="5" t="s">
        <v>8679</v>
      </c>
      <c r="B1424" s="5" t="s">
        <v>8680</v>
      </c>
      <c r="C1424" s="5" t="s">
        <v>8681</v>
      </c>
      <c r="D1424" s="2">
        <f>DATE(2020,5,31)+TIME(0,19,53)</f>
        <v>43982.013807870368</v>
      </c>
    </row>
    <row r="1425" spans="1:4" ht="17">
      <c r="A1425" s="5" t="s">
        <v>6151</v>
      </c>
      <c r="B1425" s="5" t="s">
        <v>6152</v>
      </c>
      <c r="C1425" s="5" t="s">
        <v>6153</v>
      </c>
      <c r="D1425" s="2">
        <f>DATE(2020,6,28)+TIME(14,49,35)</f>
        <v>44010.617766203701</v>
      </c>
    </row>
    <row r="1426" spans="1:4" ht="17">
      <c r="A1426" s="4" t="s">
        <v>3206</v>
      </c>
      <c r="B1426" s="4" t="s">
        <v>3207</v>
      </c>
      <c r="C1426" s="4" t="s">
        <v>3208</v>
      </c>
      <c r="D1426" s="1">
        <f>DATE(2020,6,29)+TIME(0,28,5)</f>
        <v>44011.019502314812</v>
      </c>
    </row>
    <row r="1427" spans="1:4" ht="17">
      <c r="A1427" s="5" t="s">
        <v>6406</v>
      </c>
      <c r="B1427" s="5" t="s">
        <v>6407</v>
      </c>
      <c r="C1427" s="5" t="s">
        <v>6408</v>
      </c>
      <c r="D1427" s="2">
        <f>DATE(2020,5,27)+TIME(7,52,13)</f>
        <v>43978.327928240738</v>
      </c>
    </row>
    <row r="1428" spans="1:4" ht="17">
      <c r="A1428" s="4" t="s">
        <v>3160</v>
      </c>
      <c r="B1428" s="4" t="s">
        <v>8737</v>
      </c>
      <c r="C1428" s="4" t="s">
        <v>8738</v>
      </c>
      <c r="D1428" s="1">
        <f>DATE(2020,5,13)+TIME(21,42,51)</f>
        <v>43964.904756944445</v>
      </c>
    </row>
    <row r="1429" spans="1:4" ht="17">
      <c r="A1429" s="5" t="s">
        <v>3160</v>
      </c>
      <c r="B1429" s="5" t="s">
        <v>3168</v>
      </c>
      <c r="C1429" s="5" t="s">
        <v>3169</v>
      </c>
      <c r="D1429" s="2">
        <f>DATE(2020,5,18)+TIME(22,51,6)</f>
        <v>43969.952152777776</v>
      </c>
    </row>
    <row r="1430" spans="1:4" ht="17">
      <c r="A1430" s="5" t="s">
        <v>9024</v>
      </c>
      <c r="B1430" s="5" t="s">
        <v>9025</v>
      </c>
      <c r="C1430" s="5" t="s">
        <v>9026</v>
      </c>
      <c r="D1430" s="2">
        <f>DATE(2020,6,8)+TIME(13,13,27)</f>
        <v>43990.551006944443</v>
      </c>
    </row>
    <row r="1431" spans="1:4" ht="17">
      <c r="A1431" s="4" t="s">
        <v>4730</v>
      </c>
      <c r="B1431" s="4" t="s">
        <v>1195</v>
      </c>
      <c r="C1431" s="4" t="s">
        <v>4731</v>
      </c>
      <c r="D1431" s="1">
        <f>DATE(2020,5,24)+TIME(17,27,11)</f>
        <v>43975.727210648147</v>
      </c>
    </row>
    <row r="1432" spans="1:4" ht="17">
      <c r="A1432" s="5" t="s">
        <v>2728</v>
      </c>
      <c r="B1432" s="5" t="s">
        <v>2729</v>
      </c>
      <c r="C1432" s="5" t="s">
        <v>2730</v>
      </c>
      <c r="D1432" s="2">
        <f>DATE(2020,5,28)+TIME(21,9,11)</f>
        <v>43979.881377314814</v>
      </c>
    </row>
    <row r="1433" spans="1:4" ht="17">
      <c r="A1433" s="5" t="s">
        <v>2728</v>
      </c>
      <c r="B1433" s="5" t="s">
        <v>5064</v>
      </c>
      <c r="C1433" s="5" t="s">
        <v>5065</v>
      </c>
      <c r="D1433" s="2">
        <f>DATE(2020,6,24)+TIME(10,38,51)</f>
        <v>44006.443645833337</v>
      </c>
    </row>
    <row r="1434" spans="1:4" ht="17">
      <c r="A1434" s="5" t="s">
        <v>5877</v>
      </c>
      <c r="B1434" s="5" t="s">
        <v>5878</v>
      </c>
      <c r="C1434" s="5" t="s">
        <v>5879</v>
      </c>
      <c r="D1434" s="2">
        <f>DATE(2020,6,24)+TIME(9,25,31)</f>
        <v>44006.39271990741</v>
      </c>
    </row>
    <row r="1435" spans="1:4" ht="17">
      <c r="A1435" s="5" t="s">
        <v>5877</v>
      </c>
      <c r="B1435" s="5" t="s">
        <v>9303</v>
      </c>
      <c r="C1435" s="5" t="s">
        <v>9304</v>
      </c>
      <c r="D1435" s="2">
        <f>DATE(2020,6,24)+TIME(13,37,57)</f>
        <v>44006.568020833336</v>
      </c>
    </row>
    <row r="1436" spans="1:4" ht="17">
      <c r="A1436" s="4" t="s">
        <v>5877</v>
      </c>
      <c r="B1436" s="4" t="s">
        <v>8287</v>
      </c>
      <c r="C1436" s="4" t="s">
        <v>8288</v>
      </c>
      <c r="D1436" s="1">
        <f>DATE(2020,6,29)+TIME(11,25,16)</f>
        <v>44011.47587962963</v>
      </c>
    </row>
    <row r="1437" spans="1:4" ht="17">
      <c r="A1437" s="4" t="s">
        <v>1581</v>
      </c>
      <c r="B1437" s="4" t="s">
        <v>1582</v>
      </c>
      <c r="C1437" s="4" t="s">
        <v>1583</v>
      </c>
      <c r="D1437" s="1">
        <f>DATE(2020,6,24)+TIME(8,52,5)</f>
        <v>44006.369502314818</v>
      </c>
    </row>
    <row r="1438" spans="1:4" ht="17">
      <c r="A1438" s="4" t="s">
        <v>3782</v>
      </c>
      <c r="B1438" s="4" t="s">
        <v>3783</v>
      </c>
      <c r="C1438" s="4" t="s">
        <v>3784</v>
      </c>
      <c r="D1438" s="1">
        <f>DATE(2020,6,23)+TIME(14,27,6)</f>
        <v>44005.602152777778</v>
      </c>
    </row>
    <row r="1439" spans="1:4" ht="17">
      <c r="A1439" s="5" t="s">
        <v>3409</v>
      </c>
      <c r="B1439" s="5" t="s">
        <v>3410</v>
      </c>
      <c r="C1439" s="5" t="s">
        <v>3411</v>
      </c>
      <c r="D1439" s="2">
        <f>DATE(2020,6,29)+TIME(1,36,54)</f>
        <v>44011.067291666666</v>
      </c>
    </row>
    <row r="1440" spans="1:4" ht="17">
      <c r="A1440" s="5" t="s">
        <v>3492</v>
      </c>
      <c r="B1440" s="5" t="s">
        <v>3493</v>
      </c>
      <c r="C1440" s="5" t="s">
        <v>3494</v>
      </c>
      <c r="D1440" s="2">
        <f>DATE(2020,6,28)+TIME(13,17,25)</f>
        <v>44010.553761574076</v>
      </c>
    </row>
    <row r="1441" spans="1:4" ht="17">
      <c r="A1441" s="5" t="s">
        <v>8783</v>
      </c>
      <c r="B1441" s="5" t="s">
        <v>1781</v>
      </c>
      <c r="C1441" s="5" t="s">
        <v>8784</v>
      </c>
      <c r="D1441" s="2">
        <f>DATE(2020,6,25)+TIME(4,1,42)</f>
        <v>44007.167847222219</v>
      </c>
    </row>
    <row r="1442" spans="1:4" ht="17">
      <c r="A1442" s="4" t="s">
        <v>6828</v>
      </c>
      <c r="B1442" s="4" t="s">
        <v>3638</v>
      </c>
      <c r="C1442" s="4" t="s">
        <v>6829</v>
      </c>
      <c r="D1442" s="1">
        <f>DATE(2020,5,28)+TIME(14,32,44)</f>
        <v>43979.606064814812</v>
      </c>
    </row>
    <row r="1443" spans="1:4" ht="17">
      <c r="A1443" s="4" t="s">
        <v>758</v>
      </c>
      <c r="B1443" s="4" t="s">
        <v>759</v>
      </c>
      <c r="C1443" s="4" t="s">
        <v>760</v>
      </c>
      <c r="D1443" s="1">
        <f>DATE(2020,5,5)+TIME(16,31,23)</f>
        <v>43956.688460648147</v>
      </c>
    </row>
    <row r="1444" spans="1:4" ht="17">
      <c r="A1444" s="5" t="s">
        <v>758</v>
      </c>
      <c r="B1444" s="5" t="s">
        <v>1439</v>
      </c>
      <c r="C1444" s="5" t="s">
        <v>1440</v>
      </c>
      <c r="D1444" s="2">
        <f>DATE(2020,6,3)+TIME(12,4,9)</f>
        <v>43985.502881944441</v>
      </c>
    </row>
    <row r="1445" spans="1:4" ht="17">
      <c r="A1445" s="5" t="s">
        <v>758</v>
      </c>
      <c r="B1445" s="5" t="s">
        <v>3069</v>
      </c>
      <c r="C1445" s="5" t="s">
        <v>3070</v>
      </c>
      <c r="D1445" s="2">
        <f>DATE(2020,6,4)+TIME(17,52,47)</f>
        <v>43986.744988425926</v>
      </c>
    </row>
    <row r="1446" spans="1:4" ht="17">
      <c r="A1446" s="4" t="s">
        <v>4034</v>
      </c>
      <c r="B1446" s="4" t="s">
        <v>4035</v>
      </c>
      <c r="C1446" s="4" t="s">
        <v>4036</v>
      </c>
      <c r="D1446" s="1">
        <f>DATE(2020,5,11)+TIME(5,7,53)</f>
        <v>43962.213807870372</v>
      </c>
    </row>
    <row r="1447" spans="1:4" ht="17">
      <c r="A1447" s="4" t="s">
        <v>5837</v>
      </c>
      <c r="B1447" s="4" t="s">
        <v>7373</v>
      </c>
      <c r="C1447" s="4" t="s">
        <v>8348</v>
      </c>
      <c r="D1447" s="1">
        <f>DATE(2020,2,8)+TIME(22,46,16)</f>
        <v>43869.948796296296</v>
      </c>
    </row>
    <row r="1448" spans="1:4" ht="17">
      <c r="A1448" s="4" t="s">
        <v>5837</v>
      </c>
      <c r="B1448" s="4" t="s">
        <v>7373</v>
      </c>
      <c r="C1448" s="4" t="s">
        <v>7374</v>
      </c>
      <c r="D1448" s="1">
        <f>DATE(2020,5,8)+TIME(19,30,38)</f>
        <v>43959.812939814816</v>
      </c>
    </row>
    <row r="1449" spans="1:4" ht="17">
      <c r="A1449" s="4" t="s">
        <v>5837</v>
      </c>
      <c r="B1449" s="4" t="s">
        <v>5838</v>
      </c>
      <c r="C1449" s="4" t="s">
        <v>5839</v>
      </c>
      <c r="D1449" s="1">
        <f>DATE(2020,6,19)+TIME(8,52,6)</f>
        <v>44001.369513888887</v>
      </c>
    </row>
    <row r="1450" spans="1:4" ht="17">
      <c r="A1450" s="5" t="s">
        <v>5837</v>
      </c>
      <c r="B1450" s="5" t="s">
        <v>7655</v>
      </c>
      <c r="C1450" s="5" t="s">
        <v>7656</v>
      </c>
      <c r="D1450" s="2">
        <f>DATE(2020,6,19)+TIME(15,42,27)</f>
        <v>44001.654479166667</v>
      </c>
    </row>
    <row r="1451" spans="1:4" ht="17">
      <c r="A1451" s="5" t="s">
        <v>2878</v>
      </c>
      <c r="B1451" s="5" t="s">
        <v>2879</v>
      </c>
      <c r="C1451" s="5" t="s">
        <v>2880</v>
      </c>
      <c r="D1451" s="2">
        <f>DATE(2020,6,14)+TIME(7,3,8)</f>
        <v>43996.293842592589</v>
      </c>
    </row>
    <row r="1452" spans="1:4" ht="17">
      <c r="A1452" s="4" t="s">
        <v>60</v>
      </c>
      <c r="B1452" s="4" t="s">
        <v>61</v>
      </c>
      <c r="C1452" s="4" t="s">
        <v>62</v>
      </c>
      <c r="D1452" s="1">
        <f>DATE(2020,5,6)+TIME(1,30,49)</f>
        <v>43957.063067129631</v>
      </c>
    </row>
    <row r="1453" spans="1:4" ht="17">
      <c r="A1453" s="4" t="s">
        <v>60</v>
      </c>
      <c r="B1453" s="4" t="s">
        <v>5373</v>
      </c>
      <c r="C1453" s="4" t="s">
        <v>5374</v>
      </c>
      <c r="D1453" s="1">
        <f>DATE(2020,6,17)+TIME(22,1,41)</f>
        <v>43999.91783564815</v>
      </c>
    </row>
    <row r="1454" spans="1:4" ht="17">
      <c r="A1454" s="4" t="s">
        <v>9159</v>
      </c>
      <c r="B1454" s="4" t="s">
        <v>9160</v>
      </c>
      <c r="C1454" s="4" t="s">
        <v>9161</v>
      </c>
      <c r="D1454" s="1">
        <f>DATE(2020,3,27)+TIME(15,28,54)</f>
        <v>43917.645069444443</v>
      </c>
    </row>
    <row r="1455" spans="1:4" ht="17">
      <c r="A1455" s="4" t="s">
        <v>285</v>
      </c>
      <c r="B1455" s="4" t="s">
        <v>286</v>
      </c>
      <c r="C1455" s="4" t="s">
        <v>287</v>
      </c>
      <c r="D1455" s="1">
        <f>DATE(2020,6,15)+TIME(3,37,8)</f>
        <v>43997.150787037041</v>
      </c>
    </row>
    <row r="1456" spans="1:4" ht="17">
      <c r="A1456" s="5" t="s">
        <v>285</v>
      </c>
      <c r="B1456" s="5" t="s">
        <v>5491</v>
      </c>
      <c r="C1456" s="5" t="s">
        <v>5492</v>
      </c>
      <c r="D1456" s="2">
        <f>DATE(2020,6,23)+TIME(14,25,22)</f>
        <v>44005.600949074076</v>
      </c>
    </row>
    <row r="1457" spans="1:4" ht="17">
      <c r="A1457" s="5" t="s">
        <v>6264</v>
      </c>
      <c r="B1457" s="5" t="s">
        <v>6265</v>
      </c>
      <c r="C1457" s="5" t="s">
        <v>6266</v>
      </c>
      <c r="D1457" s="2">
        <f>DATE(2020,6,24)+TIME(14,57,26)</f>
        <v>44006.623217592591</v>
      </c>
    </row>
    <row r="1458" spans="1:4" ht="17">
      <c r="A1458" s="4" t="s">
        <v>4613</v>
      </c>
      <c r="B1458" s="4" t="s">
        <v>4614</v>
      </c>
      <c r="C1458" s="4" t="s">
        <v>4615</v>
      </c>
      <c r="D1458" s="1">
        <f>DATE(2020,6,27)+TIME(9,55,57)</f>
        <v>44009.413854166669</v>
      </c>
    </row>
    <row r="1459" spans="1:4" ht="17">
      <c r="A1459" s="5" t="s">
        <v>5485</v>
      </c>
      <c r="B1459" s="5" t="s">
        <v>5486</v>
      </c>
      <c r="C1459" s="5" t="s">
        <v>5487</v>
      </c>
      <c r="D1459" s="2">
        <f>DATE(2020,6,23)+TIME(15,41,17)</f>
        <v>44005.653668981482</v>
      </c>
    </row>
    <row r="1460" spans="1:4" ht="17">
      <c r="A1460" s="4" t="s">
        <v>9512</v>
      </c>
      <c r="B1460" s="4" t="s">
        <v>9513</v>
      </c>
      <c r="C1460" s="4" t="s">
        <v>9514</v>
      </c>
      <c r="D1460" s="1">
        <f>DATE(2020,6,24)+TIME(8,7,41)</f>
        <v>44006.33866898148</v>
      </c>
    </row>
    <row r="1461" spans="1:4" ht="17">
      <c r="A1461" s="5" t="s">
        <v>3089</v>
      </c>
      <c r="B1461" s="5" t="s">
        <v>3090</v>
      </c>
      <c r="C1461" s="5" t="s">
        <v>3091</v>
      </c>
      <c r="D1461" s="2">
        <f>DATE(2020,6,23)+TIME(6,6,10)</f>
        <v>44005.254282407404</v>
      </c>
    </row>
    <row r="1462" spans="1:4" ht="17">
      <c r="A1462" s="4" t="s">
        <v>4131</v>
      </c>
      <c r="B1462" s="4" t="s">
        <v>4132</v>
      </c>
      <c r="C1462" s="4" t="s">
        <v>4133</v>
      </c>
      <c r="D1462" s="1">
        <f>DATE(2020,6,26)+TIME(15,55,59)</f>
        <v>44008.663877314815</v>
      </c>
    </row>
    <row r="1463" spans="1:4" ht="17">
      <c r="A1463" s="4" t="s">
        <v>5761</v>
      </c>
      <c r="B1463" s="4" t="s">
        <v>5762</v>
      </c>
      <c r="C1463" s="4" t="s">
        <v>5763</v>
      </c>
      <c r="D1463" s="1">
        <f>DATE(2020,6,17)+TIME(19,3,52)</f>
        <v>43999.794351851851</v>
      </c>
    </row>
    <row r="1464" spans="1:4" ht="17">
      <c r="A1464" s="5" t="s">
        <v>4880</v>
      </c>
      <c r="B1464" s="5" t="s">
        <v>4881</v>
      </c>
      <c r="C1464" s="5" t="s">
        <v>4882</v>
      </c>
      <c r="D1464" s="2">
        <f>DATE(2020,6,17)+TIME(12,42,20)</f>
        <v>43999.529398148145</v>
      </c>
    </row>
    <row r="1465" spans="1:4" ht="17">
      <c r="A1465" s="4" t="s">
        <v>2910</v>
      </c>
      <c r="B1465" s="4" t="s">
        <v>2911</v>
      </c>
      <c r="C1465" s="4" t="s">
        <v>2912</v>
      </c>
      <c r="D1465" s="1">
        <f>DATE(2020,6,29)+TIME(8,15,4)</f>
        <v>44011.3437962963</v>
      </c>
    </row>
    <row r="1466" spans="1:4" ht="17">
      <c r="A1466" s="4" t="s">
        <v>2910</v>
      </c>
      <c r="B1466" s="4" t="s">
        <v>4431</v>
      </c>
      <c r="C1466" s="4" t="s">
        <v>4432</v>
      </c>
      <c r="D1466" s="1">
        <f>DATE(2020,6,29)+TIME(9,1,17)</f>
        <v>44011.375891203701</v>
      </c>
    </row>
    <row r="1467" spans="1:4" ht="17">
      <c r="A1467" s="5" t="s">
        <v>1901</v>
      </c>
      <c r="B1467" s="5" t="s">
        <v>1101</v>
      </c>
      <c r="C1467" s="5" t="s">
        <v>1902</v>
      </c>
      <c r="D1467" s="2">
        <f>DATE(2020,6,24)+TIME(8,59,13)</f>
        <v>44006.374456018515</v>
      </c>
    </row>
    <row r="1468" spans="1:4" ht="17">
      <c r="A1468" s="5" t="s">
        <v>6184</v>
      </c>
      <c r="B1468" s="5" t="s">
        <v>6185</v>
      </c>
      <c r="C1468" s="5" t="s">
        <v>6186</v>
      </c>
      <c r="D1468" s="2">
        <f>DATE(2020,6,24)+TIME(15,40,58)</f>
        <v>44006.653449074074</v>
      </c>
    </row>
    <row r="1469" spans="1:4" ht="17">
      <c r="A1469" s="5" t="s">
        <v>5979</v>
      </c>
      <c r="B1469" s="5" t="s">
        <v>5980</v>
      </c>
      <c r="C1469" s="5" t="s">
        <v>5981</v>
      </c>
      <c r="D1469" s="2">
        <f>DATE(2020,5,27)+TIME(2,50,20)</f>
        <v>43978.118287037039</v>
      </c>
    </row>
    <row r="1470" spans="1:4" ht="17">
      <c r="A1470" s="4" t="s">
        <v>943</v>
      </c>
      <c r="B1470" s="4" t="s">
        <v>944</v>
      </c>
      <c r="C1470" s="4" t="s">
        <v>945</v>
      </c>
      <c r="D1470" s="1">
        <f>DATE(2020,6,28)+TIME(18,4,36)</f>
        <v>44010.753194444442</v>
      </c>
    </row>
    <row r="1471" spans="1:4" ht="17">
      <c r="A1471" s="5" t="s">
        <v>7211</v>
      </c>
      <c r="B1471" s="5" t="s">
        <v>7212</v>
      </c>
      <c r="C1471" s="5" t="s">
        <v>7213</v>
      </c>
      <c r="D1471" s="2">
        <f>DATE(2020,4,2)+TIME(8,31,36)</f>
        <v>43923.35527777778</v>
      </c>
    </row>
    <row r="1472" spans="1:4" ht="17">
      <c r="A1472" s="5" t="s">
        <v>3</v>
      </c>
      <c r="B1472" s="5" t="s">
        <v>4</v>
      </c>
      <c r="C1472" s="5" t="s">
        <v>5</v>
      </c>
      <c r="D1472" s="2">
        <f>DATE(2020,5,29)+TIME(19,8,52)</f>
        <v>43980.797824074078</v>
      </c>
    </row>
    <row r="1473" spans="1:4" ht="17">
      <c r="A1473" s="5" t="s">
        <v>9319</v>
      </c>
      <c r="B1473" s="5" t="s">
        <v>9320</v>
      </c>
      <c r="C1473" s="5" t="s">
        <v>9321</v>
      </c>
      <c r="D1473" s="2">
        <f>DATE(2020,6,16)+TIME(5,53,39)</f>
        <v>43998.24559027778</v>
      </c>
    </row>
    <row r="1474" spans="1:4" ht="17">
      <c r="A1474" s="4" t="s">
        <v>2451</v>
      </c>
      <c r="B1474" s="4" t="s">
        <v>2452</v>
      </c>
      <c r="C1474" s="4" t="s">
        <v>2453</v>
      </c>
      <c r="D1474" s="1">
        <f>DATE(2020,3,31)+TIME(14,58,14)</f>
        <v>43921.623773148145</v>
      </c>
    </row>
    <row r="1475" spans="1:4" ht="17">
      <c r="A1475" s="4" t="s">
        <v>3841</v>
      </c>
      <c r="B1475" s="4" t="s">
        <v>3842</v>
      </c>
      <c r="C1475" s="4" t="s">
        <v>3843</v>
      </c>
      <c r="D1475" s="1">
        <f>DATE(2020,6,17)+TIME(8,18,57)</f>
        <v>43999.346493055556</v>
      </c>
    </row>
    <row r="1476" spans="1:4" ht="17">
      <c r="A1476" s="4" t="s">
        <v>3841</v>
      </c>
      <c r="B1476" s="4" t="s">
        <v>4838</v>
      </c>
      <c r="C1476" s="4" t="s">
        <v>4839</v>
      </c>
      <c r="D1476" s="1">
        <f>DATE(2020,6,24)+TIME(9,32,4)</f>
        <v>44006.397268518522</v>
      </c>
    </row>
    <row r="1477" spans="1:4" ht="17">
      <c r="A1477" s="4" t="s">
        <v>6158</v>
      </c>
      <c r="B1477" s="4" t="s">
        <v>6159</v>
      </c>
      <c r="C1477" s="4" t="s">
        <v>6160</v>
      </c>
      <c r="D1477" s="1">
        <f>DATE(2020,6,24)+TIME(15,58,9)</f>
        <v>44006.665381944447</v>
      </c>
    </row>
    <row r="1478" spans="1:4" ht="17">
      <c r="A1478" s="5" t="s">
        <v>8355</v>
      </c>
      <c r="B1478" s="5" t="s">
        <v>8356</v>
      </c>
      <c r="C1478" s="5" t="s">
        <v>8357</v>
      </c>
      <c r="D1478" s="2">
        <f>DATE(2020,6,25)+TIME(9,21,52)</f>
        <v>44007.390185185184</v>
      </c>
    </row>
    <row r="1479" spans="1:4" ht="17">
      <c r="A1479" s="5" t="s">
        <v>2580</v>
      </c>
      <c r="B1479" s="5" t="s">
        <v>2581</v>
      </c>
      <c r="C1479" s="5" t="s">
        <v>2582</v>
      </c>
      <c r="D1479" s="2">
        <f>DATE(2020,6,22)+TIME(15,35,38)</f>
        <v>44004.649745370371</v>
      </c>
    </row>
    <row r="1480" spans="1:4" ht="17">
      <c r="A1480" s="5" t="s">
        <v>3563</v>
      </c>
      <c r="B1480" s="5" t="s">
        <v>7412</v>
      </c>
      <c r="C1480" s="5" t="s">
        <v>7413</v>
      </c>
      <c r="D1480" s="2">
        <f>DATE(2020,6,24)+TIME(18,23,34)</f>
        <v>44006.766365740739</v>
      </c>
    </row>
    <row r="1481" spans="1:4" ht="17">
      <c r="A1481" s="4" t="s">
        <v>3563</v>
      </c>
      <c r="B1481" s="4" t="s">
        <v>3564</v>
      </c>
      <c r="C1481" s="4" t="s">
        <v>3565</v>
      </c>
      <c r="D1481" s="1">
        <f>DATE(2020,6,24)+TIME(18,38,25)</f>
        <v>44006.776678240742</v>
      </c>
    </row>
    <row r="1482" spans="1:4" ht="17">
      <c r="A1482" s="5" t="s">
        <v>3563</v>
      </c>
      <c r="B1482" s="5" t="s">
        <v>7052</v>
      </c>
      <c r="C1482" s="5" t="s">
        <v>7053</v>
      </c>
      <c r="D1482" s="2">
        <f>DATE(2020,6,24)+TIME(21,42,55)</f>
        <v>44006.904803240737</v>
      </c>
    </row>
    <row r="1483" spans="1:4" ht="17">
      <c r="A1483" s="5" t="s">
        <v>8124</v>
      </c>
      <c r="B1483" s="5" t="s">
        <v>8125</v>
      </c>
      <c r="C1483" s="5" t="s">
        <v>8126</v>
      </c>
      <c r="D1483" s="2">
        <f>DATE(2020,6,23)+TIME(14,45,41)</f>
        <v>44005.615057870367</v>
      </c>
    </row>
    <row r="1484" spans="1:4" ht="17">
      <c r="A1484" s="5" t="s">
        <v>3302</v>
      </c>
      <c r="B1484" s="5" t="s">
        <v>3303</v>
      </c>
      <c r="C1484" s="5" t="s">
        <v>3304</v>
      </c>
      <c r="D1484" s="2">
        <f>DATE(2020,6,23)+TIME(15,8,23)</f>
        <v>44005.63082175926</v>
      </c>
    </row>
    <row r="1485" spans="1:4" ht="17">
      <c r="A1485" s="4" t="s">
        <v>7036</v>
      </c>
      <c r="B1485" s="4" t="s">
        <v>7037</v>
      </c>
      <c r="C1485" s="4" t="s">
        <v>7038</v>
      </c>
      <c r="D1485" s="1">
        <f>DATE(2020,6,19)+TIME(12,52,11)</f>
        <v>44001.536238425928</v>
      </c>
    </row>
    <row r="1486" spans="1:4" ht="17">
      <c r="A1486" s="4" t="s">
        <v>394</v>
      </c>
      <c r="B1486" s="4" t="s">
        <v>395</v>
      </c>
      <c r="C1486" s="4" t="s">
        <v>396</v>
      </c>
      <c r="D1486" s="1">
        <f>DATE(2020,6,12)+TIME(18,8,56)</f>
        <v>43994.756203703706</v>
      </c>
    </row>
    <row r="1487" spans="1:4" ht="17">
      <c r="A1487" s="5" t="s">
        <v>6334</v>
      </c>
      <c r="B1487" s="5" t="s">
        <v>6334</v>
      </c>
      <c r="C1487" s="5" t="s">
        <v>6335</v>
      </c>
      <c r="D1487" s="2">
        <f>DATE(2020,6,29)+TIME(12,47,19)</f>
        <v>44011.532858796294</v>
      </c>
    </row>
    <row r="1488" spans="1:4" ht="17">
      <c r="A1488" s="5" t="s">
        <v>1366</v>
      </c>
      <c r="B1488" s="5" t="s">
        <v>1367</v>
      </c>
      <c r="C1488" s="5" t="s">
        <v>1368</v>
      </c>
      <c r="D1488" s="2">
        <f>DATE(2020,6,12)+TIME(7,32,47)</f>
        <v>43994.314432870371</v>
      </c>
    </row>
    <row r="1489" spans="1:4" ht="17">
      <c r="A1489" s="5" t="s">
        <v>646</v>
      </c>
      <c r="B1489" s="5" t="s">
        <v>1382</v>
      </c>
      <c r="C1489" s="5" t="s">
        <v>1383</v>
      </c>
      <c r="D1489" s="2">
        <f>DATE(2020,5,7)+TIME(13,5,30)</f>
        <v>43958.545486111114</v>
      </c>
    </row>
    <row r="1490" spans="1:4" ht="17">
      <c r="A1490" s="5" t="s">
        <v>646</v>
      </c>
      <c r="B1490" s="5" t="s">
        <v>647</v>
      </c>
      <c r="C1490" s="5" t="s">
        <v>648</v>
      </c>
      <c r="D1490" s="2">
        <f>DATE(2020,5,14)+TIME(1,46,16)</f>
        <v>43965.073796296296</v>
      </c>
    </row>
    <row r="1491" spans="1:4" ht="17">
      <c r="A1491" s="5" t="s">
        <v>646</v>
      </c>
      <c r="B1491" s="5" t="s">
        <v>9225</v>
      </c>
      <c r="C1491" s="5" t="s">
        <v>9226</v>
      </c>
      <c r="D1491" s="2">
        <f>DATE(2020,5,14)+TIME(4,29,52)</f>
        <v>43965.187407407408</v>
      </c>
    </row>
    <row r="1492" spans="1:4" ht="17">
      <c r="A1492" s="4" t="s">
        <v>496</v>
      </c>
      <c r="B1492" s="4" t="s">
        <v>497</v>
      </c>
      <c r="C1492" s="4" t="s">
        <v>498</v>
      </c>
      <c r="D1492" s="1">
        <f>DATE(2020,6,13)+TIME(16,29,5)</f>
        <v>43995.686863425923</v>
      </c>
    </row>
    <row r="1493" spans="1:4" ht="17">
      <c r="A1493" s="5" t="s">
        <v>646</v>
      </c>
      <c r="B1493" s="5" t="s">
        <v>2490</v>
      </c>
      <c r="C1493" s="5" t="s">
        <v>8495</v>
      </c>
      <c r="D1493" s="2">
        <f>DATE(2020,6,17)+TIME(19,59,51)</f>
        <v>43999.833229166667</v>
      </c>
    </row>
    <row r="1494" spans="1:4" ht="17">
      <c r="A1494" s="5" t="s">
        <v>646</v>
      </c>
      <c r="B1494" s="5" t="s">
        <v>1957</v>
      </c>
      <c r="C1494" s="5" t="s">
        <v>1958</v>
      </c>
      <c r="D1494" s="2">
        <f>DATE(2020,6,26)+TIME(6,29,5)</f>
        <v>44008.270196759258</v>
      </c>
    </row>
    <row r="1495" spans="1:4" ht="17">
      <c r="A1495" s="5" t="s">
        <v>646</v>
      </c>
      <c r="B1495" s="5" t="s">
        <v>5405</v>
      </c>
      <c r="C1495" s="5" t="s">
        <v>5406</v>
      </c>
      <c r="D1495" s="2">
        <f>DATE(2020,6,27)+TIME(20,20,49)</f>
        <v>44009.84778935185</v>
      </c>
    </row>
    <row r="1496" spans="1:4" ht="17">
      <c r="A1496" s="5" t="s">
        <v>4673</v>
      </c>
      <c r="B1496" s="5" t="s">
        <v>4674</v>
      </c>
      <c r="C1496" s="5" t="s">
        <v>4675</v>
      </c>
      <c r="D1496" s="2">
        <f>DATE(2020,6,23)+TIME(15,50,10)</f>
        <v>44005.659837962965</v>
      </c>
    </row>
    <row r="1497" spans="1:4" ht="17">
      <c r="A1497" s="5" t="s">
        <v>4924</v>
      </c>
      <c r="B1497" s="5" t="s">
        <v>4925</v>
      </c>
      <c r="C1497" s="5" t="s">
        <v>4926</v>
      </c>
      <c r="D1497" s="2">
        <f>DATE(2020,6,10)+TIME(11,40,8)</f>
        <v>43992.486203703702</v>
      </c>
    </row>
    <row r="1498" spans="1:4" ht="17">
      <c r="A1498" s="4" t="s">
        <v>7635</v>
      </c>
      <c r="B1498" s="4" t="s">
        <v>7636</v>
      </c>
      <c r="C1498" s="4" t="s">
        <v>7637</v>
      </c>
      <c r="D1498" s="1">
        <f>DATE(2020,5,5)+TIME(15,22,14)</f>
        <v>43956.640439814815</v>
      </c>
    </row>
    <row r="1499" spans="1:4" ht="17">
      <c r="A1499" s="5" t="s">
        <v>4687</v>
      </c>
      <c r="B1499" s="5" t="s">
        <v>4822</v>
      </c>
      <c r="C1499" s="5" t="s">
        <v>8694</v>
      </c>
      <c r="D1499" s="2">
        <f>DATE(2020,5,8)+TIME(13,50,34)</f>
        <v>43959.576782407406</v>
      </c>
    </row>
    <row r="1500" spans="1:4" ht="17">
      <c r="A1500" s="5" t="s">
        <v>4687</v>
      </c>
      <c r="B1500" s="5" t="s">
        <v>4688</v>
      </c>
      <c r="C1500" s="5" t="s">
        <v>4689</v>
      </c>
      <c r="D1500" s="2">
        <f>DATE(2020,5,18)+TIME(9,53,17)</f>
        <v>43969.412002314813</v>
      </c>
    </row>
    <row r="1501" spans="1:4" ht="17">
      <c r="A1501" s="4" t="s">
        <v>2853</v>
      </c>
      <c r="B1501" s="4" t="s">
        <v>2854</v>
      </c>
      <c r="C1501" s="4" t="s">
        <v>2855</v>
      </c>
      <c r="D1501" s="1">
        <f>DATE(2020,6,17)+TIME(16,33,46)</f>
        <v>43999.690115740741</v>
      </c>
    </row>
    <row r="1502" spans="1:4" ht="17">
      <c r="A1502" s="5" t="s">
        <v>6846</v>
      </c>
      <c r="B1502" s="5" t="s">
        <v>6847</v>
      </c>
      <c r="C1502" s="5" t="s">
        <v>6848</v>
      </c>
      <c r="D1502" s="2">
        <f>DATE(2020,6,25)+TIME(9,46,31)</f>
        <v>44007.40730324074</v>
      </c>
    </row>
    <row r="1503" spans="1:4" ht="17">
      <c r="A1503" s="5" t="s">
        <v>5992</v>
      </c>
      <c r="B1503" s="5" t="s">
        <v>5993</v>
      </c>
      <c r="C1503" s="5" t="s">
        <v>5994</v>
      </c>
      <c r="D1503" s="2">
        <f>DATE(2020,6,18)+TIME(2,47,1)</f>
        <v>44000.115983796299</v>
      </c>
    </row>
    <row r="1504" spans="1:4" ht="17">
      <c r="A1504" s="4" t="s">
        <v>5725</v>
      </c>
      <c r="B1504" s="4" t="s">
        <v>5726</v>
      </c>
      <c r="C1504" s="4" t="s">
        <v>5727</v>
      </c>
      <c r="D1504" s="1">
        <f>DATE(2020,5,7)+TIME(16,54,43)</f>
        <v>43958.704664351855</v>
      </c>
    </row>
    <row r="1505" spans="1:4" ht="17">
      <c r="A1505" s="5" t="s">
        <v>7994</v>
      </c>
      <c r="B1505" s="5" t="s">
        <v>7995</v>
      </c>
      <c r="C1505" s="5" t="s">
        <v>7996</v>
      </c>
      <c r="D1505" s="2">
        <f>DATE(2020,6,26)+TIME(23,1,50)</f>
        <v>44008.959606481483</v>
      </c>
    </row>
    <row r="1506" spans="1:4" ht="17">
      <c r="A1506" s="5" t="s">
        <v>7620</v>
      </c>
      <c r="B1506" s="5" t="s">
        <v>7621</v>
      </c>
      <c r="C1506" s="5" t="s">
        <v>7622</v>
      </c>
      <c r="D1506" s="2">
        <f>DATE(2020,6,28)+TIME(20,36,45)</f>
        <v>44010.858854166669</v>
      </c>
    </row>
    <row r="1507" spans="1:4" ht="17">
      <c r="A1507" s="4" t="s">
        <v>412</v>
      </c>
      <c r="B1507" s="4" t="s">
        <v>4289</v>
      </c>
      <c r="C1507" s="4" t="s">
        <v>8951</v>
      </c>
      <c r="D1507" s="1">
        <f>DATE(2020,5,18)+TIME(17,34,34)</f>
        <v>43969.73233796296</v>
      </c>
    </row>
    <row r="1508" spans="1:4" ht="17">
      <c r="A1508" s="5" t="s">
        <v>412</v>
      </c>
      <c r="B1508" s="5" t="s">
        <v>565</v>
      </c>
      <c r="C1508" s="5" t="s">
        <v>5522</v>
      </c>
      <c r="D1508" s="2">
        <f>DATE(2020,6,4)+TIME(17,31,22)</f>
        <v>43986.730115740742</v>
      </c>
    </row>
    <row r="1509" spans="1:4" ht="17">
      <c r="A1509" s="4" t="s">
        <v>412</v>
      </c>
      <c r="B1509" s="4" t="s">
        <v>9057</v>
      </c>
      <c r="C1509" s="4" t="s">
        <v>9058</v>
      </c>
      <c r="D1509" s="1">
        <f>DATE(2020,6,17)+TIME(23,26,39)</f>
        <v>43999.976840277777</v>
      </c>
    </row>
    <row r="1510" spans="1:4" ht="17">
      <c r="A1510" s="4" t="s">
        <v>412</v>
      </c>
      <c r="B1510" s="4" t="s">
        <v>413</v>
      </c>
      <c r="C1510" s="4" t="s">
        <v>414</v>
      </c>
      <c r="D1510" s="1">
        <f>DATE(2020,6,23)+TIME(15,44,24)</f>
        <v>44005.655833333331</v>
      </c>
    </row>
    <row r="1511" spans="1:4" ht="17">
      <c r="A1511" s="5" t="s">
        <v>7183</v>
      </c>
      <c r="B1511" s="5" t="s">
        <v>7184</v>
      </c>
      <c r="C1511" s="5" t="s">
        <v>7185</v>
      </c>
      <c r="D1511" s="2">
        <f>DATE(2020,4,20)+TIME(11,1,5)</f>
        <v>43941.459085648145</v>
      </c>
    </row>
    <row r="1512" spans="1:4" ht="17">
      <c r="A1512" s="4" t="s">
        <v>735</v>
      </c>
      <c r="B1512" s="4" t="s">
        <v>8142</v>
      </c>
      <c r="C1512" s="4" t="s">
        <v>8143</v>
      </c>
      <c r="D1512" s="1">
        <f>DATE(2020,6,11)+TIME(12,6,51)</f>
        <v>43993.504756944443</v>
      </c>
    </row>
    <row r="1513" spans="1:4" ht="17">
      <c r="A1513" s="4" t="s">
        <v>735</v>
      </c>
      <c r="B1513" s="4" t="s">
        <v>736</v>
      </c>
      <c r="C1513" s="4" t="s">
        <v>737</v>
      </c>
      <c r="D1513" s="1">
        <f>DATE(2020,6,12)+TIME(10,49,27)</f>
        <v>43994.451006944444</v>
      </c>
    </row>
    <row r="1514" spans="1:4" ht="17">
      <c r="A1514" s="5" t="s">
        <v>735</v>
      </c>
      <c r="B1514" s="5" t="s">
        <v>2602</v>
      </c>
      <c r="C1514" s="5" t="s">
        <v>2603</v>
      </c>
      <c r="D1514" s="2">
        <f>DATE(2020,6,22)+TIME(20,0,3)</f>
        <v>44004.833368055559</v>
      </c>
    </row>
    <row r="1515" spans="1:4" ht="17">
      <c r="A1515" s="5" t="s">
        <v>735</v>
      </c>
      <c r="B1515" s="5" t="s">
        <v>7173</v>
      </c>
      <c r="C1515" s="5" t="s">
        <v>7174</v>
      </c>
      <c r="D1515" s="2">
        <f>DATE(2020,6,24)+TIME(17,17,11)</f>
        <v>44006.720266203702</v>
      </c>
    </row>
    <row r="1516" spans="1:4" ht="17">
      <c r="A1516" s="5" t="s">
        <v>735</v>
      </c>
      <c r="B1516" s="5" t="s">
        <v>2495</v>
      </c>
      <c r="C1516" s="5" t="s">
        <v>6199</v>
      </c>
      <c r="D1516" s="2">
        <f>DATE(2020,6,29)+TIME(11,34,43)</f>
        <v>44011.482442129629</v>
      </c>
    </row>
    <row r="1517" spans="1:4" ht="17">
      <c r="A1517" s="4" t="s">
        <v>999</v>
      </c>
      <c r="B1517" s="4" t="s">
        <v>1101</v>
      </c>
      <c r="C1517" s="4" t="s">
        <v>7426</v>
      </c>
      <c r="D1517" s="1">
        <f>DATE(2020,2,28)+TIME(11,51,8)</f>
        <v>43889.493842592594</v>
      </c>
    </row>
    <row r="1518" spans="1:4" ht="17">
      <c r="A1518" s="5" t="s">
        <v>999</v>
      </c>
      <c r="B1518" s="5" t="s">
        <v>3247</v>
      </c>
      <c r="C1518" s="5" t="s">
        <v>3248</v>
      </c>
      <c r="D1518" s="2">
        <f>DATE(2020,5,11)+TIME(14,3,38)</f>
        <v>43962.585856481484</v>
      </c>
    </row>
    <row r="1519" spans="1:4" ht="17">
      <c r="A1519" s="5" t="s">
        <v>999</v>
      </c>
      <c r="B1519" s="5" t="s">
        <v>1000</v>
      </c>
      <c r="C1519" s="5" t="s">
        <v>1001</v>
      </c>
      <c r="D1519" s="2">
        <f>DATE(2020,6,27)+TIME(7,50,2)</f>
        <v>44009.326412037037</v>
      </c>
    </row>
    <row r="1520" spans="1:4" ht="17">
      <c r="A1520" s="5" t="s">
        <v>841</v>
      </c>
      <c r="B1520" s="5" t="s">
        <v>3535</v>
      </c>
      <c r="C1520" s="5" t="s">
        <v>6398</v>
      </c>
      <c r="D1520" s="2">
        <f>DATE(2020,5,28)+TIME(16,8,30)</f>
        <v>43979.672569444447</v>
      </c>
    </row>
    <row r="1521" spans="1:4" ht="17">
      <c r="A1521" s="4" t="s">
        <v>841</v>
      </c>
      <c r="B1521" s="4" t="s">
        <v>842</v>
      </c>
      <c r="C1521" s="4" t="s">
        <v>843</v>
      </c>
      <c r="D1521" s="1">
        <f>DATE(2020,6,16)+TIME(15,56,9)</f>
        <v>43998.663993055554</v>
      </c>
    </row>
    <row r="1522" spans="1:4" ht="17">
      <c r="A1522" s="5" t="s">
        <v>841</v>
      </c>
      <c r="B1522" s="5" t="s">
        <v>8134</v>
      </c>
      <c r="C1522" s="5" t="s">
        <v>8135</v>
      </c>
      <c r="D1522" s="2">
        <f>DATE(2020,6,24)+TIME(12,18,35)</f>
        <v>44006.51290509259</v>
      </c>
    </row>
    <row r="1523" spans="1:4" ht="17">
      <c r="A1523" s="5" t="s">
        <v>8989</v>
      </c>
      <c r="B1523" s="5" t="s">
        <v>783</v>
      </c>
      <c r="C1523" s="5" t="s">
        <v>8990</v>
      </c>
      <c r="D1523" s="2">
        <f>DATE(2020,5,6)+TIME(20,4,41)</f>
        <v>43957.836585648147</v>
      </c>
    </row>
    <row r="1524" spans="1:4" ht="17">
      <c r="A1524" s="4" t="s">
        <v>9414</v>
      </c>
      <c r="B1524" s="4" t="s">
        <v>9415</v>
      </c>
      <c r="C1524" s="4" t="s">
        <v>9416</v>
      </c>
      <c r="D1524" s="1">
        <f>DATE(2020,6,14)+TIME(8,9,28)</f>
        <v>43996.339907407404</v>
      </c>
    </row>
    <row r="1525" spans="1:4" ht="17">
      <c r="A1525" s="4" t="s">
        <v>3787</v>
      </c>
      <c r="B1525" s="4" t="s">
        <v>3788</v>
      </c>
      <c r="C1525" s="4" t="s">
        <v>3789</v>
      </c>
      <c r="D1525" s="1">
        <f>DATE(2020,6,17)+TIME(20,52,59)</f>
        <v>43999.870127314818</v>
      </c>
    </row>
    <row r="1526" spans="1:4" ht="17">
      <c r="A1526" s="4" t="s">
        <v>9067</v>
      </c>
      <c r="B1526" s="4" t="s">
        <v>9068</v>
      </c>
      <c r="C1526" s="4" t="s">
        <v>9069</v>
      </c>
      <c r="D1526" s="1">
        <f>DATE(2020,6,23)+TIME(23,41,58)</f>
        <v>44005.987476851849</v>
      </c>
    </row>
    <row r="1527" spans="1:4" ht="17">
      <c r="A1527" s="5" t="s">
        <v>1332</v>
      </c>
      <c r="B1527" s="5" t="s">
        <v>1333</v>
      </c>
      <c r="C1527" s="5" t="s">
        <v>1334</v>
      </c>
      <c r="D1527" s="2">
        <f>DATE(2020,6,11)+TIME(13,3,54)</f>
        <v>43993.544374999998</v>
      </c>
    </row>
    <row r="1528" spans="1:4" ht="17">
      <c r="A1528" s="4" t="s">
        <v>952</v>
      </c>
      <c r="B1528" s="4" t="s">
        <v>7494</v>
      </c>
      <c r="C1528" s="4" t="s">
        <v>7495</v>
      </c>
      <c r="D1528" s="1">
        <f>DATE(2020,6,12)+TIME(14,31,53)</f>
        <v>43994.605474537035</v>
      </c>
    </row>
    <row r="1529" spans="1:4" ht="17">
      <c r="A1529" s="5" t="s">
        <v>952</v>
      </c>
      <c r="B1529" s="5" t="s">
        <v>7371</v>
      </c>
      <c r="C1529" s="5" t="s">
        <v>7372</v>
      </c>
      <c r="D1529" s="2">
        <f>DATE(2020,6,22)+TIME(4,53,28)</f>
        <v>44004.203796296293</v>
      </c>
    </row>
    <row r="1530" spans="1:4" ht="17">
      <c r="A1530" s="5" t="s">
        <v>952</v>
      </c>
      <c r="B1530" s="5" t="s">
        <v>953</v>
      </c>
      <c r="C1530" s="5" t="s">
        <v>954</v>
      </c>
      <c r="D1530" s="2">
        <f>DATE(2020,6,25)+TIME(10,31,1)</f>
        <v>44007.438206018516</v>
      </c>
    </row>
    <row r="1531" spans="1:4" ht="17">
      <c r="A1531" s="4" t="s">
        <v>1363</v>
      </c>
      <c r="B1531" s="4" t="s">
        <v>1364</v>
      </c>
      <c r="C1531" s="4" t="s">
        <v>1365</v>
      </c>
      <c r="D1531" s="1">
        <f>DATE(2020,6,24)+TIME(6,36,10)</f>
        <v>44006.27511574074</v>
      </c>
    </row>
    <row r="1532" spans="1:4" ht="17">
      <c r="A1532" s="4" t="s">
        <v>172</v>
      </c>
      <c r="B1532" s="4" t="s">
        <v>488</v>
      </c>
      <c r="C1532" s="4" t="s">
        <v>8039</v>
      </c>
      <c r="D1532" s="1">
        <f>DATE(2020,3,30)+TIME(14,28,46)</f>
        <v>43920.603310185186</v>
      </c>
    </row>
    <row r="1533" spans="1:4" ht="17">
      <c r="A1533" s="5" t="s">
        <v>172</v>
      </c>
      <c r="B1533" s="5" t="s">
        <v>7923</v>
      </c>
      <c r="C1533" s="5" t="s">
        <v>7924</v>
      </c>
      <c r="D1533" s="2">
        <f>DATE(2020,5,5)+TIME(19,26,39)</f>
        <v>43956.810173611113</v>
      </c>
    </row>
    <row r="1534" spans="1:4" ht="17">
      <c r="A1534" s="4" t="s">
        <v>172</v>
      </c>
      <c r="B1534" s="4" t="s">
        <v>2070</v>
      </c>
      <c r="C1534" s="4" t="s">
        <v>2071</v>
      </c>
      <c r="D1534" s="1">
        <f>DATE(2020,5,13)+TIME(17,36,44)</f>
        <v>43964.733842592592</v>
      </c>
    </row>
    <row r="1535" spans="1:4" ht="17">
      <c r="A1535" s="5" t="s">
        <v>172</v>
      </c>
      <c r="B1535" s="5" t="s">
        <v>1538</v>
      </c>
      <c r="C1535" s="5" t="s">
        <v>6747</v>
      </c>
      <c r="D1535" s="2">
        <f>DATE(2020,5,18)+TIME(10,40,46)</f>
        <v>43969.444976851853</v>
      </c>
    </row>
    <row r="1536" spans="1:4" ht="17">
      <c r="A1536" s="5" t="s">
        <v>172</v>
      </c>
      <c r="B1536" s="5" t="s">
        <v>1976</v>
      </c>
      <c r="C1536" s="5" t="s">
        <v>1977</v>
      </c>
      <c r="D1536" s="2">
        <f>DATE(2020,5,20)+TIME(14,47,53)</f>
        <v>43971.616585648146</v>
      </c>
    </row>
    <row r="1537" spans="1:4" ht="17">
      <c r="A1537" s="5" t="s">
        <v>172</v>
      </c>
      <c r="B1537" s="5" t="s">
        <v>5926</v>
      </c>
      <c r="C1537" s="5" t="s">
        <v>5927</v>
      </c>
      <c r="D1537" s="2">
        <f>DATE(2020,5,20)+TIME(14,48,34)</f>
        <v>43971.617060185185</v>
      </c>
    </row>
    <row r="1538" spans="1:4" ht="17">
      <c r="A1538" s="4" t="s">
        <v>172</v>
      </c>
      <c r="B1538" s="4" t="s">
        <v>6779</v>
      </c>
      <c r="C1538" s="4" t="s">
        <v>6780</v>
      </c>
      <c r="D1538" s="1">
        <f>DATE(2020,5,22)+TIME(23,6,34)</f>
        <v>43973.962893518517</v>
      </c>
    </row>
    <row r="1539" spans="1:4" ht="17">
      <c r="A1539" s="4" t="s">
        <v>172</v>
      </c>
      <c r="B1539" s="4" t="s">
        <v>4739</v>
      </c>
      <c r="C1539" s="4" t="s">
        <v>4740</v>
      </c>
      <c r="D1539" s="1">
        <f>DATE(2020,5,26)+TIME(8,41,31)</f>
        <v>43977.362164351849</v>
      </c>
    </row>
    <row r="1540" spans="1:4" ht="17">
      <c r="A1540" s="4" t="s">
        <v>172</v>
      </c>
      <c r="B1540" s="4" t="s">
        <v>531</v>
      </c>
      <c r="C1540" s="4" t="s">
        <v>532</v>
      </c>
      <c r="D1540" s="1">
        <f>DATE(2020,5,29)+TIME(8,30,8)</f>
        <v>43980.354259259257</v>
      </c>
    </row>
    <row r="1541" spans="1:4" ht="17">
      <c r="A1541" s="4" t="s">
        <v>5847</v>
      </c>
      <c r="B1541" s="4" t="s">
        <v>5848</v>
      </c>
      <c r="C1541" s="4" t="s">
        <v>5849</v>
      </c>
      <c r="D1541" s="1">
        <f>DATE(2020,5,30)+TIME(15,18,19)</f>
        <v>43981.637719907405</v>
      </c>
    </row>
    <row r="1542" spans="1:4" ht="17">
      <c r="A1542" s="4" t="s">
        <v>172</v>
      </c>
      <c r="B1542" s="4" t="s">
        <v>3397</v>
      </c>
      <c r="C1542" s="4" t="s">
        <v>3398</v>
      </c>
      <c r="D1542" s="1">
        <f>DATE(2020,6,12)+TIME(19,11,33)</f>
        <v>43994.799687500003</v>
      </c>
    </row>
    <row r="1543" spans="1:4" ht="17">
      <c r="A1543" s="4" t="s">
        <v>172</v>
      </c>
      <c r="B1543" s="4" t="s">
        <v>1396</v>
      </c>
      <c r="C1543" s="4" t="s">
        <v>1397</v>
      </c>
      <c r="D1543" s="1">
        <f>DATE(2020,6,15)+TIME(16,14,3)</f>
        <v>43997.676423611112</v>
      </c>
    </row>
    <row r="1544" spans="1:4" ht="17">
      <c r="A1544" s="5" t="s">
        <v>172</v>
      </c>
      <c r="B1544" s="5" t="s">
        <v>8921</v>
      </c>
      <c r="C1544" s="5" t="s">
        <v>8922</v>
      </c>
      <c r="D1544" s="2">
        <f>DATE(2020,6,18)+TIME(15,48,52)</f>
        <v>44000.658935185187</v>
      </c>
    </row>
    <row r="1545" spans="1:4" ht="17">
      <c r="A1545" s="4" t="s">
        <v>172</v>
      </c>
      <c r="B1545" s="4" t="s">
        <v>4681</v>
      </c>
      <c r="C1545" s="4" t="s">
        <v>4682</v>
      </c>
      <c r="D1545" s="1">
        <f>DATE(2020,6,24)+TIME(18,4,8)</f>
        <v>44006.752870370372</v>
      </c>
    </row>
    <row r="1546" spans="1:4" ht="17">
      <c r="A1546" s="4" t="s">
        <v>172</v>
      </c>
      <c r="B1546" s="4" t="s">
        <v>3597</v>
      </c>
      <c r="C1546" s="4" t="s">
        <v>4826</v>
      </c>
      <c r="D1546" s="1">
        <f>DATE(2020,6,24)+TIME(21,4,2)</f>
        <v>44006.877800925926</v>
      </c>
    </row>
    <row r="1547" spans="1:4" ht="17">
      <c r="A1547" s="5" t="s">
        <v>172</v>
      </c>
      <c r="B1547" s="5" t="s">
        <v>797</v>
      </c>
      <c r="C1547" s="5" t="s">
        <v>798</v>
      </c>
      <c r="D1547" s="2">
        <f>DATE(2020,6,25)+TIME(10,1,42)</f>
        <v>44007.417847222219</v>
      </c>
    </row>
    <row r="1548" spans="1:4" ht="17">
      <c r="A1548" s="5" t="s">
        <v>172</v>
      </c>
      <c r="B1548" s="5" t="s">
        <v>2454</v>
      </c>
      <c r="C1548" s="5" t="s">
        <v>2455</v>
      </c>
      <c r="D1548" s="2">
        <f>DATE(2020,6,26)+TIME(13,32,4)</f>
        <v>44008.563935185186</v>
      </c>
    </row>
    <row r="1549" spans="1:4" ht="17">
      <c r="A1549" s="4" t="s">
        <v>172</v>
      </c>
      <c r="B1549" s="4" t="s">
        <v>8846</v>
      </c>
      <c r="C1549" s="4" t="s">
        <v>8847</v>
      </c>
      <c r="D1549" s="1">
        <f>DATE(2020,6,26)+TIME(14,14,39)</f>
        <v>44008.593506944446</v>
      </c>
    </row>
    <row r="1550" spans="1:4" ht="17">
      <c r="A1550" s="4" t="s">
        <v>172</v>
      </c>
      <c r="B1550" s="4" t="s">
        <v>7287</v>
      </c>
      <c r="C1550" s="4" t="s">
        <v>7288</v>
      </c>
      <c r="D1550" s="1">
        <f>DATE(2020,6,26)+TIME(15,3,39)</f>
        <v>44008.627534722225</v>
      </c>
    </row>
    <row r="1551" spans="1:4" ht="17">
      <c r="A1551" s="4" t="s">
        <v>172</v>
      </c>
      <c r="B1551" s="4" t="s">
        <v>2758</v>
      </c>
      <c r="C1551" s="4" t="s">
        <v>2759</v>
      </c>
      <c r="D1551" s="1">
        <f>DATE(2020,6,29)+TIME(9,28,27)</f>
        <v>44011.394756944443</v>
      </c>
    </row>
    <row r="1552" spans="1:4" ht="17">
      <c r="A1552" s="4" t="s">
        <v>172</v>
      </c>
      <c r="B1552" s="4" t="s">
        <v>173</v>
      </c>
      <c r="C1552" s="4" t="s">
        <v>174</v>
      </c>
      <c r="D1552" s="1">
        <f>DATE(2020,6,29)+TIME(9,46,24)</f>
        <v>44011.407222222224</v>
      </c>
    </row>
    <row r="1553" spans="1:4" ht="17">
      <c r="A1553" s="5" t="s">
        <v>172</v>
      </c>
      <c r="B1553" s="5" t="s">
        <v>3283</v>
      </c>
      <c r="C1553" s="5" t="s">
        <v>3284</v>
      </c>
      <c r="D1553" s="2">
        <f>DATE(2020,6,29)+TIME(13,2,25)</f>
        <v>44011.543344907404</v>
      </c>
    </row>
    <row r="1554" spans="1:4" ht="17">
      <c r="A1554" s="5" t="s">
        <v>3201</v>
      </c>
      <c r="B1554" s="5" t="s">
        <v>5318</v>
      </c>
      <c r="C1554" s="5" t="s">
        <v>8714</v>
      </c>
      <c r="D1554" s="2">
        <f>DATE(2020,3,30)+TIME(14,28,46)</f>
        <v>43920.603310185186</v>
      </c>
    </row>
    <row r="1555" spans="1:4" ht="17">
      <c r="A1555" s="4" t="s">
        <v>3201</v>
      </c>
      <c r="B1555" s="4" t="s">
        <v>5145</v>
      </c>
      <c r="C1555" s="4" t="s">
        <v>5146</v>
      </c>
      <c r="D1555" s="1">
        <f>DATE(2020,4,9)+TIME(12,40,16)</f>
        <v>43930.527962962966</v>
      </c>
    </row>
    <row r="1556" spans="1:4" ht="17">
      <c r="A1556" s="4" t="s">
        <v>3201</v>
      </c>
      <c r="B1556" s="4" t="s">
        <v>3202</v>
      </c>
      <c r="C1556" s="4" t="s">
        <v>3203</v>
      </c>
      <c r="D1556" s="1">
        <f>DATE(2020,5,7)+TIME(15,22,43)</f>
        <v>43958.640775462962</v>
      </c>
    </row>
    <row r="1557" spans="1:4" ht="17">
      <c r="A1557" s="5" t="s">
        <v>7948</v>
      </c>
      <c r="B1557" s="5" t="s">
        <v>7949</v>
      </c>
      <c r="C1557" s="5" t="s">
        <v>7950</v>
      </c>
      <c r="D1557" s="2">
        <f>DATE(2020,6,15)+TIME(22,8,22)</f>
        <v>43997.922476851854</v>
      </c>
    </row>
    <row r="1558" spans="1:4" ht="17">
      <c r="A1558" s="5" t="s">
        <v>4865</v>
      </c>
      <c r="B1558" s="5" t="s">
        <v>4866</v>
      </c>
      <c r="C1558" s="5" t="s">
        <v>4867</v>
      </c>
      <c r="D1558" s="2">
        <f>DATE(2020,6,27)+TIME(18,34,40)</f>
        <v>44009.774074074077</v>
      </c>
    </row>
    <row r="1559" spans="1:4" ht="17">
      <c r="A1559" s="5" t="s">
        <v>1791</v>
      </c>
      <c r="B1559" s="5" t="s">
        <v>7791</v>
      </c>
      <c r="C1559" s="5" t="s">
        <v>7792</v>
      </c>
      <c r="D1559" s="2">
        <f>DATE(2020,4,13)+TIME(2,8,39)</f>
        <v>43934.08934027778</v>
      </c>
    </row>
    <row r="1560" spans="1:4" ht="17">
      <c r="A1560" s="4" t="s">
        <v>1791</v>
      </c>
      <c r="B1560" s="4" t="s">
        <v>4435</v>
      </c>
      <c r="C1560" s="4" t="s">
        <v>4436</v>
      </c>
      <c r="D1560" s="1">
        <f>DATE(2020,6,23)+TIME(3,58,43)</f>
        <v>44005.165775462963</v>
      </c>
    </row>
    <row r="1561" spans="1:4" ht="17">
      <c r="A1561" s="4" t="s">
        <v>1791</v>
      </c>
      <c r="B1561" s="4" t="s">
        <v>1792</v>
      </c>
      <c r="C1561" s="4" t="s">
        <v>1793</v>
      </c>
      <c r="D1561" s="1">
        <f>DATE(2020,6,26)+TIME(12,16,14)</f>
        <v>44008.511273148149</v>
      </c>
    </row>
    <row r="1562" spans="1:4" ht="17">
      <c r="A1562" s="5" t="s">
        <v>4475</v>
      </c>
      <c r="B1562" s="5" t="s">
        <v>4476</v>
      </c>
      <c r="C1562" s="5" t="s">
        <v>4477</v>
      </c>
      <c r="D1562" s="2">
        <f>DATE(2020,6,28)+TIME(2,42,42)</f>
        <v>44010.112986111111</v>
      </c>
    </row>
    <row r="1563" spans="1:4" ht="17">
      <c r="A1563" s="4" t="s">
        <v>9347</v>
      </c>
      <c r="B1563" s="4" t="s">
        <v>9348</v>
      </c>
      <c r="C1563" s="4" t="s">
        <v>9349</v>
      </c>
      <c r="D1563" s="1">
        <f>DATE(2020,6,10)+TIME(21,12,25)</f>
        <v>43992.883622685185</v>
      </c>
    </row>
    <row r="1564" spans="1:4" ht="17">
      <c r="A1564" s="5" t="s">
        <v>5666</v>
      </c>
      <c r="B1564" s="5" t="s">
        <v>5667</v>
      </c>
      <c r="C1564" s="5" t="s">
        <v>5668</v>
      </c>
      <c r="D1564" s="2">
        <f>DATE(2020,5,11)+TIME(10,50,16)</f>
        <v>43962.451574074075</v>
      </c>
    </row>
    <row r="1565" spans="1:4" ht="17">
      <c r="A1565" s="4" t="s">
        <v>5015</v>
      </c>
      <c r="B1565" s="4" t="s">
        <v>5016</v>
      </c>
      <c r="C1565" s="4" t="s">
        <v>5017</v>
      </c>
      <c r="D1565" s="1">
        <f>DATE(2020,5,19)+TIME(12,13,36)</f>
        <v>43970.509444444448</v>
      </c>
    </row>
    <row r="1566" spans="1:4" ht="17">
      <c r="A1566" s="5" t="s">
        <v>7194</v>
      </c>
      <c r="B1566" s="5" t="s">
        <v>9586</v>
      </c>
      <c r="C1566" s="5" t="s">
        <v>9587</v>
      </c>
      <c r="D1566" s="2">
        <f>DATE(2020,5,17)+TIME(18,11,15)</f>
        <v>43968.7578125</v>
      </c>
    </row>
    <row r="1567" spans="1:4" ht="17">
      <c r="A1567" s="5" t="s">
        <v>7194</v>
      </c>
      <c r="B1567" s="5" t="s">
        <v>7195</v>
      </c>
      <c r="C1567" s="5" t="s">
        <v>7196</v>
      </c>
      <c r="D1567" s="2">
        <f>DATE(2020,6,17)+TIME(13,59,33)</f>
        <v>43999.583020833335</v>
      </c>
    </row>
    <row r="1568" spans="1:4" ht="17">
      <c r="A1568" s="4" t="s">
        <v>1200</v>
      </c>
      <c r="B1568" s="4" t="s">
        <v>1201</v>
      </c>
      <c r="C1568" s="4" t="s">
        <v>1202</v>
      </c>
      <c r="D1568" s="1">
        <f>DATE(2020,5,6)+TIME(2,27,21)</f>
        <v>43957.102326388886</v>
      </c>
    </row>
    <row r="1569" spans="1:4" ht="17">
      <c r="A1569" s="5" t="s">
        <v>2873</v>
      </c>
      <c r="B1569" s="5" t="s">
        <v>2874</v>
      </c>
      <c r="C1569" s="5" t="s">
        <v>2875</v>
      </c>
      <c r="D1569" s="2">
        <f>DATE(2020,6,23)+TIME(13,37,40)</f>
        <v>44005.567824074074</v>
      </c>
    </row>
    <row r="1570" spans="1:4" ht="17">
      <c r="A1570" s="4" t="s">
        <v>9208</v>
      </c>
      <c r="B1570" s="4" t="s">
        <v>9209</v>
      </c>
      <c r="C1570" s="4" t="s">
        <v>9210</v>
      </c>
      <c r="D1570" s="1">
        <f>DATE(2020,5,19)+TIME(15,23,9)</f>
        <v>43970.641076388885</v>
      </c>
    </row>
    <row r="1571" spans="1:4" ht="17">
      <c r="A1571" s="4" t="s">
        <v>351</v>
      </c>
      <c r="B1571" s="4" t="s">
        <v>352</v>
      </c>
      <c r="C1571" s="4" t="s">
        <v>353</v>
      </c>
      <c r="D1571" s="1">
        <f>DATE(2020,2,4)+TIME(15,39,58)</f>
        <v>43865.652754629627</v>
      </c>
    </row>
    <row r="1572" spans="1:4" ht="17">
      <c r="A1572" s="5" t="s">
        <v>351</v>
      </c>
      <c r="B1572" s="5" t="s">
        <v>5916</v>
      </c>
      <c r="C1572" s="5" t="s">
        <v>5917</v>
      </c>
      <c r="D1572" s="2">
        <f>DATE(2020,3,27)+TIME(18,2,6)</f>
        <v>43917.751458333332</v>
      </c>
    </row>
    <row r="1573" spans="1:4" ht="17">
      <c r="A1573" s="5" t="s">
        <v>351</v>
      </c>
      <c r="B1573" s="5" t="s">
        <v>890</v>
      </c>
      <c r="C1573" s="5" t="s">
        <v>891</v>
      </c>
      <c r="D1573" s="2">
        <f>DATE(2020,4,17)+TIME(23,30,37)</f>
        <v>43938.979594907411</v>
      </c>
    </row>
    <row r="1574" spans="1:4" ht="17">
      <c r="A1574" s="5" t="s">
        <v>351</v>
      </c>
      <c r="B1574" s="5" t="s">
        <v>6275</v>
      </c>
      <c r="C1574" s="5" t="s">
        <v>7451</v>
      </c>
      <c r="D1574" s="2">
        <f>DATE(2020,5,5)+TIME(17,12,47)</f>
        <v>43956.717210648145</v>
      </c>
    </row>
    <row r="1575" spans="1:4" ht="17">
      <c r="A1575" s="4" t="s">
        <v>351</v>
      </c>
      <c r="B1575" s="4" t="s">
        <v>9027</v>
      </c>
      <c r="C1575" s="4" t="s">
        <v>9028</v>
      </c>
      <c r="D1575" s="1">
        <f>DATE(2020,5,5)+TIME(22,16,49)</f>
        <v>43956.928344907406</v>
      </c>
    </row>
    <row r="1576" spans="1:4" ht="17">
      <c r="A1576" s="5" t="s">
        <v>351</v>
      </c>
      <c r="B1576" s="5" t="s">
        <v>7039</v>
      </c>
      <c r="C1576" s="5" t="s">
        <v>7040</v>
      </c>
      <c r="D1576" s="2">
        <f>DATE(2020,5,6)+TIME(10,59,7)</f>
        <v>43957.457719907405</v>
      </c>
    </row>
    <row r="1577" spans="1:4" ht="17">
      <c r="A1577" s="4" t="s">
        <v>351</v>
      </c>
      <c r="B1577" s="4" t="s">
        <v>404</v>
      </c>
      <c r="C1577" s="4" t="s">
        <v>6277</v>
      </c>
      <c r="D1577" s="1">
        <f>DATE(2020,5,7)+TIME(1,34,30)</f>
        <v>43958.065625000003</v>
      </c>
    </row>
    <row r="1578" spans="1:4" ht="17">
      <c r="A1578" s="4" t="s">
        <v>351</v>
      </c>
      <c r="B1578" s="4" t="s">
        <v>8238</v>
      </c>
      <c r="C1578" s="4" t="s">
        <v>8239</v>
      </c>
      <c r="D1578" s="1">
        <f>DATE(2020,5,14)+TIME(10,34,42)</f>
        <v>43965.440763888888</v>
      </c>
    </row>
    <row r="1579" spans="1:4" ht="17">
      <c r="A1579" s="5" t="s">
        <v>351</v>
      </c>
      <c r="B1579" s="5" t="s">
        <v>7086</v>
      </c>
      <c r="C1579" s="5" t="s">
        <v>7087</v>
      </c>
      <c r="D1579" s="2">
        <f>DATE(2020,5,21)+TIME(16,21,1)</f>
        <v>43972.681261574071</v>
      </c>
    </row>
    <row r="1580" spans="1:4" ht="17">
      <c r="A1580" s="5" t="s">
        <v>351</v>
      </c>
      <c r="B1580" s="5" t="s">
        <v>8937</v>
      </c>
      <c r="C1580" s="5" t="s">
        <v>8938</v>
      </c>
      <c r="D1580" s="2">
        <f>DATE(2020,5,21)+TIME(16,31,22)</f>
        <v>43972.688449074078</v>
      </c>
    </row>
    <row r="1581" spans="1:4" ht="17">
      <c r="A1581" s="4" t="s">
        <v>351</v>
      </c>
      <c r="B1581" s="4" t="s">
        <v>6232</v>
      </c>
      <c r="C1581" s="4" t="s">
        <v>6233</v>
      </c>
      <c r="D1581" s="1">
        <f>DATE(2020,5,22)+TIME(20,25,24)</f>
        <v>43973.850972222222</v>
      </c>
    </row>
    <row r="1582" spans="1:4" ht="17">
      <c r="A1582" s="5" t="s">
        <v>351</v>
      </c>
      <c r="B1582" s="5" t="s">
        <v>3690</v>
      </c>
      <c r="C1582" s="5" t="s">
        <v>3691</v>
      </c>
      <c r="D1582" s="2">
        <f>DATE(2020,5,28)+TIME(16,37,14)</f>
        <v>43979.692523148151</v>
      </c>
    </row>
    <row r="1583" spans="1:4" ht="17">
      <c r="A1583" s="5" t="s">
        <v>351</v>
      </c>
      <c r="B1583" s="5" t="s">
        <v>7541</v>
      </c>
      <c r="C1583" s="5" t="s">
        <v>7542</v>
      </c>
      <c r="D1583" s="2">
        <f>DATE(2020,6,8)+TIME(19,4,4)</f>
        <v>43990.794490740744</v>
      </c>
    </row>
    <row r="1584" spans="1:4" ht="17">
      <c r="A1584" s="5" t="s">
        <v>351</v>
      </c>
      <c r="B1584" s="5" t="s">
        <v>7926</v>
      </c>
      <c r="C1584" s="5" t="s">
        <v>7927</v>
      </c>
      <c r="D1584" s="2">
        <f>DATE(2020,6,16)+TIME(17,52,35)</f>
        <v>43998.744849537034</v>
      </c>
    </row>
    <row r="1585" spans="1:4" ht="17">
      <c r="A1585" s="5" t="s">
        <v>351</v>
      </c>
      <c r="B1585" s="5" t="s">
        <v>1142</v>
      </c>
      <c r="C1585" s="5" t="s">
        <v>1143</v>
      </c>
      <c r="D1585" s="2">
        <f>DATE(2020,6,18)+TIME(9,16,15)</f>
        <v>44000.386284722219</v>
      </c>
    </row>
    <row r="1586" spans="1:4" ht="17">
      <c r="A1586" s="5" t="s">
        <v>351</v>
      </c>
      <c r="B1586" s="5" t="s">
        <v>1569</v>
      </c>
      <c r="C1586" s="5" t="s">
        <v>1570</v>
      </c>
      <c r="D1586" s="2">
        <f>DATE(2020,6,19)+TIME(11,1,59)</f>
        <v>44001.459710648145</v>
      </c>
    </row>
    <row r="1587" spans="1:4" ht="17">
      <c r="A1587" s="4" t="s">
        <v>351</v>
      </c>
      <c r="B1587" s="4" t="s">
        <v>1347</v>
      </c>
      <c r="C1587" s="4" t="s">
        <v>1348</v>
      </c>
      <c r="D1587" s="1">
        <f>DATE(2020,6,23)+TIME(13,33,22)</f>
        <v>44005.564837962964</v>
      </c>
    </row>
    <row r="1588" spans="1:4" ht="17">
      <c r="A1588" s="4" t="s">
        <v>351</v>
      </c>
      <c r="B1588" s="4" t="s">
        <v>5552</v>
      </c>
      <c r="C1588" s="4" t="s">
        <v>5553</v>
      </c>
      <c r="D1588" s="1">
        <f>DATE(2020,6,23)+TIME(23,21,17)</f>
        <v>44005.973113425927</v>
      </c>
    </row>
    <row r="1589" spans="1:4" ht="17">
      <c r="A1589" s="4" t="s">
        <v>351</v>
      </c>
      <c r="B1589" s="4" t="s">
        <v>1644</v>
      </c>
      <c r="C1589" s="4" t="s">
        <v>1645</v>
      </c>
      <c r="D1589" s="1">
        <f>DATE(2020,6,25)+TIME(14,43,38)</f>
        <v>44007.613634259258</v>
      </c>
    </row>
    <row r="1590" spans="1:4" ht="17">
      <c r="A1590" s="5" t="s">
        <v>351</v>
      </c>
      <c r="B1590" s="5" t="s">
        <v>8220</v>
      </c>
      <c r="C1590" s="5" t="s">
        <v>8221</v>
      </c>
      <c r="D1590" s="2">
        <f>DATE(2020,6,28)+TIME(20,19,20)</f>
        <v>44010.846759259257</v>
      </c>
    </row>
    <row r="1591" spans="1:4" ht="17">
      <c r="A1591" s="4" t="s">
        <v>2870</v>
      </c>
      <c r="B1591" s="4" t="s">
        <v>2871</v>
      </c>
      <c r="C1591" s="4" t="s">
        <v>2872</v>
      </c>
      <c r="D1591" s="1">
        <f>DATE(2020,6,19)+TIME(1,4,35)</f>
        <v>44001.044849537036</v>
      </c>
    </row>
    <row r="1592" spans="1:4" ht="17">
      <c r="A1592" s="5" t="s">
        <v>6304</v>
      </c>
      <c r="B1592" s="5" t="s">
        <v>6305</v>
      </c>
      <c r="C1592" s="5" t="s">
        <v>6306</v>
      </c>
      <c r="D1592" s="2">
        <f>DATE(2020,6,17)+TIME(14,41,48)</f>
        <v>43999.612361111111</v>
      </c>
    </row>
    <row r="1593" spans="1:4" ht="17">
      <c r="A1593" s="4" t="s">
        <v>2618</v>
      </c>
      <c r="B1593" s="4" t="s">
        <v>2619</v>
      </c>
      <c r="C1593" s="4" t="s">
        <v>2620</v>
      </c>
      <c r="D1593" s="1">
        <f>DATE(2020,6,25)+TIME(10,5,4)</f>
        <v>44007.420185185183</v>
      </c>
    </row>
    <row r="1594" spans="1:4" ht="17">
      <c r="A1594" s="5" t="s">
        <v>2618</v>
      </c>
      <c r="B1594" s="5" t="s">
        <v>2619</v>
      </c>
      <c r="C1594" s="5" t="s">
        <v>4729</v>
      </c>
      <c r="D1594" s="2">
        <f>DATE(2020,6,29)+TIME(10,9,55)</f>
        <v>44011.42355324074</v>
      </c>
    </row>
    <row r="1595" spans="1:4" ht="17">
      <c r="A1595" s="4" t="s">
        <v>2508</v>
      </c>
      <c r="B1595" s="4" t="s">
        <v>2509</v>
      </c>
      <c r="C1595" s="4" t="s">
        <v>2510</v>
      </c>
      <c r="D1595" s="1">
        <f>DATE(2020,3,27)+TIME(12,39,24)</f>
        <v>43917.527361111112</v>
      </c>
    </row>
    <row r="1596" spans="1:4" ht="17">
      <c r="A1596" s="5" t="s">
        <v>2508</v>
      </c>
      <c r="B1596" s="5" t="s">
        <v>1616</v>
      </c>
      <c r="C1596" s="5" t="s">
        <v>5221</v>
      </c>
      <c r="D1596" s="2">
        <f>DATE(2020,6,4)+TIME(21,2,49)</f>
        <v>43986.876956018517</v>
      </c>
    </row>
    <row r="1597" spans="1:4" ht="17">
      <c r="A1597" s="5" t="s">
        <v>2508</v>
      </c>
      <c r="B1597" s="5" t="s">
        <v>2169</v>
      </c>
      <c r="C1597" s="5" t="s">
        <v>4933</v>
      </c>
      <c r="D1597" s="2">
        <f>DATE(2020,6,17)+TIME(15,59,36)</f>
        <v>43999.666388888887</v>
      </c>
    </row>
    <row r="1598" spans="1:4" ht="17">
      <c r="A1598" s="4" t="s">
        <v>2508</v>
      </c>
      <c r="B1598" s="4" t="s">
        <v>2490</v>
      </c>
      <c r="C1598" s="4" t="s">
        <v>4747</v>
      </c>
      <c r="D1598" s="1">
        <f>DATE(2020,6,25)+TIME(15,39,55)</f>
        <v>44007.652719907404</v>
      </c>
    </row>
    <row r="1599" spans="1:4" ht="17">
      <c r="A1599" s="4" t="s">
        <v>1909</v>
      </c>
      <c r="B1599" s="4" t="s">
        <v>1910</v>
      </c>
      <c r="C1599" s="4" t="s">
        <v>1911</v>
      </c>
      <c r="D1599" s="1">
        <f>DATE(2020,6,19)+TIME(22,48,9)</f>
        <v>44001.950104166666</v>
      </c>
    </row>
    <row r="1600" spans="1:4" ht="17">
      <c r="A1600" s="5" t="s">
        <v>1816</v>
      </c>
      <c r="B1600" s="5" t="s">
        <v>4331</v>
      </c>
      <c r="C1600" s="5" t="s">
        <v>4332</v>
      </c>
      <c r="D1600" s="2">
        <f>DATE(2020,5,5)+TIME(16,44,11)</f>
        <v>43956.69734953704</v>
      </c>
    </row>
    <row r="1601" spans="1:4" ht="17">
      <c r="A1601" s="5" t="s">
        <v>1816</v>
      </c>
      <c r="B1601" s="5" t="s">
        <v>386</v>
      </c>
      <c r="C1601" s="5" t="s">
        <v>4504</v>
      </c>
      <c r="D1601" s="2">
        <f>DATE(2020,5,6)+TIME(11,15,33)</f>
        <v>43957.469131944446</v>
      </c>
    </row>
    <row r="1602" spans="1:4" ht="17">
      <c r="A1602" s="5" t="s">
        <v>1816</v>
      </c>
      <c r="B1602" s="5" t="s">
        <v>8940</v>
      </c>
      <c r="C1602" s="5" t="s">
        <v>8941</v>
      </c>
      <c r="D1602" s="2">
        <f>DATE(2020,6,1)+TIME(16,54,13)</f>
        <v>43983.704317129632</v>
      </c>
    </row>
    <row r="1603" spans="1:4" ht="17">
      <c r="A1603" s="5" t="s">
        <v>1816</v>
      </c>
      <c r="B1603" s="5" t="s">
        <v>1817</v>
      </c>
      <c r="C1603" s="5" t="s">
        <v>1818</v>
      </c>
      <c r="D1603" s="2">
        <f>DATE(2020,6,24)+TIME(11,21,11)</f>
        <v>44006.473043981481</v>
      </c>
    </row>
    <row r="1604" spans="1:4" ht="17">
      <c r="A1604" s="5" t="s">
        <v>1816</v>
      </c>
      <c r="B1604" s="5" t="s">
        <v>3466</v>
      </c>
      <c r="C1604" s="5" t="s">
        <v>3467</v>
      </c>
      <c r="D1604" s="2">
        <f>DATE(2020,6,26)+TIME(10,51,54)</f>
        <v>44008.452708333331</v>
      </c>
    </row>
    <row r="1605" spans="1:4" ht="17">
      <c r="A1605" s="4" t="s">
        <v>1816</v>
      </c>
      <c r="B1605" s="4" t="s">
        <v>6727</v>
      </c>
      <c r="C1605" s="4" t="s">
        <v>6728</v>
      </c>
      <c r="D1605" s="1">
        <f>DATE(2020,6,27)+TIME(12,37,2)</f>
        <v>44009.525717592594</v>
      </c>
    </row>
    <row r="1606" spans="1:4" ht="17">
      <c r="A1606" s="5" t="s">
        <v>9526</v>
      </c>
      <c r="B1606" s="5" t="s">
        <v>9527</v>
      </c>
      <c r="C1606" s="5" t="s">
        <v>9528</v>
      </c>
      <c r="D1606" s="2">
        <f>DATE(2020,5,27)+TIME(15,46,47)</f>
        <v>43978.657488425924</v>
      </c>
    </row>
    <row r="1607" spans="1:4" ht="17">
      <c r="A1607" s="5" t="s">
        <v>9526</v>
      </c>
      <c r="B1607" s="5" t="s">
        <v>9564</v>
      </c>
      <c r="C1607" s="5" t="s">
        <v>9565</v>
      </c>
      <c r="D1607" s="2">
        <f>DATE(2020,6,23)+TIME(23,11,15)</f>
        <v>44005.966145833336</v>
      </c>
    </row>
    <row r="1608" spans="1:4" ht="17">
      <c r="A1608" s="4" t="s">
        <v>8200</v>
      </c>
      <c r="B1608" s="4" t="s">
        <v>8201</v>
      </c>
      <c r="C1608" s="4" t="s">
        <v>8202</v>
      </c>
      <c r="D1608" s="1">
        <f>DATE(2020,6,29)+TIME(10,12,7)</f>
        <v>44011.425081018519</v>
      </c>
    </row>
    <row r="1609" spans="1:4" ht="17">
      <c r="A1609" s="4" t="s">
        <v>811</v>
      </c>
      <c r="B1609" s="4" t="s">
        <v>812</v>
      </c>
      <c r="C1609" s="4" t="s">
        <v>813</v>
      </c>
      <c r="D1609" s="1">
        <f>DATE(2020,6,24)+TIME(11,58,0)</f>
        <v>44006.498611111114</v>
      </c>
    </row>
    <row r="1610" spans="1:4" ht="17">
      <c r="A1610" s="5" t="s">
        <v>5332</v>
      </c>
      <c r="B1610" s="5" t="s">
        <v>5333</v>
      </c>
      <c r="C1610" s="5" t="s">
        <v>5334</v>
      </c>
      <c r="D1610" s="2">
        <f>DATE(2020,6,25)+TIME(13,21,13)</f>
        <v>44007.556400462963</v>
      </c>
    </row>
    <row r="1611" spans="1:4" ht="17">
      <c r="A1611" s="4" t="s">
        <v>4189</v>
      </c>
      <c r="B1611" s="4" t="s">
        <v>4190</v>
      </c>
      <c r="C1611" s="4" t="s">
        <v>4191</v>
      </c>
      <c r="D1611" s="1">
        <f>DATE(2020,6,26)+TIME(14,23,46)</f>
        <v>44008.59983796296</v>
      </c>
    </row>
    <row r="1612" spans="1:4" ht="17">
      <c r="A1612" s="5" t="s">
        <v>7938</v>
      </c>
      <c r="B1612" s="5" t="s">
        <v>7938</v>
      </c>
      <c r="C1612" s="5" t="s">
        <v>7939</v>
      </c>
      <c r="D1612" s="2">
        <f>DATE(2020,5,28)+TIME(18,46,0)</f>
        <v>43979.781944444447</v>
      </c>
    </row>
    <row r="1613" spans="1:4" ht="17">
      <c r="A1613" s="5" t="s">
        <v>4724</v>
      </c>
      <c r="B1613" s="5" t="s">
        <v>4725</v>
      </c>
      <c r="C1613" s="5" t="s">
        <v>4726</v>
      </c>
      <c r="D1613" s="2">
        <f>DATE(2020,6,18)+TIME(13,50,38)</f>
        <v>44000.576828703706</v>
      </c>
    </row>
    <row r="1614" spans="1:4" ht="17">
      <c r="A1614" s="5" t="s">
        <v>8461</v>
      </c>
      <c r="B1614" s="5" t="s">
        <v>8462</v>
      </c>
      <c r="C1614" s="5" t="s">
        <v>8463</v>
      </c>
      <c r="D1614" s="2">
        <f>DATE(2020,6,23)+TIME(15,25,28)</f>
        <v>44005.642685185187</v>
      </c>
    </row>
    <row r="1615" spans="1:4" ht="17">
      <c r="A1615" s="5" t="s">
        <v>1344</v>
      </c>
      <c r="B1615" s="5" t="s">
        <v>1345</v>
      </c>
      <c r="C1615" s="5" t="s">
        <v>1346</v>
      </c>
      <c r="D1615" s="2">
        <f>DATE(2020,5,14)+TIME(13,53,24)</f>
        <v>43965.578750000001</v>
      </c>
    </row>
    <row r="1616" spans="1:4" ht="17">
      <c r="A1616" s="4" t="s">
        <v>5128</v>
      </c>
      <c r="B1616" s="4" t="s">
        <v>5129</v>
      </c>
      <c r="C1616" s="4" t="s">
        <v>5130</v>
      </c>
      <c r="D1616" s="1">
        <f>DATE(2020,6,8)+TIME(10,37,31)</f>
        <v>43990.442719907405</v>
      </c>
    </row>
    <row r="1617" spans="1:4" ht="17">
      <c r="A1617" s="5" t="s">
        <v>7774</v>
      </c>
      <c r="B1617" s="5" t="s">
        <v>7775</v>
      </c>
      <c r="C1617" s="5" t="s">
        <v>7776</v>
      </c>
      <c r="D1617" s="2">
        <f>DATE(2020,5,8)+TIME(16,24,21)</f>
        <v>43959.683576388888</v>
      </c>
    </row>
    <row r="1618" spans="1:4" ht="17">
      <c r="A1618" s="5" t="s">
        <v>4970</v>
      </c>
      <c r="B1618" s="5" t="s">
        <v>4971</v>
      </c>
      <c r="C1618" s="5" t="s">
        <v>4972</v>
      </c>
      <c r="D1618" s="2">
        <f>DATE(2020,2,21)+TIME(9,9,28)</f>
        <v>43882.381574074076</v>
      </c>
    </row>
    <row r="1619" spans="1:4" ht="17">
      <c r="A1619" s="4" t="s">
        <v>770</v>
      </c>
      <c r="B1619" s="4" t="s">
        <v>771</v>
      </c>
      <c r="C1619" s="4" t="s">
        <v>772</v>
      </c>
      <c r="D1619" s="1">
        <f>DATE(2020,6,29)+TIME(9,19,18)</f>
        <v>44011.388402777775</v>
      </c>
    </row>
    <row r="1620" spans="1:4" ht="17">
      <c r="A1620" s="4" t="s">
        <v>358</v>
      </c>
      <c r="B1620" s="4" t="s">
        <v>9529</v>
      </c>
      <c r="C1620" s="4" t="s">
        <v>9530</v>
      </c>
      <c r="D1620" s="1">
        <f>DATE(2020,3,6)+TIME(16,4,6)</f>
        <v>43896.66951388889</v>
      </c>
    </row>
    <row r="1621" spans="1:4" ht="17">
      <c r="A1621" s="5" t="s">
        <v>358</v>
      </c>
      <c r="B1621" s="5" t="s">
        <v>5039</v>
      </c>
      <c r="C1621" s="5" t="s">
        <v>5040</v>
      </c>
      <c r="D1621" s="2">
        <f>DATE(2020,5,8)+TIME(14,23,24)</f>
        <v>43959.599583333336</v>
      </c>
    </row>
    <row r="1622" spans="1:4" ht="17">
      <c r="A1622" s="4" t="s">
        <v>358</v>
      </c>
      <c r="B1622" s="4" t="s">
        <v>731</v>
      </c>
      <c r="C1622" s="4" t="s">
        <v>732</v>
      </c>
      <c r="D1622" s="1">
        <f>DATE(2020,5,8)+TIME(23,37,45)</f>
        <v>43959.984548611108</v>
      </c>
    </row>
    <row r="1623" spans="1:4" ht="17">
      <c r="A1623" s="5" t="s">
        <v>358</v>
      </c>
      <c r="B1623" s="5" t="s">
        <v>5784</v>
      </c>
      <c r="C1623" s="5" t="s">
        <v>5785</v>
      </c>
      <c r="D1623" s="2">
        <f>DATE(2020,5,20)+TIME(17,19,44)</f>
        <v>43971.722037037034</v>
      </c>
    </row>
    <row r="1624" spans="1:4" ht="17">
      <c r="A1624" s="4" t="s">
        <v>3131</v>
      </c>
      <c r="B1624" s="4" t="s">
        <v>3132</v>
      </c>
      <c r="C1624" s="4" t="s">
        <v>3133</v>
      </c>
      <c r="D1624" s="1">
        <f>DATE(2020,6,3)+TIME(23,18,55)</f>
        <v>43985.97146990741</v>
      </c>
    </row>
    <row r="1625" spans="1:4" ht="17">
      <c r="A1625" s="5" t="s">
        <v>358</v>
      </c>
      <c r="B1625" s="5" t="s">
        <v>2758</v>
      </c>
      <c r="C1625" s="5" t="s">
        <v>3006</v>
      </c>
      <c r="D1625" s="2">
        <f>DATE(2020,6,9)+TIME(13,49,49)</f>
        <v>43991.576261574075</v>
      </c>
    </row>
    <row r="1626" spans="1:4" ht="17">
      <c r="A1626" s="5" t="s">
        <v>358</v>
      </c>
      <c r="B1626" s="5" t="s">
        <v>1802</v>
      </c>
      <c r="C1626" s="5" t="s">
        <v>8600</v>
      </c>
      <c r="D1626" s="2">
        <f>DATE(2020,6,26)+TIME(14,19,1)</f>
        <v>44008.596539351849</v>
      </c>
    </row>
    <row r="1627" spans="1:4" ht="17">
      <c r="A1627" s="5" t="s">
        <v>358</v>
      </c>
      <c r="B1627" s="5" t="s">
        <v>359</v>
      </c>
      <c r="C1627" s="5" t="s">
        <v>360</v>
      </c>
      <c r="D1627" s="2">
        <f>DATE(2020,6,26)+TIME(16,36,7)</f>
        <v>44008.691747685189</v>
      </c>
    </row>
    <row r="1628" spans="1:4" ht="17">
      <c r="A1628" s="4" t="s">
        <v>358</v>
      </c>
      <c r="B1628" s="4" t="s">
        <v>4237</v>
      </c>
      <c r="C1628" s="4" t="s">
        <v>4238</v>
      </c>
      <c r="D1628" s="1">
        <f>DATE(2020,6,29)+TIME(14,0,45)</f>
        <v>44011.583854166667</v>
      </c>
    </row>
    <row r="1629" spans="1:4" ht="17">
      <c r="A1629" s="5" t="s">
        <v>4347</v>
      </c>
      <c r="B1629" s="5" t="s">
        <v>4348</v>
      </c>
      <c r="C1629" s="5" t="s">
        <v>4349</v>
      </c>
      <c r="D1629" s="2">
        <f>DATE(2020,6,19)+TIME(18,17,9)</f>
        <v>44001.76190972222</v>
      </c>
    </row>
    <row r="1630" spans="1:4" ht="17">
      <c r="A1630" s="4" t="s">
        <v>1865</v>
      </c>
      <c r="B1630" s="4" t="s">
        <v>1978</v>
      </c>
      <c r="C1630" s="4" t="s">
        <v>1979</v>
      </c>
      <c r="D1630" s="1">
        <f>DATE(2020,5,21)+TIME(15,46,44)</f>
        <v>43972.657453703701</v>
      </c>
    </row>
    <row r="1631" spans="1:4" ht="17">
      <c r="A1631" s="4" t="s">
        <v>1865</v>
      </c>
      <c r="B1631" s="4" t="s">
        <v>5877</v>
      </c>
      <c r="C1631" s="4" t="s">
        <v>7918</v>
      </c>
      <c r="D1631" s="1">
        <f>DATE(2020,6,19)+TIME(23,6,58)</f>
        <v>44001.963171296295</v>
      </c>
    </row>
    <row r="1632" spans="1:4" ht="17">
      <c r="A1632" s="5" t="s">
        <v>1865</v>
      </c>
      <c r="B1632" s="5" t="s">
        <v>1866</v>
      </c>
      <c r="C1632" s="5" t="s">
        <v>1867</v>
      </c>
      <c r="D1632" s="2">
        <f>DATE(2020,6,23)+TIME(17,31,49)</f>
        <v>44005.730428240742</v>
      </c>
    </row>
    <row r="1633" spans="1:4" ht="17">
      <c r="A1633" s="5" t="s">
        <v>9137</v>
      </c>
      <c r="B1633" s="5" t="s">
        <v>9138</v>
      </c>
      <c r="C1633" s="5" t="s">
        <v>9139</v>
      </c>
      <c r="D1633" s="2">
        <f>DATE(2020,6,29)+TIME(9,25,40)</f>
        <v>44011.392824074072</v>
      </c>
    </row>
    <row r="1634" spans="1:4" ht="17">
      <c r="A1634" s="4" t="s">
        <v>7946</v>
      </c>
      <c r="B1634" s="4" t="s">
        <v>3007</v>
      </c>
      <c r="C1634" s="4" t="s">
        <v>7947</v>
      </c>
      <c r="D1634" s="1">
        <f>DATE(2020,6,24)+TIME(12,49,24)</f>
        <v>44006.534305555557</v>
      </c>
    </row>
    <row r="1635" spans="1:4" ht="17">
      <c r="A1635" s="4" t="s">
        <v>717</v>
      </c>
      <c r="B1635" s="4" t="s">
        <v>1434</v>
      </c>
      <c r="C1635" s="4" t="s">
        <v>5904</v>
      </c>
      <c r="D1635" s="1">
        <f>DATE(2020,5,4)+TIME(20,20,22)</f>
        <v>43955.84747685185</v>
      </c>
    </row>
    <row r="1636" spans="1:4" ht="17">
      <c r="A1636" s="5" t="s">
        <v>717</v>
      </c>
      <c r="B1636" s="5" t="s">
        <v>1434</v>
      </c>
      <c r="C1636" s="5" t="s">
        <v>1435</v>
      </c>
      <c r="D1636" s="2">
        <f>DATE(2020,5,5)+TIME(12,34,16)</f>
        <v>43956.523796296293</v>
      </c>
    </row>
    <row r="1637" spans="1:4" ht="17">
      <c r="A1637" s="5" t="s">
        <v>717</v>
      </c>
      <c r="B1637" s="5" t="s">
        <v>718</v>
      </c>
      <c r="C1637" s="5" t="s">
        <v>719</v>
      </c>
      <c r="D1637" s="2">
        <f>DATE(2020,6,24)+TIME(11,16,50)</f>
        <v>44006.470023148147</v>
      </c>
    </row>
    <row r="1638" spans="1:4" ht="17">
      <c r="A1638" s="4" t="s">
        <v>717</v>
      </c>
      <c r="B1638" s="4" t="s">
        <v>3595</v>
      </c>
      <c r="C1638" s="4" t="s">
        <v>3596</v>
      </c>
      <c r="D1638" s="1">
        <f>DATE(2020,6,25)+TIME(13,14,19)</f>
        <v>44007.551608796297</v>
      </c>
    </row>
    <row r="1639" spans="1:4" ht="17">
      <c r="A1639" s="5" t="s">
        <v>8586</v>
      </c>
      <c r="B1639" s="5" t="s">
        <v>8587</v>
      </c>
      <c r="C1639" s="5" t="s">
        <v>8588</v>
      </c>
      <c r="D1639" s="2">
        <f>DATE(2020,6,22)+TIME(13,27,12)</f>
        <v>44004.560555555552</v>
      </c>
    </row>
    <row r="1640" spans="1:4" ht="17">
      <c r="A1640" s="4" t="s">
        <v>2370</v>
      </c>
      <c r="B1640" s="4" t="s">
        <v>5942</v>
      </c>
      <c r="C1640" s="4" t="s">
        <v>5943</v>
      </c>
      <c r="D1640" s="1">
        <f>DATE(2020,6,2)+TIME(2,3,28)</f>
        <v>43984.085740740738</v>
      </c>
    </row>
    <row r="1641" spans="1:4" ht="17">
      <c r="A1641" s="4" t="s">
        <v>2370</v>
      </c>
      <c r="B1641" s="4" t="s">
        <v>2371</v>
      </c>
      <c r="C1641" s="4" t="s">
        <v>2372</v>
      </c>
      <c r="D1641" s="1">
        <f>DATE(2020,6,5)+TIME(7,41,11)</f>
        <v>43987.3202662037</v>
      </c>
    </row>
    <row r="1642" spans="1:4" ht="17">
      <c r="A1642" s="4" t="s">
        <v>1329</v>
      </c>
      <c r="B1642" s="4" t="s">
        <v>1330</v>
      </c>
      <c r="C1642" s="4" t="s">
        <v>1331</v>
      </c>
      <c r="D1642" s="1">
        <f>DATE(2020,5,22)+TIME(11,26,58)</f>
        <v>43973.477060185185</v>
      </c>
    </row>
    <row r="1643" spans="1:4" ht="17">
      <c r="A1643" s="4" t="s">
        <v>3591</v>
      </c>
      <c r="B1643" s="4" t="s">
        <v>438</v>
      </c>
      <c r="C1643" s="4" t="s">
        <v>6480</v>
      </c>
      <c r="D1643" s="1">
        <f>DATE(2020,6,16)+TIME(13,1,53)</f>
        <v>43998.542974537035</v>
      </c>
    </row>
    <row r="1644" spans="1:4" ht="17">
      <c r="A1644" s="4" t="s">
        <v>3591</v>
      </c>
      <c r="B1644" s="4" t="s">
        <v>1028</v>
      </c>
      <c r="C1644" s="4" t="s">
        <v>3592</v>
      </c>
      <c r="D1644" s="1">
        <f>DATE(2020,6,24)+TIME(10,33,43)</f>
        <v>44006.440081018518</v>
      </c>
    </row>
    <row r="1645" spans="1:4" ht="17">
      <c r="A1645" s="4" t="s">
        <v>296</v>
      </c>
      <c r="B1645" s="4" t="s">
        <v>1827</v>
      </c>
      <c r="C1645" s="4" t="s">
        <v>1828</v>
      </c>
      <c r="D1645" s="1">
        <f>DATE(2020,3,3)+TIME(10,19,2)</f>
        <v>43893.429884259262</v>
      </c>
    </row>
    <row r="1646" spans="1:4" ht="17">
      <c r="A1646" s="4" t="s">
        <v>296</v>
      </c>
      <c r="B1646" s="4" t="s">
        <v>8002</v>
      </c>
      <c r="C1646" s="4" t="s">
        <v>8003</v>
      </c>
      <c r="D1646" s="1">
        <f>DATE(2020,3,27)+TIME(15,2,6)</f>
        <v>43917.626458333332</v>
      </c>
    </row>
    <row r="1647" spans="1:4" ht="17">
      <c r="A1647" s="5" t="s">
        <v>296</v>
      </c>
      <c r="B1647" s="5" t="s">
        <v>614</v>
      </c>
      <c r="C1647" s="5" t="s">
        <v>5716</v>
      </c>
      <c r="D1647" s="2">
        <f>DATE(2020,4,13)+TIME(18,21,34)</f>
        <v>43934.764976851853</v>
      </c>
    </row>
    <row r="1648" spans="1:4" ht="17">
      <c r="A1648" s="4" t="s">
        <v>296</v>
      </c>
      <c r="B1648" s="4" t="s">
        <v>7274</v>
      </c>
      <c r="C1648" s="4" t="s">
        <v>7275</v>
      </c>
      <c r="D1648" s="1">
        <f>DATE(2020,5,30)+TIME(0,0,51)</f>
        <v>43981.000590277778</v>
      </c>
    </row>
    <row r="1649" spans="1:4" ht="17">
      <c r="A1649" s="5" t="s">
        <v>296</v>
      </c>
      <c r="B1649" s="5" t="s">
        <v>2183</v>
      </c>
      <c r="C1649" s="5" t="s">
        <v>2184</v>
      </c>
      <c r="D1649" s="2">
        <f>DATE(2020,6,14)+TIME(0,43,45)</f>
        <v>43996.030381944445</v>
      </c>
    </row>
    <row r="1650" spans="1:4" ht="17">
      <c r="A1650" s="4" t="s">
        <v>296</v>
      </c>
      <c r="B1650" s="4" t="s">
        <v>8168</v>
      </c>
      <c r="C1650" s="4" t="s">
        <v>8169</v>
      </c>
      <c r="D1650" s="1">
        <f>DATE(2020,6,17)+TIME(15,17,42)</f>
        <v>43999.637291666666</v>
      </c>
    </row>
    <row r="1651" spans="1:4" ht="17">
      <c r="A1651" s="4" t="s">
        <v>296</v>
      </c>
      <c r="B1651" s="4" t="s">
        <v>1565</v>
      </c>
      <c r="C1651" s="4" t="s">
        <v>2337</v>
      </c>
      <c r="D1651" s="1">
        <f>DATE(2020,6,22)+TIME(10,41,43)</f>
        <v>44004.445636574077</v>
      </c>
    </row>
    <row r="1652" spans="1:4" ht="17">
      <c r="A1652" s="5" t="s">
        <v>296</v>
      </c>
      <c r="B1652" s="5" t="s">
        <v>1649</v>
      </c>
      <c r="C1652" s="5" t="s">
        <v>1650</v>
      </c>
      <c r="D1652" s="2">
        <f>DATE(2020,6,26)+TIME(8,52,11)</f>
        <v>44008.369571759256</v>
      </c>
    </row>
    <row r="1653" spans="1:4" ht="17">
      <c r="A1653" s="4" t="s">
        <v>296</v>
      </c>
      <c r="B1653" s="4" t="s">
        <v>297</v>
      </c>
      <c r="C1653" s="4" t="s">
        <v>298</v>
      </c>
      <c r="D1653" s="1">
        <f>DATE(2020,6,29)+TIME(9,36,43)</f>
        <v>44011.400497685187</v>
      </c>
    </row>
    <row r="1654" spans="1:4" ht="17">
      <c r="A1654" s="5" t="s">
        <v>4026</v>
      </c>
      <c r="B1654" s="5" t="s">
        <v>4027</v>
      </c>
      <c r="C1654" s="5" t="s">
        <v>4028</v>
      </c>
      <c r="D1654" s="2">
        <f>DATE(2020,6,24)+TIME(8,33,41)</f>
        <v>44006.356724537036</v>
      </c>
    </row>
    <row r="1655" spans="1:4" ht="17">
      <c r="A1655" s="5" t="s">
        <v>6803</v>
      </c>
      <c r="B1655" s="5" t="s">
        <v>1088</v>
      </c>
      <c r="C1655" s="5" t="s">
        <v>6804</v>
      </c>
      <c r="D1655" s="2">
        <f>DATE(2020,6,20)+TIME(18,23,3)</f>
        <v>44002.766006944446</v>
      </c>
    </row>
    <row r="1656" spans="1:4" ht="17">
      <c r="A1656" s="4" t="s">
        <v>5431</v>
      </c>
      <c r="B1656" s="4" t="s">
        <v>5432</v>
      </c>
      <c r="C1656" s="4" t="s">
        <v>5433</v>
      </c>
      <c r="D1656" s="1">
        <f>DATE(2020,5,6)+TIME(2,44,42)</f>
        <v>43957.114374999997</v>
      </c>
    </row>
    <row r="1657" spans="1:4" ht="17">
      <c r="A1657" s="5" t="s">
        <v>5157</v>
      </c>
      <c r="B1657" s="5" t="s">
        <v>5158</v>
      </c>
      <c r="C1657" s="5" t="s">
        <v>5159</v>
      </c>
      <c r="D1657" s="2">
        <f>DATE(2020,6,23)+TIME(14,50,51)</f>
        <v>44005.618645833332</v>
      </c>
    </row>
    <row r="1658" spans="1:4" ht="17">
      <c r="A1658" s="5" t="s">
        <v>6001</v>
      </c>
      <c r="B1658" s="5" t="s">
        <v>6002</v>
      </c>
      <c r="C1658" s="5" t="s">
        <v>6003</v>
      </c>
      <c r="D1658" s="2">
        <f>DATE(2020,6,25)+TIME(17,11,6)</f>
        <v>44007.716041666667</v>
      </c>
    </row>
    <row r="1659" spans="1:4" ht="17">
      <c r="A1659" s="5" t="s">
        <v>6238</v>
      </c>
      <c r="B1659" s="5" t="s">
        <v>6239</v>
      </c>
      <c r="C1659" s="5" t="s">
        <v>6240</v>
      </c>
      <c r="D1659" s="2">
        <f>DATE(2020,6,25)+TIME(4,9,48)</f>
        <v>44007.173472222225</v>
      </c>
    </row>
    <row r="1660" spans="1:4" ht="17">
      <c r="A1660" s="5" t="s">
        <v>5335</v>
      </c>
      <c r="B1660" s="5" t="s">
        <v>4384</v>
      </c>
      <c r="C1660" s="5" t="s">
        <v>5713</v>
      </c>
      <c r="D1660" s="2">
        <f>DATE(2020,3,30)+TIME(20,33,40)</f>
        <v>43920.856712962966</v>
      </c>
    </row>
    <row r="1661" spans="1:4" ht="17">
      <c r="A1661" s="4" t="s">
        <v>5335</v>
      </c>
      <c r="B1661" s="4" t="s">
        <v>5336</v>
      </c>
      <c r="C1661" s="4" t="s">
        <v>5337</v>
      </c>
      <c r="D1661" s="1">
        <f>DATE(2020,5,8)+TIME(18,42,3)</f>
        <v>43959.77920138889</v>
      </c>
    </row>
    <row r="1662" spans="1:4" ht="17">
      <c r="A1662" s="5" t="s">
        <v>5335</v>
      </c>
      <c r="B1662" s="5" t="s">
        <v>4151</v>
      </c>
      <c r="C1662" s="5" t="s">
        <v>9029</v>
      </c>
      <c r="D1662" s="2">
        <f>DATE(2020,6,26)+TIME(19,12,45)</f>
        <v>44008.800520833334</v>
      </c>
    </row>
    <row r="1663" spans="1:4" ht="17">
      <c r="A1663" s="5" t="s">
        <v>6134</v>
      </c>
      <c r="B1663" s="5" t="s">
        <v>6135</v>
      </c>
      <c r="C1663" s="5" t="s">
        <v>6136</v>
      </c>
      <c r="D1663" s="2">
        <f>DATE(2020,6,19)+TIME(1,12,17)</f>
        <v>44001.050196759257</v>
      </c>
    </row>
    <row r="1664" spans="1:4" ht="17">
      <c r="A1664" s="4" t="s">
        <v>7050</v>
      </c>
      <c r="B1664" s="4" t="s">
        <v>5753</v>
      </c>
      <c r="C1664" s="4" t="s">
        <v>7051</v>
      </c>
      <c r="D1664" s="1">
        <f>DATE(2020,5,5)+TIME(15,24,45)</f>
        <v>43956.642187500001</v>
      </c>
    </row>
    <row r="1665" spans="1:4" ht="17">
      <c r="A1665" s="4" t="s">
        <v>3179</v>
      </c>
      <c r="B1665" s="4" t="s">
        <v>3180</v>
      </c>
      <c r="C1665" s="4" t="s">
        <v>3181</v>
      </c>
      <c r="D1665" s="1">
        <f>DATE(2020,5,21)+TIME(16,57,49)</f>
        <v>43972.706817129627</v>
      </c>
    </row>
    <row r="1666" spans="1:4" ht="17">
      <c r="A1666" s="5" t="s">
        <v>3179</v>
      </c>
      <c r="B1666" s="5" t="s">
        <v>8158</v>
      </c>
      <c r="C1666" s="5" t="s">
        <v>8159</v>
      </c>
      <c r="D1666" s="2">
        <f>DATE(2020,6,23)+TIME(11,19,33)</f>
        <v>44005.471909722219</v>
      </c>
    </row>
    <row r="1667" spans="1:4" ht="17">
      <c r="A1667" s="5" t="s">
        <v>3179</v>
      </c>
      <c r="B1667" s="5" t="s">
        <v>6795</v>
      </c>
      <c r="C1667" s="5" t="s">
        <v>6796</v>
      </c>
      <c r="D1667" s="2">
        <f>DATE(2020,6,29)+TIME(11,8,24)</f>
        <v>44011.464166666665</v>
      </c>
    </row>
    <row r="1668" spans="1:4" ht="17">
      <c r="A1668" s="4" t="s">
        <v>1063</v>
      </c>
      <c r="B1668" s="4" t="s">
        <v>1218</v>
      </c>
      <c r="C1668" s="4" t="s">
        <v>1219</v>
      </c>
      <c r="D1668" s="1">
        <f>DATE(2020,6,9)+TIME(13,44,38)</f>
        <v>43991.572662037041</v>
      </c>
    </row>
    <row r="1669" spans="1:4" ht="17">
      <c r="A1669" s="5" t="s">
        <v>1063</v>
      </c>
      <c r="B1669" s="5" t="s">
        <v>1064</v>
      </c>
      <c r="C1669" s="5" t="s">
        <v>1065</v>
      </c>
      <c r="D1669" s="2">
        <f>DATE(2020,6,29)+TIME(12,13,36)</f>
        <v>44011.509444444448</v>
      </c>
    </row>
    <row r="1670" spans="1:4" ht="17">
      <c r="A1670" s="5" t="s">
        <v>8036</v>
      </c>
      <c r="B1670" s="5" t="s">
        <v>8037</v>
      </c>
      <c r="C1670" s="5" t="s">
        <v>8038</v>
      </c>
      <c r="D1670" s="2">
        <f>DATE(2020,6,28)+TIME(16,23,22)</f>
        <v>44010.682893518519</v>
      </c>
    </row>
    <row r="1671" spans="1:4" ht="17">
      <c r="A1671" s="4" t="s">
        <v>864</v>
      </c>
      <c r="B1671" s="4" t="s">
        <v>865</v>
      </c>
      <c r="C1671" s="4" t="s">
        <v>866</v>
      </c>
      <c r="D1671" s="1">
        <f>DATE(2020,5,21)+TIME(20,50,47)</f>
        <v>43972.86859953704</v>
      </c>
    </row>
    <row r="1672" spans="1:4" ht="17">
      <c r="A1672" s="5" t="s">
        <v>864</v>
      </c>
      <c r="B1672" s="5" t="s">
        <v>1316</v>
      </c>
      <c r="C1672" s="5" t="s">
        <v>1317</v>
      </c>
      <c r="D1672" s="2">
        <f>DATE(2020,6,15)+TIME(11,36,3)</f>
        <v>43997.483368055553</v>
      </c>
    </row>
    <row r="1673" spans="1:4" ht="17">
      <c r="A1673" s="4" t="s">
        <v>8854</v>
      </c>
      <c r="B1673" s="4" t="s">
        <v>8855</v>
      </c>
      <c r="C1673" s="4" t="s">
        <v>8856</v>
      </c>
      <c r="D1673" s="1">
        <f>DATE(2020,6,25)+TIME(0,30,51)</f>
        <v>44007.021423611113</v>
      </c>
    </row>
    <row r="1674" spans="1:4" ht="17">
      <c r="A1674" s="5" t="s">
        <v>7763</v>
      </c>
      <c r="B1674" s="5" t="s">
        <v>7764</v>
      </c>
      <c r="C1674" s="5" t="s">
        <v>7765</v>
      </c>
      <c r="D1674" s="2">
        <f>DATE(2020,6,29)+TIME(5,48,39)</f>
        <v>44011.242118055554</v>
      </c>
    </row>
    <row r="1675" spans="1:4" ht="17">
      <c r="A1675" s="5" t="s">
        <v>1477</v>
      </c>
      <c r="B1675" s="5" t="s">
        <v>1316</v>
      </c>
      <c r="C1675" s="5" t="s">
        <v>1478</v>
      </c>
      <c r="D1675" s="2">
        <f>DATE(2020,6,23)+TIME(14,6,5)</f>
        <v>44005.587557870371</v>
      </c>
    </row>
    <row r="1676" spans="1:4" ht="17">
      <c r="A1676" s="4" t="s">
        <v>3673</v>
      </c>
      <c r="B1676" s="4" t="s">
        <v>1095</v>
      </c>
      <c r="C1676" s="4" t="s">
        <v>3674</v>
      </c>
      <c r="D1676" s="1">
        <f>DATE(2020,6,9)+TIME(20,56,24)</f>
        <v>43991.872499999998</v>
      </c>
    </row>
    <row r="1677" spans="1:4" ht="17">
      <c r="A1677" s="5" t="s">
        <v>1354</v>
      </c>
      <c r="B1677" s="5" t="s">
        <v>1355</v>
      </c>
      <c r="C1677" s="5" t="s">
        <v>1356</v>
      </c>
      <c r="D1677" s="2">
        <f>DATE(2020,6,12)+TIME(22,14,55)</f>
        <v>43994.927025462966</v>
      </c>
    </row>
    <row r="1678" spans="1:4" ht="17">
      <c r="A1678" s="5" t="s">
        <v>1971</v>
      </c>
      <c r="B1678" s="5" t="s">
        <v>322</v>
      </c>
      <c r="C1678" s="5" t="s">
        <v>1972</v>
      </c>
      <c r="D1678" s="2">
        <f>DATE(2020,6,8)+TIME(17,54,46)</f>
        <v>43990.746365740742</v>
      </c>
    </row>
    <row r="1679" spans="1:4" ht="17">
      <c r="A1679" s="4" t="s">
        <v>776</v>
      </c>
      <c r="B1679" s="4" t="s">
        <v>777</v>
      </c>
      <c r="C1679" s="4" t="s">
        <v>778</v>
      </c>
      <c r="D1679" s="1">
        <f>DATE(2020,6,25)+TIME(2,53,15)</f>
        <v>44007.120312500003</v>
      </c>
    </row>
    <row r="1680" spans="1:4" ht="17">
      <c r="A1680" s="5" t="s">
        <v>4762</v>
      </c>
      <c r="B1680" s="5" t="s">
        <v>1095</v>
      </c>
      <c r="C1680" s="5" t="s">
        <v>4763</v>
      </c>
      <c r="D1680" s="2">
        <f>DATE(2020,6,10)+TIME(21,26,59)</f>
        <v>43992.893738425926</v>
      </c>
    </row>
    <row r="1681" spans="1:4" ht="17">
      <c r="A1681" s="4" t="s">
        <v>2225</v>
      </c>
      <c r="B1681" s="4" t="s">
        <v>2226</v>
      </c>
      <c r="C1681" s="4" t="s">
        <v>2227</v>
      </c>
      <c r="D1681" s="1">
        <f>DATE(2020,6,26)+TIME(14,40,10)</f>
        <v>44008.611226851855</v>
      </c>
    </row>
    <row r="1682" spans="1:4" ht="17">
      <c r="A1682" s="5" t="s">
        <v>1240</v>
      </c>
      <c r="B1682" s="5" t="s">
        <v>1241</v>
      </c>
      <c r="C1682" s="5" t="s">
        <v>1242</v>
      </c>
      <c r="D1682" s="2">
        <f>DATE(2020,6,26)+TIME(15,58,9)</f>
        <v>44008.665381944447</v>
      </c>
    </row>
    <row r="1683" spans="1:4" ht="17">
      <c r="A1683" s="4" t="s">
        <v>3137</v>
      </c>
      <c r="B1683" s="4" t="s">
        <v>3138</v>
      </c>
      <c r="C1683" s="4" t="s">
        <v>3139</v>
      </c>
      <c r="D1683" s="1">
        <f>DATE(2020,6,29)+TIME(12,13,42)</f>
        <v>44011.509513888886</v>
      </c>
    </row>
    <row r="1684" spans="1:4" ht="17">
      <c r="A1684" s="4" t="s">
        <v>7526</v>
      </c>
      <c r="B1684" s="4" t="s">
        <v>7527</v>
      </c>
      <c r="C1684" s="4" t="s">
        <v>7528</v>
      </c>
      <c r="D1684" s="1">
        <f>DATE(2020,6,29)+TIME(14,32,30)</f>
        <v>44011.605902777781</v>
      </c>
    </row>
    <row r="1685" spans="1:4" ht="17">
      <c r="A1685" s="5" t="s">
        <v>5620</v>
      </c>
      <c r="B1685" s="5" t="s">
        <v>2949</v>
      </c>
      <c r="C1685" s="5" t="s">
        <v>8316</v>
      </c>
      <c r="D1685" s="2">
        <f>DATE(2020,5,5)+TIME(12,22,55)</f>
        <v>43956.515914351854</v>
      </c>
    </row>
    <row r="1686" spans="1:4" ht="17">
      <c r="A1686" s="4" t="s">
        <v>5620</v>
      </c>
      <c r="B1686" s="4" t="s">
        <v>5621</v>
      </c>
      <c r="C1686" s="4" t="s">
        <v>5622</v>
      </c>
      <c r="D1686" s="1">
        <f>DATE(2020,5,5)+TIME(13,54,8)</f>
        <v>43956.579259259262</v>
      </c>
    </row>
    <row r="1687" spans="1:4" ht="17">
      <c r="A1687" s="5" t="s">
        <v>5620</v>
      </c>
      <c r="B1687" s="5" t="s">
        <v>7566</v>
      </c>
      <c r="C1687" s="5" t="s">
        <v>7567</v>
      </c>
      <c r="D1687" s="2">
        <f>DATE(2020,6,26)+TIME(14,25,21)</f>
        <v>44008.600937499999</v>
      </c>
    </row>
    <row r="1688" spans="1:4" ht="17">
      <c r="A1688" s="4" t="s">
        <v>24</v>
      </c>
      <c r="B1688" s="4" t="s">
        <v>2503</v>
      </c>
      <c r="C1688" s="4" t="s">
        <v>9356</v>
      </c>
      <c r="D1688" s="1">
        <f>DATE(2020,3,27)+TIME(17,4,18)</f>
        <v>43917.711319444446</v>
      </c>
    </row>
    <row r="1689" spans="1:4" ht="17">
      <c r="A1689" s="5" t="s">
        <v>24</v>
      </c>
      <c r="B1689" s="5" t="s">
        <v>894</v>
      </c>
      <c r="C1689" s="5" t="s">
        <v>895</v>
      </c>
      <c r="D1689" s="2">
        <f>DATE(2020,4,15)+TIME(12,52,40)</f>
        <v>43936.536574074074</v>
      </c>
    </row>
    <row r="1690" spans="1:4" ht="17">
      <c r="A1690" s="4" t="s">
        <v>24</v>
      </c>
      <c r="B1690" s="4" t="s">
        <v>8214</v>
      </c>
      <c r="C1690" s="4" t="s">
        <v>8215</v>
      </c>
      <c r="D1690" s="1">
        <f>DATE(2020,5,11)+TIME(13,19,9)</f>
        <v>43962.554965277777</v>
      </c>
    </row>
    <row r="1691" spans="1:4" ht="17">
      <c r="A1691" s="5" t="s">
        <v>24</v>
      </c>
      <c r="B1691" s="5" t="s">
        <v>8532</v>
      </c>
      <c r="C1691" s="5" t="s">
        <v>8533</v>
      </c>
      <c r="D1691" s="2">
        <f>DATE(2020,5,14)+TIME(9,8,39)</f>
        <v>43965.381006944444</v>
      </c>
    </row>
    <row r="1692" spans="1:4" ht="17">
      <c r="A1692" s="5" t="s">
        <v>24</v>
      </c>
      <c r="B1692" s="5" t="s">
        <v>7930</v>
      </c>
      <c r="C1692" s="5" t="s">
        <v>7931</v>
      </c>
      <c r="D1692" s="2">
        <f>DATE(2020,5,22)+TIME(17,13,18)</f>
        <v>43973.717569444445</v>
      </c>
    </row>
    <row r="1693" spans="1:4" ht="17">
      <c r="A1693" s="5" t="s">
        <v>24</v>
      </c>
      <c r="B1693" s="5" t="s">
        <v>413</v>
      </c>
      <c r="C1693" s="5" t="s">
        <v>7152</v>
      </c>
      <c r="D1693" s="2">
        <f>DATE(2020,6,4)+TIME(17,41,53)</f>
        <v>43986.73741898148</v>
      </c>
    </row>
    <row r="1694" spans="1:4" ht="17">
      <c r="A1694" s="4" t="s">
        <v>24</v>
      </c>
      <c r="B1694" s="4" t="s">
        <v>8970</v>
      </c>
      <c r="C1694" s="4" t="s">
        <v>8971</v>
      </c>
      <c r="D1694" s="1">
        <f>DATE(2020,6,15)+TIME(8,54,52)</f>
        <v>43997.371435185189</v>
      </c>
    </row>
    <row r="1695" spans="1:4" ht="17">
      <c r="A1695" s="5" t="s">
        <v>24</v>
      </c>
      <c r="B1695" s="5" t="s">
        <v>2838</v>
      </c>
      <c r="C1695" s="5" t="s">
        <v>8564</v>
      </c>
      <c r="D1695" s="2">
        <f>DATE(2020,6,22)+TIME(12,49,25)</f>
        <v>44004.534317129626</v>
      </c>
    </row>
    <row r="1696" spans="1:4" ht="17">
      <c r="A1696" s="5" t="s">
        <v>24</v>
      </c>
      <c r="B1696" s="5" t="s">
        <v>8058</v>
      </c>
      <c r="C1696" s="5" t="s">
        <v>8059</v>
      </c>
      <c r="D1696" s="2">
        <f>DATE(2020,6,25)+TIME(12,15,49)</f>
        <v>44007.510983796295</v>
      </c>
    </row>
    <row r="1697" spans="1:4" ht="17">
      <c r="A1697" s="4" t="s">
        <v>24</v>
      </c>
      <c r="B1697" s="4" t="s">
        <v>5085</v>
      </c>
      <c r="C1697" s="4" t="s">
        <v>5086</v>
      </c>
      <c r="D1697" s="1">
        <f>DATE(2020,6,25)+TIME(17,43,19)</f>
        <v>44007.73841435185</v>
      </c>
    </row>
    <row r="1698" spans="1:4" ht="17">
      <c r="A1698" s="4" t="s">
        <v>24</v>
      </c>
      <c r="B1698" s="4" t="s">
        <v>204</v>
      </c>
      <c r="C1698" s="4" t="s">
        <v>206</v>
      </c>
      <c r="D1698" s="1">
        <f>DATE(2020,6,26)+TIME(10,56,18)</f>
        <v>44008.455763888887</v>
      </c>
    </row>
    <row r="1699" spans="1:4" ht="17">
      <c r="A1699" s="5" t="s">
        <v>24</v>
      </c>
      <c r="B1699" s="5" t="s">
        <v>7189</v>
      </c>
      <c r="C1699" s="5" t="s">
        <v>7190</v>
      </c>
      <c r="D1699" s="2">
        <f>DATE(2020,6,26)+TIME(13,36,18)</f>
        <v>44008.566874999997</v>
      </c>
    </row>
    <row r="1700" spans="1:4" ht="17">
      <c r="A1700" s="4" t="s">
        <v>24</v>
      </c>
      <c r="B1700" s="4" t="s">
        <v>25</v>
      </c>
      <c r="C1700" s="4" t="s">
        <v>26</v>
      </c>
      <c r="D1700" s="1">
        <f>DATE(2020,6,28)+TIME(12,48,56)</f>
        <v>44010.53398148148</v>
      </c>
    </row>
    <row r="1701" spans="1:4" ht="17">
      <c r="A1701" s="4" t="s">
        <v>24</v>
      </c>
      <c r="B1701" s="4" t="s">
        <v>5394</v>
      </c>
      <c r="C1701" s="4" t="s">
        <v>5395</v>
      </c>
      <c r="D1701" s="1">
        <f>DATE(2020,6,28)+TIME(20,58,49)</f>
        <v>44010.874178240738</v>
      </c>
    </row>
    <row r="1702" spans="1:4" ht="17">
      <c r="A1702" s="5" t="s">
        <v>744</v>
      </c>
      <c r="B1702" s="5" t="s">
        <v>745</v>
      </c>
      <c r="C1702" s="5" t="s">
        <v>746</v>
      </c>
      <c r="D1702" s="2">
        <f>DATE(2020,6,4)+TIME(12,4,53)</f>
        <v>43986.503391203703</v>
      </c>
    </row>
    <row r="1703" spans="1:4" ht="17">
      <c r="A1703" s="4" t="s">
        <v>9468</v>
      </c>
      <c r="B1703" s="4" t="s">
        <v>2397</v>
      </c>
      <c r="C1703" s="4" t="s">
        <v>9469</v>
      </c>
      <c r="D1703" s="1">
        <f>DATE(2020,6,4)+TIME(21,2,48)</f>
        <v>43986.876944444448</v>
      </c>
    </row>
    <row r="1704" spans="1:4" ht="17">
      <c r="A1704" s="5" t="s">
        <v>6665</v>
      </c>
      <c r="B1704" s="5" t="s">
        <v>6666</v>
      </c>
      <c r="C1704" s="5" t="s">
        <v>6667</v>
      </c>
      <c r="D1704" s="2">
        <f>DATE(2020,6,27)+TIME(18,40,35)</f>
        <v>44009.778182870374</v>
      </c>
    </row>
    <row r="1705" spans="1:4" ht="17">
      <c r="A1705" s="5" t="s">
        <v>9339</v>
      </c>
      <c r="B1705" s="5" t="s">
        <v>9340</v>
      </c>
      <c r="C1705" s="5" t="s">
        <v>9341</v>
      </c>
      <c r="D1705" s="2">
        <f>DATE(2020,6,2)+TIME(6,48,42)</f>
        <v>43984.283819444441</v>
      </c>
    </row>
    <row r="1706" spans="1:4" ht="17">
      <c r="A1706" s="4" t="s">
        <v>1031</v>
      </c>
      <c r="B1706" s="4" t="s">
        <v>1032</v>
      </c>
      <c r="C1706" s="4" t="s">
        <v>1033</v>
      </c>
      <c r="D1706" s="1">
        <f>DATE(2020,4,7)+TIME(9,25,38)</f>
        <v>43928.392800925925</v>
      </c>
    </row>
    <row r="1707" spans="1:4" ht="17">
      <c r="A1707" s="4" t="s">
        <v>1031</v>
      </c>
      <c r="B1707" s="4" t="s">
        <v>58</v>
      </c>
      <c r="C1707" s="4" t="s">
        <v>6463</v>
      </c>
      <c r="D1707" s="1">
        <f>DATE(2020,6,29)+TIME(12,51,7)</f>
        <v>44011.535497685189</v>
      </c>
    </row>
    <row r="1708" spans="1:4" ht="17">
      <c r="A1708" s="4" t="s">
        <v>5781</v>
      </c>
      <c r="B1708" s="4" t="s">
        <v>5782</v>
      </c>
      <c r="C1708" s="4" t="s">
        <v>5783</v>
      </c>
      <c r="D1708" s="1">
        <f>DATE(2020,5,26)+TIME(14,15,1)</f>
        <v>43977.593761574077</v>
      </c>
    </row>
    <row r="1709" spans="1:4" ht="17">
      <c r="A1709" s="4" t="s">
        <v>7065</v>
      </c>
      <c r="B1709" s="4" t="s">
        <v>771</v>
      </c>
      <c r="C1709" s="4" t="s">
        <v>7066</v>
      </c>
      <c r="D1709" s="1">
        <f>DATE(2020,6,17)+TIME(14,50,36)</f>
        <v>43999.618472222224</v>
      </c>
    </row>
    <row r="1710" spans="1:4" ht="17">
      <c r="A1710" s="5" t="s">
        <v>5290</v>
      </c>
      <c r="B1710" s="5" t="s">
        <v>5291</v>
      </c>
      <c r="C1710" s="5" t="s">
        <v>5292</v>
      </c>
      <c r="D1710" s="2">
        <f>DATE(2020,6,15)+TIME(2,26,39)</f>
        <v>43997.101840277777</v>
      </c>
    </row>
    <row r="1711" spans="1:4" ht="17">
      <c r="A1711" s="4" t="s">
        <v>7162</v>
      </c>
      <c r="B1711" s="4" t="s">
        <v>7163</v>
      </c>
      <c r="C1711" s="4" t="s">
        <v>7164</v>
      </c>
      <c r="D1711" s="1">
        <f>DATE(2020,6,14)+TIME(14,18,42)</f>
        <v>43996.596319444441</v>
      </c>
    </row>
    <row r="1712" spans="1:4" ht="17">
      <c r="A1712" s="4" t="s">
        <v>3484</v>
      </c>
      <c r="B1712" s="4" t="s">
        <v>2497</v>
      </c>
      <c r="C1712" s="4" t="s">
        <v>3485</v>
      </c>
      <c r="D1712" s="1">
        <f>DATE(2020,1,8)+TIME(11,54,58)</f>
        <v>43838.496504629627</v>
      </c>
    </row>
    <row r="1713" spans="1:4" ht="17">
      <c r="A1713" s="5" t="s">
        <v>8572</v>
      </c>
      <c r="B1713" s="5" t="s">
        <v>8573</v>
      </c>
      <c r="C1713" s="5" t="s">
        <v>8574</v>
      </c>
      <c r="D1713" s="2">
        <f>DATE(2020,6,29)+TIME(0,13,12)</f>
        <v>44011.009166666663</v>
      </c>
    </row>
    <row r="1714" spans="1:4" ht="17">
      <c r="A1714" s="5" t="s">
        <v>7943</v>
      </c>
      <c r="B1714" s="5" t="s">
        <v>7944</v>
      </c>
      <c r="C1714" s="5" t="s">
        <v>7945</v>
      </c>
      <c r="D1714" s="2">
        <f>DATE(2020,6,16)+TIME(14,38,58)</f>
        <v>43998.610393518517</v>
      </c>
    </row>
    <row r="1715" spans="1:4" ht="17">
      <c r="A1715" s="5" t="s">
        <v>1078</v>
      </c>
      <c r="B1715" s="5" t="s">
        <v>6415</v>
      </c>
      <c r="C1715" s="5" t="s">
        <v>6416</v>
      </c>
      <c r="D1715" s="2">
        <f>DATE(2020,3,30)+TIME(4,6,55)</f>
        <v>43920.171469907407</v>
      </c>
    </row>
    <row r="1716" spans="1:4" ht="17">
      <c r="A1716" s="5" t="s">
        <v>1078</v>
      </c>
      <c r="B1716" s="5" t="s">
        <v>1391</v>
      </c>
      <c r="C1716" s="5" t="s">
        <v>6711</v>
      </c>
      <c r="D1716" s="2">
        <f>DATE(2020,5,22)+TIME(10,6,4)</f>
        <v>43973.42087962963</v>
      </c>
    </row>
    <row r="1717" spans="1:4" ht="17">
      <c r="A1717" s="4" t="s">
        <v>1078</v>
      </c>
      <c r="B1717" s="4" t="s">
        <v>3424</v>
      </c>
      <c r="C1717" s="4" t="s">
        <v>3425</v>
      </c>
      <c r="D1717" s="1">
        <f>DATE(2020,5,26)+TIME(21,26,58)</f>
        <v>43977.893726851849</v>
      </c>
    </row>
    <row r="1718" spans="1:4" ht="17">
      <c r="A1718" s="4" t="s">
        <v>1078</v>
      </c>
      <c r="B1718" s="4" t="s">
        <v>5002</v>
      </c>
      <c r="C1718" s="4" t="s">
        <v>5003</v>
      </c>
      <c r="D1718" s="1">
        <f>DATE(2020,5,29)+TIME(11,44,10)</f>
        <v>43980.489004629628</v>
      </c>
    </row>
    <row r="1719" spans="1:4" ht="17">
      <c r="A1719" s="5" t="s">
        <v>1078</v>
      </c>
      <c r="B1719" s="5" t="s">
        <v>4955</v>
      </c>
      <c r="C1719" s="5" t="s">
        <v>4956</v>
      </c>
      <c r="D1719" s="2">
        <f>DATE(2020,6,2)+TIME(11,14,4)</f>
        <v>43984.468101851853</v>
      </c>
    </row>
    <row r="1720" spans="1:4" ht="17">
      <c r="A1720" s="5" t="s">
        <v>1078</v>
      </c>
      <c r="B1720" s="5" t="s">
        <v>7402</v>
      </c>
      <c r="C1720" s="5" t="s">
        <v>7403</v>
      </c>
      <c r="D1720" s="2">
        <f>DATE(2020,6,5)+TIME(9,29,5)</f>
        <v>43987.395196759258</v>
      </c>
    </row>
    <row r="1721" spans="1:4" ht="17">
      <c r="A1721" s="4" t="s">
        <v>1078</v>
      </c>
      <c r="B1721" s="4" t="s">
        <v>6289</v>
      </c>
      <c r="C1721" s="4" t="s">
        <v>6290</v>
      </c>
      <c r="D1721" s="1">
        <f>DATE(2020,6,14)+TIME(8,9,28)</f>
        <v>43996.339907407404</v>
      </c>
    </row>
    <row r="1722" spans="1:4" ht="17">
      <c r="A1722" s="4" t="s">
        <v>1078</v>
      </c>
      <c r="B1722" s="4" t="s">
        <v>8056</v>
      </c>
      <c r="C1722" s="4" t="s">
        <v>8057</v>
      </c>
      <c r="D1722" s="1">
        <f>DATE(2020,6,15)+TIME(17,16,19)</f>
        <v>43997.719664351855</v>
      </c>
    </row>
    <row r="1723" spans="1:4" ht="17">
      <c r="A1723" s="5" t="s">
        <v>1078</v>
      </c>
      <c r="B1723" s="5" t="s">
        <v>1574</v>
      </c>
      <c r="C1723" s="5" t="s">
        <v>1575</v>
      </c>
      <c r="D1723" s="2">
        <f>DATE(2020,6,17)+TIME(10,18,20)</f>
        <v>43999.429398148146</v>
      </c>
    </row>
    <row r="1724" spans="1:4" ht="17">
      <c r="A1724" s="4" t="s">
        <v>1078</v>
      </c>
      <c r="B1724" s="4" t="s">
        <v>3464</v>
      </c>
      <c r="C1724" s="4" t="s">
        <v>3465</v>
      </c>
      <c r="D1724" s="1">
        <f>DATE(2020,6,18)+TIME(1,44,42)</f>
        <v>44000.072708333333</v>
      </c>
    </row>
    <row r="1725" spans="1:4" ht="17">
      <c r="A1725" s="5" t="s">
        <v>1078</v>
      </c>
      <c r="B1725" s="5" t="s">
        <v>2570</v>
      </c>
      <c r="C1725" s="5" t="s">
        <v>2571</v>
      </c>
      <c r="D1725" s="2">
        <f>DATE(2020,6,18)+TIME(13,50,12)</f>
        <v>44000.576527777775</v>
      </c>
    </row>
    <row r="1726" spans="1:4" ht="17">
      <c r="A1726" s="4" t="s">
        <v>1078</v>
      </c>
      <c r="B1726" s="4" t="s">
        <v>2323</v>
      </c>
      <c r="C1726" s="4" t="s">
        <v>2324</v>
      </c>
      <c r="D1726" s="1">
        <f>DATE(2020,6,22)+TIME(13,13,51)</f>
        <v>44004.55128472222</v>
      </c>
    </row>
    <row r="1727" spans="1:4" ht="17">
      <c r="A1727" s="4" t="s">
        <v>1078</v>
      </c>
      <c r="B1727" s="4" t="s">
        <v>8266</v>
      </c>
      <c r="C1727" s="4" t="s">
        <v>8267</v>
      </c>
      <c r="D1727" s="1">
        <f>DATE(2020,6,23)+TIME(9,51,27)</f>
        <v>44005.410729166666</v>
      </c>
    </row>
    <row r="1728" spans="1:4" ht="17">
      <c r="A1728" s="4" t="s">
        <v>1078</v>
      </c>
      <c r="B1728" s="4" t="s">
        <v>1479</v>
      </c>
      <c r="C1728" s="4" t="s">
        <v>1480</v>
      </c>
      <c r="D1728" s="1">
        <f>DATE(2020,6,25)+TIME(13,49,2)</f>
        <v>44007.57571759259</v>
      </c>
    </row>
    <row r="1729" spans="1:4" ht="17">
      <c r="A1729" s="5" t="s">
        <v>1078</v>
      </c>
      <c r="B1729" s="5" t="s">
        <v>5110</v>
      </c>
      <c r="C1729" s="5" t="s">
        <v>5111</v>
      </c>
      <c r="D1729" s="2">
        <f>DATE(2020,6,25)+TIME(17,30,30)</f>
        <v>44007.729513888888</v>
      </c>
    </row>
    <row r="1730" spans="1:4" ht="17">
      <c r="A1730" s="4" t="s">
        <v>1078</v>
      </c>
      <c r="B1730" s="4" t="s">
        <v>7283</v>
      </c>
      <c r="C1730" s="4" t="s">
        <v>7284</v>
      </c>
      <c r="D1730" s="1">
        <f>DATE(2020,6,25)+TIME(17,52,25)</f>
        <v>44007.744733796295</v>
      </c>
    </row>
    <row r="1731" spans="1:4" ht="17">
      <c r="A1731" s="4" t="s">
        <v>1078</v>
      </c>
      <c r="B1731" s="4" t="s">
        <v>58</v>
      </c>
      <c r="C1731" s="4" t="s">
        <v>5211</v>
      </c>
      <c r="D1731" s="1">
        <f>DATE(2020,6,26)+TIME(2,47,54)</f>
        <v>44008.116597222222</v>
      </c>
    </row>
    <row r="1732" spans="1:4" ht="17">
      <c r="A1732" s="4" t="s">
        <v>1078</v>
      </c>
      <c r="B1732" s="4" t="s">
        <v>1079</v>
      </c>
      <c r="C1732" s="4" t="s">
        <v>1080</v>
      </c>
      <c r="D1732" s="1">
        <f>DATE(2020,6,26)+TIME(13,58,32)</f>
        <v>44008.582314814812</v>
      </c>
    </row>
    <row r="1733" spans="1:4" ht="17">
      <c r="A1733" s="4" t="s">
        <v>1078</v>
      </c>
      <c r="B1733" s="4" t="s">
        <v>7921</v>
      </c>
      <c r="C1733" s="4" t="s">
        <v>7922</v>
      </c>
      <c r="D1733" s="1">
        <f>DATE(2020,6,26)+TIME(19,6,40)</f>
        <v>44008.796296296299</v>
      </c>
    </row>
    <row r="1734" spans="1:4" ht="17">
      <c r="A1734" s="4" t="s">
        <v>1078</v>
      </c>
      <c r="B1734" s="4" t="s">
        <v>8230</v>
      </c>
      <c r="C1734" s="4" t="s">
        <v>8231</v>
      </c>
      <c r="D1734" s="1">
        <f>DATE(2020,6,28)+TIME(23,26,26)</f>
        <v>44010.976689814815</v>
      </c>
    </row>
    <row r="1735" spans="1:4" ht="17">
      <c r="A1735" s="4" t="s">
        <v>1078</v>
      </c>
      <c r="B1735" s="4" t="s">
        <v>7238</v>
      </c>
      <c r="C1735" s="4" t="s">
        <v>7239</v>
      </c>
      <c r="D1735" s="1">
        <f>DATE(2020,6,29)+TIME(13,16,59)</f>
        <v>44011.553460648145</v>
      </c>
    </row>
    <row r="1736" spans="1:4" ht="17">
      <c r="A1736" s="5" t="s">
        <v>1980</v>
      </c>
      <c r="B1736" s="5" t="s">
        <v>5087</v>
      </c>
      <c r="C1736" s="5" t="s">
        <v>5088</v>
      </c>
      <c r="D1736" s="2">
        <f>DATE(2020,1,30)+TIME(19,3,34)</f>
        <v>43860.79414351852</v>
      </c>
    </row>
    <row r="1737" spans="1:4" ht="17">
      <c r="A1737" s="5" t="s">
        <v>1980</v>
      </c>
      <c r="B1737" s="5" t="s">
        <v>1981</v>
      </c>
      <c r="C1737" s="5" t="s">
        <v>1982</v>
      </c>
      <c r="D1737" s="2">
        <f>DATE(2020,5,5)+TIME(22,44,6)</f>
        <v>43956.947291666664</v>
      </c>
    </row>
    <row r="1738" spans="1:4" ht="17">
      <c r="A1738" s="5" t="s">
        <v>1980</v>
      </c>
      <c r="B1738" s="5" t="s">
        <v>9099</v>
      </c>
      <c r="C1738" s="5" t="s">
        <v>9100</v>
      </c>
      <c r="D1738" s="2">
        <f>DATE(2020,5,6)+TIME(9,9,6)</f>
        <v>43957.381319444445</v>
      </c>
    </row>
    <row r="1739" spans="1:4" ht="17">
      <c r="A1739" s="4" t="s">
        <v>1980</v>
      </c>
      <c r="B1739" s="4" t="s">
        <v>6995</v>
      </c>
      <c r="C1739" s="4" t="s">
        <v>6996</v>
      </c>
      <c r="D1739" s="1">
        <f>DATE(2020,6,1)+TIME(11,38,5)</f>
        <v>43983.484780092593</v>
      </c>
    </row>
    <row r="1740" spans="1:4" ht="17">
      <c r="A1740" s="4" t="s">
        <v>3299</v>
      </c>
      <c r="B1740" s="4" t="s">
        <v>5165</v>
      </c>
      <c r="C1740" s="4" t="s">
        <v>5166</v>
      </c>
      <c r="D1740" s="1">
        <f>DATE(2020,5,7)+TIME(11,21,9)</f>
        <v>43958.473020833335</v>
      </c>
    </row>
    <row r="1741" spans="1:4" ht="17">
      <c r="A1741" s="4" t="s">
        <v>3299</v>
      </c>
      <c r="B1741" s="4" t="s">
        <v>3300</v>
      </c>
      <c r="C1741" s="4" t="s">
        <v>3301</v>
      </c>
      <c r="D1741" s="1">
        <f>DATE(2020,6,3)+TIME(13,1,13)</f>
        <v>43985.542511574073</v>
      </c>
    </row>
    <row r="1742" spans="1:4" ht="17">
      <c r="A1742" s="5" t="s">
        <v>3299</v>
      </c>
      <c r="B1742" s="5" t="s">
        <v>3426</v>
      </c>
      <c r="C1742" s="5" t="s">
        <v>3427</v>
      </c>
      <c r="D1742" s="2">
        <f>DATE(2020,6,7)+TIME(10,35,49)</f>
        <v>43989.44153935185</v>
      </c>
    </row>
    <row r="1743" spans="1:4" ht="17">
      <c r="A1743" s="4" t="s">
        <v>3299</v>
      </c>
      <c r="B1743" s="4" t="s">
        <v>966</v>
      </c>
      <c r="C1743" s="4" t="s">
        <v>8873</v>
      </c>
      <c r="D1743" s="1">
        <f>DATE(2020,6,17)+TIME(8,53,15)</f>
        <v>43999.370312500003</v>
      </c>
    </row>
    <row r="1744" spans="1:4" ht="17">
      <c r="A1744" s="5" t="s">
        <v>3271</v>
      </c>
      <c r="B1744" s="5" t="s">
        <v>3272</v>
      </c>
      <c r="C1744" s="5" t="s">
        <v>3273</v>
      </c>
      <c r="D1744" s="2">
        <f>DATE(2020,6,18)+TIME(9,8,26)</f>
        <v>44000.380856481483</v>
      </c>
    </row>
    <row r="1745" spans="1:4" ht="17">
      <c r="A1745" s="4" t="s">
        <v>7404</v>
      </c>
      <c r="B1745" s="4" t="s">
        <v>7405</v>
      </c>
      <c r="C1745" s="4" t="s">
        <v>7406</v>
      </c>
      <c r="D1745" s="1">
        <f>DATE(2020,6,15)+TIME(8,51,29)</f>
        <v>43997.369085648148</v>
      </c>
    </row>
    <row r="1746" spans="1:4" ht="17">
      <c r="A1746" s="5" t="s">
        <v>1756</v>
      </c>
      <c r="B1746" s="5" t="s">
        <v>1757</v>
      </c>
      <c r="C1746" s="5" t="s">
        <v>1758</v>
      </c>
      <c r="D1746" s="2">
        <f>DATE(2020,6,25)+TIME(10,56,5)</f>
        <v>44007.455613425926</v>
      </c>
    </row>
    <row r="1747" spans="1:4" ht="17">
      <c r="A1747" s="4" t="s">
        <v>6930</v>
      </c>
      <c r="B1747" s="4" t="s">
        <v>6931</v>
      </c>
      <c r="C1747" s="4" t="s">
        <v>6932</v>
      </c>
      <c r="D1747" s="1">
        <f>DATE(2020,6,18)+TIME(5,27,24)</f>
        <v>44000.227361111109</v>
      </c>
    </row>
    <row r="1748" spans="1:4" ht="17">
      <c r="A1748" s="5" t="s">
        <v>163</v>
      </c>
      <c r="B1748" s="5" t="s">
        <v>1543</v>
      </c>
      <c r="C1748" s="5" t="s">
        <v>1544</v>
      </c>
      <c r="D1748" s="2">
        <f>DATE(2020,3,29)+TIME(23,36,0)</f>
        <v>43919.98333333333</v>
      </c>
    </row>
    <row r="1749" spans="1:4" ht="17">
      <c r="A1749" s="5" t="s">
        <v>163</v>
      </c>
      <c r="B1749" s="5" t="s">
        <v>7354</v>
      </c>
      <c r="C1749" s="5" t="s">
        <v>7355</v>
      </c>
      <c r="D1749" s="2">
        <f>DATE(2020,4,10)+TIME(11,37,9)</f>
        <v>43931.484131944446</v>
      </c>
    </row>
    <row r="1750" spans="1:4" ht="17">
      <c r="A1750" s="4" t="s">
        <v>163</v>
      </c>
      <c r="B1750" s="4" t="s">
        <v>2340</v>
      </c>
      <c r="C1750" s="4" t="s">
        <v>2341</v>
      </c>
      <c r="D1750" s="1">
        <f>DATE(2020,5,5)+TIME(17,29,58)</f>
        <v>43956.729143518518</v>
      </c>
    </row>
    <row r="1751" spans="1:4" ht="17">
      <c r="A1751" s="4" t="s">
        <v>163</v>
      </c>
      <c r="B1751" s="4" t="s">
        <v>991</v>
      </c>
      <c r="C1751" s="4" t="s">
        <v>992</v>
      </c>
      <c r="D1751" s="1">
        <f>DATE(2020,5,5)+TIME(18,19,25)</f>
        <v>43956.763483796298</v>
      </c>
    </row>
    <row r="1752" spans="1:4" ht="17">
      <c r="A1752" s="4" t="s">
        <v>163</v>
      </c>
      <c r="B1752" s="4" t="s">
        <v>378</v>
      </c>
      <c r="C1752" s="4" t="s">
        <v>379</v>
      </c>
      <c r="D1752" s="1">
        <f>DATE(2020,5,5)+TIME(21,1,32)</f>
        <v>43956.876064814816</v>
      </c>
    </row>
    <row r="1753" spans="1:4" ht="17">
      <c r="A1753" s="5" t="s">
        <v>163</v>
      </c>
      <c r="B1753" s="5" t="s">
        <v>4983</v>
      </c>
      <c r="C1753" s="5" t="s">
        <v>4984</v>
      </c>
      <c r="D1753" s="2">
        <f>DATE(2020,5,5)+TIME(22,50,9)</f>
        <v>43956.951493055552</v>
      </c>
    </row>
    <row r="1754" spans="1:4" ht="17">
      <c r="A1754" s="4" t="s">
        <v>163</v>
      </c>
      <c r="B1754" s="4" t="s">
        <v>2137</v>
      </c>
      <c r="C1754" s="4" t="s">
        <v>2138</v>
      </c>
      <c r="D1754" s="1">
        <f>DATE(2020,5,6)+TIME(19,42,24)</f>
        <v>43957.821111111109</v>
      </c>
    </row>
    <row r="1755" spans="1:4" ht="17">
      <c r="A1755" s="5" t="s">
        <v>163</v>
      </c>
      <c r="B1755" s="5" t="s">
        <v>7882</v>
      </c>
      <c r="C1755" s="5" t="s">
        <v>7883</v>
      </c>
      <c r="D1755" s="2">
        <f>DATE(2020,5,7)+TIME(15,22,43)</f>
        <v>43958.640775462962</v>
      </c>
    </row>
    <row r="1756" spans="1:4" ht="17">
      <c r="A1756" s="4" t="s">
        <v>163</v>
      </c>
      <c r="B1756" s="4" t="s">
        <v>4916</v>
      </c>
      <c r="C1756" s="4" t="s">
        <v>4917</v>
      </c>
      <c r="D1756" s="1">
        <f>DATE(2020,5,8)+TIME(6,51,45)</f>
        <v>43959.285937499997</v>
      </c>
    </row>
    <row r="1757" spans="1:4" ht="17">
      <c r="A1757" s="4" t="s">
        <v>163</v>
      </c>
      <c r="B1757" s="4" t="s">
        <v>3975</v>
      </c>
      <c r="C1757" s="4" t="s">
        <v>3976</v>
      </c>
      <c r="D1757" s="1">
        <f>DATE(2020,5,13)+TIME(22,54,1)</f>
        <v>43964.95417824074</v>
      </c>
    </row>
    <row r="1758" spans="1:4" ht="17">
      <c r="A1758" s="5" t="s">
        <v>163</v>
      </c>
      <c r="B1758" s="5" t="s">
        <v>204</v>
      </c>
      <c r="C1758" s="5" t="s">
        <v>2478</v>
      </c>
      <c r="D1758" s="2">
        <f>DATE(2020,5,24)+TIME(21,55,29)</f>
        <v>43975.913530092592</v>
      </c>
    </row>
    <row r="1759" spans="1:4" ht="17">
      <c r="A1759" s="5" t="s">
        <v>163</v>
      </c>
      <c r="B1759" s="5" t="s">
        <v>8392</v>
      </c>
      <c r="C1759" s="5" t="s">
        <v>8393</v>
      </c>
      <c r="D1759" s="2">
        <f>DATE(2020,5,26)+TIME(15,47,1)</f>
        <v>43977.657650462963</v>
      </c>
    </row>
    <row r="1760" spans="1:4" ht="17">
      <c r="A1760" s="5" t="s">
        <v>163</v>
      </c>
      <c r="B1760" s="5" t="s">
        <v>754</v>
      </c>
      <c r="C1760" s="5" t="s">
        <v>1646</v>
      </c>
      <c r="D1760" s="2">
        <f>DATE(2020,6,4)+TIME(15,34,11)</f>
        <v>43986.648738425924</v>
      </c>
    </row>
    <row r="1761" spans="1:4" ht="17">
      <c r="A1761" s="5" t="s">
        <v>163</v>
      </c>
      <c r="B1761" s="5" t="s">
        <v>448</v>
      </c>
      <c r="C1761" s="5" t="s">
        <v>449</v>
      </c>
      <c r="D1761" s="2">
        <f>DATE(2020,6,9)+TIME(14,17,28)</f>
        <v>43991.595462962963</v>
      </c>
    </row>
    <row r="1762" spans="1:4" ht="17">
      <c r="A1762" s="4" t="s">
        <v>163</v>
      </c>
      <c r="B1762" s="4" t="s">
        <v>8205</v>
      </c>
      <c r="C1762" s="4" t="s">
        <v>8206</v>
      </c>
      <c r="D1762" s="1">
        <f>DATE(2020,6,10)+TIME(9,10,6)</f>
        <v>43992.382013888891</v>
      </c>
    </row>
    <row r="1763" spans="1:4" ht="17">
      <c r="A1763" s="4" t="s">
        <v>163</v>
      </c>
      <c r="B1763" s="4" t="s">
        <v>4751</v>
      </c>
      <c r="C1763" s="4" t="s">
        <v>4752</v>
      </c>
      <c r="D1763" s="1">
        <f>DATE(2020,6,12)+TIME(11,26,21)</f>
        <v>43994.476631944446</v>
      </c>
    </row>
    <row r="1764" spans="1:4" ht="17">
      <c r="A1764" s="5" t="s">
        <v>163</v>
      </c>
      <c r="B1764" s="5" t="s">
        <v>316</v>
      </c>
      <c r="C1764" s="5" t="s">
        <v>317</v>
      </c>
      <c r="D1764" s="2">
        <f>DATE(2020,6,15)+TIME(0,2,56)</f>
        <v>43997.00203703704</v>
      </c>
    </row>
    <row r="1765" spans="1:4" ht="17">
      <c r="A1765" s="4" t="s">
        <v>163</v>
      </c>
      <c r="B1765" s="4" t="s">
        <v>342</v>
      </c>
      <c r="C1765" s="4" t="s">
        <v>343</v>
      </c>
      <c r="D1765" s="1">
        <f>DATE(2020,6,17)+TIME(8,28,15)</f>
        <v>43999.352951388886</v>
      </c>
    </row>
    <row r="1766" spans="1:4" ht="17">
      <c r="A1766" s="4" t="s">
        <v>163</v>
      </c>
      <c r="B1766" s="4" t="s">
        <v>966</v>
      </c>
      <c r="C1766" s="4" t="s">
        <v>967</v>
      </c>
      <c r="D1766" s="1">
        <f>DATE(2020,6,17)+TIME(22,4,57)</f>
        <v>43999.920104166667</v>
      </c>
    </row>
    <row r="1767" spans="1:4" ht="17">
      <c r="A1767" s="4" t="s">
        <v>163</v>
      </c>
      <c r="B1767" s="4" t="s">
        <v>704</v>
      </c>
      <c r="C1767" s="4" t="s">
        <v>7654</v>
      </c>
      <c r="D1767" s="1">
        <f>DATE(2020,6,19)+TIME(9,15,56)</f>
        <v>44001.386064814818</v>
      </c>
    </row>
    <row r="1768" spans="1:4" ht="17">
      <c r="A1768" s="5" t="s">
        <v>163</v>
      </c>
      <c r="B1768" s="5" t="s">
        <v>164</v>
      </c>
      <c r="C1768" s="5" t="s">
        <v>165</v>
      </c>
      <c r="D1768" s="2">
        <f>DATE(2020,6,19)+TIME(11,29,4)</f>
        <v>44001.478518518517</v>
      </c>
    </row>
    <row r="1769" spans="1:4" ht="17">
      <c r="A1769" s="5" t="s">
        <v>163</v>
      </c>
      <c r="B1769" s="5" t="s">
        <v>8228</v>
      </c>
      <c r="C1769" s="5" t="s">
        <v>8229</v>
      </c>
      <c r="D1769" s="2">
        <f>DATE(2020,6,20)+TIME(9,59,7)</f>
        <v>44002.41605324074</v>
      </c>
    </row>
    <row r="1770" spans="1:4" ht="17">
      <c r="A1770" s="4" t="s">
        <v>163</v>
      </c>
      <c r="B1770" s="4" t="s">
        <v>4164</v>
      </c>
      <c r="C1770" s="4" t="s">
        <v>7465</v>
      </c>
      <c r="D1770" s="1">
        <f>DATE(2020,6,23)+TIME(18,5,41)</f>
        <v>44005.753946759258</v>
      </c>
    </row>
    <row r="1771" spans="1:4" ht="17">
      <c r="A1771" s="4" t="s">
        <v>163</v>
      </c>
      <c r="B1771" s="4" t="s">
        <v>5934</v>
      </c>
      <c r="C1771" s="4" t="s">
        <v>5935</v>
      </c>
      <c r="D1771" s="1">
        <f>DATE(2020,6,24)+TIME(13,56,12)</f>
        <v>44006.580694444441</v>
      </c>
    </row>
    <row r="1772" spans="1:4" ht="17">
      <c r="A1772" s="5" t="s">
        <v>163</v>
      </c>
      <c r="B1772" s="5" t="s">
        <v>1453</v>
      </c>
      <c r="C1772" s="5" t="s">
        <v>1454</v>
      </c>
      <c r="D1772" s="2">
        <f>DATE(2020,6,24)+TIME(16,43,25)</f>
        <v>44006.696817129632</v>
      </c>
    </row>
    <row r="1773" spans="1:4" ht="17">
      <c r="A1773" s="4" t="s">
        <v>163</v>
      </c>
      <c r="B1773" s="4" t="s">
        <v>1964</v>
      </c>
      <c r="C1773" s="4" t="s">
        <v>1965</v>
      </c>
      <c r="D1773" s="1">
        <f>DATE(2020,6,25)+TIME(10,36,0)</f>
        <v>44007.441666666666</v>
      </c>
    </row>
    <row r="1774" spans="1:4" ht="17">
      <c r="A1774" s="4" t="s">
        <v>163</v>
      </c>
      <c r="B1774" s="4" t="s">
        <v>3543</v>
      </c>
      <c r="C1774" s="4" t="s">
        <v>3544</v>
      </c>
      <c r="D1774" s="1">
        <f>DATE(2020,6,26)+TIME(9,24,58)</f>
        <v>44008.392337962963</v>
      </c>
    </row>
    <row r="1775" spans="1:4" ht="17">
      <c r="A1775" s="4" t="s">
        <v>1973</v>
      </c>
      <c r="B1775" s="4" t="s">
        <v>1974</v>
      </c>
      <c r="C1775" s="4" t="s">
        <v>1975</v>
      </c>
      <c r="D1775" s="1">
        <f>DATE(2020,6,26)+TIME(16,11,18)</f>
        <v>44008.674513888887</v>
      </c>
    </row>
    <row r="1776" spans="1:4" ht="17">
      <c r="A1776" s="4" t="s">
        <v>163</v>
      </c>
      <c r="B1776" s="4" t="s">
        <v>5315</v>
      </c>
      <c r="C1776" s="4" t="s">
        <v>5316</v>
      </c>
      <c r="D1776" s="1">
        <f>DATE(2020,6,26)+TIME(16,19,16)</f>
        <v>44008.680046296293</v>
      </c>
    </row>
    <row r="1777" spans="1:4" ht="17">
      <c r="A1777" s="5" t="s">
        <v>163</v>
      </c>
      <c r="B1777" s="5" t="s">
        <v>5392</v>
      </c>
      <c r="C1777" s="5" t="s">
        <v>5393</v>
      </c>
      <c r="D1777" s="2">
        <f>DATE(2020,6,26)+TIME(16,32,28)</f>
        <v>44008.689212962963</v>
      </c>
    </row>
    <row r="1778" spans="1:4" ht="17">
      <c r="A1778" s="4" t="s">
        <v>163</v>
      </c>
      <c r="B1778" s="4" t="s">
        <v>4421</v>
      </c>
      <c r="C1778" s="4" t="s">
        <v>4422</v>
      </c>
      <c r="D1778" s="1">
        <f>DATE(2020,6,28)+TIME(9,31,36)</f>
        <v>44010.396944444445</v>
      </c>
    </row>
    <row r="1779" spans="1:4" ht="17">
      <c r="A1779" s="4" t="s">
        <v>163</v>
      </c>
      <c r="B1779" s="4" t="s">
        <v>6814</v>
      </c>
      <c r="C1779" s="4" t="s">
        <v>6815</v>
      </c>
      <c r="D1779" s="1">
        <f>DATE(2020,6,28)+TIME(20,48,9)</f>
        <v>44010.866770833331</v>
      </c>
    </row>
    <row r="1780" spans="1:4" ht="17">
      <c r="A1780" s="4" t="s">
        <v>163</v>
      </c>
      <c r="B1780" s="4" t="s">
        <v>2823</v>
      </c>
      <c r="C1780" s="4" t="s">
        <v>2824</v>
      </c>
      <c r="D1780" s="1">
        <f>DATE(2020,6,29)+TIME(13,32,29)</f>
        <v>44011.56422453704</v>
      </c>
    </row>
    <row r="1781" spans="1:4" ht="17">
      <c r="A1781" s="5" t="s">
        <v>3112</v>
      </c>
      <c r="B1781" s="5" t="s">
        <v>2223</v>
      </c>
      <c r="C1781" s="5" t="s">
        <v>3113</v>
      </c>
      <c r="D1781" s="2">
        <f>DATE(2020,6,19)+TIME(6,10,55)</f>
        <v>44001.257581018515</v>
      </c>
    </row>
    <row r="1782" spans="1:4" ht="17">
      <c r="A1782" s="5" t="s">
        <v>8748</v>
      </c>
      <c r="B1782" s="5" t="s">
        <v>8749</v>
      </c>
      <c r="C1782" s="5" t="s">
        <v>8750</v>
      </c>
      <c r="D1782" s="2">
        <f>DATE(2020,6,17)+TIME(12,0,9)</f>
        <v>43999.500104166669</v>
      </c>
    </row>
    <row r="1783" spans="1:4" ht="17">
      <c r="A1783" s="4" t="s">
        <v>2881</v>
      </c>
      <c r="B1783" s="4" t="s">
        <v>2882</v>
      </c>
      <c r="C1783" s="4" t="s">
        <v>2883</v>
      </c>
      <c r="D1783" s="1">
        <f>DATE(2020,6,12)+TIME(21,57,12)</f>
        <v>43994.914722222224</v>
      </c>
    </row>
    <row r="1784" spans="1:4" ht="17">
      <c r="A1784" s="4" t="s">
        <v>2786</v>
      </c>
      <c r="B1784" s="4" t="s">
        <v>2787</v>
      </c>
      <c r="C1784" s="4" t="s">
        <v>2788</v>
      </c>
      <c r="D1784" s="1">
        <f>DATE(2020,6,25)+TIME(18,54,52)</f>
        <v>44007.788101851853</v>
      </c>
    </row>
    <row r="1785" spans="1:4" ht="17">
      <c r="A1785" s="5" t="s">
        <v>4054</v>
      </c>
      <c r="B1785" s="5" t="s">
        <v>1316</v>
      </c>
      <c r="C1785" s="5" t="s">
        <v>4055</v>
      </c>
      <c r="D1785" s="2">
        <f>DATE(2020,6,25)+TIME(10,25,20)</f>
        <v>44007.434259259258</v>
      </c>
    </row>
    <row r="1786" spans="1:4" ht="17">
      <c r="A1786" s="5" t="s">
        <v>1129</v>
      </c>
      <c r="B1786" s="5" t="s">
        <v>6478</v>
      </c>
      <c r="C1786" s="5" t="s">
        <v>6479</v>
      </c>
      <c r="D1786" s="2">
        <f>DATE(2020,5,6)+TIME(10,59,7)</f>
        <v>43957.457719907405</v>
      </c>
    </row>
    <row r="1787" spans="1:4" ht="17">
      <c r="A1787" s="5" t="s">
        <v>1129</v>
      </c>
      <c r="B1787" s="5" t="s">
        <v>2585</v>
      </c>
      <c r="C1787" s="5" t="s">
        <v>6310</v>
      </c>
      <c r="D1787" s="2">
        <f>DATE(2020,5,15)+TIME(11,35,48)</f>
        <v>43966.483194444445</v>
      </c>
    </row>
    <row r="1788" spans="1:4" ht="17">
      <c r="A1788" s="4" t="s">
        <v>1129</v>
      </c>
      <c r="B1788" s="4" t="s">
        <v>4685</v>
      </c>
      <c r="C1788" s="4" t="s">
        <v>4686</v>
      </c>
      <c r="D1788" s="1">
        <f>DATE(2020,5,21)+TIME(23,20,34)</f>
        <v>43972.972615740742</v>
      </c>
    </row>
    <row r="1789" spans="1:4" ht="17">
      <c r="A1789" s="4" t="s">
        <v>1129</v>
      </c>
      <c r="B1789" s="4" t="s">
        <v>1130</v>
      </c>
      <c r="C1789" s="4" t="s">
        <v>1131</v>
      </c>
      <c r="D1789" s="1">
        <f>DATE(2020,5,29)+TIME(13,47,11)</f>
        <v>43980.574432870373</v>
      </c>
    </row>
    <row r="1790" spans="1:4" ht="17">
      <c r="A1790" s="4" t="s">
        <v>1129</v>
      </c>
      <c r="B1790" s="4" t="s">
        <v>8183</v>
      </c>
      <c r="C1790" s="4" t="s">
        <v>8184</v>
      </c>
      <c r="D1790" s="1">
        <f>DATE(2020,6,1)+TIME(19,23,38)</f>
        <v>43983.808078703703</v>
      </c>
    </row>
    <row r="1791" spans="1:4" ht="17">
      <c r="A1791" s="4" t="s">
        <v>1129</v>
      </c>
      <c r="B1791" s="4" t="s">
        <v>2568</v>
      </c>
      <c r="C1791" s="4" t="s">
        <v>2569</v>
      </c>
      <c r="D1791" s="1">
        <f>DATE(2020,6,2)+TIME(11,14,3)</f>
        <v>43984.468090277776</v>
      </c>
    </row>
    <row r="1792" spans="1:4" ht="17">
      <c r="A1792" s="5" t="s">
        <v>1129</v>
      </c>
      <c r="B1792" s="5" t="s">
        <v>8252</v>
      </c>
      <c r="C1792" s="5" t="s">
        <v>8253</v>
      </c>
      <c r="D1792" s="2">
        <f>DATE(2020,6,8)+TIME(23,12,0)</f>
        <v>43990.966666666667</v>
      </c>
    </row>
    <row r="1793" spans="1:4" ht="17">
      <c r="A1793" s="4" t="s">
        <v>1129</v>
      </c>
      <c r="B1793" s="4" t="s">
        <v>2135</v>
      </c>
      <c r="C1793" s="4" t="s">
        <v>5648</v>
      </c>
      <c r="D1793" s="1">
        <f>DATE(2020,6,12)+TIME(21,2,39)</f>
        <v>43994.876840277779</v>
      </c>
    </row>
    <row r="1794" spans="1:4" ht="17">
      <c r="A1794" s="5" t="s">
        <v>1129</v>
      </c>
      <c r="B1794" s="5" t="s">
        <v>4500</v>
      </c>
      <c r="C1794" s="5" t="s">
        <v>4501</v>
      </c>
      <c r="D1794" s="2">
        <f>DATE(2020,6,18)+TIME(14,51,23)</f>
        <v>44000.619016203702</v>
      </c>
    </row>
    <row r="1795" spans="1:4" ht="17">
      <c r="A1795" s="5" t="s">
        <v>1129</v>
      </c>
      <c r="B1795" s="5" t="s">
        <v>2256</v>
      </c>
      <c r="C1795" s="5" t="s">
        <v>2257</v>
      </c>
      <c r="D1795" s="2">
        <f>DATE(2020,6,29)+TIME(10,4,8)</f>
        <v>44011.419537037036</v>
      </c>
    </row>
    <row r="1796" spans="1:4" ht="17">
      <c r="A1796" s="5" t="s">
        <v>478</v>
      </c>
      <c r="B1796" s="5" t="s">
        <v>7217</v>
      </c>
      <c r="C1796" s="5" t="s">
        <v>7218</v>
      </c>
      <c r="D1796" s="2">
        <f>DATE(2020,4,2)+TIME(16,9,2)</f>
        <v>43923.672939814816</v>
      </c>
    </row>
    <row r="1797" spans="1:4" ht="17">
      <c r="A1797" s="5" t="s">
        <v>478</v>
      </c>
      <c r="B1797" s="5" t="s">
        <v>2960</v>
      </c>
      <c r="C1797" s="5" t="s">
        <v>2961</v>
      </c>
      <c r="D1797" s="2">
        <f>DATE(2020,5,20)+TIME(23,1,38)</f>
        <v>43971.959467592591</v>
      </c>
    </row>
    <row r="1798" spans="1:4" ht="17">
      <c r="A1798" s="4" t="s">
        <v>478</v>
      </c>
      <c r="B1798" s="4" t="s">
        <v>6565</v>
      </c>
      <c r="C1798" s="4" t="s">
        <v>6566</v>
      </c>
      <c r="D1798" s="1">
        <f>DATE(2020,5,28)+TIME(13,41,10)</f>
        <v>43979.570254629631</v>
      </c>
    </row>
    <row r="1799" spans="1:4" ht="17">
      <c r="A1799" s="4" t="s">
        <v>478</v>
      </c>
      <c r="B1799" s="4" t="s">
        <v>5964</v>
      </c>
      <c r="C1799" s="4" t="s">
        <v>5965</v>
      </c>
      <c r="D1799" s="1">
        <f>DATE(2020,6,2)+TIME(11,14,3)</f>
        <v>43984.468090277776</v>
      </c>
    </row>
    <row r="1800" spans="1:4" ht="17">
      <c r="A1800" s="5" t="s">
        <v>478</v>
      </c>
      <c r="B1800" s="5" t="s">
        <v>6627</v>
      </c>
      <c r="C1800" s="5" t="s">
        <v>6628</v>
      </c>
      <c r="D1800" s="2">
        <f>DATE(2020,6,3)+TIME(11,27,34)</f>
        <v>43985.477476851855</v>
      </c>
    </row>
    <row r="1801" spans="1:4" ht="17">
      <c r="A1801" s="4" t="s">
        <v>478</v>
      </c>
      <c r="B1801" s="4" t="s">
        <v>7243</v>
      </c>
      <c r="C1801" s="4" t="s">
        <v>7244</v>
      </c>
      <c r="D1801" s="1">
        <f>DATE(2020,6,10)+TIME(10,35,43)</f>
        <v>43992.441469907404</v>
      </c>
    </row>
    <row r="1802" spans="1:4" ht="17">
      <c r="A1802" s="4" t="s">
        <v>478</v>
      </c>
      <c r="B1802" s="4" t="s">
        <v>4329</v>
      </c>
      <c r="C1802" s="4" t="s">
        <v>4330</v>
      </c>
      <c r="D1802" s="1">
        <f>DATE(2020,6,12)+TIME(13,32,27)</f>
        <v>43994.564201388886</v>
      </c>
    </row>
    <row r="1803" spans="1:4" ht="17">
      <c r="A1803" s="4" t="s">
        <v>478</v>
      </c>
      <c r="B1803" s="4" t="s">
        <v>479</v>
      </c>
      <c r="C1803" s="4" t="s">
        <v>480</v>
      </c>
      <c r="D1803" s="1">
        <f>DATE(2020,6,20)+TIME(2,24,42)</f>
        <v>44002.100486111114</v>
      </c>
    </row>
    <row r="1804" spans="1:4" ht="17">
      <c r="A1804" s="5" t="s">
        <v>478</v>
      </c>
      <c r="B1804" s="5" t="s">
        <v>1151</v>
      </c>
      <c r="C1804" s="5" t="s">
        <v>1152</v>
      </c>
      <c r="D1804" s="2">
        <f>DATE(2020,6,22)+TIME(10,41,44)</f>
        <v>44004.445648148147</v>
      </c>
    </row>
    <row r="1805" spans="1:4" ht="17">
      <c r="A1805" s="5" t="s">
        <v>478</v>
      </c>
      <c r="B1805" s="5" t="s">
        <v>1713</v>
      </c>
      <c r="C1805" s="5" t="s">
        <v>1714</v>
      </c>
      <c r="D1805" s="2">
        <f>DATE(2020,6,25)+TIME(17,25,28)</f>
        <v>44007.726018518515</v>
      </c>
    </row>
    <row r="1806" spans="1:4" ht="17">
      <c r="A1806" s="5" t="s">
        <v>478</v>
      </c>
      <c r="B1806" s="5" t="s">
        <v>8954</v>
      </c>
      <c r="C1806" s="5" t="s">
        <v>8955</v>
      </c>
      <c r="D1806" s="2">
        <f>DATE(2020,6,26)+TIME(16,17,24)</f>
        <v>44008.678749999999</v>
      </c>
    </row>
    <row r="1807" spans="1:4" ht="17">
      <c r="A1807" s="5" t="s">
        <v>478</v>
      </c>
      <c r="B1807" s="5" t="s">
        <v>5829</v>
      </c>
      <c r="C1807" s="5" t="s">
        <v>5830</v>
      </c>
      <c r="D1807" s="2">
        <f>DATE(2020,6,28)+TIME(14,32,33)</f>
        <v>44010.605937499997</v>
      </c>
    </row>
    <row r="1808" spans="1:4" ht="17">
      <c r="A1808" s="5" t="s">
        <v>9578</v>
      </c>
      <c r="B1808" s="5" t="s">
        <v>9579</v>
      </c>
      <c r="C1808" s="5" t="s">
        <v>9580</v>
      </c>
      <c r="D1808" s="2">
        <f>DATE(2020,6,26)+TIME(3,21,5)</f>
        <v>44008.139641203707</v>
      </c>
    </row>
    <row r="1809" spans="1:4" ht="17">
      <c r="A1809" s="4" t="s">
        <v>9489</v>
      </c>
      <c r="B1809" s="4" t="s">
        <v>2543</v>
      </c>
      <c r="C1809" s="4" t="s">
        <v>9490</v>
      </c>
      <c r="D1809" s="1">
        <f>DATE(2020,5,22)+TIME(11,46,20)</f>
        <v>43973.49050925926</v>
      </c>
    </row>
    <row r="1810" spans="1:4" ht="17">
      <c r="A1810" s="5" t="s">
        <v>2539</v>
      </c>
      <c r="B1810" s="5" t="s">
        <v>7438</v>
      </c>
      <c r="C1810" s="5" t="s">
        <v>7439</v>
      </c>
      <c r="D1810" s="2">
        <f>DATE(2020,3,27)+TIME(15,22,51)</f>
        <v>43917.640868055554</v>
      </c>
    </row>
    <row r="1811" spans="1:4" ht="17">
      <c r="A1811" s="4" t="s">
        <v>2539</v>
      </c>
      <c r="B1811" s="4" t="s">
        <v>2540</v>
      </c>
      <c r="C1811" s="4" t="s">
        <v>2541</v>
      </c>
      <c r="D1811" s="1">
        <f>DATE(2020,6,16)+TIME(10,7,46)</f>
        <v>43998.422060185185</v>
      </c>
    </row>
    <row r="1812" spans="1:4" ht="17">
      <c r="A1812" s="5" t="s">
        <v>2539</v>
      </c>
      <c r="B1812" s="5" t="s">
        <v>3597</v>
      </c>
      <c r="C1812" s="5" t="s">
        <v>3598</v>
      </c>
      <c r="D1812" s="2">
        <f>DATE(2020,6,27)+TIME(12,37,2)</f>
        <v>44009.525717592594</v>
      </c>
    </row>
    <row r="1813" spans="1:4" ht="17">
      <c r="A1813" s="4" t="s">
        <v>2539</v>
      </c>
      <c r="B1813" s="4" t="s">
        <v>3581</v>
      </c>
      <c r="C1813" s="4" t="s">
        <v>6303</v>
      </c>
      <c r="D1813" s="1">
        <f>DATE(2020,6,27)+TIME(12,37,2)</f>
        <v>44009.525717592594</v>
      </c>
    </row>
    <row r="1814" spans="1:4" ht="17">
      <c r="A1814" s="5" t="s">
        <v>1045</v>
      </c>
      <c r="B1814" s="5" t="s">
        <v>1046</v>
      </c>
      <c r="C1814" s="5" t="s">
        <v>1047</v>
      </c>
      <c r="D1814" s="2">
        <f>DATE(2020,6,3)+TIME(5,47,1)</f>
        <v>43985.240983796299</v>
      </c>
    </row>
    <row r="1815" spans="1:4" ht="17">
      <c r="A1815" s="4" t="s">
        <v>1949</v>
      </c>
      <c r="B1815" s="4" t="s">
        <v>6965</v>
      </c>
      <c r="C1815" s="4" t="s">
        <v>6966</v>
      </c>
      <c r="D1815" s="1">
        <f>DATE(2020,6,25)+TIME(3,39,20)</f>
        <v>44007.152314814812</v>
      </c>
    </row>
    <row r="1816" spans="1:4" ht="17">
      <c r="A1816" s="5" t="s">
        <v>1949</v>
      </c>
      <c r="B1816" s="5" t="s">
        <v>4641</v>
      </c>
      <c r="C1816" s="5" t="s">
        <v>4642</v>
      </c>
      <c r="D1816" s="2">
        <f>DATE(2020,6,25)+TIME(17,16,50)</f>
        <v>44007.720023148147</v>
      </c>
    </row>
    <row r="1817" spans="1:4" ht="17">
      <c r="A1817" s="4" t="s">
        <v>1949</v>
      </c>
      <c r="B1817" s="4" t="s">
        <v>1950</v>
      </c>
      <c r="C1817" s="4" t="s">
        <v>1951</v>
      </c>
      <c r="D1817" s="1">
        <f>DATE(2020,6,27)+TIME(4,8,23)</f>
        <v>44009.172488425924</v>
      </c>
    </row>
    <row r="1818" spans="1:4" ht="17">
      <c r="A1818" s="5" t="s">
        <v>1326</v>
      </c>
      <c r="B1818" s="5" t="s">
        <v>1327</v>
      </c>
      <c r="C1818" s="5" t="s">
        <v>1328</v>
      </c>
      <c r="D1818" s="2">
        <f>DATE(2020,6,26)+TIME(2,1,27)</f>
        <v>44008.084340277775</v>
      </c>
    </row>
    <row r="1819" spans="1:4" ht="17">
      <c r="A1819" s="5" t="s">
        <v>6834</v>
      </c>
      <c r="B1819" s="5" t="s">
        <v>6835</v>
      </c>
      <c r="C1819" s="5" t="s">
        <v>6836</v>
      </c>
      <c r="D1819" s="2">
        <f>DATE(2020,5,8)+TIME(12,35,6)</f>
        <v>43959.524375000001</v>
      </c>
    </row>
    <row r="1820" spans="1:4" ht="17">
      <c r="A1820" s="4" t="s">
        <v>1002</v>
      </c>
      <c r="B1820" s="4" t="s">
        <v>1003</v>
      </c>
      <c r="C1820" s="4" t="s">
        <v>1004</v>
      </c>
      <c r="D1820" s="1">
        <f>DATE(2020,5,14)+TIME(12,27,33)</f>
        <v>43965.519131944442</v>
      </c>
    </row>
    <row r="1821" spans="1:4" ht="17">
      <c r="A1821" s="4" t="s">
        <v>1002</v>
      </c>
      <c r="B1821" s="4" t="s">
        <v>5938</v>
      </c>
      <c r="C1821" s="4" t="s">
        <v>5939</v>
      </c>
      <c r="D1821" s="1">
        <f>DATE(2020,5,18)+TIME(14,44,15)</f>
        <v>43969.614062499997</v>
      </c>
    </row>
    <row r="1822" spans="1:4" ht="17">
      <c r="A1822" s="5" t="s">
        <v>1002</v>
      </c>
      <c r="B1822" s="5" t="s">
        <v>4032</v>
      </c>
      <c r="C1822" s="5" t="s">
        <v>4033</v>
      </c>
      <c r="D1822" s="2">
        <f>DATE(2020,6,4)+TIME(16,44,48)</f>
        <v>43986.697777777779</v>
      </c>
    </row>
    <row r="1823" spans="1:4" ht="17">
      <c r="A1823" s="5" t="s">
        <v>1002</v>
      </c>
      <c r="B1823" s="5" t="s">
        <v>4542</v>
      </c>
      <c r="C1823" s="5" t="s">
        <v>9070</v>
      </c>
      <c r="D1823" s="2">
        <f>DATE(2020,6,15)+TIME(9,59,54)</f>
        <v>43997.416597222225</v>
      </c>
    </row>
    <row r="1824" spans="1:4" ht="17">
      <c r="A1824" s="4" t="s">
        <v>1002</v>
      </c>
      <c r="B1824" s="4" t="s">
        <v>6520</v>
      </c>
      <c r="C1824" s="4" t="s">
        <v>6521</v>
      </c>
      <c r="D1824" s="1">
        <f>DATE(2020,6,17)+TIME(19,45,45)</f>
        <v>43999.823437500003</v>
      </c>
    </row>
    <row r="1825" spans="1:4" ht="17">
      <c r="A1825" s="5" t="s">
        <v>1002</v>
      </c>
      <c r="B1825" s="5" t="s">
        <v>7343</v>
      </c>
      <c r="C1825" s="5" t="s">
        <v>7344</v>
      </c>
      <c r="D1825" s="2">
        <f>DATE(2020,6,25)+TIME(21,3,46)</f>
        <v>44007.877615740741</v>
      </c>
    </row>
    <row r="1826" spans="1:4" ht="17">
      <c r="A1826" s="4" t="s">
        <v>8663</v>
      </c>
      <c r="B1826" s="4" t="s">
        <v>8664</v>
      </c>
      <c r="C1826" s="4" t="s">
        <v>8665</v>
      </c>
      <c r="D1826" s="1">
        <f>DATE(2020,5,14)+TIME(16,3,15)</f>
        <v>43965.668923611112</v>
      </c>
    </row>
    <row r="1827" spans="1:4" ht="17">
      <c r="A1827" s="5" t="s">
        <v>867</v>
      </c>
      <c r="B1827" s="5" t="s">
        <v>868</v>
      </c>
      <c r="C1827" s="5" t="s">
        <v>869</v>
      </c>
      <c r="D1827" s="2">
        <f>DATE(2020,6,27)+TIME(21,2,29)</f>
        <v>44009.87672453704</v>
      </c>
    </row>
    <row r="1828" spans="1:4" ht="17">
      <c r="A1828" s="4" t="s">
        <v>6107</v>
      </c>
      <c r="B1828" s="4" t="s">
        <v>6108</v>
      </c>
      <c r="C1828" s="4" t="s">
        <v>6109</v>
      </c>
      <c r="D1828" s="1">
        <f>DATE(2020,6,17)+TIME(0,48,6)</f>
        <v>43999.033402777779</v>
      </c>
    </row>
    <row r="1829" spans="1:4" ht="17">
      <c r="A1829" s="5" t="s">
        <v>613</v>
      </c>
      <c r="B1829" s="5" t="s">
        <v>614</v>
      </c>
      <c r="C1829" s="5" t="s">
        <v>615</v>
      </c>
      <c r="D1829" s="2">
        <f>DATE(2020,5,14)+TIME(2,16,36)</f>
        <v>43965.094861111109</v>
      </c>
    </row>
    <row r="1830" spans="1:4" ht="17">
      <c r="A1830" s="5" t="s">
        <v>3418</v>
      </c>
      <c r="B1830" s="5" t="s">
        <v>6425</v>
      </c>
      <c r="C1830" s="5" t="s">
        <v>6426</v>
      </c>
      <c r="D1830" s="2">
        <f>DATE(2020,4,2)+TIME(15,57,29)</f>
        <v>43923.664918981478</v>
      </c>
    </row>
    <row r="1831" spans="1:4" ht="17">
      <c r="A1831" s="4" t="s">
        <v>3418</v>
      </c>
      <c r="B1831" s="4" t="s">
        <v>3419</v>
      </c>
      <c r="C1831" s="4" t="s">
        <v>3420</v>
      </c>
      <c r="D1831" s="1">
        <f>DATE(2020,5,29)+TIME(7,13,0)</f>
        <v>43980.300694444442</v>
      </c>
    </row>
    <row r="1832" spans="1:4" ht="17">
      <c r="A1832" s="5" t="s">
        <v>3418</v>
      </c>
      <c r="B1832" s="5" t="s">
        <v>6226</v>
      </c>
      <c r="C1832" s="5" t="s">
        <v>6227</v>
      </c>
      <c r="D1832" s="2">
        <f>DATE(2020,6,22)+TIME(20,0,4)</f>
        <v>44004.833379629628</v>
      </c>
    </row>
    <row r="1833" spans="1:4" ht="17">
      <c r="A1833" s="5" t="s">
        <v>15</v>
      </c>
      <c r="B1833" s="5" t="s">
        <v>16</v>
      </c>
      <c r="C1833" s="5" t="s">
        <v>17</v>
      </c>
      <c r="D1833" s="2">
        <f>DATE(2020,5,6)+TIME(6,42,26)</f>
        <v>43957.279467592591</v>
      </c>
    </row>
    <row r="1834" spans="1:4" ht="17">
      <c r="A1834" s="4" t="s">
        <v>15</v>
      </c>
      <c r="B1834" s="4" t="s">
        <v>536</v>
      </c>
      <c r="C1834" s="4" t="s">
        <v>537</v>
      </c>
      <c r="D1834" s="1">
        <f>DATE(2020,5,9)+TIME(3,17,51)</f>
        <v>43960.137395833335</v>
      </c>
    </row>
    <row r="1835" spans="1:4" ht="17">
      <c r="A1835" s="5" t="s">
        <v>15</v>
      </c>
      <c r="B1835" s="5" t="s">
        <v>7713</v>
      </c>
      <c r="C1835" s="5" t="s">
        <v>7714</v>
      </c>
      <c r="D1835" s="2">
        <f>DATE(2020,5,23)+TIME(13,18,42)</f>
        <v>43974.554652777777</v>
      </c>
    </row>
    <row r="1836" spans="1:4" ht="17">
      <c r="A1836" s="5" t="s">
        <v>15</v>
      </c>
      <c r="B1836" s="5" t="s">
        <v>1472</v>
      </c>
      <c r="C1836" s="5" t="s">
        <v>1473</v>
      </c>
      <c r="D1836" s="2">
        <f>DATE(2020,6,2)+TIME(10,6,33)</f>
        <v>43984.421215277776</v>
      </c>
    </row>
    <row r="1837" spans="1:4" ht="17">
      <c r="A1837" s="4" t="s">
        <v>15</v>
      </c>
      <c r="B1837" s="4" t="s">
        <v>5960</v>
      </c>
      <c r="C1837" s="4" t="s">
        <v>5961</v>
      </c>
      <c r="D1837" s="1">
        <f>DATE(2020,6,11)+TIME(15,36,57)</f>
        <v>43993.650659722225</v>
      </c>
    </row>
    <row r="1838" spans="1:4" ht="17">
      <c r="A1838" s="5" t="s">
        <v>15</v>
      </c>
      <c r="B1838" s="5" t="s">
        <v>1495</v>
      </c>
      <c r="C1838" s="5" t="s">
        <v>1496</v>
      </c>
      <c r="D1838" s="2">
        <f>DATE(2020,6,17)+TIME(10,18,11)</f>
        <v>43999.429293981484</v>
      </c>
    </row>
    <row r="1839" spans="1:4" ht="17">
      <c r="A1839" s="4" t="s">
        <v>15</v>
      </c>
      <c r="B1839" s="4" t="s">
        <v>1153</v>
      </c>
      <c r="C1839" s="4" t="s">
        <v>1154</v>
      </c>
      <c r="D1839" s="1">
        <f>DATE(2020,6,18)+TIME(13,55,13)</f>
        <v>44000.580011574071</v>
      </c>
    </row>
    <row r="1840" spans="1:4" ht="17">
      <c r="A1840" s="5" t="s">
        <v>15</v>
      </c>
      <c r="B1840" s="5" t="s">
        <v>5176</v>
      </c>
      <c r="C1840" s="5" t="s">
        <v>5177</v>
      </c>
      <c r="D1840" s="2">
        <f>DATE(2020,6,18)+TIME(23,50,35)</f>
        <v>44000.993460648147</v>
      </c>
    </row>
    <row r="1841" spans="1:4" ht="17">
      <c r="A1841" s="4" t="s">
        <v>15</v>
      </c>
      <c r="B1841" s="4" t="s">
        <v>1108</v>
      </c>
      <c r="C1841" s="4" t="s">
        <v>1109</v>
      </c>
      <c r="D1841" s="1">
        <f>DATE(2020,6,26)+TIME(20,4,53)</f>
        <v>44008.836724537039</v>
      </c>
    </row>
    <row r="1842" spans="1:4" ht="17">
      <c r="A1842" s="5" t="s">
        <v>15</v>
      </c>
      <c r="B1842" s="5" t="s">
        <v>9290</v>
      </c>
      <c r="C1842" s="5" t="s">
        <v>9291</v>
      </c>
      <c r="D1842" s="2">
        <f>DATE(2020,6,29)+TIME(10,42,4)</f>
        <v>44011.445879629631</v>
      </c>
    </row>
    <row r="1843" spans="1:4" ht="17">
      <c r="A1843" s="4" t="s">
        <v>388</v>
      </c>
      <c r="B1843" s="4" t="s">
        <v>6588</v>
      </c>
      <c r="C1843" s="4" t="s">
        <v>6589</v>
      </c>
      <c r="D1843" s="1">
        <f>DATE(2020,5,5)+TIME(17,34,43)</f>
        <v>43956.732442129629</v>
      </c>
    </row>
    <row r="1844" spans="1:4" ht="17">
      <c r="A1844" s="5" t="s">
        <v>4594</v>
      </c>
      <c r="B1844" s="5" t="s">
        <v>979</v>
      </c>
      <c r="C1844" s="5" t="s">
        <v>4595</v>
      </c>
      <c r="D1844" s="2">
        <f>DATE(2020,5,11)+TIME(15,3,6)</f>
        <v>43962.627152777779</v>
      </c>
    </row>
    <row r="1845" spans="1:4" ht="17">
      <c r="A1845" s="5" t="s">
        <v>388</v>
      </c>
      <c r="B1845" s="5" t="s">
        <v>5353</v>
      </c>
      <c r="C1845" s="5" t="s">
        <v>5354</v>
      </c>
      <c r="D1845" s="2">
        <f>DATE(2020,5,21)+TIME(15,3,56)</f>
        <v>43972.62773148148</v>
      </c>
    </row>
    <row r="1846" spans="1:4" ht="17">
      <c r="A1846" s="4" t="s">
        <v>388</v>
      </c>
      <c r="B1846" s="4" t="s">
        <v>5291</v>
      </c>
      <c r="C1846" s="4" t="s">
        <v>7401</v>
      </c>
      <c r="D1846" s="1">
        <f>DATE(2020,6,9)+TIME(11,18,21)</f>
        <v>43991.471076388887</v>
      </c>
    </row>
    <row r="1847" spans="1:4" ht="17">
      <c r="A1847" s="4" t="s">
        <v>388</v>
      </c>
      <c r="B1847" s="4" t="s">
        <v>8358</v>
      </c>
      <c r="C1847" s="4" t="s">
        <v>8359</v>
      </c>
      <c r="D1847" s="1">
        <f>DATE(2020,6,19)+TIME(7,57,49)</f>
        <v>44001.331817129627</v>
      </c>
    </row>
    <row r="1848" spans="1:4" ht="17">
      <c r="A1848" s="4" t="s">
        <v>388</v>
      </c>
      <c r="B1848" s="4" t="s">
        <v>389</v>
      </c>
      <c r="C1848" s="4" t="s">
        <v>390</v>
      </c>
      <c r="D1848" s="1">
        <f>DATE(2020,6,25)+TIME(14,17,2)</f>
        <v>44007.59516203704</v>
      </c>
    </row>
    <row r="1849" spans="1:4" ht="17">
      <c r="A1849" s="5" t="s">
        <v>388</v>
      </c>
      <c r="B1849" s="5" t="s">
        <v>8176</v>
      </c>
      <c r="C1849" s="5" t="s">
        <v>8177</v>
      </c>
      <c r="D1849" s="2">
        <f>DATE(2020,6,25)+TIME(14,45,48)</f>
        <v>44007.61513888889</v>
      </c>
    </row>
    <row r="1850" spans="1:4" ht="17">
      <c r="A1850" s="4" t="s">
        <v>2562</v>
      </c>
      <c r="B1850" s="4" t="s">
        <v>2563</v>
      </c>
      <c r="C1850" s="4" t="s">
        <v>2564</v>
      </c>
      <c r="D1850" s="1">
        <f>DATE(2020,5,7)+TIME(15,36,42)</f>
        <v>43958.65048611111</v>
      </c>
    </row>
    <row r="1851" spans="1:4" ht="17">
      <c r="A1851" s="4" t="s">
        <v>2562</v>
      </c>
      <c r="B1851" s="4" t="s">
        <v>5311</v>
      </c>
      <c r="C1851" s="4" t="s">
        <v>5312</v>
      </c>
      <c r="D1851" s="1">
        <f>DATE(2020,5,11)+TIME(14,16,16)</f>
        <v>43962.594629629632</v>
      </c>
    </row>
    <row r="1852" spans="1:4" ht="17">
      <c r="A1852" s="4" t="s">
        <v>2562</v>
      </c>
      <c r="B1852" s="4" t="s">
        <v>3986</v>
      </c>
      <c r="C1852" s="4" t="s">
        <v>3987</v>
      </c>
      <c r="D1852" s="1">
        <f>DATE(2020,5,21)+TIME(14,16,43)</f>
        <v>43972.594942129632</v>
      </c>
    </row>
    <row r="1853" spans="1:4" ht="17">
      <c r="A1853" s="4" t="s">
        <v>2562</v>
      </c>
      <c r="B1853" s="4" t="s">
        <v>8682</v>
      </c>
      <c r="C1853" s="4" t="s">
        <v>8683</v>
      </c>
      <c r="D1853" s="1">
        <f>DATE(2020,5,22)+TIME(18,22,40)</f>
        <v>43973.765740740739</v>
      </c>
    </row>
    <row r="1854" spans="1:4" ht="17">
      <c r="A1854" s="4" t="s">
        <v>2562</v>
      </c>
      <c r="B1854" s="4" t="s">
        <v>5911</v>
      </c>
      <c r="C1854" s="4" t="s">
        <v>5912</v>
      </c>
      <c r="D1854" s="1">
        <f>DATE(2020,6,17)+TIME(15,9,43)</f>
        <v>43999.631747685184</v>
      </c>
    </row>
    <row r="1855" spans="1:4" ht="17">
      <c r="A1855" s="5" t="s">
        <v>2562</v>
      </c>
      <c r="B1855" s="5" t="s">
        <v>4583</v>
      </c>
      <c r="C1855" s="5" t="s">
        <v>4584</v>
      </c>
      <c r="D1855" s="2">
        <f>DATE(2020,6,18)+TIME(7,58,24)</f>
        <v>44000.33222222222</v>
      </c>
    </row>
    <row r="1856" spans="1:4" ht="17">
      <c r="A1856" s="5" t="s">
        <v>2562</v>
      </c>
      <c r="B1856" s="5" t="s">
        <v>3280</v>
      </c>
      <c r="C1856" s="5" t="s">
        <v>3281</v>
      </c>
      <c r="D1856" s="2">
        <f>DATE(2020,6,24)+TIME(21,55,15)</f>
        <v>44006.913368055553</v>
      </c>
    </row>
    <row r="1857" spans="1:4" ht="17">
      <c r="A1857" s="4" t="s">
        <v>2562</v>
      </c>
      <c r="B1857" s="4" t="s">
        <v>4224</v>
      </c>
      <c r="C1857" s="4" t="s">
        <v>4225</v>
      </c>
      <c r="D1857" s="1">
        <f>DATE(2020,6,26)+TIME(9,25,0)</f>
        <v>44008.392361111109</v>
      </c>
    </row>
    <row r="1858" spans="1:4" ht="17">
      <c r="A1858" s="4" t="s">
        <v>2562</v>
      </c>
      <c r="B1858" s="4" t="s">
        <v>9499</v>
      </c>
      <c r="C1858" s="4" t="s">
        <v>9500</v>
      </c>
      <c r="D1858" s="1">
        <f>DATE(2020,6,29)+TIME(9,44,25)</f>
        <v>44011.405844907407</v>
      </c>
    </row>
    <row r="1859" spans="1:4" ht="17">
      <c r="A1859" s="4" t="s">
        <v>1745</v>
      </c>
      <c r="B1859" s="4" t="s">
        <v>8537</v>
      </c>
      <c r="C1859" s="4" t="s">
        <v>8538</v>
      </c>
      <c r="D1859" s="1">
        <f>DATE(2020,5,14)+TIME(6,23,5)</f>
        <v>43965.266030092593</v>
      </c>
    </row>
    <row r="1860" spans="1:4" ht="17">
      <c r="A1860" s="5" t="s">
        <v>1745</v>
      </c>
      <c r="B1860" s="5" t="s">
        <v>1746</v>
      </c>
      <c r="C1860" s="5" t="s">
        <v>1747</v>
      </c>
      <c r="D1860" s="2">
        <f>DATE(2020,6,23)+TIME(12,26,51)</f>
        <v>44005.518645833334</v>
      </c>
    </row>
    <row r="1861" spans="1:4" ht="17">
      <c r="A1861" s="5" t="s">
        <v>2222</v>
      </c>
      <c r="B1861" s="5" t="s">
        <v>6243</v>
      </c>
      <c r="C1861" s="5" t="s">
        <v>6244</v>
      </c>
      <c r="D1861" s="2">
        <f>DATE(2020,5,20)+TIME(20,16,18)</f>
        <v>43971.844652777778</v>
      </c>
    </row>
    <row r="1862" spans="1:4" ht="17">
      <c r="A1862" s="5" t="s">
        <v>2222</v>
      </c>
      <c r="B1862" s="5" t="s">
        <v>2223</v>
      </c>
      <c r="C1862" s="5" t="s">
        <v>2224</v>
      </c>
      <c r="D1862" s="2">
        <f>DATE(2020,6,24)+TIME(19,44,25)</f>
        <v>44006.822511574072</v>
      </c>
    </row>
    <row r="1863" spans="1:4" ht="17">
      <c r="A1863" s="4" t="s">
        <v>1898</v>
      </c>
      <c r="B1863" s="4" t="s">
        <v>1899</v>
      </c>
      <c r="C1863" s="4" t="s">
        <v>1900</v>
      </c>
      <c r="D1863" s="1">
        <f>DATE(2020,6,17)+TIME(13,5,5)</f>
        <v>43999.54519675926</v>
      </c>
    </row>
    <row r="1864" spans="1:4" ht="17">
      <c r="A1864" s="5" t="s">
        <v>4469</v>
      </c>
      <c r="B1864" s="5" t="s">
        <v>4470</v>
      </c>
      <c r="C1864" s="5" t="s">
        <v>4471</v>
      </c>
      <c r="D1864" s="2">
        <f>DATE(2020,5,28)+TIME(13,54,53)</f>
        <v>43979.579780092594</v>
      </c>
    </row>
    <row r="1865" spans="1:4" ht="17">
      <c r="A1865" s="5" t="s">
        <v>6915</v>
      </c>
      <c r="B1865" s="5" t="s">
        <v>6916</v>
      </c>
      <c r="C1865" s="5" t="s">
        <v>6917</v>
      </c>
      <c r="D1865" s="2">
        <f>DATE(2020,6,26)+TIME(2,15,17)</f>
        <v>44008.093946759262</v>
      </c>
    </row>
    <row r="1866" spans="1:4" ht="17">
      <c r="A1866" s="4" t="s">
        <v>1401</v>
      </c>
      <c r="B1866" s="4" t="s">
        <v>1402</v>
      </c>
      <c r="C1866" s="4" t="s">
        <v>1403</v>
      </c>
      <c r="D1866" s="1">
        <f>DATE(2020,5,5)+TIME(17,39,4)</f>
        <v>43956.735462962963</v>
      </c>
    </row>
    <row r="1867" spans="1:4" ht="17">
      <c r="A1867" s="5" t="s">
        <v>327</v>
      </c>
      <c r="B1867" s="5" t="s">
        <v>328</v>
      </c>
      <c r="C1867" s="5" t="s">
        <v>329</v>
      </c>
      <c r="D1867" s="2">
        <f>DATE(2020,6,29)+TIME(5,18,11)</f>
        <v>44011.220960648148</v>
      </c>
    </row>
    <row r="1868" spans="1:4" ht="17">
      <c r="A1868" s="5" t="s">
        <v>9103</v>
      </c>
      <c r="B1868" s="5" t="s">
        <v>9104</v>
      </c>
      <c r="C1868" s="5" t="s">
        <v>9105</v>
      </c>
      <c r="D1868" s="2">
        <f>DATE(2020,6,23)+TIME(19,19,42)</f>
        <v>44005.805347222224</v>
      </c>
    </row>
    <row r="1869" spans="1:4" ht="17">
      <c r="A1869" s="5" t="s">
        <v>2148</v>
      </c>
      <c r="B1869" s="5" t="s">
        <v>7482</v>
      </c>
      <c r="C1869" s="5" t="s">
        <v>7483</v>
      </c>
      <c r="D1869" s="2">
        <f>DATE(2020,5,8)+TIME(14,13,41)</f>
        <v>43959.592835648145</v>
      </c>
    </row>
    <row r="1870" spans="1:4" ht="17">
      <c r="A1870" s="4" t="s">
        <v>2148</v>
      </c>
      <c r="B1870" s="4" t="s">
        <v>3846</v>
      </c>
      <c r="C1870" s="4" t="s">
        <v>3847</v>
      </c>
      <c r="D1870" s="1">
        <f>DATE(2020,5,28)+TIME(14,3,40)</f>
        <v>43979.585879629631</v>
      </c>
    </row>
    <row r="1871" spans="1:4" ht="17">
      <c r="A1871" s="4" t="s">
        <v>2148</v>
      </c>
      <c r="B1871" s="4" t="s">
        <v>4822</v>
      </c>
      <c r="C1871" s="4" t="s">
        <v>4823</v>
      </c>
      <c r="D1871" s="1">
        <f>DATE(2020,6,4)+TIME(23,30,8)</f>
        <v>43986.979259259257</v>
      </c>
    </row>
    <row r="1872" spans="1:4" ht="17">
      <c r="A1872" s="5" t="s">
        <v>2148</v>
      </c>
      <c r="B1872" s="5" t="s">
        <v>8297</v>
      </c>
      <c r="C1872" s="5" t="s">
        <v>8298</v>
      </c>
      <c r="D1872" s="2">
        <f>DATE(2020,6,19)+TIME(13,58,11)</f>
        <v>44001.582071759258</v>
      </c>
    </row>
    <row r="1873" spans="1:4" ht="17">
      <c r="A1873" s="4" t="s">
        <v>2148</v>
      </c>
      <c r="B1873" s="4" t="s">
        <v>2149</v>
      </c>
      <c r="C1873" s="4" t="s">
        <v>2150</v>
      </c>
      <c r="D1873" s="1">
        <f>DATE(2020,6,25)+TIME(19,36,56)</f>
        <v>44007.817314814813</v>
      </c>
    </row>
    <row r="1874" spans="1:4" ht="17">
      <c r="A1874" s="5" t="s">
        <v>2148</v>
      </c>
      <c r="B1874" s="5" t="s">
        <v>3891</v>
      </c>
      <c r="C1874" s="5" t="s">
        <v>3892</v>
      </c>
      <c r="D1874" s="2">
        <f>DATE(2020,6,29)+TIME(0,43,5)</f>
        <v>44011.029918981483</v>
      </c>
    </row>
    <row r="1875" spans="1:4" ht="17">
      <c r="A1875" s="5" t="s">
        <v>5805</v>
      </c>
      <c r="B1875" s="5" t="s">
        <v>5806</v>
      </c>
      <c r="C1875" s="5" t="s">
        <v>5807</v>
      </c>
      <c r="D1875" s="2">
        <f>DATE(2020,6,23)+TIME(7,16,27)</f>
        <v>44005.303090277775</v>
      </c>
    </row>
    <row r="1876" spans="1:4" ht="17">
      <c r="A1876" s="5" t="s">
        <v>861</v>
      </c>
      <c r="B1876" s="5" t="s">
        <v>862</v>
      </c>
      <c r="C1876" s="5" t="s">
        <v>863</v>
      </c>
      <c r="D1876" s="2">
        <f>DATE(2020,6,4)+TIME(21,18,54)</f>
        <v>43986.888124999998</v>
      </c>
    </row>
    <row r="1877" spans="1:4" ht="17">
      <c r="A1877" s="4" t="s">
        <v>1083</v>
      </c>
      <c r="B1877" s="4" t="s">
        <v>1084</v>
      </c>
      <c r="C1877" s="4" t="s">
        <v>1085</v>
      </c>
      <c r="D1877" s="1">
        <f>DATE(2020,6,16)+TIME(19,48,26)</f>
        <v>43998.825300925928</v>
      </c>
    </row>
    <row r="1878" spans="1:4" ht="17">
      <c r="A1878" s="5" t="s">
        <v>207</v>
      </c>
      <c r="B1878" s="5" t="s">
        <v>208</v>
      </c>
      <c r="C1878" s="5" t="s">
        <v>209</v>
      </c>
      <c r="D1878" s="2">
        <f>DATE(2020,5,29)+TIME(13,47,12)</f>
        <v>43980.574444444443</v>
      </c>
    </row>
    <row r="1879" spans="1:4" ht="17">
      <c r="A1879" s="5" t="s">
        <v>2412</v>
      </c>
      <c r="B1879" s="5" t="s">
        <v>2413</v>
      </c>
      <c r="C1879" s="5" t="s">
        <v>2414</v>
      </c>
      <c r="D1879" s="2">
        <f>DATE(2020,6,15)+TIME(21,50,35)</f>
        <v>43997.910127314812</v>
      </c>
    </row>
    <row r="1880" spans="1:4" ht="17">
      <c r="A1880" s="4" t="s">
        <v>8542</v>
      </c>
      <c r="B1880" s="4" t="s">
        <v>8543</v>
      </c>
      <c r="C1880" s="4" t="s">
        <v>8544</v>
      </c>
      <c r="D1880" s="1">
        <f>DATE(2020,6,19)+TIME(0,57,58)</f>
        <v>44001.040254629632</v>
      </c>
    </row>
    <row r="1881" spans="1:4" ht="17">
      <c r="A1881" s="4" t="s">
        <v>2412</v>
      </c>
      <c r="B1881" s="4" t="s">
        <v>8493</v>
      </c>
      <c r="C1881" s="4" t="s">
        <v>8494</v>
      </c>
      <c r="D1881" s="1">
        <f>DATE(2020,6,25)+TIME(11,57,49)</f>
        <v>44007.498483796298</v>
      </c>
    </row>
    <row r="1882" spans="1:4" ht="17">
      <c r="A1882" s="5" t="s">
        <v>7695</v>
      </c>
      <c r="B1882" s="5" t="s">
        <v>7696</v>
      </c>
      <c r="C1882" s="5" t="s">
        <v>7697</v>
      </c>
      <c r="D1882" s="2">
        <f>DATE(2020,5,14)+TIME(3,48,53)</f>
        <v>43965.158946759257</v>
      </c>
    </row>
    <row r="1883" spans="1:4" ht="17">
      <c r="A1883" s="5" t="s">
        <v>5891</v>
      </c>
      <c r="B1883" s="5" t="s">
        <v>5892</v>
      </c>
      <c r="C1883" s="5" t="s">
        <v>5893</v>
      </c>
      <c r="D1883" s="2">
        <f>DATE(2020,6,25)+TIME(21,39,56)</f>
        <v>44007.902731481481</v>
      </c>
    </row>
    <row r="1884" spans="1:4" ht="17">
      <c r="A1884" s="4" t="s">
        <v>6131</v>
      </c>
      <c r="B1884" s="4" t="s">
        <v>6132</v>
      </c>
      <c r="C1884" s="4" t="s">
        <v>6133</v>
      </c>
      <c r="D1884" s="1">
        <f>DATE(2020,5,9)+TIME(16,55,14)</f>
        <v>43960.705023148148</v>
      </c>
    </row>
    <row r="1885" spans="1:4" ht="17">
      <c r="A1885" s="5" t="s">
        <v>6131</v>
      </c>
      <c r="B1885" s="5" t="s">
        <v>8965</v>
      </c>
      <c r="C1885" s="5" t="s">
        <v>9531</v>
      </c>
      <c r="D1885" s="2">
        <f>DATE(2020,6,28)+TIME(17,31,47)</f>
        <v>44010.730405092596</v>
      </c>
    </row>
    <row r="1886" spans="1:4" ht="17">
      <c r="A1886" s="5" t="s">
        <v>669</v>
      </c>
      <c r="B1886" s="5" t="s">
        <v>6013</v>
      </c>
      <c r="C1886" s="5" t="s">
        <v>6014</v>
      </c>
      <c r="D1886" s="2">
        <f>DATE(2020,3,27)+TIME(15,18,51)</f>
        <v>43917.638090277775</v>
      </c>
    </row>
    <row r="1887" spans="1:4" ht="17">
      <c r="A1887" s="5" t="s">
        <v>669</v>
      </c>
      <c r="B1887" s="5" t="s">
        <v>57</v>
      </c>
      <c r="C1887" s="5" t="s">
        <v>670</v>
      </c>
      <c r="D1887" s="2">
        <f>DATE(2020,5,8)+TIME(2,59,6)</f>
        <v>43959.124374999999</v>
      </c>
    </row>
    <row r="1888" spans="1:4" ht="17">
      <c r="A1888" s="5" t="s">
        <v>669</v>
      </c>
      <c r="B1888" s="5" t="s">
        <v>9412</v>
      </c>
      <c r="C1888" s="5" t="s">
        <v>9413</v>
      </c>
      <c r="D1888" s="2">
        <f>DATE(2020,5,13)+TIME(3,54,27)</f>
        <v>43964.162812499999</v>
      </c>
    </row>
    <row r="1889" spans="1:4" ht="17">
      <c r="A1889" s="4" t="s">
        <v>669</v>
      </c>
      <c r="B1889" s="4" t="s">
        <v>4399</v>
      </c>
      <c r="C1889" s="4" t="s">
        <v>4400</v>
      </c>
      <c r="D1889" s="1">
        <f>DATE(2020,6,28)+TIME(17,15,33)</f>
        <v>44010.719131944446</v>
      </c>
    </row>
    <row r="1890" spans="1:4" ht="17">
      <c r="A1890" s="5" t="s">
        <v>1918</v>
      </c>
      <c r="B1890" s="5" t="s">
        <v>1919</v>
      </c>
      <c r="C1890" s="5" t="s">
        <v>1920</v>
      </c>
      <c r="D1890" s="2">
        <f>DATE(2020,3,27)+TIME(14,35,25)</f>
        <v>43917.607928240737</v>
      </c>
    </row>
    <row r="1891" spans="1:4" ht="17">
      <c r="A1891" s="5" t="s">
        <v>1912</v>
      </c>
      <c r="B1891" s="5" t="s">
        <v>1913</v>
      </c>
      <c r="C1891" s="5" t="s">
        <v>1914</v>
      </c>
      <c r="D1891" s="2">
        <f>DATE(2020,6,23)+TIME(14,6,32)</f>
        <v>44005.587870370371</v>
      </c>
    </row>
    <row r="1892" spans="1:4" ht="17">
      <c r="A1892" s="5" t="s">
        <v>1912</v>
      </c>
      <c r="B1892" s="5" t="s">
        <v>2697</v>
      </c>
      <c r="C1892" s="5" t="s">
        <v>2698</v>
      </c>
      <c r="D1892" s="2">
        <f>DATE(2020,6,25)+TIME(21,14,57)</f>
        <v>44007.885381944441</v>
      </c>
    </row>
    <row r="1893" spans="1:4" ht="17">
      <c r="A1893" s="5" t="s">
        <v>7638</v>
      </c>
      <c r="B1893" s="5" t="s">
        <v>7639</v>
      </c>
      <c r="C1893" s="5" t="s">
        <v>7640</v>
      </c>
      <c r="D1893" s="2">
        <f>DATE(2020,6,15)+TIME(3,43,28)</f>
        <v>43997.155185185184</v>
      </c>
    </row>
    <row r="1894" spans="1:4" ht="17">
      <c r="A1894" s="5" t="s">
        <v>8684</v>
      </c>
      <c r="B1894" s="5" t="s">
        <v>8685</v>
      </c>
      <c r="C1894" s="5" t="s">
        <v>8686</v>
      </c>
      <c r="D1894" s="2">
        <f>DATE(2020,5,5)+TIME(18,8,46)</f>
        <v>43956.75608796296</v>
      </c>
    </row>
    <row r="1895" spans="1:4" ht="17">
      <c r="A1895" s="5" t="s">
        <v>6039</v>
      </c>
      <c r="B1895" s="5" t="s">
        <v>5025</v>
      </c>
      <c r="C1895" s="5" t="s">
        <v>6040</v>
      </c>
      <c r="D1895" s="2">
        <f>DATE(2020,5,8)+TIME(19,24,0)</f>
        <v>43959.808333333334</v>
      </c>
    </row>
    <row r="1896" spans="1:4" ht="17">
      <c r="A1896" s="4" t="s">
        <v>3853</v>
      </c>
      <c r="B1896" s="4" t="s">
        <v>3854</v>
      </c>
      <c r="C1896" s="4" t="s">
        <v>3855</v>
      </c>
      <c r="D1896" s="1">
        <f>DATE(2020,6,13)+TIME(20,13,10)</f>
        <v>43995.842476851853</v>
      </c>
    </row>
    <row r="1897" spans="1:4" ht="17">
      <c r="A1897" s="5" t="s">
        <v>6167</v>
      </c>
      <c r="B1897" s="5" t="s">
        <v>6168</v>
      </c>
      <c r="C1897" s="5" t="s">
        <v>6169</v>
      </c>
      <c r="D1897" s="2">
        <f>DATE(2020,3,31)+TIME(21,44,27)</f>
        <v>43921.905868055554</v>
      </c>
    </row>
    <row r="1898" spans="1:4" ht="17">
      <c r="A1898" s="5" t="s">
        <v>2193</v>
      </c>
      <c r="B1898" s="5" t="s">
        <v>2194</v>
      </c>
      <c r="C1898" s="5" t="s">
        <v>2195</v>
      </c>
      <c r="D1898" s="2">
        <f>DATE(2020,6,11)+TIME(13,12,18)</f>
        <v>43993.550208333334</v>
      </c>
    </row>
    <row r="1899" spans="1:4" ht="17">
      <c r="A1899" s="4" t="s">
        <v>5688</v>
      </c>
      <c r="B1899" s="4" t="s">
        <v>8785</v>
      </c>
      <c r="C1899" s="4" t="s">
        <v>8786</v>
      </c>
      <c r="D1899" s="1">
        <f>DATE(2020,5,27)+TIME(5,44,42)</f>
        <v>43978.239374999997</v>
      </c>
    </row>
    <row r="1900" spans="1:4" ht="17">
      <c r="A1900" s="5" t="s">
        <v>5688</v>
      </c>
      <c r="B1900" s="5" t="s">
        <v>5689</v>
      </c>
      <c r="C1900" s="5" t="s">
        <v>5690</v>
      </c>
      <c r="D1900" s="2">
        <f>DATE(2020,6,5)+TIME(12,43,9)</f>
        <v>43987.529965277776</v>
      </c>
    </row>
    <row r="1901" spans="1:4" ht="17">
      <c r="A1901" s="4" t="s">
        <v>5688</v>
      </c>
      <c r="B1901" s="4" t="s">
        <v>6663</v>
      </c>
      <c r="C1901" s="4" t="s">
        <v>6664</v>
      </c>
      <c r="D1901" s="1">
        <f>DATE(2020,6,18)+TIME(5,27,25)</f>
        <v>44000.227372685185</v>
      </c>
    </row>
    <row r="1902" spans="1:4" ht="17">
      <c r="A1902" s="5" t="s">
        <v>1212</v>
      </c>
      <c r="B1902" s="5" t="s">
        <v>2667</v>
      </c>
      <c r="C1902" s="5" t="s">
        <v>2668</v>
      </c>
      <c r="D1902" s="2">
        <f>DATE(2020,4,8)+TIME(14,12,37)</f>
        <v>43929.592094907406</v>
      </c>
    </row>
    <row r="1903" spans="1:4" ht="17">
      <c r="A1903" s="4" t="s">
        <v>1212</v>
      </c>
      <c r="B1903" s="4" t="s">
        <v>879</v>
      </c>
      <c r="C1903" s="4" t="s">
        <v>4562</v>
      </c>
      <c r="D1903" s="1">
        <f>DATE(2020,5,5)+TIME(15,40,56)</f>
        <v>43956.653425925928</v>
      </c>
    </row>
    <row r="1904" spans="1:4" ht="17">
      <c r="A1904" s="4" t="s">
        <v>1212</v>
      </c>
      <c r="B1904" s="4" t="s">
        <v>3152</v>
      </c>
      <c r="C1904" s="4" t="s">
        <v>3153</v>
      </c>
      <c r="D1904" s="1">
        <f>DATE(2020,5,13)+TIME(13,21,47)</f>
        <v>43964.556793981479</v>
      </c>
    </row>
    <row r="1905" spans="1:4" ht="17">
      <c r="A1905" s="4" t="s">
        <v>1212</v>
      </c>
      <c r="B1905" s="4" t="s">
        <v>1391</v>
      </c>
      <c r="C1905" s="4" t="s">
        <v>7565</v>
      </c>
      <c r="D1905" s="1">
        <f>DATE(2020,5,20)+TIME(15,31,14)</f>
        <v>43971.646689814814</v>
      </c>
    </row>
    <row r="1906" spans="1:4" ht="17">
      <c r="A1906" s="4" t="s">
        <v>1212</v>
      </c>
      <c r="B1906" s="4" t="s">
        <v>6299</v>
      </c>
      <c r="C1906" s="4" t="s">
        <v>6300</v>
      </c>
      <c r="D1906" s="1">
        <f>DATE(2020,5,21)+TIME(16,27,33)</f>
        <v>43972.685798611114</v>
      </c>
    </row>
    <row r="1907" spans="1:4" ht="17">
      <c r="A1907" s="4" t="s">
        <v>1212</v>
      </c>
      <c r="B1907" s="4" t="s">
        <v>1213</v>
      </c>
      <c r="C1907" s="4" t="s">
        <v>1214</v>
      </c>
      <c r="D1907" s="1">
        <f>DATE(2020,6,4)+TIME(9,54,42)</f>
        <v>43986.412986111114</v>
      </c>
    </row>
    <row r="1908" spans="1:4" ht="17">
      <c r="A1908" s="4" t="s">
        <v>1212</v>
      </c>
      <c r="B1908" s="4" t="s">
        <v>5062</v>
      </c>
      <c r="C1908" s="4" t="s">
        <v>5063</v>
      </c>
      <c r="D1908" s="1">
        <f>DATE(2020,6,12)+TIME(11,41,21)</f>
        <v>43994.48704861111</v>
      </c>
    </row>
    <row r="1909" spans="1:4" ht="17">
      <c r="A1909" s="4" t="s">
        <v>1212</v>
      </c>
      <c r="B1909" s="4" t="s">
        <v>1369</v>
      </c>
      <c r="C1909" s="4" t="s">
        <v>1370</v>
      </c>
      <c r="D1909" s="1">
        <f>DATE(2020,6,15)+TIME(22,54,17)</f>
        <v>43997.954363425924</v>
      </c>
    </row>
    <row r="1910" spans="1:4" ht="17">
      <c r="A1910" s="4" t="s">
        <v>1212</v>
      </c>
      <c r="B1910" s="4" t="s">
        <v>2991</v>
      </c>
      <c r="C1910" s="4" t="s">
        <v>2992</v>
      </c>
      <c r="D1910" s="1">
        <f>DATE(2020,6,16)+TIME(17,52,35)</f>
        <v>43998.744849537034</v>
      </c>
    </row>
    <row r="1911" spans="1:4" ht="17">
      <c r="A1911" s="5" t="s">
        <v>1212</v>
      </c>
      <c r="B1911" s="5" t="s">
        <v>3286</v>
      </c>
      <c r="C1911" s="5" t="s">
        <v>3287</v>
      </c>
      <c r="D1911" s="2">
        <f>DATE(2020,6,17)+TIME(13,8,38)</f>
        <v>43999.547662037039</v>
      </c>
    </row>
    <row r="1912" spans="1:4" ht="17">
      <c r="A1912" s="4" t="s">
        <v>1212</v>
      </c>
      <c r="B1912" s="4" t="s">
        <v>2437</v>
      </c>
      <c r="C1912" s="4" t="s">
        <v>2438</v>
      </c>
      <c r="D1912" s="1">
        <f>DATE(2020,6,23)+TIME(11,19,33)</f>
        <v>44005.471909722219</v>
      </c>
    </row>
    <row r="1913" spans="1:4" ht="17">
      <c r="A1913" s="4" t="s">
        <v>1212</v>
      </c>
      <c r="B1913" s="4" t="s">
        <v>3821</v>
      </c>
      <c r="C1913" s="4" t="s">
        <v>4998</v>
      </c>
      <c r="D1913" s="1">
        <f>DATE(2020,6,23)+TIME(12,1,2)</f>
        <v>44005.500717592593</v>
      </c>
    </row>
    <row r="1914" spans="1:4" ht="17">
      <c r="A1914" s="5" t="s">
        <v>1212</v>
      </c>
      <c r="B1914" s="5" t="s">
        <v>6695</v>
      </c>
      <c r="C1914" s="5" t="s">
        <v>6696</v>
      </c>
      <c r="D1914" s="2">
        <f>DATE(2020,6,24)+TIME(14,1,39)</f>
        <v>44006.584479166668</v>
      </c>
    </row>
    <row r="1915" spans="1:4" ht="17">
      <c r="A1915" s="4" t="s">
        <v>1212</v>
      </c>
      <c r="B1915" s="4" t="s">
        <v>2472</v>
      </c>
      <c r="C1915" s="4" t="s">
        <v>3620</v>
      </c>
      <c r="D1915" s="1">
        <f>DATE(2020,6,27)+TIME(17,9,24)</f>
        <v>44009.714861111112</v>
      </c>
    </row>
    <row r="1916" spans="1:4" ht="17">
      <c r="A1916" s="4" t="s">
        <v>9420</v>
      </c>
      <c r="B1916" s="4" t="s">
        <v>9421</v>
      </c>
      <c r="C1916" s="4" t="s">
        <v>9422</v>
      </c>
      <c r="D1916" s="1">
        <f>DATE(2020,5,8)+TIME(18,43,34)</f>
        <v>43959.78025462963</v>
      </c>
    </row>
    <row r="1917" spans="1:4" ht="17">
      <c r="A1917" s="4" t="s">
        <v>1822</v>
      </c>
      <c r="B1917" s="4" t="s">
        <v>1823</v>
      </c>
      <c r="C1917" s="4" t="s">
        <v>1824</v>
      </c>
      <c r="D1917" s="1">
        <f>DATE(2020,6,27)+TIME(18,2,37)</f>
        <v>44009.751817129632</v>
      </c>
    </row>
    <row r="1918" spans="1:4" ht="17">
      <c r="A1918" s="5" t="s">
        <v>8264</v>
      </c>
      <c r="B1918" s="5" t="s">
        <v>1095</v>
      </c>
      <c r="C1918" s="5" t="s">
        <v>8265</v>
      </c>
      <c r="D1918" s="2">
        <f>DATE(2020,6,24)+TIME(13,0,56)</f>
        <v>44006.542314814818</v>
      </c>
    </row>
    <row r="1919" spans="1:4" ht="17">
      <c r="A1919" s="5" t="s">
        <v>6585</v>
      </c>
      <c r="B1919" s="5" t="s">
        <v>6586</v>
      </c>
      <c r="C1919" s="5" t="s">
        <v>6587</v>
      </c>
      <c r="D1919" s="2">
        <f>DATE(2020,5,21)+TIME(15,45,4)</f>
        <v>43972.6562962963</v>
      </c>
    </row>
    <row r="1920" spans="1:4" ht="17">
      <c r="A1920" s="5" t="s">
        <v>9434</v>
      </c>
      <c r="B1920" s="5" t="s">
        <v>9435</v>
      </c>
      <c r="C1920" s="5" t="s">
        <v>9436</v>
      </c>
      <c r="D1920" s="2">
        <f>DATE(2020,6,18)+TIME(23,19,39)</f>
        <v>44000.971979166665</v>
      </c>
    </row>
    <row r="1921" spans="1:4" ht="17">
      <c r="A1921" s="4" t="s">
        <v>9223</v>
      </c>
      <c r="B1921" s="4" t="s">
        <v>8893</v>
      </c>
      <c r="C1921" s="4" t="s">
        <v>9224</v>
      </c>
      <c r="D1921" s="1">
        <f>DATE(2020,6,19)+TIME(9,16,33)</f>
        <v>44001.386493055557</v>
      </c>
    </row>
    <row r="1922" spans="1:4" ht="17">
      <c r="A1922" s="5" t="s">
        <v>7491</v>
      </c>
      <c r="B1922" s="5" t="s">
        <v>7492</v>
      </c>
      <c r="C1922" s="5" t="s">
        <v>7493</v>
      </c>
      <c r="D1922" s="2">
        <f>DATE(2020,6,15)+TIME(2,26,39)</f>
        <v>43997.101840277777</v>
      </c>
    </row>
    <row r="1923" spans="1:4" ht="17">
      <c r="A1923" s="4" t="s">
        <v>8565</v>
      </c>
      <c r="B1923" s="4" t="s">
        <v>4600</v>
      </c>
      <c r="C1923" s="4" t="s">
        <v>8566</v>
      </c>
      <c r="D1923" s="1">
        <f>DATE(2020,5,13)+TIME(3,54,29)</f>
        <v>43964.162835648145</v>
      </c>
    </row>
    <row r="1924" spans="1:4" ht="17">
      <c r="A1924" s="5" t="s">
        <v>2282</v>
      </c>
      <c r="B1924" s="5" t="s">
        <v>2283</v>
      </c>
      <c r="C1924" s="5" t="s">
        <v>2284</v>
      </c>
      <c r="D1924" s="2">
        <f>DATE(2020,6,29)+TIME(10,32,33)</f>
        <v>44011.439270833333</v>
      </c>
    </row>
    <row r="1925" spans="1:4" ht="17">
      <c r="A1925" s="5" t="s">
        <v>230</v>
      </c>
      <c r="B1925" s="5" t="s">
        <v>231</v>
      </c>
      <c r="C1925" s="5" t="s">
        <v>232</v>
      </c>
      <c r="D1925" s="2">
        <f>DATE(2020,6,22)+TIME(16,15,44)</f>
        <v>44004.67759259259</v>
      </c>
    </row>
    <row r="1926" spans="1:4" ht="17">
      <c r="A1926" s="4" t="s">
        <v>4546</v>
      </c>
      <c r="B1926" s="4" t="s">
        <v>4547</v>
      </c>
      <c r="C1926" s="4" t="s">
        <v>4548</v>
      </c>
      <c r="D1926" s="1">
        <f>DATE(2020,5,5)+TIME(17,54,47)</f>
        <v>43956.746377314812</v>
      </c>
    </row>
    <row r="1927" spans="1:4" ht="17">
      <c r="A1927" s="5" t="s">
        <v>9307</v>
      </c>
      <c r="B1927" s="5" t="s">
        <v>9308</v>
      </c>
      <c r="C1927" s="5" t="s">
        <v>9309</v>
      </c>
      <c r="D1927" s="2">
        <f>DATE(2020,6,24)+TIME(9,16,41)</f>
        <v>44006.38658564815</v>
      </c>
    </row>
    <row r="1928" spans="1:4" ht="17">
      <c r="A1928" s="4" t="s">
        <v>4939</v>
      </c>
      <c r="B1928" s="4" t="s">
        <v>4785</v>
      </c>
      <c r="C1928" s="4" t="s">
        <v>4940</v>
      </c>
      <c r="D1928" s="1">
        <f>DATE(2020,5,30)+TIME(13,55,32)</f>
        <v>43981.580231481479</v>
      </c>
    </row>
    <row r="1929" spans="1:4" ht="17">
      <c r="A1929" s="5" t="s">
        <v>7615</v>
      </c>
      <c r="B1929" s="5" t="s">
        <v>7616</v>
      </c>
      <c r="C1929" s="5" t="s">
        <v>7617</v>
      </c>
      <c r="D1929" s="2">
        <f>DATE(2020,6,29)+TIME(10,46,7)</f>
        <v>44011.448692129627</v>
      </c>
    </row>
    <row r="1930" spans="1:4" ht="17">
      <c r="A1930" s="5" t="s">
        <v>8675</v>
      </c>
      <c r="B1930" s="5" t="s">
        <v>824</v>
      </c>
      <c r="C1930" s="5" t="s">
        <v>8676</v>
      </c>
      <c r="D1930" s="2">
        <f>DATE(2020,6,28)+TIME(22,29,28)</f>
        <v>44010.93712962963</v>
      </c>
    </row>
    <row r="1931" spans="1:4" ht="17">
      <c r="A1931" s="4" t="s">
        <v>3954</v>
      </c>
      <c r="B1931" s="4" t="s">
        <v>3955</v>
      </c>
      <c r="C1931" s="4" t="s">
        <v>3956</v>
      </c>
      <c r="D1931" s="1">
        <f>DATE(2020,6,9)+TIME(17,22,34)</f>
        <v>43991.724004629628</v>
      </c>
    </row>
    <row r="1932" spans="1:4" ht="17">
      <c r="A1932" s="5" t="s">
        <v>1069</v>
      </c>
      <c r="B1932" s="5" t="s">
        <v>2517</v>
      </c>
      <c r="C1932" s="5" t="s">
        <v>2518</v>
      </c>
      <c r="D1932" s="2">
        <f>DATE(2020,1,30)+TIME(12,22,54)</f>
        <v>43860.515902777777</v>
      </c>
    </row>
    <row r="1933" spans="1:4" ht="17">
      <c r="A1933" s="5" t="s">
        <v>1069</v>
      </c>
      <c r="B1933" s="5" t="s">
        <v>6445</v>
      </c>
      <c r="C1933" s="5" t="s">
        <v>6446</v>
      </c>
      <c r="D1933" s="2">
        <f>DATE(2020,5,8)+TIME(10,14,50)</f>
        <v>43959.42696759259</v>
      </c>
    </row>
    <row r="1934" spans="1:4" ht="17">
      <c r="A1934" s="5" t="s">
        <v>1069</v>
      </c>
      <c r="B1934" s="5" t="s">
        <v>1070</v>
      </c>
      <c r="C1934" s="5" t="s">
        <v>1071</v>
      </c>
      <c r="D1934" s="2">
        <f>DATE(2020,6,9)+TIME(13,43,32)</f>
        <v>43991.571898148148</v>
      </c>
    </row>
    <row r="1935" spans="1:4" ht="17">
      <c r="A1935" s="4" t="s">
        <v>817</v>
      </c>
      <c r="B1935" s="4" t="s">
        <v>818</v>
      </c>
      <c r="C1935" s="4" t="s">
        <v>819</v>
      </c>
      <c r="D1935" s="1">
        <f>DATE(2020,6,20)+TIME(0,40,41)</f>
        <v>44002.028252314813</v>
      </c>
    </row>
    <row r="1936" spans="1:4" ht="17">
      <c r="A1936" s="5" t="s">
        <v>1069</v>
      </c>
      <c r="B1936" s="5" t="s">
        <v>2397</v>
      </c>
      <c r="C1936" s="5" t="s">
        <v>2980</v>
      </c>
      <c r="D1936" s="2">
        <f>DATE(2020,6,26)+TIME(11,2,33)</f>
        <v>44008.460104166668</v>
      </c>
    </row>
    <row r="1937" spans="1:4" ht="17">
      <c r="A1937" s="4" t="s">
        <v>8876</v>
      </c>
      <c r="B1937" s="4" t="s">
        <v>8877</v>
      </c>
      <c r="C1937" s="4" t="s">
        <v>8878</v>
      </c>
      <c r="D1937" s="1">
        <f>DATE(2020,6,26)+TIME(17,34,52)</f>
        <v>44008.732546296298</v>
      </c>
    </row>
    <row r="1938" spans="1:4" ht="17">
      <c r="A1938" s="5" t="s">
        <v>3817</v>
      </c>
      <c r="B1938" s="5" t="s">
        <v>3818</v>
      </c>
      <c r="C1938" s="5" t="s">
        <v>3819</v>
      </c>
      <c r="D1938" s="2">
        <f>DATE(2020,3,30)+TIME(13,19,21)</f>
        <v>43920.555104166669</v>
      </c>
    </row>
    <row r="1939" spans="1:4" ht="17">
      <c r="A1939" s="5" t="s">
        <v>3817</v>
      </c>
      <c r="B1939" s="5" t="s">
        <v>3876</v>
      </c>
      <c r="C1939" s="5" t="s">
        <v>3877</v>
      </c>
      <c r="D1939" s="2">
        <f>DATE(2020,6,17)+TIME(10,19,40)</f>
        <v>43999.430324074077</v>
      </c>
    </row>
    <row r="1940" spans="1:4" ht="17">
      <c r="A1940" s="4" t="s">
        <v>6383</v>
      </c>
      <c r="B1940" s="4" t="s">
        <v>6384</v>
      </c>
      <c r="C1940" s="4" t="s">
        <v>6385</v>
      </c>
      <c r="D1940" s="1">
        <f>DATE(2020,6,26)+TIME(9,45,50)</f>
        <v>44008.406828703701</v>
      </c>
    </row>
    <row r="1941" spans="1:4" ht="17">
      <c r="A1941" s="4" t="s">
        <v>6818</v>
      </c>
      <c r="B1941" s="4" t="s">
        <v>6819</v>
      </c>
      <c r="C1941" s="4" t="s">
        <v>6820</v>
      </c>
      <c r="D1941" s="1">
        <f>DATE(2020,5,8)+TIME(19,24,0)</f>
        <v>43959.808333333334</v>
      </c>
    </row>
    <row r="1942" spans="1:4" ht="17">
      <c r="A1942" s="4" t="s">
        <v>1684</v>
      </c>
      <c r="B1942" s="4" t="s">
        <v>1685</v>
      </c>
      <c r="C1942" s="4" t="s">
        <v>1686</v>
      </c>
      <c r="D1942" s="1">
        <f>DATE(2020,6,27)+TIME(9,35,4)</f>
        <v>44009.399351851855</v>
      </c>
    </row>
    <row r="1943" spans="1:4" ht="17">
      <c r="A1943" s="5" t="s">
        <v>5185</v>
      </c>
      <c r="B1943" s="5" t="s">
        <v>5186</v>
      </c>
      <c r="C1943" s="5" t="s">
        <v>5187</v>
      </c>
      <c r="D1943" s="2">
        <f>DATE(2020,6,25)+TIME(14,25,54)</f>
        <v>44007.601319444446</v>
      </c>
    </row>
    <row r="1944" spans="1:4" ht="17">
      <c r="A1944" s="5" t="s">
        <v>6464</v>
      </c>
      <c r="B1944" s="5" t="s">
        <v>6465</v>
      </c>
      <c r="C1944" s="5" t="s">
        <v>6466</v>
      </c>
      <c r="D1944" s="2">
        <f>DATE(2020,6,25)+TIME(2,1,8)</f>
        <v>44007.084120370368</v>
      </c>
    </row>
    <row r="1945" spans="1:4" ht="17">
      <c r="A1945" s="5" t="s">
        <v>5360</v>
      </c>
      <c r="B1945" s="5" t="s">
        <v>5361</v>
      </c>
      <c r="C1945" s="5" t="s">
        <v>5362</v>
      </c>
      <c r="D1945" s="2">
        <f>DATE(2020,5,12)+TIME(20,50,28)</f>
        <v>43963.868379629632</v>
      </c>
    </row>
    <row r="1946" spans="1:4" ht="17">
      <c r="A1946" s="4" t="s">
        <v>2946</v>
      </c>
      <c r="B1946" s="4" t="s">
        <v>2947</v>
      </c>
      <c r="C1946" s="4" t="s">
        <v>2948</v>
      </c>
      <c r="D1946" s="1">
        <f>DATE(2020,6,10)+TIME(10,59,57)</f>
        <v>43992.458298611113</v>
      </c>
    </row>
    <row r="1947" spans="1:4" ht="17">
      <c r="A1947" s="4" t="s">
        <v>5360</v>
      </c>
      <c r="B1947" s="4" t="s">
        <v>3048</v>
      </c>
      <c r="C1947" s="4" t="s">
        <v>7395</v>
      </c>
      <c r="D1947" s="1">
        <f>DATE(2020,6,22)+TIME(15,9,49)</f>
        <v>44004.63181712963</v>
      </c>
    </row>
    <row r="1948" spans="1:4" ht="17">
      <c r="A1948" s="4" t="s">
        <v>6200</v>
      </c>
      <c r="B1948" s="4" t="s">
        <v>6201</v>
      </c>
      <c r="C1948" s="4" t="s">
        <v>6202</v>
      </c>
      <c r="D1948" s="1">
        <f>DATE(2020,3,5)+TIME(23,54,32)</f>
        <v>43895.996203703704</v>
      </c>
    </row>
    <row r="1949" spans="1:4" ht="17">
      <c r="A1949" s="5" t="s">
        <v>3384</v>
      </c>
      <c r="B1949" s="5" t="s">
        <v>3385</v>
      </c>
      <c r="C1949" s="5" t="s">
        <v>3386</v>
      </c>
      <c r="D1949" s="2">
        <f>DATE(2020,5,18)+TIME(9,25,42)</f>
        <v>43969.392847222225</v>
      </c>
    </row>
    <row r="1950" spans="1:4" ht="17">
      <c r="A1950" s="4" t="s">
        <v>9403</v>
      </c>
      <c r="B1950" s="4" t="s">
        <v>9404</v>
      </c>
      <c r="C1950" s="4" t="s">
        <v>9405</v>
      </c>
      <c r="D1950" s="1">
        <f>DATE(2020,5,7)+TIME(13,4,21)</f>
        <v>43958.544687499998</v>
      </c>
    </row>
    <row r="1951" spans="1:4" ht="17">
      <c r="A1951" s="4" t="s">
        <v>4778</v>
      </c>
      <c r="B1951" s="4" t="s">
        <v>4779</v>
      </c>
      <c r="C1951" s="4" t="s">
        <v>4780</v>
      </c>
      <c r="D1951" s="1">
        <f>DATE(2020,6,24)+TIME(9,18,2)</f>
        <v>44006.387523148151</v>
      </c>
    </row>
    <row r="1952" spans="1:4" ht="17">
      <c r="A1952" s="5" t="s">
        <v>7953</v>
      </c>
      <c r="B1952" s="5" t="s">
        <v>7954</v>
      </c>
      <c r="C1952" s="5" t="s">
        <v>7955</v>
      </c>
      <c r="D1952" s="2">
        <f>DATE(2020,6,17)+TIME(13,59,31)</f>
        <v>43999.582997685182</v>
      </c>
    </row>
    <row r="1953" spans="1:4" ht="17">
      <c r="A1953" s="4" t="s">
        <v>1540</v>
      </c>
      <c r="B1953" s="4" t="s">
        <v>2492</v>
      </c>
      <c r="C1953" s="4" t="s">
        <v>2493</v>
      </c>
      <c r="D1953" s="1">
        <f>DATE(2020,6,26)+TIME(10,15,30)</f>
        <v>44008.427430555559</v>
      </c>
    </row>
    <row r="1954" spans="1:4" ht="17">
      <c r="A1954" s="4" t="s">
        <v>1540</v>
      </c>
      <c r="B1954" s="4" t="s">
        <v>1541</v>
      </c>
      <c r="C1954" s="4" t="s">
        <v>1542</v>
      </c>
      <c r="D1954" s="1">
        <f>DATE(2020,6,26)+TIME(23,22,49)</f>
        <v>44008.974178240744</v>
      </c>
    </row>
    <row r="1955" spans="1:4" ht="17">
      <c r="A1955" s="4" t="s">
        <v>7219</v>
      </c>
      <c r="B1955" s="4" t="s">
        <v>7220</v>
      </c>
      <c r="C1955" s="4" t="s">
        <v>7221</v>
      </c>
      <c r="D1955" s="1">
        <f>DATE(2020,5,11)+TIME(12,1,28)</f>
        <v>43962.501018518517</v>
      </c>
    </row>
    <row r="1956" spans="1:4" ht="17">
      <c r="A1956" s="5" t="s">
        <v>6534</v>
      </c>
      <c r="B1956" s="5" t="s">
        <v>6535</v>
      </c>
      <c r="C1956" s="5" t="s">
        <v>6536</v>
      </c>
      <c r="D1956" s="2">
        <f>DATE(2020,6,26)+TIME(3,28,36)</f>
        <v>44008.144861111112</v>
      </c>
    </row>
    <row r="1957" spans="1:4" ht="17">
      <c r="A1957" s="4" t="s">
        <v>4502</v>
      </c>
      <c r="B1957" s="4" t="s">
        <v>2490</v>
      </c>
      <c r="C1957" s="4" t="s">
        <v>4503</v>
      </c>
      <c r="D1957" s="1">
        <f>DATE(2020,5,8)+TIME(12,44,11)</f>
        <v>43959.530682870369</v>
      </c>
    </row>
    <row r="1958" spans="1:4" ht="17">
      <c r="A1958" s="4" t="s">
        <v>4502</v>
      </c>
      <c r="B1958" s="4" t="s">
        <v>322</v>
      </c>
      <c r="C1958" s="4" t="s">
        <v>9318</v>
      </c>
      <c r="D1958" s="1">
        <f>DATE(2020,5,14)+TIME(16,13,49)</f>
        <v>43965.676261574074</v>
      </c>
    </row>
    <row r="1959" spans="1:4" ht="17">
      <c r="A1959" s="5" t="s">
        <v>3913</v>
      </c>
      <c r="B1959" s="5" t="s">
        <v>3914</v>
      </c>
      <c r="C1959" s="5" t="s">
        <v>3915</v>
      </c>
      <c r="D1959" s="2">
        <f>DATE(2020,5,21)+TIME(17,17,46)</f>
        <v>43972.720671296294</v>
      </c>
    </row>
    <row r="1960" spans="1:4" ht="17">
      <c r="A1960" s="5" t="s">
        <v>2611</v>
      </c>
      <c r="B1960" s="5" t="s">
        <v>359</v>
      </c>
      <c r="C1960" s="5" t="s">
        <v>2612</v>
      </c>
      <c r="D1960" s="2">
        <f>DATE(2020,5,14)+TIME(11,57,4)</f>
        <v>43965.49796296296</v>
      </c>
    </row>
    <row r="1961" spans="1:4" ht="17">
      <c r="A1961" s="4" t="s">
        <v>125</v>
      </c>
      <c r="B1961" s="4" t="s">
        <v>126</v>
      </c>
      <c r="C1961" s="4" t="s">
        <v>127</v>
      </c>
      <c r="D1961" s="1">
        <f>DATE(2020,3,27)+TIME(18,37,1)</f>
        <v>43917.775706018518</v>
      </c>
    </row>
    <row r="1962" spans="1:4" ht="17">
      <c r="A1962" s="5" t="s">
        <v>125</v>
      </c>
      <c r="B1962" s="5" t="s">
        <v>7419</v>
      </c>
      <c r="C1962" s="5" t="s">
        <v>7420</v>
      </c>
      <c r="D1962" s="2">
        <f>DATE(2020,6,29)+TIME(11,10,46)</f>
        <v>44011.465810185182</v>
      </c>
    </row>
    <row r="1963" spans="1:4" ht="17">
      <c r="A1963" s="4" t="s">
        <v>200</v>
      </c>
      <c r="B1963" s="4" t="s">
        <v>201</v>
      </c>
      <c r="C1963" s="4" t="s">
        <v>202</v>
      </c>
      <c r="D1963" s="1">
        <f>DATE(2020,6,3)+TIME(0,59,33)</f>
        <v>43985.041354166664</v>
      </c>
    </row>
    <row r="1964" spans="1:4" ht="17">
      <c r="A1964" s="4" t="s">
        <v>200</v>
      </c>
      <c r="B1964" s="4" t="s">
        <v>468</v>
      </c>
      <c r="C1964" s="4" t="s">
        <v>469</v>
      </c>
      <c r="D1964" s="1">
        <f>DATE(2020,6,26)+TIME(14,56,20)</f>
        <v>44008.622453703705</v>
      </c>
    </row>
    <row r="1965" spans="1:4" ht="17">
      <c r="A1965" s="5" t="s">
        <v>200</v>
      </c>
      <c r="B1965" s="5" t="s">
        <v>6206</v>
      </c>
      <c r="C1965" s="5" t="s">
        <v>6207</v>
      </c>
      <c r="D1965" s="2">
        <f>DATE(2020,6,29)+TIME(11,17,54)</f>
        <v>44011.470763888887</v>
      </c>
    </row>
    <row r="1966" spans="1:4" ht="17">
      <c r="A1966" s="4" t="s">
        <v>9250</v>
      </c>
      <c r="B1966" s="4" t="s">
        <v>9251</v>
      </c>
      <c r="C1966" s="4" t="s">
        <v>9252</v>
      </c>
      <c r="D1966" s="1">
        <f>DATE(2020,6,8)+TIME(12,33,11)</f>
        <v>43990.523043981484</v>
      </c>
    </row>
    <row r="1967" spans="1:4" ht="17">
      <c r="A1967" s="5" t="s">
        <v>4234</v>
      </c>
      <c r="B1967" s="5" t="s">
        <v>4235</v>
      </c>
      <c r="C1967" s="5" t="s">
        <v>4236</v>
      </c>
      <c r="D1967" s="2">
        <f>DATE(2020,6,17)+TIME(15,19,49)</f>
        <v>43999.638761574075</v>
      </c>
    </row>
    <row r="1968" spans="1:4" ht="17">
      <c r="A1968" s="5" t="s">
        <v>3972</v>
      </c>
      <c r="B1968" s="5" t="s">
        <v>3973</v>
      </c>
      <c r="C1968" s="5" t="s">
        <v>3974</v>
      </c>
      <c r="D1968" s="2">
        <f>DATE(2020,6,13)+TIME(4,33,19)</f>
        <v>43995.189803240741</v>
      </c>
    </row>
    <row r="1969" spans="1:4" ht="17">
      <c r="A1969" s="5" t="s">
        <v>6962</v>
      </c>
      <c r="B1969" s="5" t="s">
        <v>6963</v>
      </c>
      <c r="C1969" s="5" t="s">
        <v>6964</v>
      </c>
      <c r="D1969" s="2">
        <f>DATE(2020,6,23)+TIME(22,20,22)</f>
        <v>44005.930810185186</v>
      </c>
    </row>
    <row r="1970" spans="1:4" ht="17">
      <c r="A1970" s="4" t="s">
        <v>3003</v>
      </c>
      <c r="B1970" s="4" t="s">
        <v>3004</v>
      </c>
      <c r="C1970" s="4" t="s">
        <v>3005</v>
      </c>
      <c r="D1970" s="1">
        <f>DATE(2020,6,25)+TIME(14,8,19)</f>
        <v>44007.589108796295</v>
      </c>
    </row>
    <row r="1971" spans="1:4" ht="17">
      <c r="A1971" s="5" t="s">
        <v>5190</v>
      </c>
      <c r="B1971" s="5" t="s">
        <v>58</v>
      </c>
      <c r="C1971" s="5" t="s">
        <v>5191</v>
      </c>
      <c r="D1971" s="2">
        <f>DATE(2020,5,5)+TIME(17,10,27)</f>
        <v>43956.715590277781</v>
      </c>
    </row>
    <row r="1972" spans="1:4" ht="17">
      <c r="A1972" s="4" t="s">
        <v>1390</v>
      </c>
      <c r="B1972" s="4" t="s">
        <v>1391</v>
      </c>
      <c r="C1972" s="4" t="s">
        <v>1392</v>
      </c>
      <c r="D1972" s="1">
        <f>DATE(2020,5,19)+TIME(12,11,58)</f>
        <v>43970.508310185185</v>
      </c>
    </row>
    <row r="1973" spans="1:4" ht="17">
      <c r="A1973" s="5" t="s">
        <v>1390</v>
      </c>
      <c r="B1973" s="5" t="s">
        <v>1391</v>
      </c>
      <c r="C1973" s="5" t="s">
        <v>4120</v>
      </c>
      <c r="D1973" s="2">
        <f>DATE(2020,6,26)+TIME(17,12,57)</f>
        <v>44008.717326388891</v>
      </c>
    </row>
    <row r="1974" spans="1:4" ht="17">
      <c r="A1974" s="5" t="s">
        <v>9195</v>
      </c>
      <c r="B1974" s="5" t="s">
        <v>9196</v>
      </c>
      <c r="C1974" s="5" t="s">
        <v>9197</v>
      </c>
      <c r="D1974" s="2">
        <f>DATE(2020,6,28)+TIME(19,19,27)</f>
        <v>44010.805173611108</v>
      </c>
    </row>
    <row r="1975" spans="1:4" ht="17">
      <c r="A1975" s="5" t="s">
        <v>4428</v>
      </c>
      <c r="B1975" s="5" t="s">
        <v>4429</v>
      </c>
      <c r="C1975" s="5" t="s">
        <v>4430</v>
      </c>
      <c r="D1975" s="2">
        <f>DATE(2020,6,1)+TIME(21,28,32)</f>
        <v>43983.894814814812</v>
      </c>
    </row>
    <row r="1976" spans="1:4" ht="17">
      <c r="A1976" s="5" t="s">
        <v>5682</v>
      </c>
      <c r="B1976" s="5" t="s">
        <v>5683</v>
      </c>
      <c r="C1976" s="5" t="s">
        <v>5684</v>
      </c>
      <c r="D1976" s="2">
        <f>DATE(2020,6,26)+TIME(10,18,17)</f>
        <v>44008.429363425923</v>
      </c>
    </row>
    <row r="1977" spans="1:4" ht="17">
      <c r="A1977" s="4" t="s">
        <v>5041</v>
      </c>
      <c r="B1977" s="4" t="s">
        <v>5042</v>
      </c>
      <c r="C1977" s="4" t="s">
        <v>5043</v>
      </c>
      <c r="D1977" s="1">
        <f>DATE(2020,6,22)+TIME(16,2,56)</f>
        <v>44004.668703703705</v>
      </c>
    </row>
    <row r="1978" spans="1:4" ht="17">
      <c r="A1978" s="4" t="s">
        <v>3094</v>
      </c>
      <c r="B1978" s="4" t="s">
        <v>3095</v>
      </c>
      <c r="C1978" s="4" t="s">
        <v>3096</v>
      </c>
      <c r="D1978" s="1">
        <f>DATE(2020,6,24)+TIME(10,55,12)</f>
        <v>44006.455000000002</v>
      </c>
    </row>
    <row r="1979" spans="1:4" ht="17">
      <c r="A1979" s="5" t="s">
        <v>5269</v>
      </c>
      <c r="B1979" s="5" t="s">
        <v>5270</v>
      </c>
      <c r="C1979" s="5" t="s">
        <v>5271</v>
      </c>
      <c r="D1979" s="2">
        <f>DATE(2020,6,16)+TIME(6,43,56)</f>
        <v>43998.280509259261</v>
      </c>
    </row>
    <row r="1980" spans="1:4" ht="17">
      <c r="A1980" s="4" t="s">
        <v>7854</v>
      </c>
      <c r="B1980" s="4" t="s">
        <v>7855</v>
      </c>
      <c r="C1980" s="4" t="s">
        <v>7856</v>
      </c>
      <c r="D1980" s="1">
        <f>DATE(2020,6,4)+TIME(11,13,31)</f>
        <v>43986.467719907407</v>
      </c>
    </row>
    <row r="1981" spans="1:4" ht="17">
      <c r="A1981" s="4" t="s">
        <v>6945</v>
      </c>
      <c r="B1981" s="4" t="s">
        <v>6946</v>
      </c>
      <c r="C1981" s="4" t="s">
        <v>6947</v>
      </c>
      <c r="D1981" s="1">
        <f>DATE(2020,6,15)+TIME(17,9,37)</f>
        <v>43997.715011574073</v>
      </c>
    </row>
    <row r="1982" spans="1:4" ht="17">
      <c r="A1982" s="4" t="s">
        <v>6055</v>
      </c>
      <c r="B1982" s="4" t="s">
        <v>6056</v>
      </c>
      <c r="C1982" s="4" t="s">
        <v>6057</v>
      </c>
      <c r="D1982" s="1">
        <f>DATE(2020,6,29)+TIME(12,24,9)</f>
        <v>44011.516770833332</v>
      </c>
    </row>
    <row r="1983" spans="1:4" ht="17">
      <c r="A1983" s="5" t="s">
        <v>1903</v>
      </c>
      <c r="B1983" s="5" t="s">
        <v>3657</v>
      </c>
      <c r="C1983" s="5" t="s">
        <v>3658</v>
      </c>
      <c r="D1983" s="2">
        <f>DATE(2020,6,22)+TIME(13,58,1)</f>
        <v>44004.581956018519</v>
      </c>
    </row>
    <row r="1984" spans="1:4" ht="17">
      <c r="A1984" s="4" t="s">
        <v>1903</v>
      </c>
      <c r="B1984" s="4" t="s">
        <v>1904</v>
      </c>
      <c r="C1984" s="4" t="s">
        <v>1905</v>
      </c>
      <c r="D1984" s="1">
        <f>DATE(2020,6,23)+TIME(13,42,30)</f>
        <v>44005.571180555555</v>
      </c>
    </row>
    <row r="1985" spans="1:4" ht="17">
      <c r="A1985" s="5" t="s">
        <v>1060</v>
      </c>
      <c r="B1985" s="5" t="s">
        <v>3874</v>
      </c>
      <c r="C1985" s="5" t="s">
        <v>8902</v>
      </c>
      <c r="D1985" s="2">
        <f>DATE(2020,5,8)+TIME(14,43,34)</f>
        <v>43959.613587962966</v>
      </c>
    </row>
    <row r="1986" spans="1:4" ht="17">
      <c r="A1986" s="4" t="s">
        <v>1060</v>
      </c>
      <c r="B1986" s="4" t="s">
        <v>1061</v>
      </c>
      <c r="C1986" s="4" t="s">
        <v>1062</v>
      </c>
      <c r="D1986" s="1">
        <f>DATE(2020,5,25)+TIME(12,4,44)</f>
        <v>43976.503287037034</v>
      </c>
    </row>
    <row r="1987" spans="1:4" ht="17">
      <c r="A1987" s="4" t="s">
        <v>1060</v>
      </c>
      <c r="B1987" s="4" t="s">
        <v>5738</v>
      </c>
      <c r="C1987" s="4" t="s">
        <v>5739</v>
      </c>
      <c r="D1987" s="1">
        <f>DATE(2020,5,28)+TIME(14,24,28)</f>
        <v>43979.600324074076</v>
      </c>
    </row>
    <row r="1988" spans="1:4" ht="17">
      <c r="A1988" s="5" t="s">
        <v>1060</v>
      </c>
      <c r="B1988" s="5" t="s">
        <v>269</v>
      </c>
      <c r="C1988" s="5" t="s">
        <v>4827</v>
      </c>
      <c r="D1988" s="2">
        <f>DATE(2020,6,19)+TIME(8,32,58)</f>
        <v>44001.356226851851</v>
      </c>
    </row>
    <row r="1989" spans="1:4" ht="17">
      <c r="A1989" s="4" t="s">
        <v>1060</v>
      </c>
      <c r="B1989" s="4" t="s">
        <v>1567</v>
      </c>
      <c r="C1989" s="4" t="s">
        <v>1568</v>
      </c>
      <c r="D1989" s="1">
        <f>DATE(2020,6,25)+TIME(14,30,16)</f>
        <v>44007.604351851849</v>
      </c>
    </row>
    <row r="1990" spans="1:4" ht="17">
      <c r="A1990" s="5" t="s">
        <v>1060</v>
      </c>
      <c r="B1990" s="5" t="s">
        <v>4134</v>
      </c>
      <c r="C1990" s="5" t="s">
        <v>4135</v>
      </c>
      <c r="D1990" s="2">
        <f>DATE(2020,6,26)+TIME(15,22,14)</f>
        <v>44008.640439814815</v>
      </c>
    </row>
    <row r="1991" spans="1:4" ht="17">
      <c r="A1991" s="4" t="s">
        <v>131</v>
      </c>
      <c r="B1991" s="4" t="s">
        <v>132</v>
      </c>
      <c r="C1991" s="4" t="s">
        <v>133</v>
      </c>
      <c r="D1991" s="1">
        <f>DATE(2020,6,7)+TIME(10,59,18)</f>
        <v>43989.45784722222</v>
      </c>
    </row>
    <row r="1992" spans="1:4" ht="17">
      <c r="A1992" s="5" t="s">
        <v>8236</v>
      </c>
      <c r="B1992" s="5" t="s">
        <v>1357</v>
      </c>
      <c r="C1992" s="5" t="s">
        <v>8237</v>
      </c>
      <c r="D1992" s="2">
        <f>DATE(2020,5,21)+TIME(14,58,13)</f>
        <v>43972.623761574076</v>
      </c>
    </row>
    <row r="1993" spans="1:4" ht="17">
      <c r="A1993" s="5" t="s">
        <v>151</v>
      </c>
      <c r="B1993" s="5" t="s">
        <v>152</v>
      </c>
      <c r="C1993" s="5" t="s">
        <v>153</v>
      </c>
      <c r="D1993" s="2">
        <f>DATE(2020,6,26)+TIME(8,40,15)</f>
        <v>44008.361284722225</v>
      </c>
    </row>
    <row r="1994" spans="1:4" ht="17">
      <c r="A1994" s="4" t="s">
        <v>3170</v>
      </c>
      <c r="B1994" s="4" t="s">
        <v>3171</v>
      </c>
      <c r="C1994" s="4" t="s">
        <v>3172</v>
      </c>
      <c r="D1994" s="1">
        <f>DATE(2020,5,7)+TIME(8,35,38)</f>
        <v>43958.358078703706</v>
      </c>
    </row>
    <row r="1995" spans="1:4" ht="17">
      <c r="A1995" s="5" t="s">
        <v>1215</v>
      </c>
      <c r="B1995" s="5" t="s">
        <v>1216</v>
      </c>
      <c r="C1995" s="5" t="s">
        <v>1217</v>
      </c>
      <c r="D1995" s="2">
        <f>DATE(2020,5,14)+TIME(12,49,5)</f>
        <v>43965.534085648149</v>
      </c>
    </row>
    <row r="1996" spans="1:4" ht="17">
      <c r="A1996" s="5" t="s">
        <v>1215</v>
      </c>
      <c r="B1996" s="5" t="s">
        <v>3577</v>
      </c>
      <c r="C1996" s="5" t="s">
        <v>3578</v>
      </c>
      <c r="D1996" s="2">
        <f>DATE(2020,6,29)+TIME(12,55,48)</f>
        <v>44011.53875</v>
      </c>
    </row>
    <row r="1997" spans="1:4" ht="17">
      <c r="A1997" s="5" t="s">
        <v>9324</v>
      </c>
      <c r="B1997" s="5" t="s">
        <v>9325</v>
      </c>
      <c r="C1997" s="5" t="s">
        <v>9326</v>
      </c>
      <c r="D1997" s="2">
        <f>DATE(2020,6,24)+TIME(10,37,37)</f>
        <v>44006.442789351851</v>
      </c>
    </row>
    <row r="1998" spans="1:4" ht="17">
      <c r="A1998" s="5" t="s">
        <v>8129</v>
      </c>
      <c r="B1998" s="5" t="s">
        <v>7001</v>
      </c>
      <c r="C1998" s="5" t="s">
        <v>8130</v>
      </c>
      <c r="D1998" s="2">
        <f>DATE(2020,6,8)+TIME(22,4,22)</f>
        <v>43990.919699074075</v>
      </c>
    </row>
    <row r="1999" spans="1:4" ht="17">
      <c r="A1999" s="4" t="s">
        <v>1118</v>
      </c>
      <c r="B1999" s="4" t="s">
        <v>1119</v>
      </c>
      <c r="C1999" s="4" t="s">
        <v>1120</v>
      </c>
      <c r="D1999" s="1">
        <f>DATE(2020,6,3)+TIME(0,59,33)</f>
        <v>43985.041354166664</v>
      </c>
    </row>
    <row r="2000" spans="1:4" ht="17">
      <c r="A2000" s="4" t="s">
        <v>4121</v>
      </c>
      <c r="B2000" s="4" t="s">
        <v>4122</v>
      </c>
      <c r="C2000" s="4" t="s">
        <v>4123</v>
      </c>
      <c r="D2000" s="1">
        <f>DATE(2020,5,20)+TIME(22,12,33)</f>
        <v>43971.925381944442</v>
      </c>
    </row>
    <row r="2001" spans="1:4" ht="17">
      <c r="A2001" s="4" t="s">
        <v>1663</v>
      </c>
      <c r="B2001" s="4" t="s">
        <v>1020</v>
      </c>
      <c r="C2001" s="4" t="s">
        <v>5139</v>
      </c>
      <c r="D2001" s="1">
        <f>DATE(2020,3,29)+TIME(21,26,23)</f>
        <v>43919.893321759257</v>
      </c>
    </row>
    <row r="2002" spans="1:4" ht="17">
      <c r="A2002" s="5" t="s">
        <v>1663</v>
      </c>
      <c r="B2002" s="5" t="s">
        <v>1357</v>
      </c>
      <c r="C2002" s="5" t="s">
        <v>5144</v>
      </c>
      <c r="D2002" s="2">
        <f>DATE(2020,3,31)+TIME(12,36,28)</f>
        <v>43921.525324074071</v>
      </c>
    </row>
    <row r="2003" spans="1:4" ht="17">
      <c r="A2003" s="4" t="s">
        <v>1663</v>
      </c>
      <c r="B2003" s="4" t="s">
        <v>6281</v>
      </c>
      <c r="C2003" s="4" t="s">
        <v>6282</v>
      </c>
      <c r="D2003" s="1">
        <f>DATE(2020,5,5)+TIME(15,44,9)</f>
        <v>43956.655659722222</v>
      </c>
    </row>
    <row r="2004" spans="1:4" ht="17">
      <c r="A2004" s="5" t="s">
        <v>1663</v>
      </c>
      <c r="B2004" s="5" t="s">
        <v>3943</v>
      </c>
      <c r="C2004" s="5" t="s">
        <v>3944</v>
      </c>
      <c r="D2004" s="2">
        <f>DATE(2020,5,5)+TIME(16,5,43)</f>
        <v>43956.670636574076</v>
      </c>
    </row>
    <row r="2005" spans="1:4" ht="17">
      <c r="A2005" s="4" t="s">
        <v>1663</v>
      </c>
      <c r="B2005" s="4" t="s">
        <v>2528</v>
      </c>
      <c r="C2005" s="4" t="s">
        <v>2529</v>
      </c>
      <c r="D2005" s="1">
        <f>DATE(2020,5,6)+TIME(0,26,30)</f>
        <v>43957.01840277778</v>
      </c>
    </row>
    <row r="2006" spans="1:4" ht="17">
      <c r="A2006" s="5" t="s">
        <v>1663</v>
      </c>
      <c r="B2006" s="5" t="s">
        <v>1853</v>
      </c>
      <c r="C2006" s="5" t="s">
        <v>9479</v>
      </c>
      <c r="D2006" s="2">
        <f>DATE(2020,5,14)+TIME(0,9,36)</f>
        <v>43965.006666666668</v>
      </c>
    </row>
    <row r="2007" spans="1:4" ht="17">
      <c r="A2007" s="4" t="s">
        <v>1663</v>
      </c>
      <c r="B2007" s="4" t="s">
        <v>1399</v>
      </c>
      <c r="C2007" s="4" t="s">
        <v>5973</v>
      </c>
      <c r="D2007" s="1">
        <f>DATE(2020,5,28)+TIME(13,21,20)</f>
        <v>43979.556481481479</v>
      </c>
    </row>
    <row r="2008" spans="1:4" ht="17">
      <c r="A2008" s="5" t="s">
        <v>1663</v>
      </c>
      <c r="B2008" s="5" t="s">
        <v>3880</v>
      </c>
      <c r="C2008" s="5" t="s">
        <v>3881</v>
      </c>
      <c r="D2008" s="2">
        <f>DATE(2020,5,29)+TIME(13,47,11)</f>
        <v>43980.574432870373</v>
      </c>
    </row>
    <row r="2009" spans="1:4" ht="17">
      <c r="A2009" s="4" t="s">
        <v>1663</v>
      </c>
      <c r="B2009" s="4" t="s">
        <v>4878</v>
      </c>
      <c r="C2009" s="4" t="s">
        <v>4879</v>
      </c>
      <c r="D2009" s="1">
        <f>DATE(2020,6,9)+TIME(9,7,37)</f>
        <v>43991.380289351851</v>
      </c>
    </row>
    <row r="2010" spans="1:4" ht="17">
      <c r="A2010" s="5" t="s">
        <v>1663</v>
      </c>
      <c r="B2010" s="5" t="s">
        <v>9042</v>
      </c>
      <c r="C2010" s="5" t="s">
        <v>9043</v>
      </c>
      <c r="D2010" s="2">
        <f>DATE(2020,6,10)+TIME(14,6,53)</f>
        <v>43992.588113425925</v>
      </c>
    </row>
    <row r="2011" spans="1:4" ht="17">
      <c r="A2011" s="4" t="s">
        <v>1663</v>
      </c>
      <c r="B2011" s="4" t="s">
        <v>322</v>
      </c>
      <c r="C2011" s="4" t="s">
        <v>8605</v>
      </c>
      <c r="D2011" s="1">
        <f>DATE(2020,6,11)+TIME(16,13,26)</f>
        <v>43993.675995370373</v>
      </c>
    </row>
    <row r="2012" spans="1:4" ht="17">
      <c r="A2012" s="4" t="s">
        <v>1663</v>
      </c>
      <c r="B2012" s="4" t="s">
        <v>2818</v>
      </c>
      <c r="C2012" s="4" t="s">
        <v>2819</v>
      </c>
      <c r="D2012" s="1">
        <f>DATE(2020,6,12)+TIME(11,29,46)</f>
        <v>43994.479004629633</v>
      </c>
    </row>
    <row r="2013" spans="1:4" ht="17">
      <c r="A2013" s="5" t="s">
        <v>1663</v>
      </c>
      <c r="B2013" s="5" t="s">
        <v>1482</v>
      </c>
      <c r="C2013" s="5" t="s">
        <v>9122</v>
      </c>
      <c r="D2013" s="2">
        <f>DATE(2020,6,12)+TIME(11,34,34)</f>
        <v>43994.48233796296</v>
      </c>
    </row>
    <row r="2014" spans="1:4" ht="17">
      <c r="A2014" s="5" t="s">
        <v>1663</v>
      </c>
      <c r="B2014" s="5" t="s">
        <v>4683</v>
      </c>
      <c r="C2014" s="5" t="s">
        <v>4684</v>
      </c>
      <c r="D2014" s="2">
        <f>DATE(2020,6,15)+TIME(2,26,39)</f>
        <v>43997.101840277777</v>
      </c>
    </row>
    <row r="2015" spans="1:4" ht="17">
      <c r="A2015" s="4" t="s">
        <v>1663</v>
      </c>
      <c r="B2015" s="4" t="s">
        <v>8601</v>
      </c>
      <c r="C2015" s="4" t="s">
        <v>8602</v>
      </c>
      <c r="D2015" s="1">
        <f>DATE(2020,6,16)+TIME(15,11,31)</f>
        <v>43998.632997685185</v>
      </c>
    </row>
    <row r="2016" spans="1:4" ht="17">
      <c r="A2016" s="4" t="s">
        <v>1663</v>
      </c>
      <c r="B2016" s="4" t="s">
        <v>6486</v>
      </c>
      <c r="C2016" s="4" t="s">
        <v>6487</v>
      </c>
      <c r="D2016" s="1">
        <f>DATE(2020,6,17)+TIME(13,25,54)</f>
        <v>43999.559652777774</v>
      </c>
    </row>
    <row r="2017" spans="1:4" ht="17">
      <c r="A2017" s="4" t="s">
        <v>1663</v>
      </c>
      <c r="B2017" s="4" t="s">
        <v>4198</v>
      </c>
      <c r="C2017" s="4" t="s">
        <v>4199</v>
      </c>
      <c r="D2017" s="1">
        <f>DATE(2020,6,24)+TIME(10,24,11)</f>
        <v>44006.43346064815</v>
      </c>
    </row>
    <row r="2018" spans="1:4" ht="17">
      <c r="A2018" s="4" t="s">
        <v>1663</v>
      </c>
      <c r="B2018" s="4" t="s">
        <v>8594</v>
      </c>
      <c r="C2018" s="4" t="s">
        <v>8595</v>
      </c>
      <c r="D2018" s="1">
        <f>DATE(2020,6,24)+TIME(11,40,17)</f>
        <v>44006.486307870371</v>
      </c>
    </row>
    <row r="2019" spans="1:4" ht="17">
      <c r="A2019" s="5" t="s">
        <v>1663</v>
      </c>
      <c r="B2019" s="5" t="s">
        <v>3346</v>
      </c>
      <c r="C2019" s="5" t="s">
        <v>9470</v>
      </c>
      <c r="D2019" s="2">
        <f>DATE(2020,6,26)+TIME(6,49,28)</f>
        <v>44008.284351851849</v>
      </c>
    </row>
    <row r="2020" spans="1:4" ht="17">
      <c r="A2020" s="5" t="s">
        <v>1663</v>
      </c>
      <c r="B2020" s="5" t="s">
        <v>2175</v>
      </c>
      <c r="C2020" s="5" t="s">
        <v>2176</v>
      </c>
      <c r="D2020" s="2">
        <f>DATE(2020,6,26)+TIME(13,28,17)</f>
        <v>44008.561307870368</v>
      </c>
    </row>
    <row r="2021" spans="1:4" ht="17">
      <c r="A2021" s="5" t="s">
        <v>1663</v>
      </c>
      <c r="B2021" s="5" t="s">
        <v>7203</v>
      </c>
      <c r="C2021" s="5" t="s">
        <v>7204</v>
      </c>
      <c r="D2021" s="2">
        <f>DATE(2020,6,26)+TIME(15,39,31)</f>
        <v>44008.652442129627</v>
      </c>
    </row>
    <row r="2022" spans="1:4" ht="17">
      <c r="A2022" s="4" t="s">
        <v>1663</v>
      </c>
      <c r="B2022" s="4" t="s">
        <v>3575</v>
      </c>
      <c r="C2022" s="4" t="s">
        <v>3576</v>
      </c>
      <c r="D2022" s="1">
        <f>DATE(2020,6,26)+TIME(16,24,33)</f>
        <v>44008.683715277781</v>
      </c>
    </row>
    <row r="2023" spans="1:4" ht="17">
      <c r="A2023" s="5" t="s">
        <v>1663</v>
      </c>
      <c r="B2023" s="5" t="s">
        <v>3346</v>
      </c>
      <c r="C2023" s="5" t="s">
        <v>3347</v>
      </c>
      <c r="D2023" s="2">
        <f>DATE(2020,6,27)+TIME(18,58,57)</f>
        <v>44009.790937500002</v>
      </c>
    </row>
    <row r="2024" spans="1:4" ht="17">
      <c r="A2024" s="5" t="s">
        <v>1663</v>
      </c>
      <c r="B2024" s="5" t="s">
        <v>3828</v>
      </c>
      <c r="C2024" s="5" t="s">
        <v>3829</v>
      </c>
      <c r="D2024" s="2">
        <f>DATE(2020,6,28)+TIME(15,42,37)</f>
        <v>44010.654594907406</v>
      </c>
    </row>
    <row r="2025" spans="1:4" ht="17">
      <c r="A2025" s="4" t="s">
        <v>1663</v>
      </c>
      <c r="B2025" s="4" t="s">
        <v>4990</v>
      </c>
      <c r="C2025" s="4" t="s">
        <v>4991</v>
      </c>
      <c r="D2025" s="1">
        <f>DATE(2020,6,29)+TIME(9,35,28)</f>
        <v>44011.399629629632</v>
      </c>
    </row>
    <row r="2026" spans="1:4" ht="17">
      <c r="A2026" s="4" t="s">
        <v>1663</v>
      </c>
      <c r="B2026" s="4" t="s">
        <v>1664</v>
      </c>
      <c r="C2026" s="4" t="s">
        <v>1665</v>
      </c>
      <c r="D2026" s="1">
        <f>DATE(2020,6,29)+TIME(11,17,27)</f>
        <v>44011.470451388886</v>
      </c>
    </row>
    <row r="2027" spans="1:4" ht="17">
      <c r="A2027" s="5" t="s">
        <v>2530</v>
      </c>
      <c r="B2027" s="5" t="s">
        <v>2531</v>
      </c>
      <c r="C2027" s="5" t="s">
        <v>2532</v>
      </c>
      <c r="D2027" s="2">
        <f>DATE(2020,6,26)+TIME(9,3,10)</f>
        <v>44008.377199074072</v>
      </c>
    </row>
    <row r="2028" spans="1:4" ht="17">
      <c r="A2028" s="4" t="s">
        <v>9255</v>
      </c>
      <c r="B2028" s="4" t="s">
        <v>1486</v>
      </c>
      <c r="C2028" s="4" t="s">
        <v>9256</v>
      </c>
      <c r="D2028" s="1">
        <f>DATE(2020,6,24)+TIME(0,21,33)</f>
        <v>44006.014965277776</v>
      </c>
    </row>
    <row r="2029" spans="1:4" ht="17">
      <c r="A2029" s="5" t="s">
        <v>7985</v>
      </c>
      <c r="B2029" s="5" t="s">
        <v>7986</v>
      </c>
      <c r="C2029" s="5" t="s">
        <v>7987</v>
      </c>
      <c r="D2029" s="2">
        <f>DATE(2020,6,16)+TIME(5,45,39)</f>
        <v>43998.240034722221</v>
      </c>
    </row>
    <row r="2030" spans="1:4" ht="17">
      <c r="A2030" s="4" t="s">
        <v>7503</v>
      </c>
      <c r="B2030" s="4" t="s">
        <v>946</v>
      </c>
      <c r="C2030" s="4" t="s">
        <v>7504</v>
      </c>
      <c r="D2030" s="1">
        <f>DATE(2020,5,20)+TIME(16,38,14)</f>
        <v>43971.69321759259</v>
      </c>
    </row>
    <row r="2031" spans="1:4" ht="17">
      <c r="A2031" s="4" t="s">
        <v>2196</v>
      </c>
      <c r="B2031" s="4" t="s">
        <v>1781</v>
      </c>
      <c r="C2031" s="4" t="s">
        <v>2197</v>
      </c>
      <c r="D2031" s="1">
        <f>DATE(2020,6,18)+TIME(20,4,16)</f>
        <v>44000.836296296293</v>
      </c>
    </row>
    <row r="2032" spans="1:4" ht="17">
      <c r="A2032" s="4" t="s">
        <v>2196</v>
      </c>
      <c r="B2032" s="4" t="s">
        <v>6430</v>
      </c>
      <c r="C2032" s="4" t="s">
        <v>6431</v>
      </c>
      <c r="D2032" s="1">
        <f>DATE(2020,6,25)+TIME(23,20,28)</f>
        <v>44007.972546296296</v>
      </c>
    </row>
    <row r="2033" spans="1:4" ht="17">
      <c r="A2033" s="5" t="s">
        <v>7165</v>
      </c>
      <c r="B2033" s="5" t="s">
        <v>3115</v>
      </c>
      <c r="C2033" s="5" t="s">
        <v>7166</v>
      </c>
      <c r="D2033" s="2">
        <f>DATE(2020,5,5)+TIME(14,55,49)</f>
        <v>43956.622094907405</v>
      </c>
    </row>
    <row r="2034" spans="1:4" ht="17">
      <c r="A2034" s="5" t="s">
        <v>2363</v>
      </c>
      <c r="B2034" s="5" t="s">
        <v>2364</v>
      </c>
      <c r="C2034" s="5" t="s">
        <v>2365</v>
      </c>
      <c r="D2034" s="2">
        <f>DATE(2020,4,2)+TIME(6,30,46)</f>
        <v>43923.271365740744</v>
      </c>
    </row>
    <row r="2035" spans="1:4" ht="17">
      <c r="A2035" s="5" t="s">
        <v>9549</v>
      </c>
      <c r="B2035" s="5" t="s">
        <v>9550</v>
      </c>
      <c r="C2035" s="5" t="s">
        <v>9551</v>
      </c>
      <c r="D2035" s="2">
        <f>DATE(2020,6,29)+TIME(2,14,58)</f>
        <v>44011.093726851854</v>
      </c>
    </row>
    <row r="2036" spans="1:4" ht="17">
      <c r="A2036" s="4" t="s">
        <v>1218</v>
      </c>
      <c r="B2036" s="4" t="s">
        <v>3965</v>
      </c>
      <c r="C2036" s="4" t="s">
        <v>3966</v>
      </c>
      <c r="D2036" s="1">
        <f>DATE(2020,5,13)+TIME(23,39,4)</f>
        <v>43964.985462962963</v>
      </c>
    </row>
    <row r="2037" spans="1:4" ht="17">
      <c r="A2037" s="5" t="s">
        <v>1218</v>
      </c>
      <c r="B2037" s="5" t="s">
        <v>6313</v>
      </c>
      <c r="C2037" s="5" t="s">
        <v>6314</v>
      </c>
      <c r="D2037" s="2">
        <f>DATE(2020,6,17)+TIME(15,8,47)</f>
        <v>43999.631099537037</v>
      </c>
    </row>
    <row r="2038" spans="1:4" ht="17">
      <c r="A2038" s="5" t="s">
        <v>1218</v>
      </c>
      <c r="B2038" s="5" t="s">
        <v>2026</v>
      </c>
      <c r="C2038" s="5" t="s">
        <v>6510</v>
      </c>
      <c r="D2038" s="2">
        <f>DATE(2020,6,25)+TIME(10,26,34)</f>
        <v>44007.435115740744</v>
      </c>
    </row>
    <row r="2039" spans="1:4" ht="17">
      <c r="A2039" s="4" t="s">
        <v>7045</v>
      </c>
      <c r="B2039" s="4" t="s">
        <v>7046</v>
      </c>
      <c r="C2039" s="4" t="s">
        <v>7047</v>
      </c>
      <c r="D2039" s="1">
        <f>DATE(2020,6,29)+TIME(1,52,26)</f>
        <v>44011.0780787037</v>
      </c>
    </row>
    <row r="2040" spans="1:4" ht="17">
      <c r="A2040" s="4" t="s">
        <v>1470</v>
      </c>
      <c r="B2040" s="4" t="s">
        <v>1054</v>
      </c>
      <c r="C2040" s="4" t="s">
        <v>1471</v>
      </c>
      <c r="D2040" s="1">
        <f>DATE(2020,5,8)+TIME(18,48,51)</f>
        <v>43959.78392361111</v>
      </c>
    </row>
    <row r="2041" spans="1:4" ht="17">
      <c r="A2041" s="4" t="s">
        <v>1470</v>
      </c>
      <c r="B2041" s="4" t="s">
        <v>2933</v>
      </c>
      <c r="C2041" s="4" t="s">
        <v>2934</v>
      </c>
      <c r="D2041" s="1">
        <f>DATE(2020,6,24)+TIME(17,25,15)</f>
        <v>44006.725868055553</v>
      </c>
    </row>
    <row r="2042" spans="1:4" ht="17">
      <c r="A2042" s="4" t="s">
        <v>4075</v>
      </c>
      <c r="B2042" s="4" t="s">
        <v>4076</v>
      </c>
      <c r="C2042" s="4" t="s">
        <v>4077</v>
      </c>
      <c r="D2042" s="1">
        <f>DATE(2020,5,14)+TIME(1,13,39)</f>
        <v>43965.051145833335</v>
      </c>
    </row>
    <row r="2043" spans="1:4" ht="17">
      <c r="A2043" s="4" t="s">
        <v>3738</v>
      </c>
      <c r="B2043" s="4" t="s">
        <v>3739</v>
      </c>
      <c r="C2043" s="4" t="s">
        <v>3740</v>
      </c>
      <c r="D2043" s="1">
        <f>DATE(2020,6,22)+TIME(23,28,14)</f>
        <v>44004.977939814817</v>
      </c>
    </row>
    <row r="2044" spans="1:4" ht="17">
      <c r="A2044" s="5" t="s">
        <v>701</v>
      </c>
      <c r="B2044" s="5" t="s">
        <v>702</v>
      </c>
      <c r="C2044" s="5" t="s">
        <v>703</v>
      </c>
      <c r="D2044" s="2">
        <f>DATE(2020,6,26)+TIME(17,7,24)</f>
        <v>44008.713472222225</v>
      </c>
    </row>
    <row r="2045" spans="1:4" ht="17">
      <c r="A2045" s="5" t="s">
        <v>808</v>
      </c>
      <c r="B2045" s="5" t="s">
        <v>809</v>
      </c>
      <c r="C2045" s="5" t="s">
        <v>810</v>
      </c>
      <c r="D2045" s="2">
        <f>DATE(2020,6,11)+TIME(15,21,30)</f>
        <v>43993.639930555553</v>
      </c>
    </row>
    <row r="2046" spans="1:4" ht="17">
      <c r="A2046" s="4" t="s">
        <v>8804</v>
      </c>
      <c r="B2046" s="4" t="s">
        <v>8805</v>
      </c>
      <c r="C2046" s="4" t="s">
        <v>8806</v>
      </c>
      <c r="D2046" s="1">
        <f>DATE(2020,6,28)+TIME(13,34,6)</f>
        <v>44010.565347222226</v>
      </c>
    </row>
    <row r="2047" spans="1:4" ht="17">
      <c r="A2047" s="4" t="s">
        <v>7025</v>
      </c>
      <c r="B2047" s="4" t="s">
        <v>7026</v>
      </c>
      <c r="C2047" s="4" t="s">
        <v>7027</v>
      </c>
      <c r="D2047" s="1">
        <f>DATE(2020,6,27)+TIME(2,42,42)</f>
        <v>44009.112986111111</v>
      </c>
    </row>
    <row r="2048" spans="1:4" ht="17">
      <c r="A2048" s="4" t="s">
        <v>5629</v>
      </c>
      <c r="B2048" s="4" t="s">
        <v>5630</v>
      </c>
      <c r="C2048" s="4" t="s">
        <v>5631</v>
      </c>
      <c r="D2048" s="1">
        <f>DATE(2020,5,5)+TIME(15,42,53)</f>
        <v>43956.654780092591</v>
      </c>
    </row>
    <row r="2049" spans="1:4" ht="17">
      <c r="A2049" s="5" t="s">
        <v>2379</v>
      </c>
      <c r="B2049" s="5" t="s">
        <v>2380</v>
      </c>
      <c r="C2049" s="5" t="s">
        <v>2381</v>
      </c>
      <c r="D2049" s="2">
        <f>DATE(2020,6,29)+TIME(11,43,56)</f>
        <v>44011.488842592589</v>
      </c>
    </row>
    <row r="2050" spans="1:4" ht="17">
      <c r="A2050" s="5" t="s">
        <v>625</v>
      </c>
      <c r="B2050" s="5" t="s">
        <v>626</v>
      </c>
      <c r="C2050" s="5" t="s">
        <v>627</v>
      </c>
      <c r="D2050" s="2">
        <f>DATE(2020,5,24)+TIME(19,33,5)</f>
        <v>43975.814641203702</v>
      </c>
    </row>
    <row r="2051" spans="1:4" ht="17">
      <c r="A2051" s="4" t="s">
        <v>7214</v>
      </c>
      <c r="B2051" s="4" t="s">
        <v>7215</v>
      </c>
      <c r="C2051" s="4" t="s">
        <v>7216</v>
      </c>
      <c r="D2051" s="1">
        <f>DATE(2020,2,3)+TIME(11,22,35)</f>
        <v>43864.474016203705</v>
      </c>
    </row>
    <row r="2052" spans="1:4" ht="17">
      <c r="A2052" s="4" t="s">
        <v>7890</v>
      </c>
      <c r="B2052" s="4" t="s">
        <v>7891</v>
      </c>
      <c r="C2052" s="4" t="s">
        <v>7892</v>
      </c>
      <c r="D2052" s="1">
        <f>DATE(2020,5,27)+TIME(22,37,45)</f>
        <v>43978.942881944444</v>
      </c>
    </row>
    <row r="2053" spans="1:4" ht="17">
      <c r="A2053" s="5" t="s">
        <v>4484</v>
      </c>
      <c r="B2053" s="5" t="s">
        <v>4485</v>
      </c>
      <c r="C2053" s="5" t="s">
        <v>4486</v>
      </c>
      <c r="D2053" s="2">
        <f>DATE(2020,6,24)+TIME(9,3,59)</f>
        <v>44006.377766203703</v>
      </c>
    </row>
    <row r="2054" spans="1:4" ht="17">
      <c r="A2054" s="5" t="s">
        <v>6862</v>
      </c>
      <c r="B2054" s="5" t="s">
        <v>4643</v>
      </c>
      <c r="C2054" s="5" t="s">
        <v>6863</v>
      </c>
      <c r="D2054" s="2">
        <f>DATE(2020,6,5)+TIME(3,3,56)</f>
        <v>43987.12773148148</v>
      </c>
    </row>
    <row r="2055" spans="1:4" ht="17">
      <c r="A2055" s="4" t="s">
        <v>1184</v>
      </c>
      <c r="B2055" s="4" t="s">
        <v>1185</v>
      </c>
      <c r="C2055" s="4" t="s">
        <v>1186</v>
      </c>
      <c r="D2055" s="1">
        <f>DATE(2020,6,23)+TIME(13,32,54)</f>
        <v>44005.564513888887</v>
      </c>
    </row>
    <row r="2056" spans="1:4" ht="17">
      <c r="A2056" s="4" t="s">
        <v>8127</v>
      </c>
      <c r="B2056" s="4" t="s">
        <v>238</v>
      </c>
      <c r="C2056" s="4" t="s">
        <v>8128</v>
      </c>
      <c r="D2056" s="1">
        <f>DATE(2020,5,31)+TIME(6,51,38)</f>
        <v>43982.285856481481</v>
      </c>
    </row>
    <row r="2057" spans="1:4" ht="17">
      <c r="A2057" s="4" t="s">
        <v>1641</v>
      </c>
      <c r="B2057" s="4" t="s">
        <v>3645</v>
      </c>
      <c r="C2057" s="4" t="s">
        <v>3646</v>
      </c>
      <c r="D2057" s="1">
        <f>DATE(2020,3,9)+TIME(9,16,5)</f>
        <v>43899.38616898148</v>
      </c>
    </row>
    <row r="2058" spans="1:4" ht="17">
      <c r="A2058" s="4" t="s">
        <v>1641</v>
      </c>
      <c r="B2058" s="4" t="s">
        <v>4404</v>
      </c>
      <c r="C2058" s="4" t="s">
        <v>4405</v>
      </c>
      <c r="D2058" s="1">
        <f>DATE(2020,5,28)+TIME(2,8,13)</f>
        <v>43979.089039351849</v>
      </c>
    </row>
    <row r="2059" spans="1:4" ht="17">
      <c r="A2059" s="5" t="s">
        <v>1641</v>
      </c>
      <c r="B2059" s="5" t="s">
        <v>1642</v>
      </c>
      <c r="C2059" s="5" t="s">
        <v>1643</v>
      </c>
      <c r="D2059" s="2">
        <f>DATE(2020,6,26)+TIME(13,45,34)</f>
        <v>44008.573310185187</v>
      </c>
    </row>
    <row r="2060" spans="1:4" ht="17">
      <c r="A2060" s="5" t="s">
        <v>2166</v>
      </c>
      <c r="B2060" s="5" t="s">
        <v>2167</v>
      </c>
      <c r="C2060" s="5" t="s">
        <v>2168</v>
      </c>
      <c r="D2060" s="2">
        <f>DATE(2020,5,17)+TIME(9,41,14)</f>
        <v>43968.403634259259</v>
      </c>
    </row>
    <row r="2061" spans="1:4" ht="17">
      <c r="A2061" s="4" t="s">
        <v>7378</v>
      </c>
      <c r="B2061" s="4" t="s">
        <v>7379</v>
      </c>
      <c r="C2061" s="4" t="s">
        <v>7380</v>
      </c>
      <c r="D2061" s="1">
        <f>DATE(2020,5,29)+TIME(20,2,6)</f>
        <v>43980.834791666668</v>
      </c>
    </row>
    <row r="2062" spans="1:4" ht="17">
      <c r="A2062" s="4" t="s">
        <v>7488</v>
      </c>
      <c r="B2062" s="4" t="s">
        <v>7489</v>
      </c>
      <c r="C2062" s="4" t="s">
        <v>7490</v>
      </c>
      <c r="D2062" s="1">
        <f>DATE(2020,6,15)+TIME(2,26,39)</f>
        <v>43997.101840277777</v>
      </c>
    </row>
    <row r="2063" spans="1:4" ht="17">
      <c r="A2063" s="5" t="s">
        <v>6738</v>
      </c>
      <c r="B2063" s="5" t="s">
        <v>118</v>
      </c>
      <c r="C2063" s="5" t="s">
        <v>6739</v>
      </c>
      <c r="D2063" s="2">
        <f>DATE(2020,5,25)+TIME(11,32,48)</f>
        <v>43976.481111111112</v>
      </c>
    </row>
    <row r="2064" spans="1:4" ht="17">
      <c r="A2064" s="4" t="s">
        <v>7795</v>
      </c>
      <c r="B2064" s="4" t="s">
        <v>7992</v>
      </c>
      <c r="C2064" s="4" t="s">
        <v>7993</v>
      </c>
      <c r="D2064" s="1">
        <f>DATE(2020,5,14)+TIME(5,7,18)</f>
        <v>43965.213402777779</v>
      </c>
    </row>
    <row r="2065" spans="1:4" ht="17">
      <c r="A2065" s="5" t="s">
        <v>7795</v>
      </c>
      <c r="B2065" s="5" t="s">
        <v>704</v>
      </c>
      <c r="C2065" s="5" t="s">
        <v>7796</v>
      </c>
      <c r="D2065" s="2">
        <f>DATE(2020,6,13)+TIME(14,25,35)</f>
        <v>43995.601099537038</v>
      </c>
    </row>
    <row r="2066" spans="1:4" ht="17">
      <c r="A2066" s="5" t="s">
        <v>7795</v>
      </c>
      <c r="B2066" s="5" t="s">
        <v>8346</v>
      </c>
      <c r="C2066" s="5" t="s">
        <v>8347</v>
      </c>
      <c r="D2066" s="2">
        <f>DATE(2020,6,22)+TIME(8,22,25)</f>
        <v>44004.348900462966</v>
      </c>
    </row>
    <row r="2067" spans="1:4" ht="17">
      <c r="A2067" s="4" t="s">
        <v>1807</v>
      </c>
      <c r="B2067" s="4" t="s">
        <v>9044</v>
      </c>
      <c r="C2067" s="4" t="s">
        <v>9045</v>
      </c>
      <c r="D2067" s="1">
        <f>DATE(2020,5,12)+TIME(12,58,10)</f>
        <v>43963.540393518517</v>
      </c>
    </row>
    <row r="2068" spans="1:4" ht="17">
      <c r="A2068" s="4" t="s">
        <v>1807</v>
      </c>
      <c r="B2068" s="4" t="s">
        <v>1808</v>
      </c>
      <c r="C2068" s="4" t="s">
        <v>1809</v>
      </c>
      <c r="D2068" s="1">
        <f>DATE(2020,6,8)+TIME(19,49,22)</f>
        <v>43990.825949074075</v>
      </c>
    </row>
    <row r="2069" spans="1:4" ht="17">
      <c r="A2069" s="5" t="s">
        <v>6318</v>
      </c>
      <c r="B2069" s="5" t="s">
        <v>6319</v>
      </c>
      <c r="C2069" s="5" t="s">
        <v>6320</v>
      </c>
      <c r="D2069" s="2">
        <f>DATE(2020,6,29)+TIME(10,21,23)</f>
        <v>44011.431516203702</v>
      </c>
    </row>
    <row r="2070" spans="1:4" ht="17">
      <c r="A2070" s="4" t="s">
        <v>4310</v>
      </c>
      <c r="B2070" s="4" t="s">
        <v>4311</v>
      </c>
      <c r="C2070" s="4" t="s">
        <v>4312</v>
      </c>
      <c r="D2070" s="1">
        <f>DATE(2020,5,6)+TIME(9,49,11)</f>
        <v>43957.409155092595</v>
      </c>
    </row>
    <row r="2071" spans="1:4" ht="17">
      <c r="A2071" s="4" t="s">
        <v>2613</v>
      </c>
      <c r="B2071" s="4" t="s">
        <v>5946</v>
      </c>
      <c r="C2071" s="4" t="s">
        <v>5947</v>
      </c>
      <c r="D2071" s="1">
        <f>DATE(2020,5,12)+TIME(16,24,31)</f>
        <v>43963.683692129627</v>
      </c>
    </row>
    <row r="2072" spans="1:4" ht="17">
      <c r="A2072" s="4" t="s">
        <v>2613</v>
      </c>
      <c r="B2072" s="4" t="s">
        <v>632</v>
      </c>
      <c r="C2072" s="4" t="s">
        <v>2614</v>
      </c>
      <c r="D2072" s="1">
        <f>DATE(2020,6,25)+TIME(11,25,44)</f>
        <v>44007.476203703707</v>
      </c>
    </row>
    <row r="2073" spans="1:4" ht="17">
      <c r="A2073" s="5" t="s">
        <v>8207</v>
      </c>
      <c r="B2073" s="5" t="s">
        <v>8208</v>
      </c>
      <c r="C2073" s="5" t="s">
        <v>8209</v>
      </c>
      <c r="D2073" s="2">
        <f>DATE(2020,6,26)+TIME(12,43,0)</f>
        <v>44008.529861111114</v>
      </c>
    </row>
    <row r="2074" spans="1:4" ht="17">
      <c r="A2074" s="4" t="s">
        <v>6360</v>
      </c>
      <c r="B2074" s="4" t="s">
        <v>6361</v>
      </c>
      <c r="C2074" s="4" t="s">
        <v>6362</v>
      </c>
      <c r="D2074" s="1">
        <f>DATE(2020,6,15)+TIME(18,48,43)</f>
        <v>43997.783831018518</v>
      </c>
    </row>
    <row r="2075" spans="1:4" ht="17">
      <c r="A2075" s="5" t="s">
        <v>1022</v>
      </c>
      <c r="B2075" s="5" t="s">
        <v>1023</v>
      </c>
      <c r="C2075" s="5" t="s">
        <v>1024</v>
      </c>
      <c r="D2075" s="2">
        <f>DATE(2020,6,15)+TIME(13,7,51)</f>
        <v>43997.547118055554</v>
      </c>
    </row>
    <row r="2076" spans="1:4" ht="17">
      <c r="A2076" s="4" t="s">
        <v>8192</v>
      </c>
      <c r="B2076" s="4" t="s">
        <v>8193</v>
      </c>
      <c r="C2076" s="4" t="s">
        <v>8194</v>
      </c>
      <c r="D2076" s="1">
        <f>DATE(2020,6,29)+TIME(5,15,39)</f>
        <v>44011.219201388885</v>
      </c>
    </row>
    <row r="2077" spans="1:4" ht="17">
      <c r="A2077" s="5" t="s">
        <v>7911</v>
      </c>
      <c r="B2077" s="5" t="s">
        <v>7912</v>
      </c>
      <c r="C2077" s="5" t="s">
        <v>7913</v>
      </c>
      <c r="D2077" s="2">
        <f>DATE(2020,6,27)+TIME(22,4,51)</f>
        <v>44009.920034722221</v>
      </c>
    </row>
    <row r="2078" spans="1:4" ht="17">
      <c r="A2078" s="4" t="s">
        <v>2238</v>
      </c>
      <c r="B2078" s="4" t="s">
        <v>4600</v>
      </c>
      <c r="C2078" s="4" t="s">
        <v>4601</v>
      </c>
      <c r="D2078" s="1">
        <f>DATE(2020,5,13)+TIME(3,54,28)</f>
        <v>43964.162824074076</v>
      </c>
    </row>
    <row r="2079" spans="1:4" ht="17">
      <c r="A2079" s="4" t="s">
        <v>2238</v>
      </c>
      <c r="B2079" s="4" t="s">
        <v>2239</v>
      </c>
      <c r="C2079" s="4" t="s">
        <v>2240</v>
      </c>
      <c r="D2079" s="1">
        <f>DATE(2020,6,22)+TIME(4,53,29)</f>
        <v>44004.20380787037</v>
      </c>
    </row>
    <row r="2080" spans="1:4" ht="17">
      <c r="A2080" s="5" t="s">
        <v>1428</v>
      </c>
      <c r="B2080" s="5" t="s">
        <v>1429</v>
      </c>
      <c r="C2080" s="5" t="s">
        <v>1430</v>
      </c>
      <c r="D2080" s="2">
        <f>DATE(2020,5,13)+TIME(3,54,29)</f>
        <v>43964.162835648145</v>
      </c>
    </row>
    <row r="2081" spans="1:4" ht="17">
      <c r="A2081" s="4" t="s">
        <v>1428</v>
      </c>
      <c r="B2081" s="4" t="s">
        <v>507</v>
      </c>
      <c r="C2081" s="4" t="s">
        <v>8719</v>
      </c>
      <c r="D2081" s="1">
        <f>DATE(2020,6,5)+TIME(4,41,39)</f>
        <v>43987.195590277777</v>
      </c>
    </row>
    <row r="2082" spans="1:4" ht="17">
      <c r="A2082" s="5" t="s">
        <v>8559</v>
      </c>
      <c r="B2082" s="5" t="s">
        <v>311</v>
      </c>
      <c r="C2082" s="5" t="s">
        <v>8560</v>
      </c>
      <c r="D2082" s="2">
        <f>DATE(2020,6,17)+TIME(16,6,20)</f>
        <v>43999.671064814815</v>
      </c>
    </row>
    <row r="2083" spans="1:4" ht="17">
      <c r="A2083" s="5" t="s">
        <v>9397</v>
      </c>
      <c r="B2083" s="5" t="s">
        <v>5343</v>
      </c>
      <c r="C2083" s="5" t="s">
        <v>9398</v>
      </c>
      <c r="D2083" s="2">
        <f>DATE(2020,5,14)+TIME(2,24,35)</f>
        <v>43965.100405092591</v>
      </c>
    </row>
    <row r="2084" spans="1:4" ht="17">
      <c r="A2084" s="5" t="s">
        <v>5342</v>
      </c>
      <c r="B2084" s="5" t="s">
        <v>5343</v>
      </c>
      <c r="C2084" s="5" t="s">
        <v>5344</v>
      </c>
      <c r="D2084" s="2">
        <f>DATE(2020,5,11)+TIME(17,12,25)</f>
        <v>43962.716956018521</v>
      </c>
    </row>
    <row r="2085" spans="1:4" ht="17">
      <c r="A2085" s="5" t="s">
        <v>8948</v>
      </c>
      <c r="B2085" s="5" t="s">
        <v>8949</v>
      </c>
      <c r="C2085" s="5" t="s">
        <v>8950</v>
      </c>
      <c r="D2085" s="2">
        <f>DATE(2020,6,28)+TIME(21,57,25)</f>
        <v>44010.914872685185</v>
      </c>
    </row>
    <row r="2086" spans="1:4" ht="17">
      <c r="A2086" s="5" t="s">
        <v>8111</v>
      </c>
      <c r="B2086" s="5" t="s">
        <v>8112</v>
      </c>
      <c r="C2086" s="5" t="s">
        <v>8113</v>
      </c>
      <c r="D2086" s="2">
        <f>DATE(2020,6,15)+TIME(22,52,43)</f>
        <v>43997.953275462962</v>
      </c>
    </row>
    <row r="2087" spans="1:4" ht="17">
      <c r="A2087" s="5" t="s">
        <v>109</v>
      </c>
      <c r="B2087" s="5" t="s">
        <v>8836</v>
      </c>
      <c r="C2087" s="5" t="s">
        <v>8837</v>
      </c>
      <c r="D2087" s="2">
        <f>DATE(2020,6,27)+TIME(18,54,47)</f>
        <v>44009.788043981483</v>
      </c>
    </row>
    <row r="2088" spans="1:4" ht="17">
      <c r="A2088" s="5" t="s">
        <v>9429</v>
      </c>
      <c r="B2088" s="5" t="s">
        <v>946</v>
      </c>
      <c r="C2088" s="5" t="s">
        <v>9430</v>
      </c>
      <c r="D2088" s="2">
        <f>DATE(2020,6,27)+TIME(12,45,0)</f>
        <v>44009.53125</v>
      </c>
    </row>
    <row r="2089" spans="1:4" ht="17">
      <c r="A2089" s="5" t="s">
        <v>896</v>
      </c>
      <c r="B2089" s="5" t="s">
        <v>1486</v>
      </c>
      <c r="C2089" s="5" t="s">
        <v>1487</v>
      </c>
      <c r="D2089" s="2">
        <f>DATE(2020,5,8)+TIME(14,32,34)</f>
        <v>43959.605949074074</v>
      </c>
    </row>
    <row r="2090" spans="1:4" ht="17">
      <c r="A2090" s="4" t="s">
        <v>896</v>
      </c>
      <c r="B2090" s="4" t="s">
        <v>897</v>
      </c>
      <c r="C2090" s="4" t="s">
        <v>898</v>
      </c>
      <c r="D2090" s="1">
        <f>DATE(2020,6,24)+TIME(6,40,8)</f>
        <v>44006.277870370373</v>
      </c>
    </row>
    <row r="2091" spans="1:4" ht="17">
      <c r="A2091" s="4" t="s">
        <v>435</v>
      </c>
      <c r="B2091" s="4" t="s">
        <v>436</v>
      </c>
      <c r="C2091" s="4" t="s">
        <v>437</v>
      </c>
      <c r="D2091" s="1">
        <f>DATE(2020,5,5)+TIME(19,6,24)</f>
        <v>43956.796111111114</v>
      </c>
    </row>
    <row r="2092" spans="1:4" ht="17">
      <c r="A2092" s="5" t="s">
        <v>1670</v>
      </c>
      <c r="B2092" s="5" t="s">
        <v>1671</v>
      </c>
      <c r="C2092" s="5" t="s">
        <v>1672</v>
      </c>
      <c r="D2092" s="2">
        <f>DATE(2020,6,5)+TIME(4,55,0)</f>
        <v>43987.204861111109</v>
      </c>
    </row>
    <row r="2093" spans="1:4" ht="17">
      <c r="A2093" s="5" t="s">
        <v>415</v>
      </c>
      <c r="B2093" s="5" t="s">
        <v>4732</v>
      </c>
      <c r="C2093" s="5" t="s">
        <v>4733</v>
      </c>
      <c r="D2093" s="2">
        <f>DATE(2020,6,1)+TIME(18,19,36)</f>
        <v>43983.763611111113</v>
      </c>
    </row>
    <row r="2094" spans="1:4" ht="17">
      <c r="A2094" s="4" t="s">
        <v>415</v>
      </c>
      <c r="B2094" s="4" t="s">
        <v>1591</v>
      </c>
      <c r="C2094" s="4" t="s">
        <v>1592</v>
      </c>
      <c r="D2094" s="1">
        <f>DATE(2020,6,12)+TIME(11,32,27)</f>
        <v>43994.480868055558</v>
      </c>
    </row>
    <row r="2095" spans="1:4" ht="17">
      <c r="A2095" s="5" t="s">
        <v>415</v>
      </c>
      <c r="B2095" s="5" t="s">
        <v>8701</v>
      </c>
      <c r="C2095" s="5" t="s">
        <v>8702</v>
      </c>
      <c r="D2095" s="2">
        <f>DATE(2020,6,19)+TIME(7,41,22)</f>
        <v>44001.320393518516</v>
      </c>
    </row>
    <row r="2096" spans="1:4" ht="17">
      <c r="A2096" s="5" t="s">
        <v>415</v>
      </c>
      <c r="B2096" s="5" t="s">
        <v>416</v>
      </c>
      <c r="C2096" s="5" t="s">
        <v>417</v>
      </c>
      <c r="D2096" s="2">
        <f>DATE(2020,6,24)+TIME(16,34,51)</f>
        <v>44006.690868055557</v>
      </c>
    </row>
    <row r="2097" spans="1:4" ht="17">
      <c r="A2097" s="5" t="s">
        <v>415</v>
      </c>
      <c r="B2097" s="5" t="s">
        <v>1845</v>
      </c>
      <c r="C2097" s="5" t="s">
        <v>1846</v>
      </c>
      <c r="D2097" s="2">
        <f>DATE(2020,6,26)+TIME(23,32,8)</f>
        <v>44008.98064814815</v>
      </c>
    </row>
    <row r="2098" spans="1:4" ht="17">
      <c r="A2098" s="4" t="s">
        <v>1503</v>
      </c>
      <c r="B2098" s="4" t="s">
        <v>1504</v>
      </c>
      <c r="C2098" s="4" t="s">
        <v>1505</v>
      </c>
      <c r="D2098" s="1">
        <f>DATE(2020,5,5)+TIME(19,51,39)</f>
        <v>43956.827534722222</v>
      </c>
    </row>
    <row r="2099" spans="1:4" ht="17">
      <c r="A2099" s="4" t="s">
        <v>1847</v>
      </c>
      <c r="B2099" s="4" t="s">
        <v>1848</v>
      </c>
      <c r="C2099" s="4" t="s">
        <v>1849</v>
      </c>
      <c r="D2099" s="1">
        <f>DATE(2020,6,27)+TIME(16,5,18)</f>
        <v>44009.670347222222</v>
      </c>
    </row>
    <row r="2100" spans="1:4" ht="17">
      <c r="A2100" s="5" t="s">
        <v>1034</v>
      </c>
      <c r="B2100" s="5" t="s">
        <v>1035</v>
      </c>
      <c r="C2100" s="5" t="s">
        <v>1036</v>
      </c>
      <c r="D2100" s="2">
        <f>DATE(2020,3,30)+TIME(11,43,59)</f>
        <v>43920.488877314812</v>
      </c>
    </row>
    <row r="2101" spans="1:4" ht="17">
      <c r="A2101" s="5" t="s">
        <v>6386</v>
      </c>
      <c r="B2101" s="5" t="s">
        <v>6387</v>
      </c>
      <c r="C2101" s="5" t="s">
        <v>6388</v>
      </c>
      <c r="D2101" s="2">
        <f>DATE(2020,5,14)+TIME(16,6,6)</f>
        <v>43965.670902777776</v>
      </c>
    </row>
    <row r="2102" spans="1:4" ht="17">
      <c r="A2102" s="5" t="s">
        <v>2352</v>
      </c>
      <c r="B2102" s="5" t="s">
        <v>5060</v>
      </c>
      <c r="C2102" s="5" t="s">
        <v>5061</v>
      </c>
      <c r="D2102" s="2">
        <f>DATE(2020,5,6)+TIME(14,46,49)</f>
        <v>43957.615844907406</v>
      </c>
    </row>
    <row r="2103" spans="1:4" ht="17">
      <c r="A2103" s="4" t="s">
        <v>2352</v>
      </c>
      <c r="B2103" s="4" t="s">
        <v>2109</v>
      </c>
      <c r="C2103" s="4" t="s">
        <v>6490</v>
      </c>
      <c r="D2103" s="1">
        <f>DATE(2020,6,11)+TIME(19,47,34)</f>
        <v>43993.824699074074</v>
      </c>
    </row>
    <row r="2104" spans="1:4" ht="17">
      <c r="A2104" s="5" t="s">
        <v>2352</v>
      </c>
      <c r="B2104" s="5" t="s">
        <v>2353</v>
      </c>
      <c r="C2104" s="5" t="s">
        <v>2354</v>
      </c>
      <c r="D2104" s="2">
        <f>DATE(2020,6,12)+TIME(19,4,15)</f>
        <v>43994.794618055559</v>
      </c>
    </row>
    <row r="2105" spans="1:4" ht="17">
      <c r="A2105" s="4" t="s">
        <v>2352</v>
      </c>
      <c r="B2105" s="4" t="s">
        <v>7061</v>
      </c>
      <c r="C2105" s="4" t="s">
        <v>7062</v>
      </c>
      <c r="D2105" s="1">
        <f>DATE(2020,6,24)+TIME(12,53,55)</f>
        <v>44006.537442129629</v>
      </c>
    </row>
    <row r="2106" spans="1:4" ht="17">
      <c r="A2106" s="4" t="s">
        <v>2352</v>
      </c>
      <c r="B2106" s="4" t="s">
        <v>3597</v>
      </c>
      <c r="C2106" s="4" t="s">
        <v>6183</v>
      </c>
      <c r="D2106" s="1">
        <f>DATE(2020,6,25)+TIME(10,57,56)</f>
        <v>44007.45689814815</v>
      </c>
    </row>
    <row r="2107" spans="1:4" ht="17">
      <c r="A2107" s="4" t="s">
        <v>960</v>
      </c>
      <c r="B2107" s="4" t="s">
        <v>961</v>
      </c>
      <c r="C2107" s="4" t="s">
        <v>962</v>
      </c>
      <c r="D2107" s="1">
        <f>DATE(2020,6,25)+TIME(8,36,7)</f>
        <v>44007.358414351853</v>
      </c>
    </row>
    <row r="2108" spans="1:4" ht="17">
      <c r="A2108" s="4" t="s">
        <v>4156</v>
      </c>
      <c r="B2108" s="4" t="s">
        <v>9532</v>
      </c>
      <c r="C2108" s="4" t="s">
        <v>9533</v>
      </c>
      <c r="D2108" s="1">
        <f>DATE(2020,2,24)+TIME(12,46,9)</f>
        <v>43885.532048611109</v>
      </c>
    </row>
    <row r="2109" spans="1:4" ht="17">
      <c r="A2109" s="5" t="s">
        <v>4156</v>
      </c>
      <c r="B2109" s="5" t="s">
        <v>5748</v>
      </c>
      <c r="C2109" s="5" t="s">
        <v>5749</v>
      </c>
      <c r="D2109" s="2">
        <f>DATE(2020,6,15)+TIME(14,54,35)</f>
        <v>43997.621238425927</v>
      </c>
    </row>
    <row r="2110" spans="1:4" ht="17">
      <c r="A2110" s="4" t="s">
        <v>4156</v>
      </c>
      <c r="B2110" s="4" t="s">
        <v>1116</v>
      </c>
      <c r="C2110" s="4" t="s">
        <v>4157</v>
      </c>
      <c r="D2110" s="1">
        <f>DATE(2020,6,23)+TIME(1,25,57)</f>
        <v>44005.059687499997</v>
      </c>
    </row>
    <row r="2111" spans="1:4" ht="17">
      <c r="A2111" s="4" t="s">
        <v>4156</v>
      </c>
      <c r="B2111" s="4" t="s">
        <v>9198</v>
      </c>
      <c r="C2111" s="4" t="s">
        <v>9199</v>
      </c>
      <c r="D2111" s="1">
        <f>DATE(2020,6,24)+TIME(10,34,18)</f>
        <v>44006.440486111111</v>
      </c>
    </row>
    <row r="2112" spans="1:4" ht="17">
      <c r="A2112" s="4" t="s">
        <v>3792</v>
      </c>
      <c r="B2112" s="4" t="s">
        <v>3793</v>
      </c>
      <c r="C2112" s="4" t="s">
        <v>3794</v>
      </c>
      <c r="D2112" s="1">
        <f>DATE(2020,6,27)+TIME(14,57,20)</f>
        <v>44009.623148148145</v>
      </c>
    </row>
    <row r="2113" spans="1:4" ht="17">
      <c r="A2113" s="5" t="s">
        <v>1804</v>
      </c>
      <c r="B2113" s="5" t="s">
        <v>1805</v>
      </c>
      <c r="C2113" s="5" t="s">
        <v>1806</v>
      </c>
      <c r="D2113" s="2">
        <f>DATE(2020,6,8)+TIME(22,32,42)</f>
        <v>43990.939375000002</v>
      </c>
    </row>
    <row r="2114" spans="1:4" ht="17">
      <c r="A2114" s="5" t="s">
        <v>7701</v>
      </c>
      <c r="B2114" s="5" t="s">
        <v>7702</v>
      </c>
      <c r="C2114" s="5" t="s">
        <v>7703</v>
      </c>
      <c r="D2114" s="2">
        <f>DATE(2020,6,26)+TIME(7,46,40)</f>
        <v>44008.324074074073</v>
      </c>
    </row>
    <row r="2115" spans="1:4" ht="17">
      <c r="A2115" s="5" t="s">
        <v>2245</v>
      </c>
      <c r="B2115" s="5" t="s">
        <v>2246</v>
      </c>
      <c r="C2115" s="5" t="s">
        <v>2247</v>
      </c>
      <c r="D2115" s="2">
        <f>DATE(2020,6,18)+TIME(4,13,13)</f>
        <v>44000.175844907404</v>
      </c>
    </row>
    <row r="2116" spans="1:4" ht="17">
      <c r="A2116" s="4" t="s">
        <v>3001</v>
      </c>
      <c r="B2116" s="4" t="s">
        <v>4968</v>
      </c>
      <c r="C2116" s="4" t="s">
        <v>4969</v>
      </c>
      <c r="D2116" s="1">
        <f>DATE(2020,6,22)+TIME(20,0,3)</f>
        <v>44004.833368055559</v>
      </c>
    </row>
    <row r="2117" spans="1:4" ht="17">
      <c r="A2117" s="5" t="s">
        <v>3719</v>
      </c>
      <c r="B2117" s="5" t="s">
        <v>3720</v>
      </c>
      <c r="C2117" s="5" t="s">
        <v>3721</v>
      </c>
      <c r="D2117" s="2">
        <f>DATE(2020,6,29)+TIME(9,0,26)</f>
        <v>44011.375300925924</v>
      </c>
    </row>
    <row r="2118" spans="1:4" ht="34">
      <c r="A2118" s="5" t="s">
        <v>2087</v>
      </c>
      <c r="B2118" s="5" t="s">
        <v>2088</v>
      </c>
      <c r="C2118" s="5" t="s">
        <v>2089</v>
      </c>
      <c r="D2118" s="2">
        <f>DATE(2020,6,19)+TIME(19,8,15)</f>
        <v>44001.797395833331</v>
      </c>
    </row>
    <row r="2119" spans="1:4" ht="17">
      <c r="A2119" s="5" t="s">
        <v>8022</v>
      </c>
      <c r="B2119" s="5" t="s">
        <v>8023</v>
      </c>
      <c r="C2119" s="5" t="s">
        <v>8024</v>
      </c>
      <c r="D2119" s="2">
        <f>DATE(2020,6,24)+TIME(13,14,53)</f>
        <v>44006.552002314813</v>
      </c>
    </row>
    <row r="2120" spans="1:4" ht="17">
      <c r="A2120" s="4" t="s">
        <v>6326</v>
      </c>
      <c r="B2120" s="4" t="s">
        <v>6327</v>
      </c>
      <c r="C2120" s="4" t="s">
        <v>6328</v>
      </c>
      <c r="D2120" s="1">
        <f>DATE(2020,5,19)+TIME(6,54,34)</f>
        <v>43970.287893518522</v>
      </c>
    </row>
    <row r="2121" spans="1:4" ht="17">
      <c r="A2121" s="4" t="s">
        <v>58</v>
      </c>
      <c r="B2121" s="4" t="s">
        <v>3018</v>
      </c>
      <c r="C2121" s="4" t="s">
        <v>3019</v>
      </c>
      <c r="D2121" s="1">
        <f>DATE(2020,5,6)+TIME(21,20,31)</f>
        <v>43957.889247685183</v>
      </c>
    </row>
    <row r="2122" spans="1:4" ht="17">
      <c r="A2122" s="4" t="s">
        <v>58</v>
      </c>
      <c r="B2122" s="4" t="s">
        <v>1536</v>
      </c>
      <c r="C2122" s="4" t="s">
        <v>1537</v>
      </c>
      <c r="D2122" s="1">
        <f>DATE(2020,6,26)+TIME(8,37,4)</f>
        <v>44008.359074074076</v>
      </c>
    </row>
    <row r="2123" spans="1:4" ht="17">
      <c r="A2123" s="4" t="s">
        <v>6197</v>
      </c>
      <c r="B2123" s="4" t="s">
        <v>1807</v>
      </c>
      <c r="C2123" s="4" t="s">
        <v>6198</v>
      </c>
      <c r="D2123" s="1">
        <f>DATE(2020,6,28)+TIME(17,42,6)</f>
        <v>44010.737569444442</v>
      </c>
    </row>
    <row r="2124" spans="1:4" ht="17">
      <c r="A2124" s="5" t="s">
        <v>8009</v>
      </c>
      <c r="B2124" s="5" t="s">
        <v>8010</v>
      </c>
      <c r="C2124" s="5" t="s">
        <v>8011</v>
      </c>
      <c r="D2124" s="2">
        <f>DATE(2020,6,26)+TIME(21,52,43)</f>
        <v>44008.911608796298</v>
      </c>
    </row>
    <row r="2125" spans="1:4" ht="17">
      <c r="A2125" s="5" t="s">
        <v>2907</v>
      </c>
      <c r="B2125" s="5" t="s">
        <v>2908</v>
      </c>
      <c r="C2125" s="5" t="s">
        <v>2909</v>
      </c>
      <c r="D2125" s="2">
        <f>DATE(2020,6,26)+TIME(11,40,26)</f>
        <v>44008.48641203704</v>
      </c>
    </row>
    <row r="2126" spans="1:4" ht="17">
      <c r="A2126" s="5" t="s">
        <v>9376</v>
      </c>
      <c r="B2126" s="5" t="s">
        <v>9377</v>
      </c>
      <c r="C2126" s="5" t="s">
        <v>9378</v>
      </c>
      <c r="D2126" s="2">
        <f>DATE(2020,6,17)+TIME(7,32,0)</f>
        <v>43999.313888888886</v>
      </c>
    </row>
    <row r="2127" spans="1:4" ht="17">
      <c r="A2127" s="5" t="s">
        <v>6248</v>
      </c>
      <c r="B2127" s="5" t="s">
        <v>1693</v>
      </c>
      <c r="C2127" s="5" t="s">
        <v>6249</v>
      </c>
      <c r="D2127" s="2">
        <f>DATE(2020,6,24)+TIME(14,23,30)</f>
        <v>44006.599652777775</v>
      </c>
    </row>
    <row r="2128" spans="1:4" ht="17">
      <c r="A2128" s="5" t="s">
        <v>1565</v>
      </c>
      <c r="B2128" s="5" t="s">
        <v>1565</v>
      </c>
      <c r="C2128" s="5" t="s">
        <v>1566</v>
      </c>
      <c r="D2128" s="2">
        <f>DATE(2020,5,31)+TIME(21,17,51)</f>
        <v>43982.887395833335</v>
      </c>
    </row>
    <row r="2129" spans="1:4" ht="17">
      <c r="A2129" s="5" t="s">
        <v>1565</v>
      </c>
      <c r="B2129" s="5" t="s">
        <v>6895</v>
      </c>
      <c r="C2129" s="5" t="s">
        <v>6896</v>
      </c>
      <c r="D2129" s="2">
        <f>DATE(2020,6,4)+TIME(17,11,52)</f>
        <v>43986.716574074075</v>
      </c>
    </row>
    <row r="2130" spans="1:4" ht="17">
      <c r="A2130" s="4" t="s">
        <v>1565</v>
      </c>
      <c r="B2130" s="4" t="s">
        <v>5536</v>
      </c>
      <c r="C2130" s="4" t="s">
        <v>5537</v>
      </c>
      <c r="D2130" s="1">
        <f>DATE(2020,6,26)+TIME(11,16,39)</f>
        <v>44008.469895833332</v>
      </c>
    </row>
    <row r="2131" spans="1:4" ht="17">
      <c r="A2131" s="4" t="s">
        <v>8561</v>
      </c>
      <c r="B2131" s="4" t="s">
        <v>8562</v>
      </c>
      <c r="C2131" s="4" t="s">
        <v>8563</v>
      </c>
      <c r="D2131" s="1">
        <f>DATE(2020,6,5)+TIME(0,17,34)</f>
        <v>43987.012199074074</v>
      </c>
    </row>
    <row r="2132" spans="1:4" ht="17">
      <c r="A2132" s="5" t="s">
        <v>594</v>
      </c>
      <c r="B2132" s="5" t="s">
        <v>4012</v>
      </c>
      <c r="C2132" s="5" t="s">
        <v>4013</v>
      </c>
      <c r="D2132" s="2">
        <f>DATE(2020,5,18)+TIME(10,48,11)</f>
        <v>43969.450127314813</v>
      </c>
    </row>
    <row r="2133" spans="1:4" ht="17">
      <c r="A2133" s="5" t="s">
        <v>594</v>
      </c>
      <c r="B2133" s="5" t="s">
        <v>8933</v>
      </c>
      <c r="C2133" s="5" t="s">
        <v>8934</v>
      </c>
      <c r="D2133" s="2">
        <f>DATE(2020,5,22)+TIME(10,29,25)</f>
        <v>43973.437094907407</v>
      </c>
    </row>
    <row r="2134" spans="1:4" ht="17">
      <c r="A2134" s="4" t="s">
        <v>594</v>
      </c>
      <c r="B2134" s="4" t="s">
        <v>595</v>
      </c>
      <c r="C2134" s="4" t="s">
        <v>596</v>
      </c>
      <c r="D2134" s="1">
        <f>DATE(2020,6,26)+TIME(15,1,22)</f>
        <v>44008.625949074078</v>
      </c>
    </row>
    <row r="2135" spans="1:4" ht="17">
      <c r="A2135" s="5" t="s">
        <v>814</v>
      </c>
      <c r="B2135" s="5" t="s">
        <v>815</v>
      </c>
      <c r="C2135" s="5" t="s">
        <v>816</v>
      </c>
      <c r="D2135" s="2">
        <f>DATE(2020,5,28)+TIME(13,9,31)</f>
        <v>43979.548275462963</v>
      </c>
    </row>
    <row r="2136" spans="1:4" ht="17">
      <c r="A2136" s="5" t="s">
        <v>5069</v>
      </c>
      <c r="B2136" s="5" t="s">
        <v>1178</v>
      </c>
      <c r="C2136" s="5" t="s">
        <v>5070</v>
      </c>
      <c r="D2136" s="2">
        <f>DATE(2020,6,24)+TIME(10,46,20)</f>
        <v>44006.448842592596</v>
      </c>
    </row>
    <row r="2137" spans="1:4" ht="17">
      <c r="A2137" s="5" t="s">
        <v>4412</v>
      </c>
      <c r="B2137" s="5" t="s">
        <v>4412</v>
      </c>
      <c r="C2137" s="5" t="s">
        <v>4413</v>
      </c>
      <c r="D2137" s="2">
        <f>DATE(2020,6,26)+TIME(9,7,30)</f>
        <v>44008.380208333336</v>
      </c>
    </row>
    <row r="2138" spans="1:4" ht="17">
      <c r="A2138" s="5" t="s">
        <v>7999</v>
      </c>
      <c r="B2138" s="5" t="s">
        <v>8000</v>
      </c>
      <c r="C2138" s="5" t="s">
        <v>8001</v>
      </c>
      <c r="D2138" s="2">
        <f>DATE(2020,4,8)+TIME(5,37,0)</f>
        <v>43929.234027777777</v>
      </c>
    </row>
    <row r="2139" spans="1:4" ht="17">
      <c r="A2139" s="4" t="s">
        <v>8257</v>
      </c>
      <c r="B2139" s="4" t="s">
        <v>6816</v>
      </c>
      <c r="C2139" s="4" t="s">
        <v>8258</v>
      </c>
      <c r="D2139" s="1">
        <f>DATE(2020,6,25)+TIME(11,7,12)</f>
        <v>44007.463333333333</v>
      </c>
    </row>
    <row r="2140" spans="1:4" ht="17">
      <c r="A2140" s="4" t="s">
        <v>1748</v>
      </c>
      <c r="B2140" s="4" t="s">
        <v>1749</v>
      </c>
      <c r="C2140" s="4" t="s">
        <v>1750</v>
      </c>
      <c r="D2140" s="1">
        <f>DATE(2020,6,16)+TIME(9,3,34)</f>
        <v>43998.377476851849</v>
      </c>
    </row>
    <row r="2141" spans="1:4" ht="17">
      <c r="A2141" s="5" t="s">
        <v>7362</v>
      </c>
      <c r="B2141" s="5" t="s">
        <v>7363</v>
      </c>
      <c r="C2141" s="5" t="s">
        <v>7364</v>
      </c>
      <c r="D2141" s="2">
        <f>DATE(2020,4,8)+TIME(18,3,7)</f>
        <v>43929.752164351848</v>
      </c>
    </row>
    <row r="2142" spans="1:4" ht="17">
      <c r="A2142" s="4" t="s">
        <v>4029</v>
      </c>
      <c r="B2142" s="4" t="s">
        <v>4030</v>
      </c>
      <c r="C2142" s="4" t="s">
        <v>4031</v>
      </c>
      <c r="D2142" s="1">
        <f>DATE(2020,6,26)+TIME(2,1,50)</f>
        <v>44008.084606481483</v>
      </c>
    </row>
    <row r="2143" spans="1:4" ht="17">
      <c r="A2143" s="5" t="s">
        <v>5463</v>
      </c>
      <c r="B2143" s="5" t="s">
        <v>5464</v>
      </c>
      <c r="C2143" s="5" t="s">
        <v>5465</v>
      </c>
      <c r="D2143" s="2">
        <f>DATE(2020,5,6)+TIME(10,37,58)</f>
        <v>43957.443032407406</v>
      </c>
    </row>
    <row r="2144" spans="1:4" ht="17">
      <c r="A2144" s="4" t="s">
        <v>2120</v>
      </c>
      <c r="B2144" s="4" t="s">
        <v>4790</v>
      </c>
      <c r="C2144" s="4" t="s">
        <v>4791</v>
      </c>
      <c r="D2144" s="1">
        <f>DATE(2020,6,24)+TIME(17,59,7)</f>
        <v>44006.749386574076</v>
      </c>
    </row>
    <row r="2145" spans="1:4" ht="17">
      <c r="A2145" s="4" t="s">
        <v>5951</v>
      </c>
      <c r="B2145" s="4" t="s">
        <v>4151</v>
      </c>
      <c r="C2145" s="4" t="s">
        <v>5952</v>
      </c>
      <c r="D2145" s="1">
        <f>DATE(2020,6,26)+TIME(17,42,14)</f>
        <v>44008.737662037034</v>
      </c>
    </row>
    <row r="2146" spans="1:4" ht="17">
      <c r="A2146" s="4" t="s">
        <v>6010</v>
      </c>
      <c r="B2146" s="4" t="s">
        <v>6011</v>
      </c>
      <c r="C2146" s="4" t="s">
        <v>6012</v>
      </c>
      <c r="D2146" s="1">
        <f>DATE(2020,4,9)+TIME(5,19,45)</f>
        <v>43930.222048611111</v>
      </c>
    </row>
    <row r="2147" spans="1:4" ht="17">
      <c r="A2147" s="4" t="s">
        <v>6633</v>
      </c>
      <c r="B2147" s="4" t="s">
        <v>6634</v>
      </c>
      <c r="C2147" s="4" t="s">
        <v>6635</v>
      </c>
      <c r="D2147" s="1">
        <f>DATE(2020,6,22)+TIME(10,41,43)</f>
        <v>44004.445636574077</v>
      </c>
    </row>
    <row r="2148" spans="1:4" ht="17">
      <c r="A2148" s="4" t="s">
        <v>3332</v>
      </c>
      <c r="B2148" s="4" t="s">
        <v>3333</v>
      </c>
      <c r="C2148" s="4" t="s">
        <v>3334</v>
      </c>
      <c r="D2148" s="1">
        <f>DATE(2020,5,30)+TIME(13,15,52)</f>
        <v>43981.552685185183</v>
      </c>
    </row>
    <row r="2149" spans="1:4" ht="17">
      <c r="A2149" s="5" t="s">
        <v>3631</v>
      </c>
      <c r="B2149" s="5" t="s">
        <v>3632</v>
      </c>
      <c r="C2149" s="5" t="s">
        <v>3633</v>
      </c>
      <c r="D2149" s="2">
        <f>DATE(2020,6,9)+TIME(8,24,1)</f>
        <v>43991.350011574075</v>
      </c>
    </row>
    <row r="2150" spans="1:4" ht="17">
      <c r="A2150" s="5" t="s">
        <v>5347</v>
      </c>
      <c r="B2150" s="5" t="s">
        <v>5348</v>
      </c>
      <c r="C2150" s="5" t="s">
        <v>5349</v>
      </c>
      <c r="D2150" s="2">
        <f>DATE(2020,6,11)+TIME(13,37,59)</f>
        <v>43993.568043981482</v>
      </c>
    </row>
    <row r="2151" spans="1:4" ht="17">
      <c r="A2151" s="5" t="s">
        <v>1602</v>
      </c>
      <c r="B2151" s="5" t="s">
        <v>1008</v>
      </c>
      <c r="C2151" s="5" t="s">
        <v>1603</v>
      </c>
      <c r="D2151" s="2">
        <f>DATE(2020,6,29)+TIME(14,17,47)</f>
        <v>44011.595682870371</v>
      </c>
    </row>
    <row r="2152" spans="1:4" ht="17">
      <c r="A2152" s="5" t="s">
        <v>6377</v>
      </c>
      <c r="B2152" s="5" t="s">
        <v>432</v>
      </c>
      <c r="C2152" s="5" t="s">
        <v>6378</v>
      </c>
      <c r="D2152" s="2">
        <f>DATE(2020,6,25)+TIME(6,28,46)</f>
        <v>44007.269976851851</v>
      </c>
    </row>
    <row r="2153" spans="1:4" ht="17">
      <c r="A2153" s="5" t="s">
        <v>6278</v>
      </c>
      <c r="B2153" s="5" t="s">
        <v>6279</v>
      </c>
      <c r="C2153" s="5" t="s">
        <v>6280</v>
      </c>
      <c r="D2153" s="2">
        <f>DATE(2020,6,15)+TIME(9,19,3)</f>
        <v>43997.388229166667</v>
      </c>
    </row>
    <row r="2154" spans="1:4" ht="17">
      <c r="A2154" s="4" t="s">
        <v>8222</v>
      </c>
      <c r="B2154" s="4" t="s">
        <v>8223</v>
      </c>
      <c r="C2154" s="4" t="s">
        <v>8224</v>
      </c>
      <c r="D2154" s="1">
        <f>DATE(2020,6,5)+TIME(7,32,57)</f>
        <v>43987.31454861111</v>
      </c>
    </row>
    <row r="2155" spans="1:4" ht="17">
      <c r="A2155" s="4" t="s">
        <v>6768</v>
      </c>
      <c r="B2155" s="4" t="s">
        <v>5420</v>
      </c>
      <c r="C2155" s="4" t="s">
        <v>6769</v>
      </c>
      <c r="D2155" s="1">
        <f>DATE(2020,6,23)+TIME(10,50,39)</f>
        <v>44005.451840277776</v>
      </c>
    </row>
    <row r="2156" spans="1:4" ht="17">
      <c r="A2156" s="5" t="s">
        <v>7067</v>
      </c>
      <c r="B2156" s="5" t="s">
        <v>7068</v>
      </c>
      <c r="C2156" s="5" t="s">
        <v>7069</v>
      </c>
      <c r="D2156" s="2">
        <f>DATE(2020,5,22)+TIME(20,23,59)</f>
        <v>43973.849988425929</v>
      </c>
    </row>
    <row r="2157" spans="1:4" ht="17">
      <c r="A2157" s="5" t="s">
        <v>2373</v>
      </c>
      <c r="B2157" s="5" t="s">
        <v>2590</v>
      </c>
      <c r="C2157" s="5" t="s">
        <v>3814</v>
      </c>
      <c r="D2157" s="2">
        <f>DATE(2020,6,1)+TIME(11,5,43)</f>
        <v>43983.46230324074</v>
      </c>
    </row>
    <row r="2158" spans="1:4" ht="17">
      <c r="A2158" s="4" t="s">
        <v>2373</v>
      </c>
      <c r="B2158" s="4" t="s">
        <v>9120</v>
      </c>
      <c r="C2158" s="4" t="s">
        <v>9121</v>
      </c>
      <c r="D2158" s="1">
        <f>DATE(2020,6,18)+TIME(15,29,48)</f>
        <v>44000.645694444444</v>
      </c>
    </row>
    <row r="2159" spans="1:4" ht="17">
      <c r="A2159" s="4" t="s">
        <v>2373</v>
      </c>
      <c r="B2159" s="4" t="s">
        <v>5776</v>
      </c>
      <c r="C2159" s="4" t="s">
        <v>5777</v>
      </c>
      <c r="D2159" s="1">
        <f>DATE(2020,6,26)+TIME(15,57,46)</f>
        <v>44008.66511574074</v>
      </c>
    </row>
    <row r="2160" spans="1:4" ht="17">
      <c r="A2160" s="5" t="s">
        <v>2373</v>
      </c>
      <c r="B2160" s="5" t="s">
        <v>2374</v>
      </c>
      <c r="C2160" s="5" t="s">
        <v>2375</v>
      </c>
      <c r="D2160" s="2">
        <f>DATE(2020,6,26)+TIME(21,19,8)</f>
        <v>44008.888287037036</v>
      </c>
    </row>
    <row r="2161" spans="1:4" ht="17">
      <c r="A2161" s="5" t="s">
        <v>9334</v>
      </c>
      <c r="B2161" s="5" t="s">
        <v>9335</v>
      </c>
      <c r="C2161" s="5" t="s">
        <v>9336</v>
      </c>
      <c r="D2161" s="2">
        <f>DATE(2020,6,29)+TIME(8,13,11)</f>
        <v>44011.342488425929</v>
      </c>
    </row>
    <row r="2162" spans="1:4" ht="17">
      <c r="A2162" s="4" t="s">
        <v>6902</v>
      </c>
      <c r="B2162" s="4" t="s">
        <v>6903</v>
      </c>
      <c r="C2162" s="4" t="s">
        <v>6904</v>
      </c>
      <c r="D2162" s="1">
        <f>DATE(2020,6,29)+TIME(4,51,47)</f>
        <v>44011.202627314815</v>
      </c>
    </row>
    <row r="2163" spans="1:4" ht="17">
      <c r="A2163" s="5" t="s">
        <v>240</v>
      </c>
      <c r="B2163" s="5" t="s">
        <v>7800</v>
      </c>
      <c r="C2163" s="5" t="s">
        <v>7801</v>
      </c>
      <c r="D2163" s="2">
        <f>DATE(2020,6,26)+TIME(5,14,5)</f>
        <v>44008.218113425923</v>
      </c>
    </row>
    <row r="2164" spans="1:4" ht="17">
      <c r="A2164" s="4" t="s">
        <v>240</v>
      </c>
      <c r="B2164" s="4" t="s">
        <v>241</v>
      </c>
      <c r="C2164" s="4" t="s">
        <v>242</v>
      </c>
      <c r="D2164" s="1">
        <f>DATE(2020,6,26)+TIME(8,35,48)</f>
        <v>44008.358194444445</v>
      </c>
    </row>
    <row r="2165" spans="1:4" ht="17">
      <c r="A2165" s="5" t="s">
        <v>4809</v>
      </c>
      <c r="B2165" s="5" t="s">
        <v>4810</v>
      </c>
      <c r="C2165" s="5" t="s">
        <v>4811</v>
      </c>
      <c r="D2165" s="2">
        <f>DATE(2020,6,12)+TIME(14,6,37)</f>
        <v>43994.58792824074</v>
      </c>
    </row>
    <row r="2166" spans="1:4" ht="17">
      <c r="A2166" s="5" t="s">
        <v>5752</v>
      </c>
      <c r="B2166" s="5" t="s">
        <v>5753</v>
      </c>
      <c r="C2166" s="5" t="s">
        <v>5754</v>
      </c>
      <c r="D2166" s="2">
        <f>DATE(2020,6,1)+TIME(1,31,25)</f>
        <v>43983.063483796293</v>
      </c>
    </row>
    <row r="2167" spans="1:4" ht="17">
      <c r="A2167" s="4" t="s">
        <v>1695</v>
      </c>
      <c r="B2167" s="4" t="s">
        <v>1696</v>
      </c>
      <c r="C2167" s="4" t="s">
        <v>1697</v>
      </c>
      <c r="D2167" s="1">
        <f>DATE(2020,5,5)+TIME(16,4,34)</f>
        <v>43956.66983796296</v>
      </c>
    </row>
    <row r="2168" spans="1:4" ht="17">
      <c r="A2168" s="5" t="s">
        <v>1695</v>
      </c>
      <c r="B2168" s="5" t="s">
        <v>2053</v>
      </c>
      <c r="C2168" s="5" t="s">
        <v>2054</v>
      </c>
      <c r="D2168" s="2">
        <f>DATE(2020,6,26)+TIME(6,2,43)</f>
        <v>44008.251886574071</v>
      </c>
    </row>
    <row r="2169" spans="1:4" ht="17">
      <c r="A2169" s="5" t="s">
        <v>6047</v>
      </c>
      <c r="B2169" s="5" t="s">
        <v>6048</v>
      </c>
      <c r="C2169" s="5" t="s">
        <v>6049</v>
      </c>
      <c r="D2169" s="2">
        <f>DATE(2020,5,11)+TIME(8,38,14)</f>
        <v>43962.359884259262</v>
      </c>
    </row>
    <row r="2170" spans="1:4" ht="17">
      <c r="A2170" s="4" t="s">
        <v>9454</v>
      </c>
      <c r="B2170" s="4" t="s">
        <v>9455</v>
      </c>
      <c r="C2170" s="4" t="s">
        <v>9456</v>
      </c>
      <c r="D2170" s="1">
        <f>DATE(2020,5,6)+TIME(4,34,10)</f>
        <v>43957.190393518518</v>
      </c>
    </row>
    <row r="2171" spans="1:4" ht="17">
      <c r="A2171" s="5" t="s">
        <v>8766</v>
      </c>
      <c r="B2171" s="5" t="s">
        <v>8767</v>
      </c>
      <c r="C2171" s="5" t="s">
        <v>8768</v>
      </c>
      <c r="D2171" s="2">
        <f>DATE(2020,6,26)+TIME(6,21,0)</f>
        <v>44008.26458333333</v>
      </c>
    </row>
    <row r="2172" spans="1:4" ht="17">
      <c r="A2172" s="4" t="s">
        <v>660</v>
      </c>
      <c r="B2172" s="4" t="s">
        <v>661</v>
      </c>
      <c r="C2172" s="4" t="s">
        <v>662</v>
      </c>
      <c r="D2172" s="1">
        <f>DATE(2020,6,27)+TIME(7,48,47)</f>
        <v>44009.325543981482</v>
      </c>
    </row>
    <row r="2173" spans="1:4" ht="17">
      <c r="A2173" s="4" t="s">
        <v>5982</v>
      </c>
      <c r="B2173" s="4" t="s">
        <v>5983</v>
      </c>
      <c r="C2173" s="4" t="s">
        <v>5984</v>
      </c>
      <c r="D2173" s="1">
        <f>DATE(2020,5,23)+TIME(11,19,23)</f>
        <v>43974.47179398148</v>
      </c>
    </row>
    <row r="2174" spans="1:4" ht="17">
      <c r="A2174" s="5" t="s">
        <v>4554</v>
      </c>
      <c r="B2174" s="5" t="s">
        <v>4555</v>
      </c>
      <c r="C2174" s="5" t="s">
        <v>4556</v>
      </c>
      <c r="D2174" s="2">
        <f>DATE(2020,5,19)+TIME(16,36,29)</f>
        <v>43970.692002314812</v>
      </c>
    </row>
    <row r="2175" spans="1:4" ht="17">
      <c r="A2175" s="4" t="s">
        <v>2924</v>
      </c>
      <c r="B2175" s="4" t="s">
        <v>5155</v>
      </c>
      <c r="C2175" s="4" t="s">
        <v>5156</v>
      </c>
      <c r="D2175" s="1">
        <f>DATE(2020,5,8)+TIME(16,0,40)</f>
        <v>43959.667129629626</v>
      </c>
    </row>
    <row r="2176" spans="1:4" ht="17">
      <c r="A2176" s="4" t="s">
        <v>2924</v>
      </c>
      <c r="B2176" s="4" t="s">
        <v>3387</v>
      </c>
      <c r="C2176" s="4" t="s">
        <v>3388</v>
      </c>
      <c r="D2176" s="1">
        <f>DATE(2020,6,12)+TIME(7,32,47)</f>
        <v>43994.314432870371</v>
      </c>
    </row>
    <row r="2177" spans="1:4" ht="17">
      <c r="A2177" s="4" t="s">
        <v>2924</v>
      </c>
      <c r="B2177" s="4" t="s">
        <v>8942</v>
      </c>
      <c r="C2177" s="4" t="s">
        <v>8943</v>
      </c>
      <c r="D2177" s="1">
        <f>DATE(2020,6,17)+TIME(3,25,55)</f>
        <v>43999.142997685187</v>
      </c>
    </row>
    <row r="2178" spans="1:4" ht="17">
      <c r="A2178" s="4" t="s">
        <v>2924</v>
      </c>
      <c r="B2178" s="4" t="s">
        <v>3362</v>
      </c>
      <c r="C2178" s="4" t="s">
        <v>3363</v>
      </c>
      <c r="D2178" s="1">
        <f>DATE(2020,6,23)+TIME(17,55,53)</f>
        <v>44005.747141203705</v>
      </c>
    </row>
    <row r="2179" spans="1:4" ht="17">
      <c r="A2179" s="5" t="s">
        <v>2924</v>
      </c>
      <c r="B2179" s="5" t="s">
        <v>2925</v>
      </c>
      <c r="C2179" s="5" t="s">
        <v>2926</v>
      </c>
      <c r="D2179" s="2">
        <f>DATE(2020,6,26)+TIME(2,57,36)</f>
        <v>44008.123333333337</v>
      </c>
    </row>
    <row r="2180" spans="1:4" ht="17">
      <c r="A2180" s="5" t="s">
        <v>4840</v>
      </c>
      <c r="B2180" s="5" t="s">
        <v>3382</v>
      </c>
      <c r="C2180" s="5" t="s">
        <v>4841</v>
      </c>
      <c r="D2180" s="2">
        <f>DATE(2020,6,25)+TIME(13,37,16)</f>
        <v>44007.567546296297</v>
      </c>
    </row>
    <row r="2181" spans="1:4" ht="17">
      <c r="A2181" s="5" t="s">
        <v>8073</v>
      </c>
      <c r="B2181" s="5" t="s">
        <v>8074</v>
      </c>
      <c r="C2181" s="5" t="s">
        <v>8075</v>
      </c>
      <c r="D2181" s="2">
        <f>DATE(2020,6,25)+TIME(6,52,25)</f>
        <v>44007.286400462966</v>
      </c>
    </row>
    <row r="2182" spans="1:4" ht="17">
      <c r="A2182" s="5" t="s">
        <v>2444</v>
      </c>
      <c r="B2182" s="5" t="s">
        <v>2445</v>
      </c>
      <c r="C2182" s="5" t="s">
        <v>2446</v>
      </c>
      <c r="D2182" s="2">
        <f>DATE(2020,3,30)+TIME(11,24,29)</f>
        <v>43920.475335648145</v>
      </c>
    </row>
    <row r="2183" spans="1:4" ht="17">
      <c r="A2183" s="5" t="s">
        <v>522</v>
      </c>
      <c r="B2183" s="5" t="s">
        <v>523</v>
      </c>
      <c r="C2183" s="5" t="s">
        <v>524</v>
      </c>
      <c r="D2183" s="2">
        <f>DATE(2020,6,25)+TIME(3,56,13)</f>
        <v>44007.164039351854</v>
      </c>
    </row>
    <row r="2184" spans="1:4" ht="17">
      <c r="A2184" s="4" t="s">
        <v>2396</v>
      </c>
      <c r="B2184" s="4" t="s">
        <v>9322</v>
      </c>
      <c r="C2184" s="4" t="s">
        <v>9323</v>
      </c>
      <c r="D2184" s="1">
        <f>DATE(2020,5,12)+TIME(3,57,52)</f>
        <v>43963.165185185186</v>
      </c>
    </row>
    <row r="2185" spans="1:4" ht="17">
      <c r="A2185" s="4" t="s">
        <v>2396</v>
      </c>
      <c r="B2185" s="4" t="s">
        <v>9156</v>
      </c>
      <c r="C2185" s="4" t="s">
        <v>9157</v>
      </c>
      <c r="D2185" s="1">
        <f>DATE(2020,5,14)+TIME(1,7,33)</f>
        <v>43965.046909722223</v>
      </c>
    </row>
    <row r="2186" spans="1:4" ht="17">
      <c r="A2186" s="4" t="s">
        <v>2396</v>
      </c>
      <c r="B2186" s="4" t="s">
        <v>9484</v>
      </c>
      <c r="C2186" s="4" t="s">
        <v>9485</v>
      </c>
      <c r="D2186" s="1">
        <f>DATE(2020,5,14)+TIME(13,54,22)</f>
        <v>43965.579421296294</v>
      </c>
    </row>
    <row r="2187" spans="1:4" ht="17">
      <c r="A2187" s="5" t="s">
        <v>2396</v>
      </c>
      <c r="B2187" s="5" t="s">
        <v>1316</v>
      </c>
      <c r="C2187" s="5" t="s">
        <v>5036</v>
      </c>
      <c r="D2187" s="2">
        <f>DATE(2020,5,18)+TIME(12,17,12)</f>
        <v>43969.511944444443</v>
      </c>
    </row>
    <row r="2188" spans="1:4" ht="17">
      <c r="A2188" s="4" t="s">
        <v>2396</v>
      </c>
      <c r="B2188" s="4" t="s">
        <v>3067</v>
      </c>
      <c r="C2188" s="4" t="s">
        <v>7452</v>
      </c>
      <c r="D2188" s="1">
        <f>DATE(2020,5,21)+TIME(16,16,2)</f>
        <v>43972.677800925929</v>
      </c>
    </row>
    <row r="2189" spans="1:4" ht="17">
      <c r="A2189" s="5" t="s">
        <v>2396</v>
      </c>
      <c r="B2189" s="5" t="s">
        <v>6089</v>
      </c>
      <c r="C2189" s="5" t="s">
        <v>6090</v>
      </c>
      <c r="D2189" s="2">
        <f>DATE(2020,5,22)+TIME(1,12,49)</f>
        <v>43973.050567129627</v>
      </c>
    </row>
    <row r="2190" spans="1:4" ht="17">
      <c r="A2190" s="5" t="s">
        <v>2396</v>
      </c>
      <c r="B2190" s="5" t="s">
        <v>3261</v>
      </c>
      <c r="C2190" s="5" t="s">
        <v>3262</v>
      </c>
      <c r="D2190" s="2">
        <f>DATE(2020,6,1)+TIME(12,17,38)</f>
        <v>43983.512245370373</v>
      </c>
    </row>
    <row r="2191" spans="1:4" ht="17">
      <c r="A2191" s="5" t="s">
        <v>2396</v>
      </c>
      <c r="B2191" s="5" t="s">
        <v>2397</v>
      </c>
      <c r="C2191" s="5" t="s">
        <v>2398</v>
      </c>
      <c r="D2191" s="2">
        <f>DATE(2020,6,14)+TIME(1,5,2)</f>
        <v>43996.045162037037</v>
      </c>
    </row>
    <row r="2192" spans="1:4" ht="17">
      <c r="A2192" s="5" t="s">
        <v>2396</v>
      </c>
      <c r="B2192" s="5" t="s">
        <v>5534</v>
      </c>
      <c r="C2192" s="5" t="s">
        <v>5535</v>
      </c>
      <c r="D2192" s="2">
        <f>DATE(2020,6,19)+TIME(4,26,12)</f>
        <v>44001.184861111113</v>
      </c>
    </row>
    <row r="2193" spans="1:4" ht="17">
      <c r="A2193" s="4" t="s">
        <v>2396</v>
      </c>
      <c r="B2193" s="4" t="s">
        <v>8661</v>
      </c>
      <c r="C2193" s="4" t="s">
        <v>8939</v>
      </c>
      <c r="D2193" s="1">
        <f>DATE(2020,6,23)+TIME(14,14,43)</f>
        <v>44005.593553240738</v>
      </c>
    </row>
    <row r="2194" spans="1:4" ht="17">
      <c r="A2194" s="4" t="s">
        <v>2396</v>
      </c>
      <c r="B2194" s="4" t="s">
        <v>5808</v>
      </c>
      <c r="C2194" s="4" t="s">
        <v>5809</v>
      </c>
      <c r="D2194" s="1">
        <f>DATE(2020,6,26)+TIME(12,45,51)</f>
        <v>44008.531840277778</v>
      </c>
    </row>
    <row r="2195" spans="1:4" ht="17">
      <c r="A2195" s="4" t="s">
        <v>2396</v>
      </c>
      <c r="B2195" s="4" t="s">
        <v>8624</v>
      </c>
      <c r="C2195" s="4" t="s">
        <v>8625</v>
      </c>
      <c r="D2195" s="1">
        <f>DATE(2020,6,28)+TIME(15,0,36)</f>
        <v>44010.625416666669</v>
      </c>
    </row>
    <row r="2196" spans="1:4" ht="17">
      <c r="A2196" s="4" t="s">
        <v>4375</v>
      </c>
      <c r="B2196" s="4" t="s">
        <v>4376</v>
      </c>
      <c r="C2196" s="4" t="s">
        <v>4377</v>
      </c>
      <c r="D2196" s="1">
        <f>DATE(2020,5,12)+TIME(9,51,21)</f>
        <v>43963.41065972222</v>
      </c>
    </row>
    <row r="2197" spans="1:4" ht="17">
      <c r="A2197" s="5" t="s">
        <v>9285</v>
      </c>
      <c r="B2197" s="5" t="s">
        <v>9286</v>
      </c>
      <c r="C2197" s="5" t="s">
        <v>9287</v>
      </c>
      <c r="D2197" s="2">
        <f>DATE(2020,6,28)+TIME(14,51,22)</f>
        <v>44010.619004629632</v>
      </c>
    </row>
    <row r="2198" spans="1:4" ht="17">
      <c r="A2198" s="4" t="s">
        <v>5831</v>
      </c>
      <c r="B2198" s="4" t="s">
        <v>5832</v>
      </c>
      <c r="C2198" s="4" t="s">
        <v>5833</v>
      </c>
      <c r="D2198" s="1">
        <f>DATE(2020,6,17)+TIME(18,53,44)</f>
        <v>43999.787314814814</v>
      </c>
    </row>
    <row r="2199" spans="1:4" ht="17">
      <c r="A2199" s="5" t="s">
        <v>7601</v>
      </c>
      <c r="B2199" s="5" t="s">
        <v>7602</v>
      </c>
      <c r="C2199" s="5" t="s">
        <v>7603</v>
      </c>
      <c r="D2199" s="2">
        <f>DATE(2020,6,24)+TIME(10,35,41)</f>
        <v>44006.441446759258</v>
      </c>
    </row>
    <row r="2200" spans="1:4" ht="17">
      <c r="A2200" s="4" t="s">
        <v>2514</v>
      </c>
      <c r="B2200" s="4" t="s">
        <v>2515</v>
      </c>
      <c r="C2200" s="4" t="s">
        <v>2516</v>
      </c>
      <c r="D2200" s="1">
        <f>DATE(2020,3,29)+TIME(5,56,6)</f>
        <v>43919.247291666667</v>
      </c>
    </row>
    <row r="2201" spans="1:4" ht="17">
      <c r="A2201" s="5" t="s">
        <v>2514</v>
      </c>
      <c r="B2201" s="5" t="s">
        <v>8897</v>
      </c>
      <c r="C2201" s="5" t="s">
        <v>8898</v>
      </c>
      <c r="D2201" s="2">
        <f>DATE(2020,6,27)+TIME(2,22,50)</f>
        <v>44009.099189814813</v>
      </c>
    </row>
    <row r="2202" spans="1:4" ht="17">
      <c r="A2202" s="5" t="s">
        <v>2514</v>
      </c>
      <c r="B2202" s="5" t="s">
        <v>9172</v>
      </c>
      <c r="C2202" s="5" t="s">
        <v>9173</v>
      </c>
      <c r="D2202" s="2">
        <f>DATE(2020,6,29)+TIME(3,53,31)</f>
        <v>44011.162164351852</v>
      </c>
    </row>
    <row r="2203" spans="1:4" ht="17">
      <c r="A2203" s="4" t="s">
        <v>1586</v>
      </c>
      <c r="B2203" s="4" t="s">
        <v>1587</v>
      </c>
      <c r="C2203" s="4" t="s">
        <v>1588</v>
      </c>
      <c r="D2203" s="1">
        <f>DATE(2020,5,7)+TIME(12,18,52)</f>
        <v>43958.513101851851</v>
      </c>
    </row>
    <row r="2204" spans="1:4" ht="17">
      <c r="A2204" s="5" t="s">
        <v>1586</v>
      </c>
      <c r="B2204" s="5" t="s">
        <v>2707</v>
      </c>
      <c r="C2204" s="5" t="s">
        <v>2708</v>
      </c>
      <c r="D2204" s="2">
        <f>DATE(2020,6,8)+TIME(2,54,33)</f>
        <v>43990.121215277781</v>
      </c>
    </row>
    <row r="2205" spans="1:4" ht="17">
      <c r="A2205" s="4" t="s">
        <v>441</v>
      </c>
      <c r="B2205" s="4" t="s">
        <v>8842</v>
      </c>
      <c r="C2205" s="4" t="s">
        <v>8843</v>
      </c>
      <c r="D2205" s="1">
        <f>DATE(2020,5,12)+TIME(8,56,54)</f>
        <v>43963.372847222221</v>
      </c>
    </row>
    <row r="2206" spans="1:4" ht="17">
      <c r="A2206" s="4" t="s">
        <v>441</v>
      </c>
      <c r="B2206" s="4" t="s">
        <v>8034</v>
      </c>
      <c r="C2206" s="4" t="s">
        <v>8035</v>
      </c>
      <c r="D2206" s="1">
        <f>DATE(2020,5,14)+TIME(9,23,54)</f>
        <v>43965.391597222224</v>
      </c>
    </row>
    <row r="2207" spans="1:4" ht="17">
      <c r="A2207" s="4" t="s">
        <v>441</v>
      </c>
      <c r="B2207" s="4" t="s">
        <v>6783</v>
      </c>
      <c r="C2207" s="4" t="s">
        <v>6784</v>
      </c>
      <c r="D2207" s="1">
        <f>DATE(2020,5,14)+TIME(19,19,34)</f>
        <v>43965.805254629631</v>
      </c>
    </row>
    <row r="2208" spans="1:4" ht="17">
      <c r="A2208" s="4" t="s">
        <v>441</v>
      </c>
      <c r="B2208" s="4" t="s">
        <v>442</v>
      </c>
      <c r="C2208" s="4" t="s">
        <v>443</v>
      </c>
      <c r="D2208" s="1">
        <f>DATE(2020,6,15)+TIME(15,0,18)</f>
        <v>43997.625208333331</v>
      </c>
    </row>
    <row r="2209" spans="1:4" ht="17">
      <c r="A2209" s="4" t="s">
        <v>9471</v>
      </c>
      <c r="B2209" s="4" t="s">
        <v>9472</v>
      </c>
      <c r="C2209" s="4" t="s">
        <v>9473</v>
      </c>
      <c r="D2209" s="1">
        <f>DATE(2020,6,5)+TIME(11,58,30)</f>
        <v>43987.49895833333</v>
      </c>
    </row>
    <row r="2210" spans="1:4" ht="17">
      <c r="A2210" s="5" t="s">
        <v>2320</v>
      </c>
      <c r="B2210" s="5" t="s">
        <v>2321</v>
      </c>
      <c r="C2210" s="5" t="s">
        <v>2322</v>
      </c>
      <c r="D2210" s="2">
        <f>DATE(2020,6,25)+TIME(21,53,8)</f>
        <v>44007.911898148152</v>
      </c>
    </row>
    <row r="2211" spans="1:4" ht="17">
      <c r="A2211" s="4" t="s">
        <v>545</v>
      </c>
      <c r="B2211" s="4" t="s">
        <v>6926</v>
      </c>
      <c r="C2211" s="4" t="s">
        <v>6927</v>
      </c>
      <c r="D2211" s="1">
        <f>DATE(2020,6,23)+TIME(18,32,11)</f>
        <v>44005.772349537037</v>
      </c>
    </row>
    <row r="2212" spans="1:4" ht="17">
      <c r="A2212" s="5" t="s">
        <v>545</v>
      </c>
      <c r="B2212" s="5" t="s">
        <v>4289</v>
      </c>
      <c r="C2212" s="5" t="s">
        <v>5694</v>
      </c>
      <c r="D2212" s="2">
        <f>DATE(2020,6,24)+TIME(13,1,30)</f>
        <v>44006.542708333334</v>
      </c>
    </row>
    <row r="2213" spans="1:4" ht="17">
      <c r="A2213" s="5" t="s">
        <v>1560</v>
      </c>
      <c r="B2213" s="5" t="s">
        <v>1561</v>
      </c>
      <c r="C2213" s="5" t="s">
        <v>1562</v>
      </c>
      <c r="D2213" s="2">
        <f>DATE(2020,6,13)+TIME(0,16,22)</f>
        <v>43995.011365740742</v>
      </c>
    </row>
    <row r="2214" spans="1:4" ht="17">
      <c r="A2214" s="5" t="s">
        <v>2464</v>
      </c>
      <c r="B2214" s="5" t="s">
        <v>2464</v>
      </c>
      <c r="C2214" s="5" t="s">
        <v>2465</v>
      </c>
      <c r="D2214" s="2">
        <f>DATE(2020,6,28)+TIME(12,48,32)</f>
        <v>44010.533703703702</v>
      </c>
    </row>
    <row r="2215" spans="1:4" ht="17">
      <c r="A2215" s="5" t="s">
        <v>3159</v>
      </c>
      <c r="B2215" s="5" t="s">
        <v>3160</v>
      </c>
      <c r="C2215" s="5" t="s">
        <v>3161</v>
      </c>
      <c r="D2215" s="2">
        <f>DATE(2020,6,5)+TIME(8,14,29)</f>
        <v>43987.343391203707</v>
      </c>
    </row>
    <row r="2216" spans="1:4" ht="17">
      <c r="A2216" s="5" t="s">
        <v>4182</v>
      </c>
      <c r="B2216" s="5" t="s">
        <v>4183</v>
      </c>
      <c r="C2216" s="5" t="s">
        <v>4184</v>
      </c>
      <c r="D2216" s="2">
        <f>DATE(2020,6,22)+TIME(4,53,29)</f>
        <v>44004.20380787037</v>
      </c>
    </row>
    <row r="2217" spans="1:4" ht="17">
      <c r="A2217" s="5" t="s">
        <v>5554</v>
      </c>
      <c r="B2217" s="5" t="s">
        <v>5555</v>
      </c>
      <c r="C2217" s="5" t="s">
        <v>5556</v>
      </c>
      <c r="D2217" s="2">
        <f>DATE(2020,5,6)+TIME(3,2,36)</f>
        <v>43957.126805555556</v>
      </c>
    </row>
    <row r="2218" spans="1:4" ht="17">
      <c r="A2218" s="5" t="s">
        <v>2424</v>
      </c>
      <c r="B2218" s="5" t="s">
        <v>2425</v>
      </c>
      <c r="C2218" s="5" t="s">
        <v>2426</v>
      </c>
      <c r="D2218" s="2">
        <f>DATE(2020,6,15)+TIME(13,39,4)</f>
        <v>43997.568796296298</v>
      </c>
    </row>
    <row r="2219" spans="1:4" ht="17">
      <c r="A2219" s="4" t="s">
        <v>9174</v>
      </c>
      <c r="B2219" s="4" t="s">
        <v>9175</v>
      </c>
      <c r="C2219" s="4" t="s">
        <v>9176</v>
      </c>
      <c r="D2219" s="1">
        <f>DATE(2020,6,23)+TIME(16,13,58)</f>
        <v>44005.676365740743</v>
      </c>
    </row>
    <row r="2220" spans="1:4" ht="17">
      <c r="A2220" s="5" t="s">
        <v>957</v>
      </c>
      <c r="B2220" s="5" t="s">
        <v>958</v>
      </c>
      <c r="C2220" s="5" t="s">
        <v>959</v>
      </c>
      <c r="D2220" s="2">
        <f>DATE(2020,6,25)+TIME(12,49,27)</f>
        <v>44007.53434027778</v>
      </c>
    </row>
    <row r="2221" spans="1:4" ht="17">
      <c r="A2221" s="5" t="s">
        <v>3318</v>
      </c>
      <c r="B2221" s="5" t="s">
        <v>3319</v>
      </c>
      <c r="C2221" s="5" t="s">
        <v>3320</v>
      </c>
      <c r="D2221" s="2">
        <f>DATE(2020,6,24)+TIME(13,16,30)</f>
        <v>44006.553124999999</v>
      </c>
    </row>
    <row r="2222" spans="1:4" ht="17">
      <c r="A2222" s="4" t="s">
        <v>8389</v>
      </c>
      <c r="B2222" s="4" t="s">
        <v>8390</v>
      </c>
      <c r="C2222" s="4" t="s">
        <v>8391</v>
      </c>
      <c r="D2222" s="1">
        <f>DATE(2020,5,12)+TIME(23,41,24)</f>
        <v>43963.987083333333</v>
      </c>
    </row>
    <row r="2223" spans="1:4" ht="17">
      <c r="A2223" s="4" t="s">
        <v>9476</v>
      </c>
      <c r="B2223" s="4" t="s">
        <v>9477</v>
      </c>
      <c r="C2223" s="4" t="s">
        <v>9478</v>
      </c>
      <c r="D2223" s="1">
        <f>DATE(2020,6,23)+TIME(14,40,46)</f>
        <v>44005.611643518518</v>
      </c>
    </row>
    <row r="2224" spans="1:4" ht="17">
      <c r="A2224" s="4" t="s">
        <v>7879</v>
      </c>
      <c r="B2224" s="4" t="s">
        <v>7880</v>
      </c>
      <c r="C2224" s="4" t="s">
        <v>7881</v>
      </c>
      <c r="D2224" s="1">
        <f>DATE(2020,6,19)+TIME(3,46,18)</f>
        <v>44001.157152777778</v>
      </c>
    </row>
    <row r="2225" spans="1:4" ht="17">
      <c r="A2225" s="4" t="s">
        <v>372</v>
      </c>
      <c r="B2225" s="4" t="s">
        <v>373</v>
      </c>
      <c r="C2225" s="4" t="s">
        <v>374</v>
      </c>
      <c r="D2225" s="1">
        <f>DATE(2020,6,24)+TIME(10,58,16)</f>
        <v>44006.457129629627</v>
      </c>
    </row>
    <row r="2226" spans="1:4" ht="17">
      <c r="A2226" s="5" t="s">
        <v>2502</v>
      </c>
      <c r="B2226" s="5" t="s">
        <v>322</v>
      </c>
      <c r="C2226" s="5" t="s">
        <v>9235</v>
      </c>
      <c r="D2226" s="2">
        <f>DATE(2020,6,26)+TIME(23,0,22)</f>
        <v>44008.958587962959</v>
      </c>
    </row>
    <row r="2227" spans="1:4" ht="17">
      <c r="A2227" s="4" t="s">
        <v>2502</v>
      </c>
      <c r="B2227" s="4" t="s">
        <v>2503</v>
      </c>
      <c r="C2227" s="4" t="s">
        <v>2504</v>
      </c>
      <c r="D2227" s="1">
        <f>DATE(2020,6,29)+TIME(4,30,46)</f>
        <v>44011.188032407408</v>
      </c>
    </row>
    <row r="2228" spans="1:4" ht="17">
      <c r="A2228" s="4" t="s">
        <v>7698</v>
      </c>
      <c r="B2228" s="4" t="s">
        <v>7699</v>
      </c>
      <c r="C2228" s="4" t="s">
        <v>7700</v>
      </c>
      <c r="D2228" s="1">
        <f>DATE(2020,6,25)+TIME(7,22,0)</f>
        <v>44007.306944444441</v>
      </c>
    </row>
    <row r="2229" spans="1:4" ht="17">
      <c r="A2229" s="5" t="s">
        <v>5732</v>
      </c>
      <c r="B2229" s="5" t="s">
        <v>5733</v>
      </c>
      <c r="C2229" s="5" t="s">
        <v>5734</v>
      </c>
      <c r="D2229" s="2">
        <f>DATE(2020,6,18)+TIME(21,3,24)</f>
        <v>44000.87736111111</v>
      </c>
    </row>
    <row r="2230" spans="1:4" ht="17">
      <c r="A2230" s="4" t="s">
        <v>4514</v>
      </c>
      <c r="B2230" s="4" t="s">
        <v>4515</v>
      </c>
      <c r="C2230" s="4" t="s">
        <v>4516</v>
      </c>
      <c r="D2230" s="1">
        <f>DATE(2020,6,23)+TIME(4,21,9)</f>
        <v>44005.181354166663</v>
      </c>
    </row>
    <row r="2231" spans="1:4" ht="17">
      <c r="A2231" s="4" t="s">
        <v>4171</v>
      </c>
      <c r="B2231" s="4" t="s">
        <v>4172</v>
      </c>
      <c r="C2231" s="4" t="s">
        <v>4173</v>
      </c>
      <c r="D2231" s="1">
        <f>DATE(2020,5,20)+TIME(12,21,38)</f>
        <v>43971.515023148146</v>
      </c>
    </row>
    <row r="2232" spans="1:4" ht="17">
      <c r="A2232" s="5" t="s">
        <v>1717</v>
      </c>
      <c r="B2232" s="5" t="s">
        <v>553</v>
      </c>
      <c r="C2232" s="5" t="s">
        <v>1718</v>
      </c>
      <c r="D2232" s="2">
        <f>DATE(2020,6,25)+TIME(0,42,23)</f>
        <v>44007.029432870368</v>
      </c>
    </row>
    <row r="2233" spans="1:4" ht="17">
      <c r="A2233" s="4" t="s">
        <v>1318</v>
      </c>
      <c r="B2233" s="4" t="s">
        <v>1319</v>
      </c>
      <c r="C2233" s="4" t="s">
        <v>1320</v>
      </c>
      <c r="D2233" s="1">
        <f>DATE(2020,5,6)+TIME(9,29,25)</f>
        <v>43957.395428240743</v>
      </c>
    </row>
    <row r="2234" spans="1:4" ht="17">
      <c r="A2234" s="4" t="s">
        <v>3459</v>
      </c>
      <c r="B2234" s="4" t="s">
        <v>3460</v>
      </c>
      <c r="C2234" s="4" t="s">
        <v>3461</v>
      </c>
      <c r="D2234" s="1">
        <f>DATE(2020,5,21)+TIME(16,46,55)</f>
        <v>43972.699247685188</v>
      </c>
    </row>
    <row r="2235" spans="1:4" ht="17">
      <c r="A2235" s="4" t="s">
        <v>9264</v>
      </c>
      <c r="B2235" s="4" t="s">
        <v>2806</v>
      </c>
      <c r="C2235" s="4" t="s">
        <v>9265</v>
      </c>
      <c r="D2235" s="1">
        <f>DATE(2020,5,21)+TIME(10,29,53)</f>
        <v>43972.437418981484</v>
      </c>
    </row>
    <row r="2236" spans="1:4" ht="17">
      <c r="A2236" s="5" t="s">
        <v>8631</v>
      </c>
      <c r="B2236" s="5" t="s">
        <v>8632</v>
      </c>
      <c r="C2236" s="5" t="s">
        <v>8633</v>
      </c>
      <c r="D2236" s="2">
        <f>DATE(2020,6,17)+TIME(9,37,1)</f>
        <v>43999.400706018518</v>
      </c>
    </row>
    <row r="2237" spans="1:4" ht="17">
      <c r="A2237" s="5" t="s">
        <v>5708</v>
      </c>
      <c r="B2237" s="5" t="s">
        <v>5709</v>
      </c>
      <c r="C2237" s="5" t="s">
        <v>5710</v>
      </c>
      <c r="D2237" s="2">
        <f>DATE(2020,3,31)+TIME(3,13,38)</f>
        <v>43921.134467592594</v>
      </c>
    </row>
    <row r="2238" spans="1:4" ht="17">
      <c r="A2238" s="5" t="s">
        <v>8980</v>
      </c>
      <c r="B2238" s="5" t="s">
        <v>8981</v>
      </c>
      <c r="C2238" s="5" t="s">
        <v>8982</v>
      </c>
      <c r="D2238" s="2">
        <f>DATE(2020,5,21)+TIME(15,50,46)</f>
        <v>43972.660254629627</v>
      </c>
    </row>
    <row r="2239" spans="1:4" ht="17">
      <c r="A2239" s="5" t="s">
        <v>7266</v>
      </c>
      <c r="B2239" s="5" t="s">
        <v>7267</v>
      </c>
      <c r="C2239" s="5" t="s">
        <v>7268</v>
      </c>
      <c r="D2239" s="2">
        <f>DATE(2020,6,29)+TIME(11,38,17)</f>
        <v>44011.484918981485</v>
      </c>
    </row>
    <row r="2240" spans="1:4" ht="17">
      <c r="A2240" s="5" t="s">
        <v>2007</v>
      </c>
      <c r="B2240" s="5" t="s">
        <v>2008</v>
      </c>
      <c r="C2240" s="5" t="s">
        <v>2009</v>
      </c>
      <c r="D2240" s="2">
        <f>DATE(2020,5,14)+TIME(12,2,17)</f>
        <v>43965.501585648148</v>
      </c>
    </row>
    <row r="2241" spans="1:4" ht="17">
      <c r="A2241" s="4" t="s">
        <v>7295</v>
      </c>
      <c r="B2241" s="4" t="s">
        <v>7296</v>
      </c>
      <c r="C2241" s="4" t="s">
        <v>7297</v>
      </c>
      <c r="D2241" s="1">
        <f>DATE(2020,6,23)+TIME(15,2,9)</f>
        <v>44005.626493055555</v>
      </c>
    </row>
    <row r="2242" spans="1:4" ht="17">
      <c r="A2242" s="4" t="s">
        <v>7865</v>
      </c>
      <c r="B2242" s="4" t="s">
        <v>7866</v>
      </c>
      <c r="C2242" s="4" t="s">
        <v>7867</v>
      </c>
      <c r="D2242" s="1">
        <f>DATE(2020,6,24)+TIME(8,46,11)</f>
        <v>44006.365405092591</v>
      </c>
    </row>
    <row r="2243" spans="1:4" ht="17">
      <c r="A2243" s="5" t="s">
        <v>5469</v>
      </c>
      <c r="B2243" s="5" t="s">
        <v>5470</v>
      </c>
      <c r="C2243" s="5" t="s">
        <v>5471</v>
      </c>
      <c r="D2243" s="2">
        <f>DATE(2020,6,24)+TIME(9,14,56)</f>
        <v>44006.385370370372</v>
      </c>
    </row>
    <row r="2244" spans="1:4" ht="17">
      <c r="A2244" s="5" t="s">
        <v>4017</v>
      </c>
      <c r="B2244" s="5" t="s">
        <v>4018</v>
      </c>
      <c r="C2244" s="5" t="s">
        <v>4019</v>
      </c>
      <c r="D2244" s="2">
        <f>DATE(2020,6,29)+TIME(9,1,10)</f>
        <v>44011.375810185185</v>
      </c>
    </row>
    <row r="2245" spans="1:4" ht="17">
      <c r="A2245" s="4" t="s">
        <v>2441</v>
      </c>
      <c r="B2245" s="4" t="s">
        <v>2442</v>
      </c>
      <c r="C2245" s="4" t="s">
        <v>2443</v>
      </c>
      <c r="D2245" s="1">
        <f>DATE(2020,6,2)+TIME(17,0,52)</f>
        <v>43984.708935185183</v>
      </c>
    </row>
    <row r="2246" spans="1:4" ht="17">
      <c r="A2246" s="5" t="s">
        <v>4037</v>
      </c>
      <c r="B2246" s="5" t="s">
        <v>4038</v>
      </c>
      <c r="C2246" s="5" t="s">
        <v>4039</v>
      </c>
      <c r="D2246" s="2">
        <f>DATE(2020,6,15)+TIME(6,29,16)</f>
        <v>43997.270324074074</v>
      </c>
    </row>
    <row r="2247" spans="1:4" ht="17">
      <c r="A2247" s="5" t="s">
        <v>4037</v>
      </c>
      <c r="B2247" s="5" t="s">
        <v>4143</v>
      </c>
      <c r="C2247" s="5" t="s">
        <v>4144</v>
      </c>
      <c r="D2247" s="2">
        <f>DATE(2020,6,25)+TIME(10,19,36)</f>
        <v>44007.430277777778</v>
      </c>
    </row>
    <row r="2248" spans="1:4" ht="17">
      <c r="A2248" s="4" t="s">
        <v>9219</v>
      </c>
      <c r="B2248" s="4" t="s">
        <v>9220</v>
      </c>
      <c r="C2248" s="4" t="s">
        <v>9221</v>
      </c>
      <c r="D2248" s="1">
        <f>DATE(2020,6,19)+TIME(4,20,31)</f>
        <v>44001.180914351855</v>
      </c>
    </row>
    <row r="2249" spans="1:4" ht="17">
      <c r="A2249" s="5" t="s">
        <v>7094</v>
      </c>
      <c r="B2249" s="5" t="s">
        <v>7095</v>
      </c>
      <c r="C2249" s="5" t="s">
        <v>7096</v>
      </c>
      <c r="D2249" s="2">
        <f>DATE(2020,3,31)+TIME(15,47,34)</f>
        <v>43921.658032407409</v>
      </c>
    </row>
    <row r="2250" spans="1:4" ht="17">
      <c r="A2250" s="4" t="s">
        <v>7421</v>
      </c>
      <c r="B2250" s="4" t="s">
        <v>7422</v>
      </c>
      <c r="C2250" s="4" t="s">
        <v>7423</v>
      </c>
      <c r="D2250" s="1">
        <f>DATE(2020,6,18)+TIME(10,36,2)</f>
        <v>44000.441689814812</v>
      </c>
    </row>
    <row r="2251" spans="1:4" ht="17">
      <c r="A2251" s="5" t="s">
        <v>7845</v>
      </c>
      <c r="B2251" s="5" t="s">
        <v>7846</v>
      </c>
      <c r="C2251" s="5" t="s">
        <v>7847</v>
      </c>
      <c r="D2251" s="2">
        <f>DATE(2020,6,18)+TIME(23,45,35)</f>
        <v>44000.989988425928</v>
      </c>
    </row>
    <row r="2252" spans="1:4" ht="17">
      <c r="A2252" s="5" t="s">
        <v>3871</v>
      </c>
      <c r="B2252" s="5" t="s">
        <v>3872</v>
      </c>
      <c r="C2252" s="5" t="s">
        <v>3873</v>
      </c>
      <c r="D2252" s="2">
        <f>DATE(2020,6,24)+TIME(12,55,2)</f>
        <v>44006.538217592592</v>
      </c>
    </row>
    <row r="2253" spans="1:4" ht="17">
      <c r="A2253" s="4" t="s">
        <v>4734</v>
      </c>
      <c r="B2253" s="4" t="s">
        <v>118</v>
      </c>
      <c r="C2253" s="4" t="s">
        <v>4735</v>
      </c>
      <c r="D2253" s="1">
        <f>DATE(2020,5,5)+TIME(15,32,31)</f>
        <v>43956.647581018522</v>
      </c>
    </row>
    <row r="2254" spans="1:4" ht="17">
      <c r="A2254" s="4" t="s">
        <v>3882</v>
      </c>
      <c r="B2254" s="4" t="s">
        <v>3883</v>
      </c>
      <c r="C2254" s="4" t="s">
        <v>3884</v>
      </c>
      <c r="D2254" s="1">
        <f>DATE(2020,6,18)+TIME(19,17,53)</f>
        <v>44000.804085648146</v>
      </c>
    </row>
    <row r="2255" spans="1:4" ht="17">
      <c r="A2255" s="4" t="s">
        <v>6990</v>
      </c>
      <c r="B2255" s="4" t="s">
        <v>6991</v>
      </c>
      <c r="C2255" s="4" t="s">
        <v>6992</v>
      </c>
      <c r="D2255" s="1">
        <f>DATE(2020,6,26)+TIME(5,3,20)</f>
        <v>44008.210648148146</v>
      </c>
    </row>
    <row r="2256" spans="1:4" ht="17">
      <c r="A2256" s="5" t="s">
        <v>7320</v>
      </c>
      <c r="B2256" s="5" t="s">
        <v>109</v>
      </c>
      <c r="C2256" s="5" t="s">
        <v>7321</v>
      </c>
      <c r="D2256" s="2">
        <f>DATE(2020,6,13)+TIME(16,27,29)</f>
        <v>43995.685752314814</v>
      </c>
    </row>
    <row r="2257" spans="1:4" ht="17">
      <c r="A2257" s="4" t="s">
        <v>7884</v>
      </c>
      <c r="B2257" s="4" t="s">
        <v>7885</v>
      </c>
      <c r="C2257" s="4" t="s">
        <v>7886</v>
      </c>
      <c r="D2257" s="1">
        <f>DATE(2020,5,12)+TIME(19,20,53)</f>
        <v>43963.806168981479</v>
      </c>
    </row>
    <row r="2258" spans="1:4" ht="17">
      <c r="A2258" s="4" t="s">
        <v>6864</v>
      </c>
      <c r="B2258" s="4" t="s">
        <v>6865</v>
      </c>
      <c r="C2258" s="4" t="s">
        <v>6866</v>
      </c>
      <c r="D2258" s="1">
        <f>DATE(2020,6,29)+TIME(2,31,55)</f>
        <v>44011.105497685188</v>
      </c>
    </row>
    <row r="2259" spans="1:4" ht="17">
      <c r="A2259" s="4" t="s">
        <v>5437</v>
      </c>
      <c r="B2259" s="4" t="s">
        <v>681</v>
      </c>
      <c r="C2259" s="4" t="s">
        <v>5438</v>
      </c>
      <c r="D2259" s="1">
        <f>DATE(2020,5,21)+TIME(17,32,12)</f>
        <v>43972.730694444443</v>
      </c>
    </row>
    <row r="2260" spans="1:4" ht="17">
      <c r="A2260" s="5" t="s">
        <v>5437</v>
      </c>
      <c r="B2260" s="5" t="s">
        <v>8661</v>
      </c>
      <c r="C2260" s="5" t="s">
        <v>8662</v>
      </c>
      <c r="D2260" s="2">
        <f>DATE(2020,6,4)+TIME(16,44,48)</f>
        <v>43986.697777777779</v>
      </c>
    </row>
    <row r="2261" spans="1:4" ht="17">
      <c r="A2261" s="4" t="s">
        <v>5437</v>
      </c>
      <c r="B2261" s="4" t="s">
        <v>9062</v>
      </c>
      <c r="C2261" s="4" t="s">
        <v>9063</v>
      </c>
      <c r="D2261" s="1">
        <f>DATE(2020,6,4)+TIME(16,44,49)</f>
        <v>43986.697789351849</v>
      </c>
    </row>
    <row r="2262" spans="1:4" ht="17">
      <c r="A2262" s="5" t="s">
        <v>5437</v>
      </c>
      <c r="B2262" s="5" t="s">
        <v>7611</v>
      </c>
      <c r="C2262" s="5" t="s">
        <v>7612</v>
      </c>
      <c r="D2262" s="2">
        <f>DATE(2020,6,29)+TIME(4,9,21)</f>
        <v>44011.173159722224</v>
      </c>
    </row>
    <row r="2263" spans="1:4" ht="17">
      <c r="A2263" s="5" t="s">
        <v>3053</v>
      </c>
      <c r="B2263" s="5" t="s">
        <v>3054</v>
      </c>
      <c r="C2263" s="5" t="s">
        <v>3055</v>
      </c>
      <c r="D2263" s="2">
        <f>DATE(2020,6,27)+TIME(20,33,46)</f>
        <v>44009.856782407405</v>
      </c>
    </row>
    <row r="2264" spans="1:4" ht="17">
      <c r="A2264" s="5" t="s">
        <v>8606</v>
      </c>
      <c r="B2264" s="5" t="s">
        <v>8607</v>
      </c>
      <c r="C2264" s="5" t="s">
        <v>8608</v>
      </c>
      <c r="D2264" s="2">
        <f>DATE(2020,6,19)+TIME(20,24,19)</f>
        <v>44001.850219907406</v>
      </c>
    </row>
    <row r="2265" spans="1:4" ht="17">
      <c r="A2265" s="5" t="s">
        <v>2962</v>
      </c>
      <c r="B2265" s="5" t="s">
        <v>7644</v>
      </c>
      <c r="C2265" s="5" t="s">
        <v>7645</v>
      </c>
      <c r="D2265" s="2">
        <f>DATE(2020,5,6)+TIME(9,27,15)</f>
        <v>43957.393923611111</v>
      </c>
    </row>
    <row r="2266" spans="1:4" ht="17">
      <c r="A2266" s="4" t="s">
        <v>2962</v>
      </c>
      <c r="B2266" s="4" t="s">
        <v>2963</v>
      </c>
      <c r="C2266" s="4" t="s">
        <v>2964</v>
      </c>
      <c r="D2266" s="1">
        <f>DATE(2020,6,27)+TIME(21,24,4)</f>
        <v>44009.891712962963</v>
      </c>
    </row>
    <row r="2267" spans="1:4" ht="17">
      <c r="A2267" s="4" t="s">
        <v>3407</v>
      </c>
      <c r="B2267" s="4" t="s">
        <v>750</v>
      </c>
      <c r="C2267" s="4" t="s">
        <v>3408</v>
      </c>
      <c r="D2267" s="1">
        <f>DATE(2020,6,18)+TIME(14,1,22)</f>
        <v>44000.584282407406</v>
      </c>
    </row>
    <row r="2268" spans="1:4" ht="17">
      <c r="A2268" s="4" t="s">
        <v>513</v>
      </c>
      <c r="B2268" s="4" t="s">
        <v>514</v>
      </c>
      <c r="C2268" s="4" t="s">
        <v>515</v>
      </c>
      <c r="D2268" s="1">
        <f>DATE(2020,3,27)+TIME(16,41,19)</f>
        <v>43917.6953587963</v>
      </c>
    </row>
    <row r="2269" spans="1:4" ht="17">
      <c r="A2269" s="4" t="s">
        <v>513</v>
      </c>
      <c r="B2269" s="4" t="s">
        <v>1563</v>
      </c>
      <c r="C2269" s="4" t="s">
        <v>1564</v>
      </c>
      <c r="D2269" s="1">
        <f>DATE(2020,6,22)+TIME(14,55,10)</f>
        <v>44004.62164351852</v>
      </c>
    </row>
    <row r="2270" spans="1:4" ht="17">
      <c r="A2270" s="4" t="s">
        <v>5057</v>
      </c>
      <c r="B2270" s="4" t="s">
        <v>5058</v>
      </c>
      <c r="C2270" s="4" t="s">
        <v>5059</v>
      </c>
      <c r="D2270" s="1">
        <f>DATE(2020,5,21)+TIME(16,15,47)</f>
        <v>43972.677627314813</v>
      </c>
    </row>
    <row r="2271" spans="1:4" ht="17">
      <c r="A2271" s="4" t="s">
        <v>1506</v>
      </c>
      <c r="B2271" s="4" t="s">
        <v>2685</v>
      </c>
      <c r="C2271" s="4" t="s">
        <v>2686</v>
      </c>
      <c r="D2271" s="1">
        <f>DATE(2020,6,11)+TIME(9,44,24)</f>
        <v>43993.405833333331</v>
      </c>
    </row>
    <row r="2272" spans="1:4" ht="17">
      <c r="A2272" s="5" t="s">
        <v>1506</v>
      </c>
      <c r="B2272" s="5" t="s">
        <v>1507</v>
      </c>
      <c r="C2272" s="5" t="s">
        <v>1508</v>
      </c>
      <c r="D2272" s="2">
        <f>DATE(2020,6,24)+TIME(8,20,31)</f>
        <v>44006.347581018519</v>
      </c>
    </row>
    <row r="2273" spans="1:4" ht="17">
      <c r="A2273" s="5" t="s">
        <v>1506</v>
      </c>
      <c r="B2273" s="5" t="s">
        <v>8413</v>
      </c>
      <c r="C2273" s="5" t="s">
        <v>8414</v>
      </c>
      <c r="D2273" s="2">
        <f>DATE(2020,6,29)+TIME(10,35,43)</f>
        <v>44011.441469907404</v>
      </c>
    </row>
    <row r="2274" spans="1:4" ht="17">
      <c r="A2274" s="4" t="s">
        <v>1799</v>
      </c>
      <c r="B2274" s="4" t="s">
        <v>3978</v>
      </c>
      <c r="C2274" s="4" t="s">
        <v>3979</v>
      </c>
      <c r="D2274" s="1">
        <f>DATE(2020,5,13)+TIME(3,54,29)</f>
        <v>43964.162835648145</v>
      </c>
    </row>
    <row r="2275" spans="1:4" ht="17">
      <c r="A2275" s="5" t="s">
        <v>1799</v>
      </c>
      <c r="B2275" s="5" t="s">
        <v>1800</v>
      </c>
      <c r="C2275" s="5" t="s">
        <v>1801</v>
      </c>
      <c r="D2275" s="2">
        <f>DATE(2020,5,19)+TIME(8,5,22)</f>
        <v>43970.337060185186</v>
      </c>
    </row>
    <row r="2276" spans="1:4" ht="17">
      <c r="A2276" s="4" t="s">
        <v>1799</v>
      </c>
      <c r="B2276" s="4" t="s">
        <v>2220</v>
      </c>
      <c r="C2276" s="4" t="s">
        <v>2221</v>
      </c>
      <c r="D2276" s="1">
        <f>DATE(2020,6,22)+TIME(4,53,29)</f>
        <v>44004.20380787037</v>
      </c>
    </row>
    <row r="2277" spans="1:4" ht="17">
      <c r="A2277" s="4" t="s">
        <v>2129</v>
      </c>
      <c r="B2277" s="4" t="s">
        <v>5024</v>
      </c>
      <c r="C2277" s="4" t="s">
        <v>5026</v>
      </c>
      <c r="D2277" s="1">
        <f>DATE(2020,3,31)+TIME(13,51,57)</f>
        <v>43921.577743055554</v>
      </c>
    </row>
    <row r="2278" spans="1:4" ht="17">
      <c r="A2278" s="4" t="s">
        <v>2129</v>
      </c>
      <c r="B2278" s="4" t="s">
        <v>3506</v>
      </c>
      <c r="C2278" s="4" t="s">
        <v>3507</v>
      </c>
      <c r="D2278" s="1">
        <f>DATE(2020,5,26)+TIME(19,32,52)</f>
        <v>43977.81449074074</v>
      </c>
    </row>
    <row r="2279" spans="1:4" ht="17">
      <c r="A2279" s="4" t="s">
        <v>2129</v>
      </c>
      <c r="B2279" s="4" t="s">
        <v>1692</v>
      </c>
      <c r="C2279" s="4" t="s">
        <v>6379</v>
      </c>
      <c r="D2279" s="1">
        <f>DATE(2020,6,24)+TIME(2,21,51)</f>
        <v>44006.098506944443</v>
      </c>
    </row>
    <row r="2280" spans="1:4" ht="17">
      <c r="A2280" s="5" t="s">
        <v>2129</v>
      </c>
      <c r="B2280" s="5" t="s">
        <v>2130</v>
      </c>
      <c r="C2280" s="5" t="s">
        <v>2131</v>
      </c>
      <c r="D2280" s="2">
        <f>DATE(2020,6,24)+TIME(12,41,42)</f>
        <v>44006.528958333336</v>
      </c>
    </row>
    <row r="2281" spans="1:4" ht="17">
      <c r="A2281" s="5" t="s">
        <v>2129</v>
      </c>
      <c r="B2281" s="5" t="s">
        <v>2888</v>
      </c>
      <c r="C2281" s="5" t="s">
        <v>2889</v>
      </c>
      <c r="D2281" s="2">
        <f>DATE(2020,6,26)+TIME(3,38,49)</f>
        <v>44008.151956018519</v>
      </c>
    </row>
    <row r="2282" spans="1:4" ht="17">
      <c r="A2282" s="4" t="s">
        <v>2466</v>
      </c>
      <c r="B2282" s="4" t="s">
        <v>2467</v>
      </c>
      <c r="C2282" s="4" t="s">
        <v>2468</v>
      </c>
      <c r="D2282" s="1">
        <f>DATE(2020,6,12)+TIME(22,1,39)</f>
        <v>43994.917812500003</v>
      </c>
    </row>
    <row r="2283" spans="1:4" ht="17">
      <c r="A2283" s="4" t="s">
        <v>4056</v>
      </c>
      <c r="B2283" s="4" t="s">
        <v>7970</v>
      </c>
      <c r="C2283" s="4" t="s">
        <v>7971</v>
      </c>
      <c r="D2283" s="1">
        <f>DATE(2020,5,6)+TIME(18,46,21)</f>
        <v>43957.782187500001</v>
      </c>
    </row>
    <row r="2284" spans="1:4" ht="17">
      <c r="A2284" s="4" t="s">
        <v>4056</v>
      </c>
      <c r="B2284" s="4" t="s">
        <v>4057</v>
      </c>
      <c r="C2284" s="4" t="s">
        <v>4058</v>
      </c>
      <c r="D2284" s="1">
        <f>DATE(2020,6,5)+TIME(11,12,55)</f>
        <v>43987.467303240737</v>
      </c>
    </row>
    <row r="2285" spans="1:4" ht="17">
      <c r="A2285" s="5" t="s">
        <v>1246</v>
      </c>
      <c r="B2285" s="5" t="s">
        <v>6329</v>
      </c>
      <c r="C2285" s="5" t="s">
        <v>6330</v>
      </c>
      <c r="D2285" s="2">
        <f>DATE(2020,5,13)+TIME(3,54,29)</f>
        <v>43964.162835648145</v>
      </c>
    </row>
    <row r="2286" spans="1:4" ht="17">
      <c r="A2286" s="5" t="s">
        <v>1246</v>
      </c>
      <c r="B2286" s="5" t="s">
        <v>6367</v>
      </c>
      <c r="C2286" s="5" t="s">
        <v>6368</v>
      </c>
      <c r="D2286" s="2">
        <f>DATE(2020,6,17)+TIME(16,15,46)</f>
        <v>43999.677615740744</v>
      </c>
    </row>
    <row r="2287" spans="1:4" ht="17">
      <c r="A2287" s="5" t="s">
        <v>1246</v>
      </c>
      <c r="B2287" s="5" t="s">
        <v>1247</v>
      </c>
      <c r="C2287" s="5" t="s">
        <v>1248</v>
      </c>
      <c r="D2287" s="2">
        <f>DATE(2020,6,24)+TIME(16,37,13)</f>
        <v>44006.692511574074</v>
      </c>
    </row>
    <row r="2288" spans="1:4" ht="17">
      <c r="A2288" s="5" t="s">
        <v>9350</v>
      </c>
      <c r="B2288" s="5" t="s">
        <v>9351</v>
      </c>
      <c r="C2288" s="5" t="s">
        <v>9352</v>
      </c>
      <c r="D2288" s="2">
        <f>DATE(2020,5,4)+TIME(21,4,3)</f>
        <v>43955.877812500003</v>
      </c>
    </row>
    <row r="2289" spans="1:4" ht="17">
      <c r="A2289" s="4" t="s">
        <v>4478</v>
      </c>
      <c r="B2289" s="4" t="s">
        <v>2340</v>
      </c>
      <c r="C2289" s="4" t="s">
        <v>4479</v>
      </c>
      <c r="D2289" s="1">
        <f>DATE(2020,6,25)+TIME(10,19,40)</f>
        <v>44007.430324074077</v>
      </c>
    </row>
    <row r="2290" spans="1:4" ht="17">
      <c r="A2290" s="4" t="s">
        <v>9021</v>
      </c>
      <c r="B2290" s="4" t="s">
        <v>9022</v>
      </c>
      <c r="C2290" s="4" t="s">
        <v>9023</v>
      </c>
      <c r="D2290" s="1">
        <f>DATE(2020,6,26)+TIME(16,0,10)</f>
        <v>44008.66678240741</v>
      </c>
    </row>
    <row r="2291" spans="1:4" ht="17">
      <c r="A2291" s="5" t="s">
        <v>9382</v>
      </c>
      <c r="B2291" s="5" t="s">
        <v>9383</v>
      </c>
      <c r="C2291" s="5" t="s">
        <v>9384</v>
      </c>
      <c r="D2291" s="2">
        <f>DATE(2020,5,27)+TIME(11,34,57)</f>
        <v>43978.482604166667</v>
      </c>
    </row>
    <row r="2292" spans="1:4" ht="17">
      <c r="A2292" s="4" t="s">
        <v>4769</v>
      </c>
      <c r="B2292" s="4" t="s">
        <v>3171</v>
      </c>
      <c r="C2292" s="4" t="s">
        <v>4770</v>
      </c>
      <c r="D2292" s="1">
        <f>DATE(2020,5,8)+TIME(14,24,1)</f>
        <v>43959.600011574075</v>
      </c>
    </row>
    <row r="2293" spans="1:4" ht="17">
      <c r="A2293" s="4" t="s">
        <v>8337</v>
      </c>
      <c r="B2293" s="4" t="s">
        <v>8338</v>
      </c>
      <c r="C2293" s="4" t="s">
        <v>8339</v>
      </c>
      <c r="D2293" s="1">
        <f>DATE(2020,6,26)+TIME(18,17,2)</f>
        <v>44008.761828703704</v>
      </c>
    </row>
    <row r="2294" spans="1:4" ht="17">
      <c r="A2294" s="5" t="s">
        <v>4406</v>
      </c>
      <c r="B2294" s="5" t="s">
        <v>4407</v>
      </c>
      <c r="C2294" s="5" t="s">
        <v>4408</v>
      </c>
      <c r="D2294" s="2">
        <f>DATE(2020,5,28)+TIME(15,32,10)</f>
        <v>43979.647337962961</v>
      </c>
    </row>
    <row r="2295" spans="1:4" ht="17">
      <c r="A2295" s="4" t="s">
        <v>9241</v>
      </c>
      <c r="B2295" s="4" t="s">
        <v>9242</v>
      </c>
      <c r="C2295" s="4" t="s">
        <v>9243</v>
      </c>
      <c r="D2295" s="1">
        <f>DATE(2020,6,12)+TIME(19,19,16)</f>
        <v>43994.805046296293</v>
      </c>
    </row>
    <row r="2296" spans="1:4" ht="17">
      <c r="A2296" s="5" t="s">
        <v>3101</v>
      </c>
      <c r="B2296" s="5" t="s">
        <v>3102</v>
      </c>
      <c r="C2296" s="5" t="s">
        <v>3103</v>
      </c>
      <c r="D2296" s="2">
        <f>DATE(2020,5,14)+TIME(3,22,21)</f>
        <v>43965.140520833331</v>
      </c>
    </row>
    <row r="2297" spans="1:4" ht="17">
      <c r="A2297" s="4" t="s">
        <v>3101</v>
      </c>
      <c r="B2297" s="4" t="s">
        <v>630</v>
      </c>
      <c r="C2297" s="4" t="s">
        <v>7336</v>
      </c>
      <c r="D2297" s="1">
        <f>DATE(2020,6,28)+TIME(17,36,12)</f>
        <v>44010.733472222222</v>
      </c>
    </row>
    <row r="2298" spans="1:4" ht="17">
      <c r="A2298" s="4" t="s">
        <v>3099</v>
      </c>
      <c r="B2298" s="4" t="s">
        <v>58</v>
      </c>
      <c r="C2298" s="4" t="s">
        <v>3100</v>
      </c>
      <c r="D2298" s="1">
        <f>DATE(2020,6,17)+TIME(14,31,22)</f>
        <v>43999.605115740742</v>
      </c>
    </row>
    <row r="2299" spans="1:4" ht="17">
      <c r="A2299" s="4" t="s">
        <v>7522</v>
      </c>
      <c r="B2299" s="4" t="s">
        <v>7523</v>
      </c>
      <c r="C2299" s="4" t="s">
        <v>7524</v>
      </c>
      <c r="D2299" s="1">
        <f>DATE(2020,6,15)+TIME(16,4,59)</f>
        <v>43997.670127314814</v>
      </c>
    </row>
    <row r="2300" spans="1:4" ht="17">
      <c r="A2300" s="4" t="s">
        <v>9588</v>
      </c>
      <c r="B2300" s="4" t="s">
        <v>9589</v>
      </c>
      <c r="C2300" s="4" t="s">
        <v>9590</v>
      </c>
      <c r="D2300" s="1">
        <f>DATE(2020,5,14)+TIME(12,38,46)</f>
        <v>43965.526921296296</v>
      </c>
    </row>
    <row r="2301" spans="1:4" ht="17">
      <c r="A2301" s="4" t="s">
        <v>2951</v>
      </c>
      <c r="B2301" s="4" t="s">
        <v>2952</v>
      </c>
      <c r="C2301" s="4" t="s">
        <v>2953</v>
      </c>
      <c r="D2301" s="1">
        <f>DATE(2020,5,12)+TIME(20,51,47)</f>
        <v>43963.869293981479</v>
      </c>
    </row>
    <row r="2302" spans="1:4" ht="17">
      <c r="A2302" s="5" t="s">
        <v>2951</v>
      </c>
      <c r="B2302" s="5" t="s">
        <v>4542</v>
      </c>
      <c r="C2302" s="5" t="s">
        <v>7972</v>
      </c>
      <c r="D2302" s="2">
        <f>DATE(2020,5,13)+TIME(10,35,15)</f>
        <v>43964.441145833334</v>
      </c>
    </row>
    <row r="2303" spans="1:4" ht="17">
      <c r="A2303" s="4" t="s">
        <v>2951</v>
      </c>
      <c r="B2303" s="4" t="s">
        <v>9236</v>
      </c>
      <c r="C2303" s="4" t="s">
        <v>9237</v>
      </c>
      <c r="D2303" s="1">
        <f>DATE(2020,6,11)+TIME(16,14,0)</f>
        <v>43993.676388888889</v>
      </c>
    </row>
    <row r="2304" spans="1:4" ht="17">
      <c r="A2304" s="5" t="s">
        <v>2951</v>
      </c>
      <c r="B2304" s="5" t="s">
        <v>6402</v>
      </c>
      <c r="C2304" s="5" t="s">
        <v>7134</v>
      </c>
      <c r="D2304" s="2">
        <f>DATE(2020,6,18)+TIME(9,30,10)</f>
        <v>44000.395949074074</v>
      </c>
    </row>
    <row r="2305" spans="1:4" ht="17">
      <c r="A2305" s="5" t="s">
        <v>2951</v>
      </c>
      <c r="B2305" s="5" t="s">
        <v>6070</v>
      </c>
      <c r="C2305" s="5" t="s">
        <v>6071</v>
      </c>
      <c r="D2305" s="2">
        <f>DATE(2020,6,24)+TIME(10,10,6)</f>
        <v>44006.423680555556</v>
      </c>
    </row>
    <row r="2306" spans="1:4" ht="17">
      <c r="A2306" s="5" t="s">
        <v>6987</v>
      </c>
      <c r="B2306" s="5" t="s">
        <v>6988</v>
      </c>
      <c r="C2306" s="5" t="s">
        <v>6989</v>
      </c>
      <c r="D2306" s="2">
        <f>DATE(2020,6,2)+TIME(17,31,21)</f>
        <v>43984.730104166665</v>
      </c>
    </row>
    <row r="2307" spans="1:4" ht="17">
      <c r="A2307" s="4" t="s">
        <v>3223</v>
      </c>
      <c r="B2307" s="4" t="s">
        <v>3224</v>
      </c>
      <c r="C2307" s="4" t="s">
        <v>3225</v>
      </c>
      <c r="D2307" s="1">
        <f>DATE(2020,6,26)+TIME(8,40,56)</f>
        <v>44008.361759259256</v>
      </c>
    </row>
    <row r="2308" spans="1:4" ht="17">
      <c r="A2308" s="5" t="s">
        <v>2251</v>
      </c>
      <c r="B2308" s="5" t="s">
        <v>2252</v>
      </c>
      <c r="C2308" s="5" t="s">
        <v>2253</v>
      </c>
      <c r="D2308" s="2">
        <f>DATE(2020,6,26)+TIME(12,15,48)</f>
        <v>44008.510972222219</v>
      </c>
    </row>
    <row r="2309" spans="1:4" ht="17">
      <c r="A2309" s="4" t="s">
        <v>2719</v>
      </c>
      <c r="B2309" s="4" t="s">
        <v>2720</v>
      </c>
      <c r="C2309" s="4" t="s">
        <v>2721</v>
      </c>
      <c r="D2309" s="1">
        <f>DATE(2020,6,26)+TIME(15,23,47)</f>
        <v>44008.641516203701</v>
      </c>
    </row>
    <row r="2310" spans="1:4" ht="17">
      <c r="A2310" s="5" t="s">
        <v>493</v>
      </c>
      <c r="B2310" s="5" t="s">
        <v>494</v>
      </c>
      <c r="C2310" s="5" t="s">
        <v>495</v>
      </c>
      <c r="D2310" s="2">
        <f>DATE(2020,5,13)+TIME(3,54,29)</f>
        <v>43964.162835648145</v>
      </c>
    </row>
    <row r="2311" spans="1:4" ht="17">
      <c r="A2311" s="4" t="s">
        <v>224</v>
      </c>
      <c r="B2311" s="4" t="s">
        <v>4528</v>
      </c>
      <c r="C2311" s="4" t="s">
        <v>4529</v>
      </c>
      <c r="D2311" s="1">
        <f>DATE(2020,4,6)+TIME(14,22,3)</f>
        <v>43927.598645833335</v>
      </c>
    </row>
    <row r="2312" spans="1:4" ht="17">
      <c r="A2312" s="4" t="s">
        <v>224</v>
      </c>
      <c r="B2312" s="4" t="s">
        <v>1493</v>
      </c>
      <c r="C2312" s="4" t="s">
        <v>1494</v>
      </c>
      <c r="D2312" s="1">
        <f>DATE(2020,5,5)+TIME(16,5,43)</f>
        <v>43956.670636574076</v>
      </c>
    </row>
    <row r="2313" spans="1:4" ht="17">
      <c r="A2313" s="5" t="s">
        <v>224</v>
      </c>
      <c r="B2313" s="5" t="s">
        <v>8433</v>
      </c>
      <c r="C2313" s="5" t="s">
        <v>8434</v>
      </c>
      <c r="D2313" s="2">
        <f>DATE(2020,5,6)+TIME(6,11,23)</f>
        <v>43957.257905092592</v>
      </c>
    </row>
    <row r="2314" spans="1:4" ht="17">
      <c r="A2314" s="5" t="s">
        <v>5954</v>
      </c>
      <c r="B2314" s="5" t="s">
        <v>6613</v>
      </c>
      <c r="C2314" s="5" t="s">
        <v>6614</v>
      </c>
      <c r="D2314" s="2">
        <f>DATE(2020,5,6)+TIME(10,45,3)</f>
        <v>43957.447951388887</v>
      </c>
    </row>
    <row r="2315" spans="1:4" ht="17">
      <c r="A2315" s="4" t="s">
        <v>224</v>
      </c>
      <c r="B2315" s="4" t="s">
        <v>8722</v>
      </c>
      <c r="C2315" s="4" t="s">
        <v>8723</v>
      </c>
      <c r="D2315" s="1">
        <f>DATE(2020,5,6)+TIME(11,52,49)</f>
        <v>43957.495011574072</v>
      </c>
    </row>
    <row r="2316" spans="1:4" ht="17">
      <c r="A2316" s="5" t="s">
        <v>224</v>
      </c>
      <c r="B2316" s="5" t="s">
        <v>213</v>
      </c>
      <c r="C2316" s="5" t="s">
        <v>7368</v>
      </c>
      <c r="D2316" s="2">
        <f>DATE(2020,5,6)+TIME(12,50,36)</f>
        <v>43957.535138888888</v>
      </c>
    </row>
    <row r="2317" spans="1:4" ht="17">
      <c r="A2317" s="5" t="s">
        <v>224</v>
      </c>
      <c r="B2317" s="5" t="s">
        <v>4758</v>
      </c>
      <c r="C2317" s="5" t="s">
        <v>9119</v>
      </c>
      <c r="D2317" s="2">
        <f>DATE(2020,5,6)+TIME(18,31,3)</f>
        <v>43957.771562499998</v>
      </c>
    </row>
    <row r="2318" spans="1:4" ht="17">
      <c r="A2318" s="4" t="s">
        <v>224</v>
      </c>
      <c r="B2318" s="4" t="s">
        <v>7283</v>
      </c>
      <c r="C2318" s="4" t="s">
        <v>8769</v>
      </c>
      <c r="D2318" s="1">
        <f>DATE(2020,5,15)+TIME(16,1,8)</f>
        <v>43966.667453703703</v>
      </c>
    </row>
    <row r="2319" spans="1:4" ht="17">
      <c r="A2319" s="5" t="s">
        <v>224</v>
      </c>
      <c r="B2319" s="5" t="s">
        <v>8216</v>
      </c>
      <c r="C2319" s="5" t="s">
        <v>8217</v>
      </c>
      <c r="D2319" s="2">
        <f>DATE(2020,5,17)+TIME(22,9,10)</f>
        <v>43968.923032407409</v>
      </c>
    </row>
    <row r="2320" spans="1:4" ht="17">
      <c r="A2320" s="4" t="s">
        <v>224</v>
      </c>
      <c r="B2320" s="4" t="s">
        <v>1140</v>
      </c>
      <c r="C2320" s="4" t="s">
        <v>1141</v>
      </c>
      <c r="D2320" s="1">
        <f>DATE(2020,5,27)+TIME(8,24,45)</f>
        <v>43978.35052083333</v>
      </c>
    </row>
    <row r="2321" spans="1:4" ht="17">
      <c r="A2321" s="5" t="s">
        <v>224</v>
      </c>
      <c r="B2321" s="5" t="s">
        <v>225</v>
      </c>
      <c r="C2321" s="5" t="s">
        <v>226</v>
      </c>
      <c r="D2321" s="2">
        <f>DATE(2020,5,28)+TIME(20,9,41)</f>
        <v>43979.840057870373</v>
      </c>
    </row>
    <row r="2322" spans="1:4" ht="17">
      <c r="A2322" s="4" t="s">
        <v>224</v>
      </c>
      <c r="B2322" s="4" t="s">
        <v>7201</v>
      </c>
      <c r="C2322" s="4" t="s">
        <v>7202</v>
      </c>
      <c r="D2322" s="1">
        <f>DATE(2020,6,2)+TIME(11,14,3)</f>
        <v>43984.468090277776</v>
      </c>
    </row>
    <row r="2323" spans="1:4" ht="17">
      <c r="A2323" s="4" t="s">
        <v>224</v>
      </c>
      <c r="B2323" s="4" t="s">
        <v>3278</v>
      </c>
      <c r="C2323" s="4" t="s">
        <v>3279</v>
      </c>
      <c r="D2323" s="1">
        <f>DATE(2020,6,17)+TIME(9,44,26)</f>
        <v>43999.405856481484</v>
      </c>
    </row>
    <row r="2324" spans="1:4" ht="17">
      <c r="A2324" s="5" t="s">
        <v>224</v>
      </c>
      <c r="B2324" s="5" t="s">
        <v>733</v>
      </c>
      <c r="C2324" s="5" t="s">
        <v>734</v>
      </c>
      <c r="D2324" s="2">
        <f>DATE(2020,6,17)+TIME(12,56,8)</f>
        <v>43999.538981481484</v>
      </c>
    </row>
    <row r="2325" spans="1:4" ht="17">
      <c r="A2325" s="4" t="s">
        <v>224</v>
      </c>
      <c r="B2325" s="4" t="s">
        <v>924</v>
      </c>
      <c r="C2325" s="4" t="s">
        <v>925</v>
      </c>
      <c r="D2325" s="1">
        <f>DATE(2020,6,19)+TIME(3,23,45)</f>
        <v>44001.141493055555</v>
      </c>
    </row>
    <row r="2326" spans="1:4" ht="17">
      <c r="A2326" s="5" t="s">
        <v>224</v>
      </c>
      <c r="B2326" s="5" t="s">
        <v>7250</v>
      </c>
      <c r="C2326" s="5" t="s">
        <v>7251</v>
      </c>
      <c r="D2326" s="2">
        <f>DATE(2020,6,19)+TIME(11,8,18)</f>
        <v>44001.464097222219</v>
      </c>
    </row>
    <row r="2327" spans="1:4" ht="17">
      <c r="A2327" s="5" t="s">
        <v>224</v>
      </c>
      <c r="B2327" s="5" t="s">
        <v>3948</v>
      </c>
      <c r="C2327" s="5" t="s">
        <v>3949</v>
      </c>
      <c r="D2327" s="2">
        <f>DATE(2020,6,22)+TIME(9,28,54)</f>
        <v>44004.395069444443</v>
      </c>
    </row>
    <row r="2328" spans="1:4" ht="17">
      <c r="A2328" s="4" t="s">
        <v>224</v>
      </c>
      <c r="B2328" s="4" t="s">
        <v>2503</v>
      </c>
      <c r="C2328" s="4" t="s">
        <v>7956</v>
      </c>
      <c r="D2328" s="1">
        <f>DATE(2020,6,22)+TIME(22,46,16)</f>
        <v>44004.948796296296</v>
      </c>
    </row>
    <row r="2329" spans="1:4" ht="17">
      <c r="A2329" s="4" t="s">
        <v>224</v>
      </c>
      <c r="B2329" s="4" t="s">
        <v>2013</v>
      </c>
      <c r="C2329" s="4" t="s">
        <v>2014</v>
      </c>
      <c r="D2329" s="1">
        <f>DATE(2020,6,23)+TIME(19,19,42)</f>
        <v>44005.805347222224</v>
      </c>
    </row>
    <row r="2330" spans="1:4" ht="17">
      <c r="A2330" s="4" t="s">
        <v>224</v>
      </c>
      <c r="B2330" s="4" t="s">
        <v>605</v>
      </c>
      <c r="C2330" s="4" t="s">
        <v>606</v>
      </c>
      <c r="D2330" s="1">
        <f>DATE(2020,6,23)+TIME(19,43,1)</f>
        <v>44005.821539351855</v>
      </c>
    </row>
    <row r="2331" spans="1:4" ht="17">
      <c r="A2331" s="4" t="s">
        <v>224</v>
      </c>
      <c r="B2331" s="4" t="s">
        <v>3254</v>
      </c>
      <c r="C2331" s="4" t="s">
        <v>3255</v>
      </c>
      <c r="D2331" s="1">
        <f>DATE(2020,6,24)+TIME(10,10,6)</f>
        <v>44006.423680555556</v>
      </c>
    </row>
    <row r="2332" spans="1:4" ht="17">
      <c r="A2332" s="5" t="s">
        <v>224</v>
      </c>
      <c r="B2332" s="5" t="s">
        <v>354</v>
      </c>
      <c r="C2332" s="5" t="s">
        <v>355</v>
      </c>
      <c r="D2332" s="2">
        <f>DATE(2020,6,24)+TIME(12,31,38)</f>
        <v>44006.521967592591</v>
      </c>
    </row>
    <row r="2333" spans="1:4" ht="17">
      <c r="A2333" s="4" t="s">
        <v>5954</v>
      </c>
      <c r="B2333" s="4" t="s">
        <v>5955</v>
      </c>
      <c r="C2333" s="4" t="s">
        <v>5956</v>
      </c>
      <c r="D2333" s="1">
        <f>DATE(2020,6,24)+TIME(12,42,31)</f>
        <v>44006.52952546296</v>
      </c>
    </row>
    <row r="2334" spans="1:4" ht="17">
      <c r="A2334" s="5" t="s">
        <v>224</v>
      </c>
      <c r="B2334" s="5" t="s">
        <v>8248</v>
      </c>
      <c r="C2334" s="5" t="s">
        <v>8249</v>
      </c>
      <c r="D2334" s="2">
        <f>DATE(2020,6,25)+TIME(11,46,35)</f>
        <v>44007.490682870368</v>
      </c>
    </row>
    <row r="2335" spans="1:4" ht="17">
      <c r="A2335" s="4" t="s">
        <v>224</v>
      </c>
      <c r="B2335" s="4" t="s">
        <v>2531</v>
      </c>
      <c r="C2335" s="4" t="s">
        <v>8064</v>
      </c>
      <c r="D2335" s="1">
        <f>DATE(2020,6,26)+TIME(9,22,40)</f>
        <v>44008.390740740739</v>
      </c>
    </row>
    <row r="2336" spans="1:4" ht="17">
      <c r="A2336" s="4" t="s">
        <v>224</v>
      </c>
      <c r="B2336" s="4" t="s">
        <v>7573</v>
      </c>
      <c r="C2336" s="4" t="s">
        <v>7574</v>
      </c>
      <c r="D2336" s="1">
        <f>DATE(2020,6,26)+TIME(16,59,12)</f>
        <v>44008.707777777781</v>
      </c>
    </row>
    <row r="2337" spans="1:4" ht="17">
      <c r="A2337" s="5" t="s">
        <v>224</v>
      </c>
      <c r="B2337" s="5" t="s">
        <v>1225</v>
      </c>
      <c r="C2337" s="5" t="s">
        <v>1226</v>
      </c>
      <c r="D2337" s="2">
        <f>DATE(2020,6,26)+TIME(20,59,10)</f>
        <v>44008.874421296299</v>
      </c>
    </row>
    <row r="2338" spans="1:4" ht="17">
      <c r="A2338" s="5" t="s">
        <v>224</v>
      </c>
      <c r="B2338" s="5" t="s">
        <v>8972</v>
      </c>
      <c r="C2338" s="5" t="s">
        <v>8973</v>
      </c>
      <c r="D2338" s="2">
        <f>DATE(2020,6,26)+TIME(22,56,19)</f>
        <v>44008.955775462964</v>
      </c>
    </row>
    <row r="2339" spans="1:4" ht="17">
      <c r="A2339" s="5" t="s">
        <v>4668</v>
      </c>
      <c r="B2339" s="5" t="s">
        <v>4669</v>
      </c>
      <c r="C2339" s="5" t="s">
        <v>4670</v>
      </c>
      <c r="D2339" s="2">
        <f>DATE(2020,6,7)+TIME(10,4,49)</f>
        <v>43989.420011574075</v>
      </c>
    </row>
    <row r="2340" spans="1:4" ht="17">
      <c r="A2340" s="4" t="s">
        <v>7365</v>
      </c>
      <c r="B2340" s="4" t="s">
        <v>7366</v>
      </c>
      <c r="C2340" s="4" t="s">
        <v>7367</v>
      </c>
      <c r="D2340" s="1">
        <f>DATE(2020,6,18)+TIME(14,33,56)</f>
        <v>44000.606898148151</v>
      </c>
    </row>
    <row r="2341" spans="1:4" ht="17">
      <c r="A2341" s="5" t="s">
        <v>8259</v>
      </c>
      <c r="B2341" s="5" t="s">
        <v>8260</v>
      </c>
      <c r="C2341" s="5" t="s">
        <v>8261</v>
      </c>
      <c r="D2341" s="2">
        <f>DATE(2020,6,25)+TIME(0,24,1)</f>
        <v>44007.01667824074</v>
      </c>
    </row>
    <row r="2342" spans="1:4" ht="17">
      <c r="A2342" s="5" t="s">
        <v>3685</v>
      </c>
      <c r="B2342" s="5" t="s">
        <v>3686</v>
      </c>
      <c r="C2342" s="5" t="s">
        <v>3687</v>
      </c>
      <c r="D2342" s="2">
        <f>DATE(2020,5,17)+TIME(18,13,44)</f>
        <v>43968.75953703704</v>
      </c>
    </row>
    <row r="2343" spans="1:4" ht="17">
      <c r="A2343" s="4" t="s">
        <v>1379</v>
      </c>
      <c r="B2343" s="4" t="s">
        <v>1380</v>
      </c>
      <c r="C2343" s="4" t="s">
        <v>1381</v>
      </c>
      <c r="D2343" s="1">
        <f>DATE(2020,5,19)+TIME(0,42,22)</f>
        <v>43970.029421296298</v>
      </c>
    </row>
    <row r="2344" spans="1:4" ht="17">
      <c r="A2344" s="5" t="s">
        <v>8512</v>
      </c>
      <c r="B2344" s="5" t="s">
        <v>8513</v>
      </c>
      <c r="C2344" s="5" t="s">
        <v>8514</v>
      </c>
      <c r="D2344" s="2">
        <f>DATE(2020,6,2)+TIME(10,39,25)</f>
        <v>43984.444039351853</v>
      </c>
    </row>
    <row r="2345" spans="1:4" ht="17">
      <c r="A2345" s="5" t="s">
        <v>1379</v>
      </c>
      <c r="B2345" s="5" t="s">
        <v>7486</v>
      </c>
      <c r="C2345" s="5" t="s">
        <v>7487</v>
      </c>
      <c r="D2345" s="2">
        <f>DATE(2020,6,15)+TIME(12,36,55)</f>
        <v>43997.525636574072</v>
      </c>
    </row>
    <row r="2346" spans="1:4" ht="17">
      <c r="A2346" s="5" t="s">
        <v>4247</v>
      </c>
      <c r="B2346" s="5" t="s">
        <v>4248</v>
      </c>
      <c r="C2346" s="5" t="s">
        <v>4249</v>
      </c>
      <c r="D2346" s="2">
        <f>DATE(2020,6,15)+TIME(14,38,44)</f>
        <v>43997.610231481478</v>
      </c>
    </row>
    <row r="2347" spans="1:4" ht="17">
      <c r="A2347" s="4" t="s">
        <v>5685</v>
      </c>
      <c r="B2347" s="4" t="s">
        <v>5686</v>
      </c>
      <c r="C2347" s="4" t="s">
        <v>5687</v>
      </c>
      <c r="D2347" s="1">
        <f>DATE(2020,6,23)+TIME(17,32,46)</f>
        <v>44005.731087962966</v>
      </c>
    </row>
    <row r="2348" spans="1:4" ht="17">
      <c r="A2348" s="5" t="s">
        <v>102</v>
      </c>
      <c r="B2348" s="5" t="s">
        <v>5582</v>
      </c>
      <c r="C2348" s="5" t="s">
        <v>5583</v>
      </c>
      <c r="D2348" s="2">
        <f>DATE(2020,5,28)+TIME(1,55,52)</f>
        <v>43979.080462962964</v>
      </c>
    </row>
    <row r="2349" spans="1:4" ht="17">
      <c r="A2349" s="5" t="s">
        <v>102</v>
      </c>
      <c r="B2349" s="5" t="s">
        <v>444</v>
      </c>
      <c r="C2349" s="5" t="s">
        <v>445</v>
      </c>
      <c r="D2349" s="2">
        <f>DATE(2020,6,2)+TIME(2,21,44)</f>
        <v>43984.098425925928</v>
      </c>
    </row>
    <row r="2350" spans="1:4" ht="17">
      <c r="A2350" s="5" t="s">
        <v>102</v>
      </c>
      <c r="B2350" s="5" t="s">
        <v>1850</v>
      </c>
      <c r="C2350" s="5" t="s">
        <v>1851</v>
      </c>
      <c r="D2350" s="2">
        <f>DATE(2020,6,5)+TIME(17,24,18)</f>
        <v>43987.725208333337</v>
      </c>
    </row>
    <row r="2351" spans="1:4" ht="17">
      <c r="A2351" s="4" t="s">
        <v>102</v>
      </c>
      <c r="B2351" s="4" t="s">
        <v>103</v>
      </c>
      <c r="C2351" s="4" t="s">
        <v>104</v>
      </c>
      <c r="D2351" s="1">
        <f>DATE(2020,6,9)+TIME(11,2,21)</f>
        <v>43991.459965277776</v>
      </c>
    </row>
    <row r="2352" spans="1:4" ht="17">
      <c r="A2352" s="4" t="s">
        <v>102</v>
      </c>
      <c r="B2352" s="4" t="s">
        <v>856</v>
      </c>
      <c r="C2352" s="4" t="s">
        <v>7437</v>
      </c>
      <c r="D2352" s="1">
        <f>DATE(2020,6,15)+TIME(10,35,51)</f>
        <v>43997.441562499997</v>
      </c>
    </row>
    <row r="2353" spans="1:4" ht="17">
      <c r="A2353" s="4" t="s">
        <v>102</v>
      </c>
      <c r="B2353" s="4" t="s">
        <v>7576</v>
      </c>
      <c r="C2353" s="4" t="s">
        <v>7577</v>
      </c>
      <c r="D2353" s="1">
        <f>DATE(2020,6,16)+TIME(14,5,2)</f>
        <v>43998.586828703701</v>
      </c>
    </row>
    <row r="2354" spans="1:4" ht="17">
      <c r="A2354" s="5" t="s">
        <v>102</v>
      </c>
      <c r="B2354" s="5" t="s">
        <v>1040</v>
      </c>
      <c r="C2354" s="5" t="s">
        <v>1041</v>
      </c>
      <c r="D2354" s="2">
        <f>DATE(2020,6,23)+TIME(16,57,2)</f>
        <v>44005.706273148149</v>
      </c>
    </row>
    <row r="2355" spans="1:4" ht="17">
      <c r="A2355" s="5" t="s">
        <v>102</v>
      </c>
      <c r="B2355" s="5" t="s">
        <v>1155</v>
      </c>
      <c r="C2355" s="5" t="s">
        <v>1156</v>
      </c>
      <c r="D2355" s="2">
        <f>DATE(2020,6,24)+TIME(0,13,18)</f>
        <v>44006.009236111109</v>
      </c>
    </row>
    <row r="2356" spans="1:4" ht="17">
      <c r="A2356" s="4" t="s">
        <v>102</v>
      </c>
      <c r="B2356" s="4" t="s">
        <v>3922</v>
      </c>
      <c r="C2356" s="4" t="s">
        <v>3923</v>
      </c>
      <c r="D2356" s="1">
        <f>DATE(2020,6,24)+TIME(10,11,34)</f>
        <v>44006.424699074072</v>
      </c>
    </row>
    <row r="2357" spans="1:4" ht="17">
      <c r="A2357" s="4" t="s">
        <v>102</v>
      </c>
      <c r="B2357" s="4" t="s">
        <v>7005</v>
      </c>
      <c r="C2357" s="4" t="s">
        <v>7006</v>
      </c>
      <c r="D2357" s="1">
        <f>DATE(2020,6,24)+TIME(15,22,38)</f>
        <v>44006.640717592592</v>
      </c>
    </row>
    <row r="2358" spans="1:4" ht="17">
      <c r="A2358" s="4" t="s">
        <v>3945</v>
      </c>
      <c r="B2358" s="4" t="s">
        <v>3946</v>
      </c>
      <c r="C2358" s="4" t="s">
        <v>3947</v>
      </c>
      <c r="D2358" s="1">
        <f>DATE(2020,6,25)+TIME(19,38,44)</f>
        <v>44007.818564814814</v>
      </c>
    </row>
    <row r="2359" spans="1:4" ht="17">
      <c r="A2359" s="5" t="s">
        <v>2525</v>
      </c>
      <c r="B2359" s="5" t="s">
        <v>9466</v>
      </c>
      <c r="C2359" s="5" t="s">
        <v>9467</v>
      </c>
      <c r="D2359" s="2">
        <f>DATE(2020,6,10)+TIME(10,9,33)</f>
        <v>43992.423298611109</v>
      </c>
    </row>
    <row r="2360" spans="1:4" ht="17">
      <c r="A2360" s="5" t="s">
        <v>2525</v>
      </c>
      <c r="B2360" s="5" t="s">
        <v>2526</v>
      </c>
      <c r="C2360" s="5" t="s">
        <v>2527</v>
      </c>
      <c r="D2360" s="2">
        <f>DATE(2020,6,19)+TIME(7,14,8)</f>
        <v>44001.301481481481</v>
      </c>
    </row>
    <row r="2361" spans="1:4" ht="17">
      <c r="A2361" s="4" t="s">
        <v>9331</v>
      </c>
      <c r="B2361" s="4" t="s">
        <v>9332</v>
      </c>
      <c r="C2361" s="4" t="s">
        <v>9333</v>
      </c>
      <c r="D2361" s="1">
        <f>DATE(2020,6,21)+TIME(16,54,55)</f>
        <v>44003.70480324074</v>
      </c>
    </row>
    <row r="2362" spans="1:4" ht="17">
      <c r="A2362" s="5" t="s">
        <v>1237</v>
      </c>
      <c r="B2362" s="5" t="s">
        <v>1491</v>
      </c>
      <c r="C2362" s="5" t="s">
        <v>1492</v>
      </c>
      <c r="D2362" s="2">
        <f>DATE(2020,5,11)+TIME(14,11,22)</f>
        <v>43962.591226851851</v>
      </c>
    </row>
    <row r="2363" spans="1:4" ht="17">
      <c r="A2363" s="5" t="s">
        <v>1237</v>
      </c>
      <c r="B2363" s="5" t="s">
        <v>1206</v>
      </c>
      <c r="C2363" s="5" t="s">
        <v>5210</v>
      </c>
      <c r="D2363" s="2">
        <f>DATE(2020,6,5)+TIME(17,38,58)</f>
        <v>43987.735393518517</v>
      </c>
    </row>
    <row r="2364" spans="1:4" ht="17">
      <c r="A2364" s="4" t="s">
        <v>1237</v>
      </c>
      <c r="B2364" s="4" t="s">
        <v>1238</v>
      </c>
      <c r="C2364" s="4" t="s">
        <v>1239</v>
      </c>
      <c r="D2364" s="1">
        <f>DATE(2020,6,23)+TIME(17,56,29)</f>
        <v>44005.747557870367</v>
      </c>
    </row>
    <row r="2365" spans="1:4" ht="17">
      <c r="A2365" s="5" t="s">
        <v>409</v>
      </c>
      <c r="B2365" s="5" t="s">
        <v>410</v>
      </c>
      <c r="C2365" s="5" t="s">
        <v>411</v>
      </c>
      <c r="D2365" s="2">
        <f>DATE(2020,6,13)+TIME(9,58,58)</f>
        <v>43995.415949074071</v>
      </c>
    </row>
    <row r="2366" spans="1:4" ht="17">
      <c r="A2366" s="4" t="s">
        <v>8012</v>
      </c>
      <c r="B2366" s="4" t="s">
        <v>8013</v>
      </c>
      <c r="C2366" s="4" t="s">
        <v>8014</v>
      </c>
      <c r="D2366" s="1">
        <f>DATE(2020,6,19)+TIME(12,33,30)</f>
        <v>44001.523263888892</v>
      </c>
    </row>
    <row r="2367" spans="1:4" ht="17">
      <c r="A2367" s="4" t="s">
        <v>8331</v>
      </c>
      <c r="B2367" s="4" t="s">
        <v>8332</v>
      </c>
      <c r="C2367" s="4" t="s">
        <v>8333</v>
      </c>
      <c r="D2367" s="1">
        <f>DATE(2020,5,29)+TIME(6,35,51)</f>
        <v>43980.274895833332</v>
      </c>
    </row>
    <row r="2368" spans="1:4" ht="17">
      <c r="A2368" s="5" t="s">
        <v>7876</v>
      </c>
      <c r="B2368" s="5" t="s">
        <v>7877</v>
      </c>
      <c r="C2368" s="5" t="s">
        <v>7878</v>
      </c>
      <c r="D2368" s="2">
        <f>DATE(2020,6,28)+TIME(21,3,32)</f>
        <v>44010.877453703702</v>
      </c>
    </row>
    <row r="2369" spans="1:4" ht="17">
      <c r="A2369" s="4" t="s">
        <v>4269</v>
      </c>
      <c r="B2369" s="4" t="s">
        <v>4270</v>
      </c>
      <c r="C2369" s="4" t="s">
        <v>4271</v>
      </c>
      <c r="D2369" s="1">
        <f>DATE(2020,6,26)+TIME(9,18,26)</f>
        <v>44008.387800925928</v>
      </c>
    </row>
    <row r="2370" spans="1:4" ht="17">
      <c r="A2370" s="4" t="s">
        <v>6417</v>
      </c>
      <c r="B2370" s="4" t="s">
        <v>6418</v>
      </c>
      <c r="C2370" s="4" t="s">
        <v>6419</v>
      </c>
      <c r="D2370" s="1">
        <f>DATE(2020,3,29)+TIME(0,0,37)</f>
        <v>43919.000428240739</v>
      </c>
    </row>
    <row r="2371" spans="1:4" ht="17">
      <c r="A2371" s="4" t="s">
        <v>6004</v>
      </c>
      <c r="B2371" s="4" t="s">
        <v>6005</v>
      </c>
      <c r="C2371" s="4" t="s">
        <v>6006</v>
      </c>
      <c r="D2371" s="1">
        <f>DATE(2020,6,26)+TIME(9,20,5)</f>
        <v>44008.38894675926</v>
      </c>
    </row>
    <row r="2372" spans="1:4" ht="17">
      <c r="A2372" s="5" t="s">
        <v>6455</v>
      </c>
      <c r="B2372" s="5" t="s">
        <v>6456</v>
      </c>
      <c r="C2372" s="5" t="s">
        <v>6457</v>
      </c>
      <c r="D2372" s="2">
        <f>DATE(2020,6,13)+TIME(10,12,8)</f>
        <v>43995.425092592595</v>
      </c>
    </row>
    <row r="2373" spans="1:4" ht="17">
      <c r="A2373" s="5" t="s">
        <v>2585</v>
      </c>
      <c r="B2373" s="5" t="s">
        <v>2712</v>
      </c>
      <c r="C2373" s="5" t="s">
        <v>2713</v>
      </c>
      <c r="D2373" s="2">
        <f>DATE(2020,3,27)+TIME(12,37,19)</f>
        <v>43917.525914351849</v>
      </c>
    </row>
    <row r="2374" spans="1:4" ht="17">
      <c r="A2374" s="4" t="s">
        <v>2585</v>
      </c>
      <c r="B2374" s="4" t="s">
        <v>8047</v>
      </c>
      <c r="C2374" s="4" t="s">
        <v>8048</v>
      </c>
      <c r="D2374" s="1">
        <f>DATE(2020,6,5)+TIME(15,40,47)</f>
        <v>43987.653321759259</v>
      </c>
    </row>
    <row r="2375" spans="1:4" ht="17">
      <c r="A2375" s="4" t="s">
        <v>490</v>
      </c>
      <c r="B2375" s="4" t="s">
        <v>491</v>
      </c>
      <c r="C2375" s="4" t="s">
        <v>492</v>
      </c>
      <c r="D2375" s="1">
        <f>DATE(2020,6,23)+TIME(17,25,19)</f>
        <v>44005.725914351853</v>
      </c>
    </row>
    <row r="2376" spans="1:4" ht="17">
      <c r="A2376" s="4" t="s">
        <v>6605</v>
      </c>
      <c r="B2376" s="4" t="s">
        <v>6606</v>
      </c>
      <c r="C2376" s="4" t="s">
        <v>6607</v>
      </c>
      <c r="D2376" s="1">
        <f>DATE(2020,5,6)+TIME(3,11,46)</f>
        <v>43957.133171296293</v>
      </c>
    </row>
    <row r="2377" spans="1:4" ht="17">
      <c r="A2377" s="4" t="s">
        <v>2190</v>
      </c>
      <c r="B2377" s="4" t="s">
        <v>2432</v>
      </c>
      <c r="C2377" s="4" t="s">
        <v>2433</v>
      </c>
      <c r="D2377" s="1">
        <f>DATE(2020,5,7)+TIME(12,18,52)</f>
        <v>43958.513101851851</v>
      </c>
    </row>
    <row r="2378" spans="1:4" ht="17">
      <c r="A2378" s="5" t="s">
        <v>2190</v>
      </c>
      <c r="B2378" s="5" t="s">
        <v>5167</v>
      </c>
      <c r="C2378" s="5" t="s">
        <v>5168</v>
      </c>
      <c r="D2378" s="2">
        <f>DATE(2020,5,13)+TIME(3,54,28)</f>
        <v>43964.162824074076</v>
      </c>
    </row>
    <row r="2379" spans="1:4" ht="17">
      <c r="A2379" s="5" t="s">
        <v>2190</v>
      </c>
      <c r="B2379" s="5" t="s">
        <v>2330</v>
      </c>
      <c r="C2379" s="5" t="s">
        <v>2331</v>
      </c>
      <c r="D2379" s="2">
        <f>DATE(2020,6,12)+TIME(5,23,46)</f>
        <v>43994.22483796296</v>
      </c>
    </row>
    <row r="2380" spans="1:4" ht="17">
      <c r="A2380" s="4" t="s">
        <v>2190</v>
      </c>
      <c r="B2380" s="4" t="s">
        <v>7449</v>
      </c>
      <c r="C2380" s="4" t="s">
        <v>7450</v>
      </c>
      <c r="D2380" s="1">
        <f>DATE(2020,6,22)+TIME(4,53,29)</f>
        <v>44004.20380787037</v>
      </c>
    </row>
    <row r="2381" spans="1:4" ht="17">
      <c r="A2381" s="4" t="s">
        <v>2190</v>
      </c>
      <c r="B2381" s="4" t="s">
        <v>2191</v>
      </c>
      <c r="C2381" s="4" t="s">
        <v>2192</v>
      </c>
      <c r="D2381" s="1">
        <f>DATE(2020,6,23)+TIME(2,30,39)</f>
        <v>44005.104618055557</v>
      </c>
    </row>
    <row r="2382" spans="1:4" ht="17">
      <c r="A2382" s="5" t="s">
        <v>4766</v>
      </c>
      <c r="B2382" s="5" t="s">
        <v>4767</v>
      </c>
      <c r="C2382" s="5" t="s">
        <v>4768</v>
      </c>
      <c r="D2382" s="2">
        <f>DATE(2020,6,19)+TIME(17,24,49)</f>
        <v>44001.72556712963</v>
      </c>
    </row>
    <row r="2383" spans="1:4" ht="17">
      <c r="A2383" s="5" t="s">
        <v>4401</v>
      </c>
      <c r="B2383" s="5" t="s">
        <v>4402</v>
      </c>
      <c r="C2383" s="5" t="s">
        <v>4403</v>
      </c>
      <c r="D2383" s="2">
        <f>DATE(2020,5,26)+TIME(8,45,47)</f>
        <v>43977.365127314813</v>
      </c>
    </row>
    <row r="2384" spans="1:4" ht="17">
      <c r="A2384" s="5" t="s">
        <v>6867</v>
      </c>
      <c r="B2384" s="5" t="s">
        <v>6868</v>
      </c>
      <c r="C2384" s="5" t="s">
        <v>6869</v>
      </c>
      <c r="D2384" s="2">
        <f>DATE(2020,6,29)+TIME(10,37,18)</f>
        <v>44011.442569444444</v>
      </c>
    </row>
    <row r="2385" spans="1:4" ht="17">
      <c r="A2385" s="5" t="s">
        <v>3809</v>
      </c>
      <c r="B2385" s="5" t="s">
        <v>3810</v>
      </c>
      <c r="C2385" s="5" t="s">
        <v>3811</v>
      </c>
      <c r="D2385" s="2">
        <f>DATE(2020,6,19)+TIME(0,19,6)</f>
        <v>44001.01326388889</v>
      </c>
    </row>
    <row r="2386" spans="1:4" ht="17">
      <c r="A2386" s="4" t="s">
        <v>610</v>
      </c>
      <c r="B2386" s="4" t="s">
        <v>611</v>
      </c>
      <c r="C2386" s="4" t="s">
        <v>612</v>
      </c>
      <c r="D2386" s="1">
        <f>DATE(2020,6,25)+TIME(9,58,35)</f>
        <v>44007.415682870371</v>
      </c>
    </row>
    <row r="2387" spans="1:4" ht="17">
      <c r="A2387" s="4" t="s">
        <v>610</v>
      </c>
      <c r="B2387" s="4" t="s">
        <v>4492</v>
      </c>
      <c r="C2387" s="4" t="s">
        <v>4493</v>
      </c>
      <c r="D2387" s="1">
        <f>DATE(2020,6,25)+TIME(17,4,49)</f>
        <v>44007.711678240739</v>
      </c>
    </row>
    <row r="2388" spans="1:4" ht="17">
      <c r="A2388" s="5" t="s">
        <v>128</v>
      </c>
      <c r="B2388" s="5" t="s">
        <v>3392</v>
      </c>
      <c r="C2388" s="5" t="s">
        <v>3393</v>
      </c>
      <c r="D2388" s="2">
        <f>DATE(2020,4,9)+TIME(1,20,6)</f>
        <v>43930.055625000001</v>
      </c>
    </row>
    <row r="2389" spans="1:4" ht="17">
      <c r="A2389" s="5" t="s">
        <v>128</v>
      </c>
      <c r="B2389" s="5" t="s">
        <v>5905</v>
      </c>
      <c r="C2389" s="5" t="s">
        <v>5906</v>
      </c>
      <c r="D2389" s="2">
        <f>DATE(2020,5,6)+TIME(12,6,3)</f>
        <v>43957.504201388889</v>
      </c>
    </row>
    <row r="2390" spans="1:4" ht="17">
      <c r="A2390" s="5" t="s">
        <v>128</v>
      </c>
      <c r="B2390" s="5" t="s">
        <v>8518</v>
      </c>
      <c r="C2390" s="5" t="s">
        <v>8519</v>
      </c>
      <c r="D2390" s="2">
        <f>DATE(2020,5,6)+TIME(18,14,15)</f>
        <v>43957.759895833333</v>
      </c>
    </row>
    <row r="2391" spans="1:4" ht="17">
      <c r="A2391" s="4" t="s">
        <v>128</v>
      </c>
      <c r="B2391" s="4" t="s">
        <v>2523</v>
      </c>
      <c r="C2391" s="4" t="s">
        <v>2524</v>
      </c>
      <c r="D2391" s="1">
        <f>DATE(2020,5,6)+TIME(18,26,49)</f>
        <v>43957.768622685187</v>
      </c>
    </row>
    <row r="2392" spans="1:4" ht="17">
      <c r="A2392" s="4" t="s">
        <v>128</v>
      </c>
      <c r="B2392" s="4" t="s">
        <v>4701</v>
      </c>
      <c r="C2392" s="4" t="s">
        <v>6015</v>
      </c>
      <c r="D2392" s="1">
        <f>DATE(2020,5,22)+TIME(20,22,16)</f>
        <v>43973.848796296297</v>
      </c>
    </row>
    <row r="2393" spans="1:4" ht="17">
      <c r="A2393" s="5" t="s">
        <v>128</v>
      </c>
      <c r="B2393" s="5" t="s">
        <v>5974</v>
      </c>
      <c r="C2393" s="5" t="s">
        <v>5975</v>
      </c>
      <c r="D2393" s="2">
        <f>DATE(2020,6,10)+TIME(0,27,44)</f>
        <v>43992.019259259258</v>
      </c>
    </row>
    <row r="2394" spans="1:4" ht="17">
      <c r="A2394" s="5" t="s">
        <v>128</v>
      </c>
      <c r="B2394" s="5" t="s">
        <v>129</v>
      </c>
      <c r="C2394" s="5" t="s">
        <v>130</v>
      </c>
      <c r="D2394" s="2">
        <f>DATE(2020,6,19)+TIME(14,40,40)</f>
        <v>44001.611574074072</v>
      </c>
    </row>
    <row r="2395" spans="1:4" ht="17">
      <c r="A2395" s="5" t="s">
        <v>128</v>
      </c>
      <c r="B2395" s="5" t="s">
        <v>879</v>
      </c>
      <c r="C2395" s="5" t="s">
        <v>5338</v>
      </c>
      <c r="D2395" s="2">
        <f>DATE(2020,6,25)+TIME(12,29,55)</f>
        <v>44007.520775462966</v>
      </c>
    </row>
    <row r="2396" spans="1:4" ht="17">
      <c r="A2396" s="4" t="s">
        <v>128</v>
      </c>
      <c r="B2396" s="4" t="s">
        <v>4509</v>
      </c>
      <c r="C2396" s="4" t="s">
        <v>4510</v>
      </c>
      <c r="D2396" s="1">
        <f>DATE(2020,6,27)+TIME(20,41,2)</f>
        <v>44009.861828703702</v>
      </c>
    </row>
    <row r="2397" spans="1:4" ht="17">
      <c r="A2397" s="5" t="s">
        <v>128</v>
      </c>
      <c r="B2397" s="5" t="s">
        <v>5913</v>
      </c>
      <c r="C2397" s="5" t="s">
        <v>5914</v>
      </c>
      <c r="D2397" s="2">
        <f>DATE(2020,6,28)+TIME(21,10,50)</f>
        <v>44010.882523148146</v>
      </c>
    </row>
    <row r="2398" spans="1:4" ht="17">
      <c r="A2398" s="5" t="s">
        <v>128</v>
      </c>
      <c r="B2398" s="5" t="s">
        <v>8917</v>
      </c>
      <c r="C2398" s="5" t="s">
        <v>8918</v>
      </c>
      <c r="D2398" s="2">
        <f>DATE(2020,6,29)+TIME(8,44,4)</f>
        <v>44011.363935185182</v>
      </c>
    </row>
    <row r="2399" spans="1:4" ht="17">
      <c r="A2399" s="5" t="s">
        <v>128</v>
      </c>
      <c r="B2399" s="5" t="s">
        <v>1443</v>
      </c>
      <c r="C2399" s="5" t="s">
        <v>1444</v>
      </c>
      <c r="D2399" s="2">
        <f>DATE(2020,6,29)+TIME(11,3,23)</f>
        <v>44011.460682870369</v>
      </c>
    </row>
    <row r="2400" spans="1:4" ht="17">
      <c r="A2400" s="5" t="s">
        <v>8427</v>
      </c>
      <c r="B2400" s="5" t="s">
        <v>8428</v>
      </c>
      <c r="C2400" s="5" t="s">
        <v>8429</v>
      </c>
      <c r="D2400" s="2">
        <f>DATE(2020,5,22)+TIME(5,47,41)</f>
        <v>43973.241446759261</v>
      </c>
    </row>
    <row r="2401" spans="1:4" ht="17">
      <c r="A2401" s="5" t="s">
        <v>1057</v>
      </c>
      <c r="B2401" s="5" t="s">
        <v>9388</v>
      </c>
      <c r="C2401" s="5" t="s">
        <v>9389</v>
      </c>
      <c r="D2401" s="2">
        <f>DATE(2020,3,30)+TIME(14,28,46)</f>
        <v>43920.603310185186</v>
      </c>
    </row>
    <row r="2402" spans="1:4" ht="17">
      <c r="A2402" s="5" t="s">
        <v>1057</v>
      </c>
      <c r="B2402" s="5" t="s">
        <v>8373</v>
      </c>
      <c r="C2402" s="5" t="s">
        <v>8374</v>
      </c>
      <c r="D2402" s="2">
        <f>DATE(2020,5,5)+TIME(15,21,38)</f>
        <v>43956.640023148146</v>
      </c>
    </row>
    <row r="2403" spans="1:4" ht="17">
      <c r="A2403" s="5" t="s">
        <v>1057</v>
      </c>
      <c r="B2403" s="5" t="s">
        <v>8049</v>
      </c>
      <c r="C2403" s="5" t="s">
        <v>8050</v>
      </c>
      <c r="D2403" s="2">
        <f>DATE(2020,5,5)+TIME(15,35,54)</f>
        <v>43956.649930555555</v>
      </c>
    </row>
    <row r="2404" spans="1:4" ht="17">
      <c r="A2404" s="4" t="s">
        <v>1057</v>
      </c>
      <c r="B2404" s="4" t="s">
        <v>3863</v>
      </c>
      <c r="C2404" s="4" t="s">
        <v>3864</v>
      </c>
      <c r="D2404" s="1">
        <f>DATE(2020,5,13)+TIME(22,56,39)</f>
        <v>43964.956006944441</v>
      </c>
    </row>
    <row r="2405" spans="1:4" ht="17">
      <c r="A2405" s="4" t="s">
        <v>1057</v>
      </c>
      <c r="B2405" s="4" t="s">
        <v>1565</v>
      </c>
      <c r="C2405" s="4" t="s">
        <v>9110</v>
      </c>
      <c r="D2405" s="1">
        <f>DATE(2020,5,13)+TIME(23,59,58)</f>
        <v>43964.999976851854</v>
      </c>
    </row>
    <row r="2406" spans="1:4" ht="17">
      <c r="A2406" s="5" t="s">
        <v>1057</v>
      </c>
      <c r="B2406" s="5" t="s">
        <v>1058</v>
      </c>
      <c r="C2406" s="5" t="s">
        <v>1059</v>
      </c>
      <c r="D2406" s="2">
        <f>DATE(2020,6,11)+TIME(12,6,51)</f>
        <v>43993.504756944443</v>
      </c>
    </row>
    <row r="2407" spans="1:4" ht="17">
      <c r="A2407" s="5" t="s">
        <v>1057</v>
      </c>
      <c r="B2407" s="5" t="s">
        <v>1584</v>
      </c>
      <c r="C2407" s="5" t="s">
        <v>1585</v>
      </c>
      <c r="D2407" s="2">
        <f>DATE(2020,6,12)+TIME(10,39,2)</f>
        <v>43994.443773148145</v>
      </c>
    </row>
    <row r="2408" spans="1:4" ht="17">
      <c r="A2408" s="4" t="s">
        <v>1057</v>
      </c>
      <c r="B2408" s="4" t="s">
        <v>2490</v>
      </c>
      <c r="C2408" s="4" t="s">
        <v>3708</v>
      </c>
      <c r="D2408" s="1">
        <f>DATE(2020,6,13)+TIME(16,55,21)</f>
        <v>43995.705104166664</v>
      </c>
    </row>
    <row r="2409" spans="1:4" ht="17">
      <c r="A2409" s="4" t="s">
        <v>1057</v>
      </c>
      <c r="B2409" s="4" t="s">
        <v>2410</v>
      </c>
      <c r="C2409" s="4" t="s">
        <v>2411</v>
      </c>
      <c r="D2409" s="1">
        <f>DATE(2020,6,16)+TIME(14,4,47)</f>
        <v>43998.586655092593</v>
      </c>
    </row>
    <row r="2410" spans="1:4" ht="17">
      <c r="A2410" s="5" t="s">
        <v>1057</v>
      </c>
      <c r="B2410" s="5" t="s">
        <v>6496</v>
      </c>
      <c r="C2410" s="5" t="s">
        <v>6497</v>
      </c>
      <c r="D2410" s="2">
        <f>DATE(2020,6,18)+TIME(16,28,27)</f>
        <v>44000.686423611114</v>
      </c>
    </row>
    <row r="2411" spans="1:4" ht="17">
      <c r="A2411" s="5" t="s">
        <v>1057</v>
      </c>
      <c r="B2411" s="5" t="s">
        <v>4196</v>
      </c>
      <c r="C2411" s="5" t="s">
        <v>4197</v>
      </c>
      <c r="D2411" s="2">
        <f>DATE(2020,6,25)+TIME(12,56,36)</f>
        <v>44007.539305555554</v>
      </c>
    </row>
    <row r="2412" spans="1:4" ht="17">
      <c r="A2412" s="5" t="s">
        <v>1057</v>
      </c>
      <c r="B2412" s="5" t="s">
        <v>3226</v>
      </c>
      <c r="C2412" s="5" t="s">
        <v>3227</v>
      </c>
      <c r="D2412" s="2">
        <f>DATE(2020,6,27)+TIME(6,5,10)</f>
        <v>44009.253587962965</v>
      </c>
    </row>
    <row r="2413" spans="1:4" ht="17">
      <c r="A2413" s="5" t="s">
        <v>1057</v>
      </c>
      <c r="B2413" s="5" t="s">
        <v>416</v>
      </c>
      <c r="C2413" s="5" t="s">
        <v>3389</v>
      </c>
      <c r="D2413" s="2">
        <f>DATE(2020,6,28)+TIME(21,15,59)</f>
        <v>44010.886099537034</v>
      </c>
    </row>
    <row r="2414" spans="1:4" ht="17">
      <c r="A2414" s="4" t="s">
        <v>597</v>
      </c>
      <c r="B2414" s="4" t="s">
        <v>7209</v>
      </c>
      <c r="C2414" s="4" t="s">
        <v>7790</v>
      </c>
      <c r="D2414" s="1">
        <f>DATE(2020,4,3)+TIME(14,0,50)</f>
        <v>43924.583912037036</v>
      </c>
    </row>
    <row r="2415" spans="1:4" ht="17">
      <c r="A2415" s="5" t="s">
        <v>597</v>
      </c>
      <c r="B2415" s="5" t="s">
        <v>598</v>
      </c>
      <c r="C2415" s="5" t="s">
        <v>599</v>
      </c>
      <c r="D2415" s="2">
        <f>DATE(2020,5,6)+TIME(1,17,44)</f>
        <v>43957.053981481484</v>
      </c>
    </row>
    <row r="2416" spans="1:4" ht="17">
      <c r="A2416" s="4" t="s">
        <v>597</v>
      </c>
      <c r="B2416" s="4" t="s">
        <v>7209</v>
      </c>
      <c r="C2416" s="4" t="s">
        <v>7210</v>
      </c>
      <c r="D2416" s="1">
        <f>DATE(2020,5,15)+TIME(5,10,31)</f>
        <v>43966.215636574074</v>
      </c>
    </row>
    <row r="2417" spans="1:4" ht="17">
      <c r="A2417" s="5" t="s">
        <v>597</v>
      </c>
      <c r="B2417" s="5" t="s">
        <v>3405</v>
      </c>
      <c r="C2417" s="5" t="s">
        <v>3406</v>
      </c>
      <c r="D2417" s="2">
        <f>DATE(2020,5,18)+TIME(10,18,30)</f>
        <v>43969.429513888892</v>
      </c>
    </row>
    <row r="2418" spans="1:4" ht="17">
      <c r="A2418" s="5" t="s">
        <v>597</v>
      </c>
      <c r="B2418" s="5" t="s">
        <v>2893</v>
      </c>
      <c r="C2418" s="5" t="s">
        <v>2894</v>
      </c>
      <c r="D2418" s="2">
        <f>DATE(2020,6,11)+TIME(16,3,35)</f>
        <v>43993.66915509259</v>
      </c>
    </row>
    <row r="2419" spans="1:4" ht="17">
      <c r="A2419" s="5" t="s">
        <v>597</v>
      </c>
      <c r="B2419" s="5" t="s">
        <v>7517</v>
      </c>
      <c r="C2419" s="5" t="s">
        <v>7518</v>
      </c>
      <c r="D2419" s="2">
        <f>DATE(2020,6,19)+TIME(17,11,26)</f>
        <v>44001.716273148151</v>
      </c>
    </row>
    <row r="2420" spans="1:4" ht="17">
      <c r="A2420" s="5" t="s">
        <v>597</v>
      </c>
      <c r="B2420" s="5" t="s">
        <v>8832</v>
      </c>
      <c r="C2420" s="5" t="s">
        <v>8833</v>
      </c>
      <c r="D2420" s="2">
        <f>DATE(2020,6,23)+TIME(9,7,7)</f>
        <v>44005.379942129628</v>
      </c>
    </row>
    <row r="2421" spans="1:4" ht="17">
      <c r="A2421" s="4" t="s">
        <v>3489</v>
      </c>
      <c r="B2421" s="4" t="s">
        <v>3490</v>
      </c>
      <c r="C2421" s="4" t="s">
        <v>3491</v>
      </c>
      <c r="D2421" s="1">
        <f>DATE(2020,5,13)+TIME(13,41,1)</f>
        <v>43964.570150462961</v>
      </c>
    </row>
    <row r="2422" spans="1:4" ht="17">
      <c r="A2422" s="4" t="s">
        <v>9203</v>
      </c>
      <c r="B2422" s="4" t="s">
        <v>9204</v>
      </c>
      <c r="C2422" s="4" t="s">
        <v>9205</v>
      </c>
      <c r="D2422" s="1">
        <f>DATE(2020,6,17)+TIME(8,9,56)</f>
        <v>43999.340231481481</v>
      </c>
    </row>
    <row r="2423" spans="1:4" ht="17">
      <c r="A2423" s="4" t="s">
        <v>1698</v>
      </c>
      <c r="B2423" s="4" t="s">
        <v>3056</v>
      </c>
      <c r="C2423" s="4" t="s">
        <v>3057</v>
      </c>
      <c r="D2423" s="1">
        <f>DATE(2020,5,14)+TIME(13,57,16)</f>
        <v>43965.581435185188</v>
      </c>
    </row>
    <row r="2424" spans="1:4" ht="17">
      <c r="A2424" s="5" t="s">
        <v>1698</v>
      </c>
      <c r="B2424" s="5" t="s">
        <v>1699</v>
      </c>
      <c r="C2424" s="5" t="s">
        <v>1700</v>
      </c>
      <c r="D2424" s="2">
        <f>DATE(2020,6,9)+TIME(0,55,15)</f>
        <v>43991.038368055553</v>
      </c>
    </row>
    <row r="2425" spans="1:4" ht="17">
      <c r="A2425" s="5" t="s">
        <v>6636</v>
      </c>
      <c r="B2425" s="5" t="s">
        <v>6637</v>
      </c>
      <c r="C2425" s="5" t="s">
        <v>6638</v>
      </c>
      <c r="D2425" s="2">
        <f>DATE(2020,6,19)+TIME(19,21,19)</f>
        <v>44001.806469907409</v>
      </c>
    </row>
    <row r="2426" spans="1:4" ht="17">
      <c r="A2426" s="4" t="s">
        <v>143</v>
      </c>
      <c r="B2426" s="4" t="s">
        <v>144</v>
      </c>
      <c r="C2426" s="4" t="s">
        <v>145</v>
      </c>
      <c r="D2426" s="1">
        <f>DATE(2020,6,26)+TIME(7,32,38)</f>
        <v>44008.314328703702</v>
      </c>
    </row>
    <row r="2427" spans="1:4" ht="17">
      <c r="A2427" s="5" t="s">
        <v>1593</v>
      </c>
      <c r="B2427" s="5" t="s">
        <v>1241</v>
      </c>
      <c r="C2427" s="5" t="s">
        <v>1594</v>
      </c>
      <c r="D2427" s="2">
        <f>DATE(2020,5,14)+TIME(16,49,46)</f>
        <v>43965.701226851852</v>
      </c>
    </row>
    <row r="2428" spans="1:4" ht="17">
      <c r="A2428" s="5" t="s">
        <v>1593</v>
      </c>
      <c r="B2428" s="5" t="s">
        <v>9482</v>
      </c>
      <c r="C2428" s="5" t="s">
        <v>9483</v>
      </c>
      <c r="D2428" s="2">
        <f>DATE(2020,6,19)+TIME(6,57,52)</f>
        <v>44001.290185185186</v>
      </c>
    </row>
    <row r="2429" spans="1:4" ht="17">
      <c r="A2429" s="5" t="s">
        <v>1593</v>
      </c>
      <c r="B2429" s="5" t="s">
        <v>3107</v>
      </c>
      <c r="C2429" s="5" t="s">
        <v>3108</v>
      </c>
      <c r="D2429" s="2">
        <f>DATE(2020,6,28)+TIME(16,47,26)</f>
        <v>44010.699606481481</v>
      </c>
    </row>
    <row r="2430" spans="1:4" ht="17">
      <c r="A2430" s="4" t="s">
        <v>2388</v>
      </c>
      <c r="B2430" s="4" t="s">
        <v>2389</v>
      </c>
      <c r="C2430" s="4" t="s">
        <v>2390</v>
      </c>
      <c r="D2430" s="1">
        <f>DATE(2020,5,8)+TIME(16,24,21)</f>
        <v>43959.683576388888</v>
      </c>
    </row>
    <row r="2431" spans="1:4" ht="17">
      <c r="A2431" s="5" t="s">
        <v>2388</v>
      </c>
      <c r="B2431" s="5" t="s">
        <v>2658</v>
      </c>
      <c r="C2431" s="5" t="s">
        <v>2659</v>
      </c>
      <c r="D2431" s="2">
        <f>DATE(2020,5,29)+TIME(16,21,17)</f>
        <v>43980.681446759256</v>
      </c>
    </row>
    <row r="2432" spans="1:4" ht="17">
      <c r="A2432" s="4" t="s">
        <v>2388</v>
      </c>
      <c r="B2432" s="4" t="s">
        <v>8080</v>
      </c>
      <c r="C2432" s="4" t="s">
        <v>8081</v>
      </c>
      <c r="D2432" s="1">
        <f>DATE(2020,6,15)+TIME(2,26,39)</f>
        <v>43997.101840277777</v>
      </c>
    </row>
    <row r="2433" spans="1:4" ht="17">
      <c r="A2433" s="4" t="s">
        <v>7326</v>
      </c>
      <c r="B2433" s="4" t="s">
        <v>7327</v>
      </c>
      <c r="C2433" s="4" t="s">
        <v>7328</v>
      </c>
      <c r="D2433" s="1">
        <f>DATE(2020,6,15)+TIME(14,49,33)</f>
        <v>43997.617743055554</v>
      </c>
    </row>
    <row r="2434" spans="1:4" ht="17">
      <c r="A2434" s="4" t="s">
        <v>2577</v>
      </c>
      <c r="B2434" s="4" t="s">
        <v>2578</v>
      </c>
      <c r="C2434" s="4" t="s">
        <v>2579</v>
      </c>
      <c r="D2434" s="1">
        <f>DATE(2020,5,5)+TIME(19,30,33)</f>
        <v>43956.812881944446</v>
      </c>
    </row>
    <row r="2435" spans="1:4" ht="17">
      <c r="A2435" s="4" t="s">
        <v>2807</v>
      </c>
      <c r="B2435" s="4" t="s">
        <v>8860</v>
      </c>
      <c r="C2435" s="4" t="s">
        <v>8861</v>
      </c>
      <c r="D2435" s="1">
        <f>DATE(2020,6,23)+TIME(14,44,26)</f>
        <v>44005.614189814813</v>
      </c>
    </row>
    <row r="2436" spans="1:4" ht="17">
      <c r="A2436" s="4" t="s">
        <v>6908</v>
      </c>
      <c r="B2436" s="4" t="s">
        <v>558</v>
      </c>
      <c r="C2436" s="4" t="s">
        <v>6909</v>
      </c>
      <c r="D2436" s="1">
        <f>DATE(2020,6,24)+TIME(13,37,9)</f>
        <v>44006.567465277774</v>
      </c>
    </row>
    <row r="2437" spans="1:4" ht="17">
      <c r="A2437" s="5" t="s">
        <v>9206</v>
      </c>
      <c r="B2437" s="5" t="s">
        <v>7348</v>
      </c>
      <c r="C2437" s="5" t="s">
        <v>9207</v>
      </c>
      <c r="D2437" s="2">
        <f>DATE(2020,6,26)+TIME(2,34,30)</f>
        <v>44008.107291666667</v>
      </c>
    </row>
    <row r="2438" spans="1:4" ht="17">
      <c r="A2438" s="5" t="s">
        <v>69</v>
      </c>
      <c r="B2438" s="5" t="s">
        <v>70</v>
      </c>
      <c r="C2438" s="5" t="s">
        <v>71</v>
      </c>
      <c r="D2438" s="2">
        <f>DATE(2020,6,24)+TIME(15,1,42)</f>
        <v>44006.626180555555</v>
      </c>
    </row>
    <row r="2439" spans="1:4" ht="17">
      <c r="A2439" s="5" t="s">
        <v>4741</v>
      </c>
      <c r="B2439" s="5" t="s">
        <v>2695</v>
      </c>
      <c r="C2439" s="5" t="s">
        <v>4742</v>
      </c>
      <c r="D2439" s="2">
        <f>DATE(2020,5,8)+TIME(18,34,15)</f>
        <v>43959.773784722223</v>
      </c>
    </row>
    <row r="2440" spans="1:4" ht="17">
      <c r="A2440" s="5" t="s">
        <v>4946</v>
      </c>
      <c r="B2440" s="5" t="s">
        <v>4947</v>
      </c>
      <c r="C2440" s="5" t="s">
        <v>4948</v>
      </c>
      <c r="D2440" s="2">
        <f>DATE(2020,3,30)+TIME(13,25,7)</f>
        <v>43920.559108796297</v>
      </c>
    </row>
    <row r="2441" spans="1:4" ht="17">
      <c r="A2441" s="5" t="s">
        <v>4946</v>
      </c>
      <c r="B2441" s="5" t="s">
        <v>5388</v>
      </c>
      <c r="C2441" s="5" t="s">
        <v>5389</v>
      </c>
      <c r="D2441" s="2">
        <f>DATE(2020,5,6)+TIME(19,51,56)</f>
        <v>43957.827731481484</v>
      </c>
    </row>
    <row r="2442" spans="1:4" ht="17">
      <c r="A2442" s="5" t="s">
        <v>4946</v>
      </c>
      <c r="B2442" s="5" t="s">
        <v>7919</v>
      </c>
      <c r="C2442" s="5" t="s">
        <v>7920</v>
      </c>
      <c r="D2442" s="2">
        <f>DATE(2020,6,26)+TIME(15,49,34)</f>
        <v>44008.659421296295</v>
      </c>
    </row>
    <row r="2443" spans="1:4" ht="17">
      <c r="A2443" s="4" t="s">
        <v>1425</v>
      </c>
      <c r="B2443" s="4" t="s">
        <v>1426</v>
      </c>
      <c r="C2443" s="4" t="s">
        <v>1427</v>
      </c>
      <c r="D2443" s="1">
        <f>DATE(2020,6,8)+TIME(2,54,33)</f>
        <v>43990.121215277781</v>
      </c>
    </row>
    <row r="2444" spans="1:4" ht="17">
      <c r="A2444" s="4" t="s">
        <v>3806</v>
      </c>
      <c r="B2444" s="4" t="s">
        <v>3807</v>
      </c>
      <c r="C2444" s="4" t="s">
        <v>3808</v>
      </c>
      <c r="D2444" s="1">
        <f>DATE(2020,6,26)+TIME(18,47,55)</f>
        <v>44008.783275462964</v>
      </c>
    </row>
    <row r="2445" spans="1:4" ht="17">
      <c r="A2445" s="4" t="s">
        <v>7278</v>
      </c>
      <c r="B2445" s="4" t="s">
        <v>7279</v>
      </c>
      <c r="C2445" s="4" t="s">
        <v>7280</v>
      </c>
      <c r="D2445" s="1">
        <f>DATE(2020,6,2)+TIME(12,39,19)</f>
        <v>43984.527303240742</v>
      </c>
    </row>
    <row r="2446" spans="1:4" ht="17">
      <c r="A2446" s="5" t="s">
        <v>6617</v>
      </c>
      <c r="B2446" s="5" t="s">
        <v>6618</v>
      </c>
      <c r="C2446" s="5" t="s">
        <v>6619</v>
      </c>
      <c r="D2446" s="2">
        <f>DATE(2020,5,6)+TIME(11,39,40)</f>
        <v>43957.485879629632</v>
      </c>
    </row>
    <row r="2447" spans="1:4" ht="17">
      <c r="A2447" s="4" t="s">
        <v>6507</v>
      </c>
      <c r="B2447" s="4" t="s">
        <v>6508</v>
      </c>
      <c r="C2447" s="4" t="s">
        <v>6509</v>
      </c>
      <c r="D2447" s="1">
        <f>DATE(2020,6,26)+TIME(13,37,47)</f>
        <v>44008.56790509259</v>
      </c>
    </row>
    <row r="2448" spans="1:4" ht="17">
      <c r="A2448" s="4" t="s">
        <v>1431</v>
      </c>
      <c r="B2448" s="4" t="s">
        <v>1432</v>
      </c>
      <c r="C2448" s="4" t="s">
        <v>1433</v>
      </c>
      <c r="D2448" s="1">
        <f>DATE(2020,6,16)+TIME(16,26,5)</f>
        <v>43998.68478009259</v>
      </c>
    </row>
    <row r="2449" spans="1:4" ht="17">
      <c r="A2449" s="5" t="s">
        <v>1431</v>
      </c>
      <c r="B2449" s="5" t="s">
        <v>8040</v>
      </c>
      <c r="C2449" s="5" t="s">
        <v>8041</v>
      </c>
      <c r="D2449" s="2">
        <f>DATE(2020,6,18)+TIME(6,24,5)</f>
        <v>44000.266724537039</v>
      </c>
    </row>
    <row r="2450" spans="1:4" ht="17">
      <c r="A2450" s="5" t="s">
        <v>1431</v>
      </c>
      <c r="B2450" s="5" t="s">
        <v>7463</v>
      </c>
      <c r="C2450" s="5" t="s">
        <v>7464</v>
      </c>
      <c r="D2450" s="2">
        <f>DATE(2020,6,24)+TIME(13,55,59)</f>
        <v>44006.580543981479</v>
      </c>
    </row>
    <row r="2451" spans="1:4" ht="17">
      <c r="A2451" s="4" t="s">
        <v>3162</v>
      </c>
      <c r="B2451" s="4" t="s">
        <v>3163</v>
      </c>
      <c r="C2451" s="4" t="s">
        <v>3164</v>
      </c>
      <c r="D2451" s="1">
        <f>DATE(2020,6,19)+TIME(18,47,58)</f>
        <v>44001.783310185187</v>
      </c>
    </row>
    <row r="2452" spans="1:4" ht="17">
      <c r="A2452" s="4" t="s">
        <v>7191</v>
      </c>
      <c r="B2452" s="4" t="s">
        <v>7192</v>
      </c>
      <c r="C2452" s="4" t="s">
        <v>7193</v>
      </c>
      <c r="D2452" s="1">
        <f>DATE(2020,6,23)+TIME(11,34,28)</f>
        <v>44005.482268518521</v>
      </c>
    </row>
    <row r="2453" spans="1:4" ht="17">
      <c r="A2453" s="5" t="s">
        <v>1929</v>
      </c>
      <c r="B2453" s="5" t="s">
        <v>1930</v>
      </c>
      <c r="C2453" s="5" t="s">
        <v>1931</v>
      </c>
      <c r="D2453" s="2">
        <f>DATE(2020,6,17)+TIME(11,6,8)</f>
        <v>43999.462592592594</v>
      </c>
    </row>
    <row r="2454" spans="1:4" ht="17">
      <c r="A2454" s="5" t="s">
        <v>8293</v>
      </c>
      <c r="B2454" s="5" t="s">
        <v>3144</v>
      </c>
      <c r="C2454" s="5" t="s">
        <v>8294</v>
      </c>
      <c r="D2454" s="2">
        <f>DATE(2020,6,12)+TIME(3,13,53)</f>
        <v>43994.134641203702</v>
      </c>
    </row>
    <row r="2455" spans="1:4" ht="17">
      <c r="A2455" s="4" t="s">
        <v>1289</v>
      </c>
      <c r="B2455" s="4" t="s">
        <v>1290</v>
      </c>
      <c r="C2455" s="4" t="s">
        <v>1291</v>
      </c>
      <c r="D2455" s="1">
        <f>DATE(2020,6,23)+TIME(15,15,12)</f>
        <v>44005.635555555556</v>
      </c>
    </row>
    <row r="2456" spans="1:4" ht="17">
      <c r="A2456" s="4" t="s">
        <v>3868</v>
      </c>
      <c r="B2456" s="4" t="s">
        <v>3869</v>
      </c>
      <c r="C2456" s="4" t="s">
        <v>3870</v>
      </c>
      <c r="D2456" s="1">
        <f>DATE(2020,5,8)+TIME(11,35,30)</f>
        <v>43959.482986111114</v>
      </c>
    </row>
    <row r="2457" spans="1:4" ht="17">
      <c r="A2457" s="5" t="s">
        <v>747</v>
      </c>
      <c r="B2457" s="5" t="s">
        <v>4539</v>
      </c>
      <c r="C2457" s="5" t="s">
        <v>4540</v>
      </c>
      <c r="D2457" s="2">
        <f>DATE(2020,1,9)+TIME(10,36,3)</f>
        <v>43839.441701388889</v>
      </c>
    </row>
    <row r="2458" spans="1:4" ht="17">
      <c r="A2458" s="5" t="s">
        <v>747</v>
      </c>
      <c r="B2458" s="5" t="s">
        <v>7840</v>
      </c>
      <c r="C2458" s="5" t="s">
        <v>7841</v>
      </c>
      <c r="D2458" s="2">
        <f>DATE(2020,2,12)+TIME(6,37,15)</f>
        <v>43873.275868055556</v>
      </c>
    </row>
    <row r="2459" spans="1:4" ht="17">
      <c r="A2459" s="4" t="s">
        <v>747</v>
      </c>
      <c r="B2459" s="4" t="s">
        <v>8987</v>
      </c>
      <c r="C2459" s="4" t="s">
        <v>8988</v>
      </c>
      <c r="D2459" s="1">
        <f>DATE(2020,3,5)+TIME(12,2,19)</f>
        <v>43895.501608796294</v>
      </c>
    </row>
    <row r="2460" spans="1:4" ht="17">
      <c r="A2460" s="5" t="s">
        <v>747</v>
      </c>
      <c r="B2460" s="5" t="s">
        <v>4096</v>
      </c>
      <c r="C2460" s="5" t="s">
        <v>4097</v>
      </c>
      <c r="D2460" s="2">
        <f>DATE(2020,3,27)+TIME(18,53,7)</f>
        <v>43917.786886574075</v>
      </c>
    </row>
    <row r="2461" spans="1:4" ht="17">
      <c r="A2461" s="5" t="s">
        <v>747</v>
      </c>
      <c r="B2461" s="5" t="s">
        <v>416</v>
      </c>
      <c r="C2461" s="5" t="s">
        <v>9357</v>
      </c>
      <c r="D2461" s="2">
        <f>DATE(2020,4,13)+TIME(14,4,34)</f>
        <v>43934.586504629631</v>
      </c>
    </row>
    <row r="2462" spans="1:4" ht="17">
      <c r="A2462" s="4" t="s">
        <v>747</v>
      </c>
      <c r="B2462" s="4" t="s">
        <v>3900</v>
      </c>
      <c r="C2462" s="4" t="s">
        <v>3901</v>
      </c>
      <c r="D2462" s="1">
        <f>DATE(2020,5,6)+TIME(18,15,43)</f>
        <v>43957.760914351849</v>
      </c>
    </row>
    <row r="2463" spans="1:4" ht="17">
      <c r="A2463" s="5" t="s">
        <v>747</v>
      </c>
      <c r="B2463" s="5" t="s">
        <v>2368</v>
      </c>
      <c r="C2463" s="5" t="s">
        <v>2369</v>
      </c>
      <c r="D2463" s="2">
        <f>DATE(2020,5,11)+TIME(4,34,11)</f>
        <v>43962.190405092595</v>
      </c>
    </row>
    <row r="2464" spans="1:4" ht="17">
      <c r="A2464" s="5" t="s">
        <v>747</v>
      </c>
      <c r="B2464" s="5" t="s">
        <v>5388</v>
      </c>
      <c r="C2464" s="5" t="s">
        <v>9158</v>
      </c>
      <c r="D2464" s="2">
        <f>DATE(2020,5,12)+TIME(15,42,25)</f>
        <v>43963.654456018521</v>
      </c>
    </row>
    <row r="2465" spans="1:4" ht="17">
      <c r="A2465" s="4" t="s">
        <v>747</v>
      </c>
      <c r="B2465" s="4" t="s">
        <v>6443</v>
      </c>
      <c r="C2465" s="4" t="s">
        <v>6444</v>
      </c>
      <c r="D2465" s="1">
        <f>DATE(2020,5,15)+TIME(11,38,22)</f>
        <v>43966.484976851854</v>
      </c>
    </row>
    <row r="2466" spans="1:4" ht="17">
      <c r="A2466" s="5" t="s">
        <v>747</v>
      </c>
      <c r="B2466" s="5" t="s">
        <v>2241</v>
      </c>
      <c r="C2466" s="5" t="s">
        <v>2242</v>
      </c>
      <c r="D2466" s="2">
        <f>DATE(2020,5,16)+TIME(10,0,52)</f>
        <v>43967.417268518519</v>
      </c>
    </row>
    <row r="2467" spans="1:4" ht="17">
      <c r="A2467" s="5" t="s">
        <v>747</v>
      </c>
      <c r="B2467" s="5" t="s">
        <v>5636</v>
      </c>
      <c r="C2467" s="5" t="s">
        <v>5637</v>
      </c>
      <c r="D2467" s="2">
        <f>DATE(2020,5,18)+TIME(12,33,14)</f>
        <v>43969.523078703707</v>
      </c>
    </row>
    <row r="2468" spans="1:4" ht="17">
      <c r="A2468" s="4" t="s">
        <v>747</v>
      </c>
      <c r="B2468" s="4" t="s">
        <v>5047</v>
      </c>
      <c r="C2468" s="4" t="s">
        <v>5048</v>
      </c>
      <c r="D2468" s="1">
        <f>DATE(2020,5,18)+TIME(13,29,29)</f>
        <v>43969.562141203707</v>
      </c>
    </row>
    <row r="2469" spans="1:4" ht="17">
      <c r="A2469" s="5" t="s">
        <v>747</v>
      </c>
      <c r="B2469" s="5" t="s">
        <v>1482</v>
      </c>
      <c r="C2469" s="5" t="s">
        <v>6073</v>
      </c>
      <c r="D2469" s="2">
        <f>DATE(2020,5,20)+TIME(11,2,56)</f>
        <v>43971.460370370369</v>
      </c>
    </row>
    <row r="2470" spans="1:4" ht="17">
      <c r="A2470" s="4" t="s">
        <v>747</v>
      </c>
      <c r="B2470" s="4" t="s">
        <v>3747</v>
      </c>
      <c r="C2470" s="4" t="s">
        <v>3748</v>
      </c>
      <c r="D2470" s="1">
        <f>DATE(2020,5,20)+TIME(16,38,46)</f>
        <v>43971.69358796296</v>
      </c>
    </row>
    <row r="2471" spans="1:4" ht="17">
      <c r="A2471" s="5" t="s">
        <v>747</v>
      </c>
      <c r="B2471" s="5" t="s">
        <v>7501</v>
      </c>
      <c r="C2471" s="5" t="s">
        <v>7502</v>
      </c>
      <c r="D2471" s="2">
        <f>DATE(2020,5,20)+TIME(17,40,44)</f>
        <v>43971.736620370371</v>
      </c>
    </row>
    <row r="2472" spans="1:4" ht="17">
      <c r="A2472" s="4" t="s">
        <v>747</v>
      </c>
      <c r="B2472" s="4" t="s">
        <v>4440</v>
      </c>
      <c r="C2472" s="4" t="s">
        <v>4441</v>
      </c>
      <c r="D2472" s="1">
        <f>DATE(2020,5,21)+TIME(13,8,46)</f>
        <v>43972.547754629632</v>
      </c>
    </row>
    <row r="2473" spans="1:4" ht="17">
      <c r="A2473" s="4" t="s">
        <v>747</v>
      </c>
      <c r="B2473" s="4" t="s">
        <v>3812</v>
      </c>
      <c r="C2473" s="4" t="s">
        <v>3813</v>
      </c>
      <c r="D2473" s="1">
        <f>DATE(2020,5,24)+TIME(8,19,45)</f>
        <v>43975.347048611111</v>
      </c>
    </row>
    <row r="2474" spans="1:4" ht="17">
      <c r="A2474" s="4" t="s">
        <v>747</v>
      </c>
      <c r="B2474" s="4" t="s">
        <v>5037</v>
      </c>
      <c r="C2474" s="4" t="s">
        <v>5038</v>
      </c>
      <c r="D2474" s="1">
        <f>DATE(2020,5,29)+TIME(13,47,11)</f>
        <v>43980.574432870373</v>
      </c>
    </row>
    <row r="2475" spans="1:4" ht="17">
      <c r="A2475" s="5" t="s">
        <v>747</v>
      </c>
      <c r="B2475" s="5" t="s">
        <v>7063</v>
      </c>
      <c r="C2475" s="5" t="s">
        <v>7064</v>
      </c>
      <c r="D2475" s="2">
        <f>DATE(2020,5,29)+TIME(13,47,11)</f>
        <v>43980.574432870373</v>
      </c>
    </row>
    <row r="2476" spans="1:4" ht="17">
      <c r="A2476" s="5" t="s">
        <v>747</v>
      </c>
      <c r="B2476" s="5" t="s">
        <v>6682</v>
      </c>
      <c r="C2476" s="5" t="s">
        <v>6683</v>
      </c>
      <c r="D2476" s="2">
        <f>DATE(2020,6,3)+TIME(6,22,53)</f>
        <v>43985.2658912037</v>
      </c>
    </row>
    <row r="2477" spans="1:4" ht="17">
      <c r="A2477" s="5" t="s">
        <v>747</v>
      </c>
      <c r="B2477" s="5" t="s">
        <v>5073</v>
      </c>
      <c r="C2477" s="5" t="s">
        <v>5074</v>
      </c>
      <c r="D2477" s="2">
        <f>DATE(2020,6,4)+TIME(13,5,22)</f>
        <v>43986.545393518521</v>
      </c>
    </row>
    <row r="2478" spans="1:4" ht="17">
      <c r="A2478" s="4" t="s">
        <v>747</v>
      </c>
      <c r="B2478" s="4" t="s">
        <v>983</v>
      </c>
      <c r="C2478" s="4" t="s">
        <v>4957</v>
      </c>
      <c r="D2478" s="1">
        <f>DATE(2020,6,8)+TIME(3,43,18)</f>
        <v>43990.155069444445</v>
      </c>
    </row>
    <row r="2479" spans="1:4" ht="17">
      <c r="A2479" s="5" t="s">
        <v>747</v>
      </c>
      <c r="B2479" s="5" t="s">
        <v>7893</v>
      </c>
      <c r="C2479" s="5" t="s">
        <v>7894</v>
      </c>
      <c r="D2479" s="2">
        <f>DATE(2020,6,10)+TIME(4,15,34)</f>
        <v>43992.177476851852</v>
      </c>
    </row>
    <row r="2480" spans="1:4" ht="17">
      <c r="A2480" s="5" t="s">
        <v>747</v>
      </c>
      <c r="B2480" s="5" t="s">
        <v>7307</v>
      </c>
      <c r="C2480" s="5" t="s">
        <v>7308</v>
      </c>
      <c r="D2480" s="2">
        <f>DATE(2020,6,10)+TIME(10,9,33)</f>
        <v>43992.423298611109</v>
      </c>
    </row>
    <row r="2481" spans="1:4" ht="17">
      <c r="A2481" s="5" t="s">
        <v>747</v>
      </c>
      <c r="B2481" s="5" t="s">
        <v>8656</v>
      </c>
      <c r="C2481" s="5" t="s">
        <v>8657</v>
      </c>
      <c r="D2481" s="2">
        <f>DATE(2020,6,15)+TIME(2,26,39)</f>
        <v>43997.101840277777</v>
      </c>
    </row>
    <row r="2482" spans="1:4" ht="17">
      <c r="A2482" s="4" t="s">
        <v>747</v>
      </c>
      <c r="B2482" s="4" t="s">
        <v>3007</v>
      </c>
      <c r="C2482" s="4" t="s">
        <v>5307</v>
      </c>
      <c r="D2482" s="1">
        <f>DATE(2020,6,15)+TIME(10,0,36)</f>
        <v>43997.417083333334</v>
      </c>
    </row>
    <row r="2483" spans="1:4" ht="17">
      <c r="A2483" s="4" t="s">
        <v>747</v>
      </c>
      <c r="B2483" s="4" t="s">
        <v>6192</v>
      </c>
      <c r="C2483" s="4" t="s">
        <v>6193</v>
      </c>
      <c r="D2483" s="1">
        <f>DATE(2020,6,16)+TIME(14,29,1)</f>
        <v>43998.603483796294</v>
      </c>
    </row>
    <row r="2484" spans="1:4" ht="17">
      <c r="A2484" s="4" t="s">
        <v>747</v>
      </c>
      <c r="B2484" s="4" t="s">
        <v>1475</v>
      </c>
      <c r="C2484" s="4" t="s">
        <v>6091</v>
      </c>
      <c r="D2484" s="1">
        <f>DATE(2020,6,17)+TIME(11,4,39)</f>
        <v>43999.461562500001</v>
      </c>
    </row>
    <row r="2485" spans="1:4" ht="17">
      <c r="A2485" s="5" t="s">
        <v>747</v>
      </c>
      <c r="B2485" s="5" t="s">
        <v>4433</v>
      </c>
      <c r="C2485" s="5" t="s">
        <v>4434</v>
      </c>
      <c r="D2485" s="2">
        <f>DATE(2020,6,17)+TIME(12,8,12)</f>
        <v>43999.505694444444</v>
      </c>
    </row>
    <row r="2486" spans="1:4" ht="17">
      <c r="A2486" s="4" t="s">
        <v>747</v>
      </c>
      <c r="B2486" s="4" t="s">
        <v>6041</v>
      </c>
      <c r="C2486" s="4" t="s">
        <v>6042</v>
      </c>
      <c r="D2486" s="1">
        <f>DATE(2020,6,18)+TIME(20,7,47)</f>
        <v>44000.838738425926</v>
      </c>
    </row>
    <row r="2487" spans="1:4" ht="17">
      <c r="A2487" s="5" t="s">
        <v>747</v>
      </c>
      <c r="B2487" s="5" t="s">
        <v>3824</v>
      </c>
      <c r="C2487" s="5" t="s">
        <v>6485</v>
      </c>
      <c r="D2487" s="2">
        <f>DATE(2020,6,18)+TIME(22,45,57)</f>
        <v>44000.948576388888</v>
      </c>
    </row>
    <row r="2488" spans="1:4" ht="17">
      <c r="A2488" s="4" t="s">
        <v>747</v>
      </c>
      <c r="B2488" s="4" t="s">
        <v>5730</v>
      </c>
      <c r="C2488" s="4" t="s">
        <v>5731</v>
      </c>
      <c r="D2488" s="1">
        <f>DATE(2020,6,19)+TIME(11,19,10)</f>
        <v>44001.471643518518</v>
      </c>
    </row>
    <row r="2489" spans="1:4" ht="17">
      <c r="A2489" s="4" t="s">
        <v>747</v>
      </c>
      <c r="B2489" s="4" t="s">
        <v>748</v>
      </c>
      <c r="C2489" s="4" t="s">
        <v>749</v>
      </c>
      <c r="D2489" s="1">
        <f>DATE(2020,6,21)+TIME(19,26,22)</f>
        <v>44003.809976851851</v>
      </c>
    </row>
    <row r="2490" spans="1:4" ht="17">
      <c r="A2490" s="5" t="s">
        <v>747</v>
      </c>
      <c r="B2490" s="5" t="s">
        <v>6481</v>
      </c>
      <c r="C2490" s="5" t="s">
        <v>6482</v>
      </c>
      <c r="D2490" s="2">
        <f>DATE(2020,6,22)+TIME(10,41,43)</f>
        <v>44004.445636574077</v>
      </c>
    </row>
    <row r="2491" spans="1:4" ht="17">
      <c r="A2491" s="4" t="s">
        <v>747</v>
      </c>
      <c r="B2491" s="4" t="s">
        <v>1538</v>
      </c>
      <c r="C2491" s="4" t="s">
        <v>9581</v>
      </c>
      <c r="D2491" s="1">
        <f>DATE(2020,6,23)+TIME(12,31,13)</f>
        <v>44005.521678240744</v>
      </c>
    </row>
    <row r="2492" spans="1:4" ht="17">
      <c r="A2492" s="4" t="s">
        <v>747</v>
      </c>
      <c r="B2492" s="4" t="s">
        <v>8995</v>
      </c>
      <c r="C2492" s="4" t="s">
        <v>8996</v>
      </c>
      <c r="D2492" s="1">
        <f>DATE(2020,6,23)+TIME(21,27,36)</f>
        <v>44005.894166666665</v>
      </c>
    </row>
    <row r="2493" spans="1:4" ht="17">
      <c r="A2493" s="4" t="s">
        <v>747</v>
      </c>
      <c r="B2493" s="4" t="s">
        <v>3023</v>
      </c>
      <c r="C2493" s="4" t="s">
        <v>3024</v>
      </c>
      <c r="D2493" s="1">
        <f>DATE(2020,6,24)+TIME(13,53,55)</f>
        <v>44006.579108796293</v>
      </c>
    </row>
    <row r="2494" spans="1:4" ht="17">
      <c r="A2494" s="5" t="s">
        <v>747</v>
      </c>
      <c r="B2494" s="5" t="s">
        <v>1095</v>
      </c>
      <c r="C2494" s="5" t="s">
        <v>2232</v>
      </c>
      <c r="D2494" s="2">
        <f>DATE(2020,6,24)+TIME(16,49,49)</f>
        <v>44006.701261574075</v>
      </c>
    </row>
    <row r="2495" spans="1:4" ht="17">
      <c r="A2495" s="4" t="s">
        <v>747</v>
      </c>
      <c r="B2495" s="4" t="s">
        <v>7559</v>
      </c>
      <c r="C2495" s="4" t="s">
        <v>7560</v>
      </c>
      <c r="D2495" s="1">
        <f>DATE(2020,6,25)+TIME(17,54,17)</f>
        <v>44007.746030092596</v>
      </c>
    </row>
    <row r="2496" spans="1:4" ht="17">
      <c r="A2496" s="4" t="s">
        <v>747</v>
      </c>
      <c r="B2496" s="4" t="s">
        <v>6028</v>
      </c>
      <c r="C2496" s="4" t="s">
        <v>6029</v>
      </c>
      <c r="D2496" s="1">
        <f>DATE(2020,6,26)+TIME(0,41,54)</f>
        <v>44008.029097222221</v>
      </c>
    </row>
    <row r="2497" spans="1:4" ht="17">
      <c r="A2497" s="5" t="s">
        <v>747</v>
      </c>
      <c r="B2497" s="5" t="s">
        <v>8812</v>
      </c>
      <c r="C2497" s="5" t="s">
        <v>8813</v>
      </c>
      <c r="D2497" s="2">
        <f>DATE(2020,6,26)+TIME(2,12,33)</f>
        <v>44008.092048611114</v>
      </c>
    </row>
    <row r="2498" spans="1:4" ht="17">
      <c r="A2498" s="5" t="s">
        <v>747</v>
      </c>
      <c r="B2498" s="5" t="s">
        <v>3856</v>
      </c>
      <c r="C2498" s="5" t="s">
        <v>3857</v>
      </c>
      <c r="D2498" s="2">
        <f>DATE(2020,6,26)+TIME(13,1,21)</f>
        <v>44008.542604166665</v>
      </c>
    </row>
    <row r="2499" spans="1:4" ht="17">
      <c r="A2499" s="5" t="s">
        <v>747</v>
      </c>
      <c r="B2499" s="5" t="s">
        <v>1191</v>
      </c>
      <c r="C2499" s="5" t="s">
        <v>8536</v>
      </c>
      <c r="D2499" s="2">
        <f>DATE(2020,6,26)+TIME(17,8,12)</f>
        <v>44008.71402777778</v>
      </c>
    </row>
    <row r="2500" spans="1:4" ht="17">
      <c r="A2500" s="5" t="s">
        <v>747</v>
      </c>
      <c r="B2500" s="5" t="s">
        <v>1840</v>
      </c>
      <c r="C2500" s="5" t="s">
        <v>1841</v>
      </c>
      <c r="D2500" s="2">
        <f>DATE(2020,6,29)+TIME(11,23,52)</f>
        <v>44011.474907407406</v>
      </c>
    </row>
    <row r="2501" spans="1:4" ht="17">
      <c r="A2501" s="5" t="s">
        <v>747</v>
      </c>
      <c r="B2501" s="5" t="s">
        <v>4450</v>
      </c>
      <c r="C2501" s="5" t="s">
        <v>4451</v>
      </c>
      <c r="D2501" s="2">
        <f>DATE(2020,6,29)+TIME(11,45,38)</f>
        <v>44011.490023148152</v>
      </c>
    </row>
    <row r="2502" spans="1:4" ht="17">
      <c r="A2502" s="4" t="s">
        <v>747</v>
      </c>
      <c r="B2502" s="4" t="s">
        <v>7511</v>
      </c>
      <c r="C2502" s="4" t="s">
        <v>7512</v>
      </c>
      <c r="D2502" s="1">
        <f>DATE(2020,6,29)+TIME(12,16,5)</f>
        <v>44011.51116898148</v>
      </c>
    </row>
    <row r="2503" spans="1:4" ht="17">
      <c r="A2503" s="4" t="s">
        <v>2593</v>
      </c>
      <c r="B2503" s="4" t="s">
        <v>2594</v>
      </c>
      <c r="C2503" s="4" t="s">
        <v>2595</v>
      </c>
      <c r="D2503" s="1">
        <f>DATE(2020,6,29)+TIME(13,35,25)</f>
        <v>44011.566261574073</v>
      </c>
    </row>
    <row r="2504" spans="1:4" ht="17">
      <c r="A2504" s="4" t="s">
        <v>8589</v>
      </c>
      <c r="B2504" s="4" t="s">
        <v>8590</v>
      </c>
      <c r="C2504" s="4" t="s">
        <v>8591</v>
      </c>
      <c r="D2504" s="1">
        <f>DATE(2020,5,13)+TIME(3,54,28)</f>
        <v>43964.162824074076</v>
      </c>
    </row>
    <row r="2505" spans="1:4" ht="17">
      <c r="A2505" s="4" t="s">
        <v>1868</v>
      </c>
      <c r="B2505" s="4" t="s">
        <v>1869</v>
      </c>
      <c r="C2505" s="4" t="s">
        <v>1870</v>
      </c>
      <c r="D2505" s="1">
        <f>DATE(2020,5,13)+TIME(3,54,28)</f>
        <v>43964.162824074076</v>
      </c>
    </row>
    <row r="2506" spans="1:4" ht="17">
      <c r="A2506" s="4" t="s">
        <v>1868</v>
      </c>
      <c r="B2506" s="4" t="s">
        <v>3558</v>
      </c>
      <c r="C2506" s="4" t="s">
        <v>3559</v>
      </c>
      <c r="D2506" s="1">
        <f>DATE(2020,5,13)+TIME(3,54,28)</f>
        <v>43964.162824074076</v>
      </c>
    </row>
    <row r="2507" spans="1:4" ht="17">
      <c r="A2507" s="5" t="s">
        <v>4870</v>
      </c>
      <c r="B2507" s="5" t="s">
        <v>4871</v>
      </c>
      <c r="C2507" s="5" t="s">
        <v>4872</v>
      </c>
      <c r="D2507" s="2">
        <f>DATE(2020,6,12)+TIME(11,38,54)</f>
        <v>43994.485347222224</v>
      </c>
    </row>
    <row r="2508" spans="1:4" ht="17">
      <c r="A2508" s="5" t="s">
        <v>4870</v>
      </c>
      <c r="B2508" s="5" t="s">
        <v>5632</v>
      </c>
      <c r="C2508" s="5" t="s">
        <v>5633</v>
      </c>
      <c r="D2508" s="2">
        <f>DATE(2020,6,24)+TIME(11,34,56)</f>
        <v>44006.482592592591</v>
      </c>
    </row>
    <row r="2509" spans="1:4" ht="17">
      <c r="A2509" s="5" t="s">
        <v>105</v>
      </c>
      <c r="B2509" s="5" t="s">
        <v>106</v>
      </c>
      <c r="C2509" s="5" t="s">
        <v>107</v>
      </c>
      <c r="D2509" s="2">
        <f>DATE(2020,5,6)+TIME(11,13,43)</f>
        <v>43957.467858796299</v>
      </c>
    </row>
    <row r="2510" spans="1:4" ht="17">
      <c r="A2510" s="4" t="s">
        <v>7657</v>
      </c>
      <c r="B2510" s="4" t="s">
        <v>7658</v>
      </c>
      <c r="C2510" s="4" t="s">
        <v>7659</v>
      </c>
      <c r="D2510" s="1">
        <f>DATE(2020,5,12)+TIME(3,53,8)</f>
        <v>43963.161898148152</v>
      </c>
    </row>
    <row r="2511" spans="1:4" ht="17">
      <c r="A2511" s="5" t="s">
        <v>8275</v>
      </c>
      <c r="B2511" s="5" t="s">
        <v>8276</v>
      </c>
      <c r="C2511" s="5" t="s">
        <v>8277</v>
      </c>
      <c r="D2511" s="2">
        <f>DATE(2020,5,15)+TIME(19,34,21)</f>
        <v>43966.815520833334</v>
      </c>
    </row>
    <row r="2512" spans="1:4" ht="17">
      <c r="A2512" s="4" t="s">
        <v>4652</v>
      </c>
      <c r="B2512" s="4" t="s">
        <v>8060</v>
      </c>
      <c r="C2512" s="4" t="s">
        <v>8061</v>
      </c>
      <c r="D2512" s="1">
        <f>DATE(2020,5,22)+TIME(10,3,54)</f>
        <v>43973.419374999998</v>
      </c>
    </row>
    <row r="2513" spans="1:4" ht="17">
      <c r="A2513" s="5" t="s">
        <v>4652</v>
      </c>
      <c r="B2513" s="5" t="s">
        <v>4653</v>
      </c>
      <c r="C2513" s="5" t="s">
        <v>4654</v>
      </c>
      <c r="D2513" s="2">
        <f>DATE(2020,6,10)+TIME(11,16,27)</f>
        <v>43992.469756944447</v>
      </c>
    </row>
    <row r="2514" spans="1:4" ht="17">
      <c r="A2514" s="4" t="s">
        <v>7345</v>
      </c>
      <c r="B2514" s="4" t="s">
        <v>7346</v>
      </c>
      <c r="C2514" s="4" t="s">
        <v>7347</v>
      </c>
      <c r="D2514" s="1">
        <f>DATE(2020,6,15)+TIME(12,17,21)</f>
        <v>43997.512048611112</v>
      </c>
    </row>
    <row r="2515" spans="1:4" ht="17">
      <c r="A2515" s="5" t="s">
        <v>5136</v>
      </c>
      <c r="B2515" s="5" t="s">
        <v>5137</v>
      </c>
      <c r="C2515" s="5" t="s">
        <v>5138</v>
      </c>
      <c r="D2515" s="2">
        <f>DATE(2020,6,15)+TIME(3,2,21)</f>
        <v>43997.126631944448</v>
      </c>
    </row>
    <row r="2516" spans="1:4" ht="17">
      <c r="A2516" s="5" t="s">
        <v>2809</v>
      </c>
      <c r="B2516" s="5" t="s">
        <v>2810</v>
      </c>
      <c r="C2516" s="5" t="s">
        <v>2811</v>
      </c>
      <c r="D2516" s="2">
        <f>DATE(2020,6,12)+TIME(13,29,33)</f>
        <v>43994.5621875</v>
      </c>
    </row>
    <row r="2517" spans="1:4" ht="17">
      <c r="A2517" s="4" t="s">
        <v>691</v>
      </c>
      <c r="B2517" s="4" t="s">
        <v>7997</v>
      </c>
      <c r="C2517" s="4" t="s">
        <v>7998</v>
      </c>
      <c r="D2517" s="1">
        <f>DATE(2020,3,27)+TIME(17,36,41)</f>
        <v>43917.733807870369</v>
      </c>
    </row>
    <row r="2518" spans="1:4" ht="17">
      <c r="A2518" s="5" t="s">
        <v>691</v>
      </c>
      <c r="B2518" s="5" t="s">
        <v>692</v>
      </c>
      <c r="C2518" s="5" t="s">
        <v>693</v>
      </c>
      <c r="D2518" s="2">
        <f>DATE(2020,4,7)+TIME(13,41,50)</f>
        <v>43928.570717592593</v>
      </c>
    </row>
    <row r="2519" spans="1:4" ht="17">
      <c r="A2519" s="4" t="s">
        <v>691</v>
      </c>
      <c r="B2519" s="4" t="s">
        <v>3712</v>
      </c>
      <c r="C2519" s="4" t="s">
        <v>3713</v>
      </c>
      <c r="D2519" s="1">
        <f>DATE(2020,5,18)+TIME(15,1,17)</f>
        <v>43969.625891203701</v>
      </c>
    </row>
    <row r="2520" spans="1:4" ht="17">
      <c r="A2520" s="5" t="s">
        <v>691</v>
      </c>
      <c r="B2520" s="5" t="s">
        <v>7561</v>
      </c>
      <c r="C2520" s="5" t="s">
        <v>7562</v>
      </c>
      <c r="D2520" s="2">
        <f>DATE(2020,5,28)+TIME(17,1,3)</f>
        <v>43979.709062499998</v>
      </c>
    </row>
    <row r="2521" spans="1:4" ht="17">
      <c r="A2521" s="5" t="s">
        <v>691</v>
      </c>
      <c r="B2521" s="5" t="s">
        <v>2490</v>
      </c>
      <c r="C2521" s="5" t="s">
        <v>2491</v>
      </c>
      <c r="D2521" s="2">
        <f>DATE(2020,6,10)+TIME(11,0,26)</f>
        <v>43992.458634259259</v>
      </c>
    </row>
    <row r="2522" spans="1:4" ht="17">
      <c r="A2522" s="4" t="s">
        <v>691</v>
      </c>
      <c r="B2522" s="4" t="s">
        <v>4931</v>
      </c>
      <c r="C2522" s="4" t="s">
        <v>4932</v>
      </c>
      <c r="D2522" s="1">
        <f>DATE(2020,6,22)+TIME(10,41,44)</f>
        <v>44004.445648148147</v>
      </c>
    </row>
    <row r="2523" spans="1:4" ht="17">
      <c r="A2523" s="4" t="s">
        <v>691</v>
      </c>
      <c r="B2523" s="4" t="s">
        <v>614</v>
      </c>
      <c r="C2523" s="4" t="s">
        <v>3552</v>
      </c>
      <c r="D2523" s="1">
        <f>DATE(2020,6,24)+TIME(18,13,49)</f>
        <v>44006.759594907409</v>
      </c>
    </row>
    <row r="2524" spans="1:4" ht="17">
      <c r="A2524" s="5" t="s">
        <v>691</v>
      </c>
      <c r="B2524" s="5" t="s">
        <v>9293</v>
      </c>
      <c r="C2524" s="5" t="s">
        <v>9294</v>
      </c>
      <c r="D2524" s="2">
        <f>DATE(2020,6,26)+TIME(23,3,18)</f>
        <v>44008.960625</v>
      </c>
    </row>
    <row r="2525" spans="1:4" ht="17">
      <c r="A2525" s="4" t="s">
        <v>691</v>
      </c>
      <c r="B2525" s="4" t="s">
        <v>1101</v>
      </c>
      <c r="C2525" s="4" t="s">
        <v>6595</v>
      </c>
      <c r="D2525" s="1">
        <f>DATE(2020,6,27)+TIME(12,30,32)</f>
        <v>44009.521203703705</v>
      </c>
    </row>
    <row r="2526" spans="1:4" ht="17">
      <c r="A2526" s="4" t="s">
        <v>691</v>
      </c>
      <c r="B2526" s="4" t="s">
        <v>6722</v>
      </c>
      <c r="C2526" s="4" t="s">
        <v>6723</v>
      </c>
      <c r="D2526" s="1">
        <f>DATE(2020,6,29)+TIME(1,50,7)</f>
        <v>44011.076469907406</v>
      </c>
    </row>
    <row r="2527" spans="1:4" ht="17">
      <c r="A2527" s="5" t="s">
        <v>691</v>
      </c>
      <c r="B2527" s="5" t="s">
        <v>6603</v>
      </c>
      <c r="C2527" s="5" t="s">
        <v>6604</v>
      </c>
      <c r="D2527" s="2">
        <f>DATE(2020,6,29)+TIME(3,26,11)</f>
        <v>44011.143182870372</v>
      </c>
    </row>
    <row r="2528" spans="1:4" ht="17">
      <c r="A2528" s="5" t="s">
        <v>1167</v>
      </c>
      <c r="B2528" s="5" t="s">
        <v>7013</v>
      </c>
      <c r="C2528" s="5" t="s">
        <v>7014</v>
      </c>
      <c r="D2528" s="2">
        <f>DATE(2020,6,25)+TIME(0,9,54)</f>
        <v>44007.006874999999</v>
      </c>
    </row>
    <row r="2529" spans="1:4" ht="17">
      <c r="A2529" s="4" t="s">
        <v>1167</v>
      </c>
      <c r="B2529" s="4" t="s">
        <v>1168</v>
      </c>
      <c r="C2529" s="4" t="s">
        <v>1169</v>
      </c>
      <c r="D2529" s="1">
        <f>DATE(2020,6,29)+TIME(10,30,27)</f>
        <v>44011.4378125</v>
      </c>
    </row>
    <row r="2530" spans="1:4" ht="17">
      <c r="A2530" s="4" t="s">
        <v>2900</v>
      </c>
      <c r="B2530" s="4" t="s">
        <v>2901</v>
      </c>
      <c r="C2530" s="4" t="s">
        <v>2902</v>
      </c>
      <c r="D2530" s="1">
        <f>DATE(2020,5,7)+TIME(8,39,48)</f>
        <v>43958.360972222225</v>
      </c>
    </row>
    <row r="2531" spans="1:4" ht="17">
      <c r="A2531" s="4" t="s">
        <v>2900</v>
      </c>
      <c r="B2531" s="4" t="s">
        <v>3640</v>
      </c>
      <c r="C2531" s="4" t="s">
        <v>3641</v>
      </c>
      <c r="D2531" s="1">
        <f>DATE(2020,6,22)+TIME(10,7,45)</f>
        <v>44004.422048611108</v>
      </c>
    </row>
    <row r="2532" spans="1:4" ht="17">
      <c r="A2532" s="4" t="s">
        <v>1651</v>
      </c>
      <c r="B2532" s="4" t="s">
        <v>1652</v>
      </c>
      <c r="C2532" s="4" t="s">
        <v>1653</v>
      </c>
      <c r="D2532" s="1">
        <f>DATE(2020,5,7)+TIME(11,52,38)</f>
        <v>43958.494884259257</v>
      </c>
    </row>
    <row r="2533" spans="1:4" ht="17">
      <c r="A2533" s="5" t="s">
        <v>6343</v>
      </c>
      <c r="B2533" s="5" t="s">
        <v>6344</v>
      </c>
      <c r="C2533" s="5" t="s">
        <v>6345</v>
      </c>
      <c r="D2533" s="2">
        <f>DATE(2020,6,19)+TIME(14,44,50)</f>
        <v>44001.61446759259</v>
      </c>
    </row>
    <row r="2534" spans="1:4" ht="17">
      <c r="A2534" s="4" t="s">
        <v>4717</v>
      </c>
      <c r="B2534" s="4" t="s">
        <v>4718</v>
      </c>
      <c r="C2534" s="4" t="s">
        <v>4719</v>
      </c>
      <c r="D2534" s="1">
        <f>DATE(2020,5,14)+TIME(14,36,57)</f>
        <v>43965.608993055554</v>
      </c>
    </row>
    <row r="2535" spans="1:4" ht="17">
      <c r="A2535" s="5" t="s">
        <v>2139</v>
      </c>
      <c r="B2535" s="5" t="s">
        <v>2140</v>
      </c>
      <c r="C2535" s="5" t="s">
        <v>2141</v>
      </c>
      <c r="D2535" s="2">
        <f>DATE(2020,6,24)+TIME(20,59,43)</f>
        <v>44006.874803240738</v>
      </c>
    </row>
    <row r="2536" spans="1:4" ht="17">
      <c r="A2536" s="5" t="s">
        <v>7548</v>
      </c>
      <c r="B2536" s="5" t="s">
        <v>2736</v>
      </c>
      <c r="C2536" s="5" t="s">
        <v>7549</v>
      </c>
      <c r="D2536" s="2">
        <f>DATE(2020,5,8)+TIME(9,24,32)</f>
        <v>43959.39203703704</v>
      </c>
    </row>
    <row r="2537" spans="1:4" ht="17">
      <c r="A2537" s="5" t="s">
        <v>8993</v>
      </c>
      <c r="B2537" s="5" t="s">
        <v>1765</v>
      </c>
      <c r="C2537" s="5" t="s">
        <v>8994</v>
      </c>
      <c r="D2537" s="2">
        <f>DATE(2020,6,25)+TIME(0,27,58)</f>
        <v>44007.019421296296</v>
      </c>
    </row>
    <row r="2538" spans="1:4" ht="17">
      <c r="A2538" s="5" t="s">
        <v>8690</v>
      </c>
      <c r="B2538" s="5" t="s">
        <v>8691</v>
      </c>
      <c r="C2538" s="5" t="s">
        <v>8692</v>
      </c>
      <c r="D2538" s="2">
        <f>DATE(2020,6,29)+TIME(13,14,41)</f>
        <v>44011.551863425928</v>
      </c>
    </row>
    <row r="2539" spans="1:4" ht="17">
      <c r="A2539" s="5" t="s">
        <v>5845</v>
      </c>
      <c r="B2539" s="5" t="s">
        <v>2986</v>
      </c>
      <c r="C2539" s="5" t="s">
        <v>5846</v>
      </c>
      <c r="D2539" s="2">
        <f>DATE(2020,6,24)+TIME(4,30,43)</f>
        <v>44006.187997685185</v>
      </c>
    </row>
    <row r="2540" spans="1:4" ht="17">
      <c r="A2540" s="4" t="s">
        <v>5986</v>
      </c>
      <c r="B2540" s="4" t="s">
        <v>5987</v>
      </c>
      <c r="C2540" s="4" t="s">
        <v>5988</v>
      </c>
      <c r="D2540" s="1">
        <f>DATE(2020,5,15)+TIME(11,33,38)</f>
        <v>43966.481689814813</v>
      </c>
    </row>
    <row r="2541" spans="1:4" ht="17">
      <c r="A2541" s="4" t="s">
        <v>3114</v>
      </c>
      <c r="B2541" s="4" t="s">
        <v>3115</v>
      </c>
      <c r="C2541" s="4" t="s">
        <v>3116</v>
      </c>
      <c r="D2541" s="1">
        <f>DATE(2020,6,15)+TIME(23,1,58)</f>
        <v>43997.959699074076</v>
      </c>
    </row>
    <row r="2542" spans="1:4" ht="17">
      <c r="A2542" s="4" t="s">
        <v>8551</v>
      </c>
      <c r="B2542" s="4" t="s">
        <v>8552</v>
      </c>
      <c r="C2542" s="4" t="s">
        <v>8553</v>
      </c>
      <c r="D2542" s="1">
        <f>DATE(2020,6,28)+TIME(20,24,39)</f>
        <v>44010.850451388891</v>
      </c>
    </row>
    <row r="2543" spans="1:4" ht="17">
      <c r="A2543" s="5" t="s">
        <v>533</v>
      </c>
      <c r="B2543" s="5" t="s">
        <v>534</v>
      </c>
      <c r="C2543" s="5" t="s">
        <v>535</v>
      </c>
      <c r="D2543" s="2">
        <f>DATE(2020,6,15)+TIME(2,26,39)</f>
        <v>43997.101840277777</v>
      </c>
    </row>
    <row r="2544" spans="1:4" ht="17">
      <c r="A2544" s="5" t="s">
        <v>6785</v>
      </c>
      <c r="B2544" s="5" t="s">
        <v>6786</v>
      </c>
      <c r="C2544" s="5" t="s">
        <v>6787</v>
      </c>
      <c r="D2544" s="2">
        <f>DATE(2020,5,12)+TIME(11,52,59)</f>
        <v>43963.495127314818</v>
      </c>
    </row>
    <row r="2545" spans="1:4" ht="17">
      <c r="A2545" s="5" t="s">
        <v>2840</v>
      </c>
      <c r="B2545" s="5" t="s">
        <v>2841</v>
      </c>
      <c r="C2545" s="5" t="s">
        <v>2842</v>
      </c>
      <c r="D2545" s="2">
        <f>DATE(2020,6,26)+TIME(22,58,15)</f>
        <v>44008.957118055558</v>
      </c>
    </row>
    <row r="2546" spans="1:4" ht="17">
      <c r="A2546" s="4" t="s">
        <v>8579</v>
      </c>
      <c r="B2546" s="4" t="s">
        <v>8580</v>
      </c>
      <c r="C2546" s="4" t="s">
        <v>8581</v>
      </c>
      <c r="D2546" s="1">
        <f>DATE(2020,6,1)+TIME(13,13,17)</f>
        <v>43983.550891203704</v>
      </c>
    </row>
    <row r="2547" spans="1:4" ht="17">
      <c r="A2547" s="4" t="s">
        <v>1858</v>
      </c>
      <c r="B2547" s="4" t="s">
        <v>1859</v>
      </c>
      <c r="C2547" s="4" t="s">
        <v>1860</v>
      </c>
      <c r="D2547" s="1">
        <f>DATE(2020,6,25)+TIME(17,47,39)</f>
        <v>44007.741423611114</v>
      </c>
    </row>
    <row r="2548" spans="1:4" ht="17">
      <c r="A2548" s="4" t="s">
        <v>8459</v>
      </c>
      <c r="B2548" s="4" t="s">
        <v>5949</v>
      </c>
      <c r="C2548" s="4" t="s">
        <v>8460</v>
      </c>
      <c r="D2548" s="1">
        <f>DATE(2020,6,27)+TIME(11,31,11)</f>
        <v>44009.479988425926</v>
      </c>
    </row>
    <row r="2549" spans="1:4" ht="17">
      <c r="A2549" s="5" t="s">
        <v>3865</v>
      </c>
      <c r="B2549" s="5" t="s">
        <v>3866</v>
      </c>
      <c r="C2549" s="5" t="s">
        <v>3867</v>
      </c>
      <c r="D2549" s="2">
        <f>DATE(2020,6,3)+TIME(0,59,32)</f>
        <v>43985.041342592594</v>
      </c>
    </row>
    <row r="2550" spans="1:4" ht="17">
      <c r="A2550" s="4" t="s">
        <v>2619</v>
      </c>
      <c r="B2550" s="4" t="s">
        <v>3440</v>
      </c>
      <c r="C2550" s="4" t="s">
        <v>3441</v>
      </c>
      <c r="D2550" s="1">
        <f>DATE(2020,6,28)+TIME(17,23,17)</f>
        <v>44010.724502314813</v>
      </c>
    </row>
    <row r="2551" spans="1:4" ht="17">
      <c r="A2551" s="4" t="s">
        <v>3994</v>
      </c>
      <c r="B2551" s="4" t="s">
        <v>3995</v>
      </c>
      <c r="C2551" s="4" t="s">
        <v>3996</v>
      </c>
      <c r="D2551" s="1">
        <f>DATE(2020,6,25)+TIME(8,4,34)</f>
        <v>44007.336504629631</v>
      </c>
    </row>
    <row r="2552" spans="1:4" ht="17">
      <c r="A2552" s="4" t="s">
        <v>8136</v>
      </c>
      <c r="B2552" s="4" t="s">
        <v>8137</v>
      </c>
      <c r="C2552" s="4" t="s">
        <v>8138</v>
      </c>
      <c r="D2552" s="1">
        <f>DATE(2020,6,2)+TIME(0,34,31)</f>
        <v>43984.023969907408</v>
      </c>
    </row>
    <row r="2553" spans="1:4" ht="17">
      <c r="A2553" s="5" t="s">
        <v>7557</v>
      </c>
      <c r="B2553" s="5" t="s">
        <v>3695</v>
      </c>
      <c r="C2553" s="5" t="s">
        <v>7558</v>
      </c>
      <c r="D2553" s="2">
        <f>DATE(2020,6,29)+TIME(11,48,31)</f>
        <v>44011.492025462961</v>
      </c>
    </row>
    <row r="2554" spans="1:4" ht="17">
      <c r="A2554" s="4" t="s">
        <v>9272</v>
      </c>
      <c r="B2554" s="4" t="s">
        <v>9288</v>
      </c>
      <c r="C2554" s="4" t="s">
        <v>9289</v>
      </c>
      <c r="D2554" s="1">
        <f>DATE(2020,6,25)+TIME(12,32,6)</f>
        <v>44007.522291666668</v>
      </c>
    </row>
    <row r="2555" spans="1:4" ht="17">
      <c r="A2555" s="5" t="s">
        <v>9059</v>
      </c>
      <c r="B2555" s="5" t="s">
        <v>9060</v>
      </c>
      <c r="C2555" s="5" t="s">
        <v>9061</v>
      </c>
      <c r="D2555" s="2">
        <f>DATE(2020,6,24)+TIME(8,46,33)</f>
        <v>44006.365659722222</v>
      </c>
    </row>
    <row r="2556" spans="1:4" ht="17">
      <c r="A2556" s="4" t="s">
        <v>1172</v>
      </c>
      <c r="B2556" s="4" t="s">
        <v>1173</v>
      </c>
      <c r="C2556" s="4" t="s">
        <v>1174</v>
      </c>
      <c r="D2556" s="1">
        <f>DATE(2020,5,12)+TIME(19,20,53)</f>
        <v>43963.806168981479</v>
      </c>
    </row>
    <row r="2557" spans="1:4" ht="17">
      <c r="A2557" s="5" t="s">
        <v>1172</v>
      </c>
      <c r="B2557" s="5" t="s">
        <v>6972</v>
      </c>
      <c r="C2557" s="5" t="s">
        <v>6973</v>
      </c>
      <c r="D2557" s="2">
        <f>DATE(2020,6,29)+TIME(5,14,25)</f>
        <v>44011.218344907407</v>
      </c>
    </row>
    <row r="2558" spans="1:4" ht="17">
      <c r="A2558" s="5" t="s">
        <v>9591</v>
      </c>
      <c r="B2558" s="5" t="s">
        <v>9592</v>
      </c>
      <c r="C2558" s="5" t="s">
        <v>9593</v>
      </c>
      <c r="D2558" s="2">
        <f>DATE(2020,6,23)+TIME(14,4,17)</f>
        <v>44005.58630787037</v>
      </c>
    </row>
    <row r="2559" spans="1:4" ht="17">
      <c r="A2559" s="5" t="s">
        <v>4563</v>
      </c>
      <c r="B2559" s="5" t="s">
        <v>4564</v>
      </c>
      <c r="C2559" s="5" t="s">
        <v>4565</v>
      </c>
      <c r="D2559" s="2">
        <f>DATE(2020,6,18)+TIME(18,27,49)</f>
        <v>44000.769317129627</v>
      </c>
    </row>
    <row r="2560" spans="1:4" ht="17">
      <c r="A2560" s="4" t="s">
        <v>6639</v>
      </c>
      <c r="B2560" s="4" t="s">
        <v>6640</v>
      </c>
      <c r="C2560" s="4" t="s">
        <v>6641</v>
      </c>
      <c r="D2560" s="1">
        <f>DATE(2020,6,24)+TIME(6,30,31)</f>
        <v>44006.271192129629</v>
      </c>
    </row>
    <row r="2561" spans="1:4" ht="17">
      <c r="A2561" s="5" t="s">
        <v>6161</v>
      </c>
      <c r="B2561" s="5" t="s">
        <v>6162</v>
      </c>
      <c r="C2561" s="5" t="s">
        <v>6163</v>
      </c>
      <c r="D2561" s="2">
        <f>DATE(2020,6,19)+TIME(5,27,10)</f>
        <v>44001.227199074077</v>
      </c>
    </row>
    <row r="2562" spans="1:4" ht="17">
      <c r="A2562" s="4" t="s">
        <v>8757</v>
      </c>
      <c r="B2562" s="4" t="s">
        <v>8758</v>
      </c>
      <c r="C2562" s="4" t="s">
        <v>8759</v>
      </c>
      <c r="D2562" s="1">
        <f>DATE(2020,6,25)+TIME(7,5,48)</f>
        <v>44007.295694444445</v>
      </c>
    </row>
    <row r="2563" spans="1:4" ht="17">
      <c r="A2563" s="4" t="s">
        <v>4795</v>
      </c>
      <c r="B2563" s="4" t="s">
        <v>4796</v>
      </c>
      <c r="C2563" s="4" t="s">
        <v>4797</v>
      </c>
      <c r="D2563" s="1">
        <f>DATE(2020,6,28)+TIME(23,59,59)</f>
        <v>44010.999988425923</v>
      </c>
    </row>
    <row r="2564" spans="1:4" ht="17">
      <c r="A2564" s="5" t="s">
        <v>4588</v>
      </c>
      <c r="B2564" s="5" t="s">
        <v>4589</v>
      </c>
      <c r="C2564" s="5" t="s">
        <v>4590</v>
      </c>
      <c r="D2564" s="2">
        <f>DATE(2020,5,13)+TIME(3,54,29)</f>
        <v>43964.162835648145</v>
      </c>
    </row>
    <row r="2565" spans="1:4" ht="17">
      <c r="A2565" s="4" t="s">
        <v>2694</v>
      </c>
      <c r="B2565" s="4" t="s">
        <v>2695</v>
      </c>
      <c r="C2565" s="4" t="s">
        <v>2696</v>
      </c>
      <c r="D2565" s="1">
        <f>DATE(2020,6,27)+TIME(1,18,4)</f>
        <v>44009.054212962961</v>
      </c>
    </row>
    <row r="2566" spans="1:4" ht="17">
      <c r="A2566" s="4" t="s">
        <v>2747</v>
      </c>
      <c r="B2566" s="4" t="s">
        <v>2748</v>
      </c>
      <c r="C2566" s="4" t="s">
        <v>2749</v>
      </c>
      <c r="D2566" s="1">
        <f>DATE(2020,6,24)+TIME(0,28,49)</f>
        <v>44006.020011574074</v>
      </c>
    </row>
    <row r="2567" spans="1:4" ht="17">
      <c r="A2567" s="5" t="s">
        <v>6411</v>
      </c>
      <c r="B2567" s="5" t="s">
        <v>6412</v>
      </c>
      <c r="C2567" s="5" t="s">
        <v>6413</v>
      </c>
      <c r="D2567" s="2">
        <f>DATE(2020,5,7)+TIME(15,22,43)</f>
        <v>43958.640775462962</v>
      </c>
    </row>
    <row r="2568" spans="1:4" ht="17">
      <c r="A2568" s="5" t="s">
        <v>7281</v>
      </c>
      <c r="B2568" s="5" t="s">
        <v>7281</v>
      </c>
      <c r="C2568" s="5" t="s">
        <v>7282</v>
      </c>
      <c r="D2568" s="2">
        <f>DATE(2020,6,13)+TIME(0,42,38)</f>
        <v>43995.029606481483</v>
      </c>
    </row>
    <row r="2569" spans="1:4" ht="17">
      <c r="A2569" s="4" t="s">
        <v>6351</v>
      </c>
      <c r="B2569" s="4" t="s">
        <v>6351</v>
      </c>
      <c r="C2569" s="4" t="s">
        <v>6352</v>
      </c>
      <c r="D2569" s="1">
        <f>DATE(2020,6,25)+TIME(22,26,26)</f>
        <v>44007.935023148151</v>
      </c>
    </row>
    <row r="2570" spans="1:4" ht="17">
      <c r="A2570" s="5" t="s">
        <v>1146</v>
      </c>
      <c r="B2570" s="5" t="s">
        <v>1147</v>
      </c>
      <c r="C2570" s="5" t="s">
        <v>1148</v>
      </c>
      <c r="D2570" s="2">
        <f>DATE(2020,6,4)+TIME(10,31,44)</f>
        <v>43986.438703703701</v>
      </c>
    </row>
    <row r="2571" spans="1:4" ht="17">
      <c r="A2571" s="5" t="s">
        <v>3149</v>
      </c>
      <c r="B2571" s="5" t="s">
        <v>3150</v>
      </c>
      <c r="C2571" s="5" t="s">
        <v>3151</v>
      </c>
      <c r="D2571" s="2">
        <f>DATE(2020,6,24)+TIME(17,34,18)</f>
        <v>44006.732152777775</v>
      </c>
    </row>
    <row r="2572" spans="1:4" ht="17">
      <c r="A2572" s="4" t="s">
        <v>1206</v>
      </c>
      <c r="B2572" s="4" t="s">
        <v>1207</v>
      </c>
      <c r="C2572" s="4" t="s">
        <v>1208</v>
      </c>
      <c r="D2572" s="1">
        <f>DATE(2020,6,23)+TIME(13,57,2)</f>
        <v>44005.581273148149</v>
      </c>
    </row>
    <row r="2573" spans="1:4" ht="17">
      <c r="A2573" s="4" t="s">
        <v>2985</v>
      </c>
      <c r="B2573" s="4" t="s">
        <v>2986</v>
      </c>
      <c r="C2573" s="4" t="s">
        <v>2987</v>
      </c>
      <c r="D2573" s="1">
        <f>DATE(2020,5,21)+TIME(18,24,28)</f>
        <v>43972.76699074074</v>
      </c>
    </row>
    <row r="2574" spans="1:4" ht="17">
      <c r="A2574" s="5" t="s">
        <v>2985</v>
      </c>
      <c r="B2574" s="5" t="s">
        <v>3236</v>
      </c>
      <c r="C2574" s="5" t="s">
        <v>3237</v>
      </c>
      <c r="D2574" s="2">
        <f>DATE(2020,6,25)+TIME(9,46,1)</f>
        <v>44007.406956018516</v>
      </c>
    </row>
    <row r="2575" spans="1:4" ht="17">
      <c r="A2575" s="5" t="s">
        <v>7348</v>
      </c>
      <c r="B2575" s="5" t="s">
        <v>7349</v>
      </c>
      <c r="C2575" s="5" t="s">
        <v>7350</v>
      </c>
      <c r="D2575" s="2">
        <f>DATE(2020,6,25)+TIME(4,25,18)</f>
        <v>44007.184236111112</v>
      </c>
    </row>
    <row r="2576" spans="1:4" ht="17">
      <c r="A2576" s="4" t="s">
        <v>6267</v>
      </c>
      <c r="B2576" s="4" t="s">
        <v>553</v>
      </c>
      <c r="C2576" s="4" t="s">
        <v>6268</v>
      </c>
      <c r="D2576" s="1">
        <f>DATE(2020,6,23)+TIME(13,47,44)</f>
        <v>44005.574814814812</v>
      </c>
    </row>
    <row r="2577" spans="1:4" ht="17">
      <c r="A2577" s="4" t="s">
        <v>6689</v>
      </c>
      <c r="B2577" s="4" t="s">
        <v>6690</v>
      </c>
      <c r="C2577" s="4" t="s">
        <v>6691</v>
      </c>
      <c r="D2577" s="1">
        <f>DATE(2020,5,28)+TIME(14,35,7)</f>
        <v>43979.607719907406</v>
      </c>
    </row>
    <row r="2578" spans="1:4" ht="17">
      <c r="A2578" s="4" t="s">
        <v>4568</v>
      </c>
      <c r="B2578" s="4" t="s">
        <v>8090</v>
      </c>
      <c r="C2578" s="4" t="s">
        <v>8091</v>
      </c>
      <c r="D2578" s="1">
        <f>DATE(2020,6,23)+TIME(15,32,49)</f>
        <v>44005.647789351853</v>
      </c>
    </row>
    <row r="2579" spans="1:4" ht="17">
      <c r="A2579" s="4" t="s">
        <v>4568</v>
      </c>
      <c r="B2579" s="4" t="s">
        <v>8639</v>
      </c>
      <c r="C2579" s="4" t="s">
        <v>8640</v>
      </c>
      <c r="D2579" s="1">
        <f>DATE(2020,6,24)+TIME(13,37,4)</f>
        <v>44006.567407407405</v>
      </c>
    </row>
    <row r="2580" spans="1:4" ht="17">
      <c r="A2580" s="4" t="s">
        <v>6748</v>
      </c>
      <c r="B2580" s="4" t="s">
        <v>6749</v>
      </c>
      <c r="C2580" s="4" t="s">
        <v>6750</v>
      </c>
      <c r="D2580" s="1">
        <f>DATE(2020,6,24)+TIME(18,0,46)</f>
        <v>44006.750532407408</v>
      </c>
    </row>
    <row r="2581" spans="1:4" ht="17">
      <c r="A2581" s="5" t="s">
        <v>4568</v>
      </c>
      <c r="B2581" s="5" t="s">
        <v>4051</v>
      </c>
      <c r="C2581" s="5" t="s">
        <v>4569</v>
      </c>
      <c r="D2581" s="2">
        <f>DATE(2020,6,26)+TIME(18,7,21)</f>
        <v>44008.755104166667</v>
      </c>
    </row>
    <row r="2582" spans="1:4" ht="17">
      <c r="A2582" s="5" t="s">
        <v>4568</v>
      </c>
      <c r="B2582" s="5" t="s">
        <v>7293</v>
      </c>
      <c r="C2582" s="5" t="s">
        <v>7294</v>
      </c>
      <c r="D2582" s="2">
        <f>DATE(2020,6,26)+TIME(20,17,31)</f>
        <v>44008.845497685186</v>
      </c>
    </row>
    <row r="2583" spans="1:4" ht="17">
      <c r="A2583" s="5" t="s">
        <v>5415</v>
      </c>
      <c r="B2583" s="5" t="s">
        <v>5416</v>
      </c>
      <c r="C2583" s="5" t="s">
        <v>5417</v>
      </c>
      <c r="D2583" s="2">
        <f>DATE(2020,6,24)+TIME(8,41,24)</f>
        <v>44006.362083333333</v>
      </c>
    </row>
    <row r="2584" spans="1:4" ht="17">
      <c r="A2584" s="4" t="s">
        <v>8085</v>
      </c>
      <c r="B2584" s="4" t="s">
        <v>8086</v>
      </c>
      <c r="C2584" s="4" t="s">
        <v>8087</v>
      </c>
      <c r="D2584" s="1">
        <f>DATE(2020,6,28)+TIME(22,31,46)</f>
        <v>44010.938726851855</v>
      </c>
    </row>
    <row r="2585" spans="1:4" ht="17">
      <c r="A2585" s="5" t="s">
        <v>2091</v>
      </c>
      <c r="B2585" s="5" t="s">
        <v>2092</v>
      </c>
      <c r="C2585" s="5" t="s">
        <v>2093</v>
      </c>
      <c r="D2585" s="2">
        <f>DATE(2020,6,23)+TIME(13,33,50)</f>
        <v>44005.565162037034</v>
      </c>
    </row>
    <row r="2586" spans="1:4" ht="17">
      <c r="A2586" s="5" t="s">
        <v>9312</v>
      </c>
      <c r="B2586" s="5" t="s">
        <v>1364</v>
      </c>
      <c r="C2586" s="5" t="s">
        <v>9313</v>
      </c>
      <c r="D2586" s="2">
        <f>DATE(2020,6,15)+TIME(3,20,24)</f>
        <v>43997.139166666668</v>
      </c>
    </row>
    <row r="2587" spans="1:4" ht="17">
      <c r="A2587" s="4" t="s">
        <v>8745</v>
      </c>
      <c r="B2587" s="4" t="s">
        <v>8746</v>
      </c>
      <c r="C2587" s="4" t="s">
        <v>8747</v>
      </c>
      <c r="D2587" s="1">
        <f>DATE(2020,6,23)+TIME(14,17,5)</f>
        <v>44005.595196759263</v>
      </c>
    </row>
    <row r="2588" spans="1:4" ht="17">
      <c r="A2588" s="4" t="s">
        <v>30</v>
      </c>
      <c r="B2588" s="4" t="s">
        <v>31</v>
      </c>
      <c r="C2588" s="4" t="s">
        <v>32</v>
      </c>
      <c r="D2588" s="1">
        <f>DATE(2020,6,27)+TIME(3,17,38)</f>
        <v>44009.137245370373</v>
      </c>
    </row>
    <row r="2589" spans="1:4" ht="17">
      <c r="A2589" s="4" t="s">
        <v>2940</v>
      </c>
      <c r="B2589" s="4" t="s">
        <v>2941</v>
      </c>
      <c r="C2589" s="4" t="s">
        <v>2942</v>
      </c>
      <c r="D2589" s="1">
        <f>DATE(2020,6,23)+TIME(14,42,45)</f>
        <v>44005.613020833334</v>
      </c>
    </row>
    <row r="2590" spans="1:4" ht="17">
      <c r="A2590" s="5" t="s">
        <v>8408</v>
      </c>
      <c r="B2590" s="5" t="s">
        <v>8409</v>
      </c>
      <c r="C2590" s="5" t="s">
        <v>8410</v>
      </c>
      <c r="D2590" s="2">
        <f>DATE(2020,6,23)+TIME(14,35,24)</f>
        <v>44005.607916666668</v>
      </c>
    </row>
    <row r="2591" spans="1:4" ht="17">
      <c r="A2591" s="5" t="s">
        <v>3306</v>
      </c>
      <c r="B2591" s="5" t="s">
        <v>3307</v>
      </c>
      <c r="C2591" s="5" t="s">
        <v>3308</v>
      </c>
      <c r="D2591" s="2">
        <f>DATE(2020,5,30)+TIME(6,53,38)</f>
        <v>43981.287245370368</v>
      </c>
    </row>
    <row r="2592" spans="1:4" ht="17">
      <c r="A2592" s="5" t="s">
        <v>3601</v>
      </c>
      <c r="B2592" s="5" t="s">
        <v>3602</v>
      </c>
      <c r="C2592" s="5" t="s">
        <v>3603</v>
      </c>
      <c r="D2592" s="2">
        <f>DATE(2020,6,23)+TIME(13,36,16)</f>
        <v>44005.566851851851</v>
      </c>
    </row>
    <row r="2593" spans="1:4" ht="17">
      <c r="A2593" s="5" t="s">
        <v>1687</v>
      </c>
      <c r="B2593" s="5" t="s">
        <v>1688</v>
      </c>
      <c r="C2593" s="5" t="s">
        <v>1689</v>
      </c>
      <c r="D2593" s="2">
        <f>DATE(2020,6,29)+TIME(7,53,53)</f>
        <v>44011.329085648147</v>
      </c>
    </row>
    <row r="2594" spans="1:4" ht="17">
      <c r="A2594" s="5" t="s">
        <v>8870</v>
      </c>
      <c r="B2594" s="5" t="s">
        <v>8871</v>
      </c>
      <c r="C2594" s="5" t="s">
        <v>8872</v>
      </c>
      <c r="D2594" s="2">
        <f>DATE(2020,6,25)+TIME(0,33,56)</f>
        <v>44007.023564814815</v>
      </c>
    </row>
    <row r="2595" spans="1:4" ht="17">
      <c r="A2595" s="5" t="s">
        <v>2036</v>
      </c>
      <c r="B2595" s="5" t="s">
        <v>2037</v>
      </c>
      <c r="C2595" s="5" t="s">
        <v>2038</v>
      </c>
      <c r="D2595" s="2">
        <f>DATE(2020,6,12)+TIME(5,10,15)</f>
        <v>43994.215451388889</v>
      </c>
    </row>
    <row r="2596" spans="1:4" ht="17">
      <c r="A2596" s="5" t="s">
        <v>4632</v>
      </c>
      <c r="B2596" s="5" t="s">
        <v>4633</v>
      </c>
      <c r="C2596" s="5" t="s">
        <v>4634</v>
      </c>
      <c r="D2596" s="2">
        <f>DATE(2020,6,26)+TIME(10,11,29)</f>
        <v>44008.424641203703</v>
      </c>
    </row>
    <row r="2597" spans="1:4" ht="17">
      <c r="A2597" s="4" t="s">
        <v>8930</v>
      </c>
      <c r="B2597" s="4" t="s">
        <v>8931</v>
      </c>
      <c r="C2597" s="4" t="s">
        <v>8932</v>
      </c>
      <c r="D2597" s="1">
        <f>DATE(2020,6,26)+TIME(22,27,52)</f>
        <v>44008.936018518521</v>
      </c>
    </row>
    <row r="2598" spans="1:4" ht="17">
      <c r="A2598" s="4" t="s">
        <v>45</v>
      </c>
      <c r="B2598" s="4" t="s">
        <v>6532</v>
      </c>
      <c r="C2598" s="4" t="s">
        <v>6533</v>
      </c>
      <c r="D2598" s="1">
        <f>DATE(2020,5,22)+TIME(13,19,15)</f>
        <v>43973.555034722223</v>
      </c>
    </row>
    <row r="2599" spans="1:4" ht="17">
      <c r="A2599" s="5" t="s">
        <v>45</v>
      </c>
      <c r="B2599" s="5" t="s">
        <v>46</v>
      </c>
      <c r="C2599" s="5" t="s">
        <v>47</v>
      </c>
      <c r="D2599" s="2">
        <f>DATE(2020,5,27)+TIME(9,54,53)</f>
        <v>43978.413113425922</v>
      </c>
    </row>
    <row r="2600" spans="1:4" ht="17">
      <c r="A2600" s="5" t="s">
        <v>45</v>
      </c>
      <c r="B2600" s="5" t="s">
        <v>3683</v>
      </c>
      <c r="C2600" s="5" t="s">
        <v>4357</v>
      </c>
      <c r="D2600" s="2">
        <f>DATE(2020,6,26)+TIME(17,15,6)</f>
        <v>44008.718819444446</v>
      </c>
    </row>
    <row r="2601" spans="1:4" ht="17">
      <c r="A2601" s="5" t="s">
        <v>6905</v>
      </c>
      <c r="B2601" s="5" t="s">
        <v>6906</v>
      </c>
      <c r="C2601" s="5" t="s">
        <v>6907</v>
      </c>
      <c r="D2601" s="2">
        <f>DATE(2020,6,1)+TIME(8,25,23)</f>
        <v>43983.350960648146</v>
      </c>
    </row>
    <row r="2602" spans="1:4" ht="17">
      <c r="A2602" s="5" t="s">
        <v>7178</v>
      </c>
      <c r="B2602" s="5" t="s">
        <v>7179</v>
      </c>
      <c r="C2602" s="5" t="s">
        <v>7180</v>
      </c>
      <c r="D2602" s="2">
        <f>DATE(2020,6,28)+TIME(18,50,36)</f>
        <v>44010.785138888888</v>
      </c>
    </row>
    <row r="2603" spans="1:4" ht="17">
      <c r="A2603" s="5" t="s">
        <v>9064</v>
      </c>
      <c r="B2603" s="5" t="s">
        <v>9065</v>
      </c>
      <c r="C2603" s="5" t="s">
        <v>9066</v>
      </c>
      <c r="D2603" s="2">
        <f>DATE(2020,6,10)+TIME(2,57,43)</f>
        <v>43992.123414351852</v>
      </c>
    </row>
    <row r="2604" spans="1:4" ht="17">
      <c r="A2604" s="4" t="s">
        <v>406</v>
      </c>
      <c r="B2604" s="4" t="s">
        <v>407</v>
      </c>
      <c r="C2604" s="4" t="s">
        <v>408</v>
      </c>
      <c r="D2604" s="1">
        <f>DATE(2020,3,14)+TIME(0,43,8)</f>
        <v>43904.029953703706</v>
      </c>
    </row>
    <row r="2605" spans="1:4" ht="17">
      <c r="A2605" s="4" t="s">
        <v>406</v>
      </c>
      <c r="B2605" s="4" t="s">
        <v>1144</v>
      </c>
      <c r="C2605" s="4" t="s">
        <v>1145</v>
      </c>
      <c r="D2605" s="1">
        <f>DATE(2020,6,20)+TIME(1,27,40)</f>
        <v>44002.060879629629</v>
      </c>
    </row>
    <row r="2606" spans="1:4" ht="17">
      <c r="A2606" s="5" t="s">
        <v>1422</v>
      </c>
      <c r="B2606" s="5" t="s">
        <v>1423</v>
      </c>
      <c r="C2606" s="5" t="s">
        <v>1424</v>
      </c>
      <c r="D2606" s="2">
        <f>DATE(2020,6,21)+TIME(18,0,47)</f>
        <v>44003.750543981485</v>
      </c>
    </row>
    <row r="2607" spans="1:4" ht="17">
      <c r="A2607" s="4" t="s">
        <v>8634</v>
      </c>
      <c r="B2607" s="4" t="s">
        <v>907</v>
      </c>
      <c r="C2607" s="4" t="s">
        <v>8635</v>
      </c>
      <c r="D2607" s="1">
        <f>DATE(2020,6,19)+TIME(6,3,16)</f>
        <v>44001.252268518518</v>
      </c>
    </row>
    <row r="2608" spans="1:4" ht="17">
      <c r="A2608" s="4" t="s">
        <v>3468</v>
      </c>
      <c r="B2608" s="4" t="s">
        <v>3469</v>
      </c>
      <c r="C2608" s="4" t="s">
        <v>3470</v>
      </c>
      <c r="D2608" s="1">
        <f>DATE(2020,5,13)+TIME(19,5,35)</f>
        <v>43964.795543981483</v>
      </c>
    </row>
    <row r="2609" spans="1:4" ht="17">
      <c r="A2609" s="4" t="s">
        <v>2796</v>
      </c>
      <c r="B2609" s="4" t="s">
        <v>2797</v>
      </c>
      <c r="C2609" s="4" t="s">
        <v>2798</v>
      </c>
      <c r="D2609" s="1">
        <f>DATE(2020,5,13)+TIME(14,28,12)</f>
        <v>43964.602916666663</v>
      </c>
    </row>
    <row r="2610" spans="1:4" ht="17">
      <c r="A2610" s="4" t="s">
        <v>5182</v>
      </c>
      <c r="B2610" s="4" t="s">
        <v>5183</v>
      </c>
      <c r="C2610" s="4" t="s">
        <v>5184</v>
      </c>
      <c r="D2610" s="1">
        <f>DATE(2020,5,6)+TIME(11,0,20)</f>
        <v>43957.458564814813</v>
      </c>
    </row>
    <row r="2611" spans="1:4" ht="17">
      <c r="A2611" s="4" t="s">
        <v>4279</v>
      </c>
      <c r="B2611" s="4" t="s">
        <v>4280</v>
      </c>
      <c r="C2611" s="4" t="s">
        <v>4281</v>
      </c>
      <c r="D2611" s="1">
        <f>DATE(2020,6,19)+TIME(13,45,50)</f>
        <v>44001.573495370372</v>
      </c>
    </row>
    <row r="2612" spans="1:4" ht="17">
      <c r="A2612" s="4" t="s">
        <v>5093</v>
      </c>
      <c r="B2612" s="4" t="s">
        <v>5094</v>
      </c>
      <c r="C2612" s="4" t="s">
        <v>5095</v>
      </c>
      <c r="D2612" s="1">
        <f>DATE(2020,6,29)+TIME(2,4,13)</f>
        <v>44011.086261574077</v>
      </c>
    </row>
    <row r="2613" spans="1:4" ht="17">
      <c r="A2613" s="4" t="s">
        <v>4520</v>
      </c>
      <c r="B2613" s="4" t="s">
        <v>1658</v>
      </c>
      <c r="C2613" s="4" t="s">
        <v>4521</v>
      </c>
      <c r="D2613" s="1">
        <f>DATE(2020,5,29)+TIME(6,34,41)</f>
        <v>43980.274085648147</v>
      </c>
    </row>
    <row r="2614" spans="1:4" ht="17">
      <c r="A2614" s="5" t="s">
        <v>6729</v>
      </c>
      <c r="B2614" s="5" t="s">
        <v>6730</v>
      </c>
      <c r="C2614" s="5" t="s">
        <v>6731</v>
      </c>
      <c r="D2614" s="2">
        <f>DATE(2020,6,29)+TIME(12,36,16)</f>
        <v>44011.525185185186</v>
      </c>
    </row>
    <row r="2615" spans="1:4" ht="17">
      <c r="A2615" s="4" t="s">
        <v>72</v>
      </c>
      <c r="B2615" s="4" t="s">
        <v>73</v>
      </c>
      <c r="C2615" s="4" t="s">
        <v>74</v>
      </c>
      <c r="D2615" s="1">
        <f>DATE(2020,6,16)+TIME(7,3,38)</f>
        <v>43998.294189814813</v>
      </c>
    </row>
    <row r="2616" spans="1:4" ht="17">
      <c r="A2616" s="5" t="s">
        <v>3560</v>
      </c>
      <c r="B2616" s="5" t="s">
        <v>3561</v>
      </c>
      <c r="C2616" s="5" t="s">
        <v>3562</v>
      </c>
      <c r="D2616" s="2">
        <f>DATE(2020,6,25)+TIME(16,48,30)</f>
        <v>44007.70034722222</v>
      </c>
    </row>
    <row r="2617" spans="1:4" ht="17">
      <c r="A2617" s="4" t="s">
        <v>6970</v>
      </c>
      <c r="B2617" s="4" t="s">
        <v>5949</v>
      </c>
      <c r="C2617" s="4" t="s">
        <v>6971</v>
      </c>
      <c r="D2617" s="1">
        <f>DATE(2020,6,19)+TIME(10,8,37)</f>
        <v>44001.422650462962</v>
      </c>
    </row>
    <row r="2618" spans="1:4" ht="17">
      <c r="A2618" s="4" t="s">
        <v>6256</v>
      </c>
      <c r="B2618" s="4" t="s">
        <v>6257</v>
      </c>
      <c r="C2618" s="4" t="s">
        <v>6258</v>
      </c>
      <c r="D2618" s="1">
        <f>DATE(2020,5,12)+TIME(12,32,6)</f>
        <v>43963.522291666668</v>
      </c>
    </row>
    <row r="2619" spans="1:4" ht="17">
      <c r="A2619" s="5" t="s">
        <v>470</v>
      </c>
      <c r="B2619" s="5" t="s">
        <v>471</v>
      </c>
      <c r="C2619" s="5" t="s">
        <v>472</v>
      </c>
      <c r="D2619" s="2">
        <f>DATE(2020,6,25)+TIME(13,49,31)</f>
        <v>44007.576053240744</v>
      </c>
    </row>
    <row r="2620" spans="1:4" ht="17">
      <c r="A2620" s="4" t="s">
        <v>6170</v>
      </c>
      <c r="B2620" s="4" t="s">
        <v>2286</v>
      </c>
      <c r="C2620" s="4" t="s">
        <v>6171</v>
      </c>
      <c r="D2620" s="1">
        <f>DATE(2020,5,22)+TIME(11,2,17)</f>
        <v>43973.459918981483</v>
      </c>
    </row>
    <row r="2621" spans="1:4" ht="17">
      <c r="A2621" s="4" t="s">
        <v>48</v>
      </c>
      <c r="B2621" s="4" t="s">
        <v>49</v>
      </c>
      <c r="C2621" s="4" t="s">
        <v>50</v>
      </c>
      <c r="D2621" s="1">
        <f>DATE(2020,6,24)+TIME(6,32,11)</f>
        <v>44006.272349537037</v>
      </c>
    </row>
    <row r="2622" spans="1:4" ht="17">
      <c r="A2622" s="4" t="s">
        <v>2993</v>
      </c>
      <c r="B2622" s="4" t="s">
        <v>8218</v>
      </c>
      <c r="C2622" s="4" t="s">
        <v>8219</v>
      </c>
      <c r="D2622" s="1">
        <f>DATE(2020,1,24)+TIME(16,10,5)</f>
        <v>43854.673668981479</v>
      </c>
    </row>
    <row r="2623" spans="1:4" ht="17">
      <c r="A2623" s="4" t="s">
        <v>2993</v>
      </c>
      <c r="B2623" s="4" t="s">
        <v>3548</v>
      </c>
      <c r="C2623" s="4" t="s">
        <v>3549</v>
      </c>
      <c r="D2623" s="1">
        <f>DATE(2020,6,15)+TIME(21,54,13)</f>
        <v>43997.91265046296</v>
      </c>
    </row>
    <row r="2624" spans="1:4" ht="17">
      <c r="A2624" s="5" t="s">
        <v>2993</v>
      </c>
      <c r="B2624" s="5" t="s">
        <v>2994</v>
      </c>
      <c r="C2624" s="5" t="s">
        <v>2995</v>
      </c>
      <c r="D2624" s="2">
        <f>DATE(2020,6,24)+TIME(9,12,17)</f>
        <v>44006.383530092593</v>
      </c>
    </row>
    <row r="2625" spans="1:4" ht="17">
      <c r="A2625" s="4" t="s">
        <v>1624</v>
      </c>
      <c r="B2625" s="4" t="s">
        <v>4333</v>
      </c>
      <c r="C2625" s="4" t="s">
        <v>4334</v>
      </c>
      <c r="D2625" s="1">
        <f>DATE(2020,4,8)+TIME(17,27,34)</f>
        <v>43929.727476851855</v>
      </c>
    </row>
    <row r="2626" spans="1:4" ht="17">
      <c r="A2626" s="5" t="s">
        <v>1624</v>
      </c>
      <c r="B2626" s="5" t="s">
        <v>1625</v>
      </c>
      <c r="C2626" s="5" t="s">
        <v>1626</v>
      </c>
      <c r="D2626" s="2">
        <f>DATE(2020,5,15)+TIME(19,44,49)</f>
        <v>43966.822789351849</v>
      </c>
    </row>
    <row r="2627" spans="1:4" ht="17">
      <c r="A2627" s="4" t="s">
        <v>307</v>
      </c>
      <c r="B2627" s="4" t="s">
        <v>879</v>
      </c>
      <c r="C2627" s="4" t="s">
        <v>8960</v>
      </c>
      <c r="D2627" s="1">
        <f>DATE(2020,5,5)+TIME(17,34,43)</f>
        <v>43956.732442129629</v>
      </c>
    </row>
    <row r="2628" spans="1:4" ht="17">
      <c r="A2628" s="4" t="s">
        <v>307</v>
      </c>
      <c r="B2628" s="4" t="s">
        <v>1531</v>
      </c>
      <c r="C2628" s="4" t="s">
        <v>1532</v>
      </c>
      <c r="D2628" s="1">
        <f>DATE(2020,5,6)+TIME(3,45,42)</f>
        <v>43957.156736111108</v>
      </c>
    </row>
    <row r="2629" spans="1:4" ht="17">
      <c r="A2629" s="4" t="s">
        <v>307</v>
      </c>
      <c r="B2629" s="4" t="s">
        <v>7054</v>
      </c>
      <c r="C2629" s="4" t="s">
        <v>7055</v>
      </c>
      <c r="D2629" s="1">
        <f>DATE(2020,5,31)+TIME(18,42,45)</f>
        <v>43982.779687499999</v>
      </c>
    </row>
    <row r="2630" spans="1:4" ht="17">
      <c r="A2630" s="5" t="s">
        <v>307</v>
      </c>
      <c r="B2630" s="5" t="s">
        <v>2602</v>
      </c>
      <c r="C2630" s="5" t="s">
        <v>5439</v>
      </c>
      <c r="D2630" s="2">
        <f>DATE(2020,6,15)+TIME(6,42,50)</f>
        <v>43997.279745370368</v>
      </c>
    </row>
    <row r="2631" spans="1:4" ht="17">
      <c r="A2631" s="4" t="s">
        <v>307</v>
      </c>
      <c r="B2631" s="4" t="s">
        <v>3495</v>
      </c>
      <c r="C2631" s="4" t="s">
        <v>3496</v>
      </c>
      <c r="D2631" s="1">
        <f>DATE(2020,6,17)+TIME(14,46,9)</f>
        <v>43999.615381944444</v>
      </c>
    </row>
    <row r="2632" spans="1:4" ht="17">
      <c r="A2632" s="4" t="s">
        <v>307</v>
      </c>
      <c r="B2632" s="4" t="s">
        <v>4505</v>
      </c>
      <c r="C2632" s="4" t="s">
        <v>4506</v>
      </c>
      <c r="D2632" s="1">
        <f>DATE(2020,6,28)+TIME(18,2,58)</f>
        <v>44010.752060185187</v>
      </c>
    </row>
    <row r="2633" spans="1:4" ht="17">
      <c r="A2633" s="4" t="s">
        <v>307</v>
      </c>
      <c r="B2633" s="4" t="s">
        <v>308</v>
      </c>
      <c r="C2633" s="4" t="s">
        <v>309</v>
      </c>
      <c r="D2633" s="1">
        <f>DATE(2020,6,29)+TIME(13,9,7)</f>
        <v>44011.547997685186</v>
      </c>
    </row>
    <row r="2634" spans="1:4" ht="17">
      <c r="A2634" s="5" t="s">
        <v>1393</v>
      </c>
      <c r="B2634" s="5" t="s">
        <v>1394</v>
      </c>
      <c r="C2634" s="5" t="s">
        <v>1395</v>
      </c>
      <c r="D2634" s="2">
        <f>DATE(2020,5,22)+TIME(17,19,25)</f>
        <v>43973.721817129626</v>
      </c>
    </row>
    <row r="2635" spans="1:4" ht="17">
      <c r="A2635" s="5" t="s">
        <v>2739</v>
      </c>
      <c r="B2635" s="5" t="s">
        <v>2739</v>
      </c>
      <c r="C2635" s="5" t="s">
        <v>2740</v>
      </c>
      <c r="D2635" s="2">
        <f>DATE(2020,6,12)+TIME(5,12,37)</f>
        <v>43994.217094907406</v>
      </c>
    </row>
    <row r="2636" spans="1:4" ht="17">
      <c r="A2636" s="5" t="s">
        <v>4775</v>
      </c>
      <c r="B2636" s="5" t="s">
        <v>4776</v>
      </c>
      <c r="C2636" s="5" t="s">
        <v>4777</v>
      </c>
      <c r="D2636" s="2">
        <f>DATE(2020,6,24)+TIME(10,15,11)</f>
        <v>44006.427210648151</v>
      </c>
    </row>
    <row r="2637" spans="1:4" ht="17">
      <c r="A2637" s="5" t="s">
        <v>5703</v>
      </c>
      <c r="B2637" s="5" t="s">
        <v>16</v>
      </c>
      <c r="C2637" s="5" t="s">
        <v>5704</v>
      </c>
      <c r="D2637" s="2">
        <f>DATE(2020,1,14)+TIME(7,27,20)</f>
        <v>43844.310648148145</v>
      </c>
    </row>
    <row r="2638" spans="1:4" ht="17">
      <c r="A2638" s="4" t="s">
        <v>7745</v>
      </c>
      <c r="B2638" s="4" t="s">
        <v>3341</v>
      </c>
      <c r="C2638" s="4" t="s">
        <v>7746</v>
      </c>
      <c r="D2638" s="1">
        <f>DATE(2020,6,28)+TIME(4,33,9)</f>
        <v>44010.189687500002</v>
      </c>
    </row>
    <row r="2639" spans="1:4" ht="17">
      <c r="A2639" s="5" t="s">
        <v>9073</v>
      </c>
      <c r="B2639" s="5" t="s">
        <v>568</v>
      </c>
      <c r="C2639" s="5" t="s">
        <v>9074</v>
      </c>
      <c r="D2639" s="2">
        <f>DATE(2020,6,24)+TIME(20,53,56)</f>
        <v>44006.870787037034</v>
      </c>
    </row>
    <row r="2640" spans="1:4" ht="17">
      <c r="A2640" s="5" t="s">
        <v>906</v>
      </c>
      <c r="B2640" s="5" t="s">
        <v>907</v>
      </c>
      <c r="C2640" s="5" t="s">
        <v>908</v>
      </c>
      <c r="D2640" s="2">
        <f>DATE(2020,6,19)+TIME(15,16,39)</f>
        <v>44001.636562500003</v>
      </c>
    </row>
    <row r="2641" spans="1:4" ht="17">
      <c r="A2641" s="4" t="s">
        <v>313</v>
      </c>
      <c r="B2641" s="4" t="s">
        <v>314</v>
      </c>
      <c r="C2641" s="4" t="s">
        <v>315</v>
      </c>
      <c r="D2641" s="1">
        <f>DATE(2020,6,17)+TIME(13,39,40)</f>
        <v>43999.569212962961</v>
      </c>
    </row>
    <row r="2642" spans="1:4" ht="17">
      <c r="A2642" s="5" t="s">
        <v>2777</v>
      </c>
      <c r="B2642" s="5" t="s">
        <v>4663</v>
      </c>
      <c r="C2642" s="5" t="s">
        <v>4664</v>
      </c>
      <c r="D2642" s="2">
        <f>DATE(2020,5,11)+TIME(11,34,11)</f>
        <v>43962.482071759259</v>
      </c>
    </row>
    <row r="2643" spans="1:4" ht="17">
      <c r="A2643" s="5" t="s">
        <v>2777</v>
      </c>
      <c r="B2643" s="5" t="s">
        <v>3785</v>
      </c>
      <c r="C2643" s="5" t="s">
        <v>3786</v>
      </c>
      <c r="D2643" s="2">
        <f>DATE(2020,6,22)+TIME(9,22,47)</f>
        <v>44004.390821759262</v>
      </c>
    </row>
    <row r="2644" spans="1:4" ht="17">
      <c r="A2644" s="4" t="s">
        <v>2777</v>
      </c>
      <c r="B2644" s="4" t="s">
        <v>7041</v>
      </c>
      <c r="C2644" s="4" t="s">
        <v>7042</v>
      </c>
      <c r="D2644" s="1">
        <f>DATE(2020,6,26)+TIME(18,1,53)</f>
        <v>44008.751307870371</v>
      </c>
    </row>
    <row r="2645" spans="1:4" ht="17">
      <c r="A2645" s="5" t="s">
        <v>2777</v>
      </c>
      <c r="B2645" s="5" t="s">
        <v>2778</v>
      </c>
      <c r="C2645" s="5" t="s">
        <v>2779</v>
      </c>
      <c r="D2645" s="2">
        <f>DATE(2020,6,29)+TIME(12,46,0)</f>
        <v>44011.531944444447</v>
      </c>
    </row>
    <row r="2646" spans="1:4" ht="17">
      <c r="A2646" s="4" t="s">
        <v>4655</v>
      </c>
      <c r="B2646" s="4" t="s">
        <v>4656</v>
      </c>
      <c r="C2646" s="4" t="s">
        <v>4657</v>
      </c>
      <c r="D2646" s="1">
        <f>DATE(2020,6,23)+TIME(7,53,50)</f>
        <v>44005.329050925924</v>
      </c>
    </row>
    <row r="2647" spans="1:4" ht="17">
      <c r="A2647" s="5" t="s">
        <v>7967</v>
      </c>
      <c r="B2647" s="5" t="s">
        <v>7968</v>
      </c>
      <c r="C2647" s="5" t="s">
        <v>7969</v>
      </c>
      <c r="D2647" s="2">
        <f>DATE(2020,4,9)+TIME(20,49,19)</f>
        <v>43930.867581018516</v>
      </c>
    </row>
    <row r="2648" spans="1:4" ht="17">
      <c r="A2648" s="5" t="s">
        <v>3771</v>
      </c>
      <c r="B2648" s="5" t="s">
        <v>6830</v>
      </c>
      <c r="C2648" s="5" t="s">
        <v>6831</v>
      </c>
      <c r="D2648" s="2">
        <f>DATE(2020,6,22)+TIME(15,15,41)</f>
        <v>44004.635891203703</v>
      </c>
    </row>
    <row r="2649" spans="1:4" ht="17">
      <c r="A2649" s="4" t="s">
        <v>3771</v>
      </c>
      <c r="B2649" s="4" t="s">
        <v>3772</v>
      </c>
      <c r="C2649" s="4" t="s">
        <v>3773</v>
      </c>
      <c r="D2649" s="1">
        <f>DATE(2020,6,22)+TIME(15,32,46)</f>
        <v>44004.64775462963</v>
      </c>
    </row>
    <row r="2650" spans="1:4" ht="17">
      <c r="A2650" s="4" t="s">
        <v>4046</v>
      </c>
      <c r="B2650" s="4" t="s">
        <v>118</v>
      </c>
      <c r="C2650" s="4" t="s">
        <v>4047</v>
      </c>
      <c r="D2650" s="1">
        <f>DATE(2020,6,13)+TIME(0,32,19)</f>
        <v>43995.02244212963</v>
      </c>
    </row>
    <row r="2651" spans="1:4" ht="17">
      <c r="A2651" s="5" t="s">
        <v>6019</v>
      </c>
      <c r="B2651" s="5" t="s">
        <v>568</v>
      </c>
      <c r="C2651" s="5" t="s">
        <v>6020</v>
      </c>
      <c r="D2651" s="2">
        <f>DATE(2020,3,27)+TIME(22,40,50)</f>
        <v>43917.945023148146</v>
      </c>
    </row>
    <row r="2652" spans="1:4" ht="17">
      <c r="A2652" s="4" t="s">
        <v>1915</v>
      </c>
      <c r="B2652" s="4" t="s">
        <v>1916</v>
      </c>
      <c r="C2652" s="4" t="s">
        <v>1917</v>
      </c>
      <c r="D2652" s="1">
        <f>DATE(2020,3,27)+TIME(16,52,42)</f>
        <v>43917.703263888892</v>
      </c>
    </row>
    <row r="2653" spans="1:4" ht="17">
      <c r="A2653" s="5" t="s">
        <v>1915</v>
      </c>
      <c r="B2653" s="5" t="s">
        <v>4323</v>
      </c>
      <c r="C2653" s="5" t="s">
        <v>4324</v>
      </c>
      <c r="D2653" s="2">
        <f>DATE(2020,5,26)+TIME(16,43,26)</f>
        <v>43977.696828703702</v>
      </c>
    </row>
    <row r="2654" spans="1:4" ht="17">
      <c r="A2654" s="5" t="s">
        <v>1915</v>
      </c>
      <c r="B2654" s="5" t="s">
        <v>109</v>
      </c>
      <c r="C2654" s="5" t="s">
        <v>6601</v>
      </c>
      <c r="D2654" s="2">
        <f>DATE(2020,6,17)+TIME(11,44,23)</f>
        <v>43999.489155092589</v>
      </c>
    </row>
    <row r="2655" spans="1:4" ht="17">
      <c r="A2655" s="5" t="s">
        <v>2102</v>
      </c>
      <c r="B2655" s="5" t="s">
        <v>2103</v>
      </c>
      <c r="C2655" s="5" t="s">
        <v>2104</v>
      </c>
      <c r="D2655" s="2">
        <f>DATE(2020,6,23)+TIME(13,50,52)</f>
        <v>44005.576990740738</v>
      </c>
    </row>
    <row r="2656" spans="1:4" ht="17">
      <c r="A2656" s="4" t="s">
        <v>6187</v>
      </c>
      <c r="B2656" s="4" t="s">
        <v>6188</v>
      </c>
      <c r="C2656" s="4" t="s">
        <v>6189</v>
      </c>
      <c r="D2656" s="1">
        <f>DATE(2020,6,24)+TIME(17,44,12)</f>
        <v>44006.739027777781</v>
      </c>
    </row>
    <row r="2657" spans="1:4" ht="17">
      <c r="A2657" s="4" t="s">
        <v>4764</v>
      </c>
      <c r="B2657" s="4" t="s">
        <v>1705</v>
      </c>
      <c r="C2657" s="4" t="s">
        <v>4765</v>
      </c>
      <c r="D2657" s="1">
        <f>DATE(2020,5,21)+TIME(16,42,0)</f>
        <v>43972.695833333331</v>
      </c>
    </row>
    <row r="2658" spans="1:4" ht="17">
      <c r="A2658" s="4" t="s">
        <v>1357</v>
      </c>
      <c r="B2658" s="4" t="s">
        <v>5192</v>
      </c>
      <c r="C2658" s="4" t="s">
        <v>5193</v>
      </c>
      <c r="D2658" s="1">
        <f>DATE(2020,6,22)+TIME(14,16,6)</f>
        <v>44004.594513888886</v>
      </c>
    </row>
    <row r="2659" spans="1:4" ht="17">
      <c r="A2659" s="4" t="s">
        <v>1357</v>
      </c>
      <c r="B2659" s="4" t="s">
        <v>1358</v>
      </c>
      <c r="C2659" s="4" t="s">
        <v>1359</v>
      </c>
      <c r="D2659" s="1">
        <f>DATE(2020,6,24)+TIME(15,0,11)</f>
        <v>44006.625127314815</v>
      </c>
    </row>
    <row r="2660" spans="1:4" ht="17">
      <c r="A2660" s="5" t="s">
        <v>2063</v>
      </c>
      <c r="B2660" s="5" t="s">
        <v>2064</v>
      </c>
      <c r="C2660" s="5" t="s">
        <v>2065</v>
      </c>
      <c r="D2660" s="2">
        <f>DATE(2020,6,24)+TIME(10,3,20)</f>
        <v>44006.418981481482</v>
      </c>
    </row>
    <row r="2661" spans="1:4" ht="17">
      <c r="A2661" s="5" t="s">
        <v>1654</v>
      </c>
      <c r="B2661" s="5" t="s">
        <v>1655</v>
      </c>
      <c r="C2661" s="5" t="s">
        <v>1656</v>
      </c>
      <c r="D2661" s="2">
        <f>DATE(2020,6,11)+TIME(12,44,56)</f>
        <v>43993.5312037037</v>
      </c>
    </row>
    <row r="2662" spans="1:4" ht="17">
      <c r="A2662" s="4" t="s">
        <v>8658</v>
      </c>
      <c r="B2662" s="4" t="s">
        <v>8659</v>
      </c>
      <c r="C2662" s="4" t="s">
        <v>8660</v>
      </c>
      <c r="D2662" s="1">
        <f>DATE(2020,6,24)+TIME(2,42,14)</f>
        <v>44006.112662037034</v>
      </c>
    </row>
    <row r="2663" spans="1:4" ht="17">
      <c r="A2663" s="5" t="s">
        <v>75</v>
      </c>
      <c r="B2663" s="5" t="s">
        <v>5529</v>
      </c>
      <c r="C2663" s="5" t="s">
        <v>5530</v>
      </c>
      <c r="D2663" s="2">
        <f>DATE(2020,6,17)+TIME(4,51,22)</f>
        <v>43999.202337962961</v>
      </c>
    </row>
    <row r="2664" spans="1:4" ht="17">
      <c r="A2664" s="5" t="s">
        <v>75</v>
      </c>
      <c r="B2664" s="5" t="s">
        <v>76</v>
      </c>
      <c r="C2664" s="5" t="s">
        <v>77</v>
      </c>
      <c r="D2664" s="2">
        <f>DATE(2020,6,17)+TIME(5,21,50)</f>
        <v>43999.223495370374</v>
      </c>
    </row>
    <row r="2665" spans="1:4" ht="17">
      <c r="A2665" s="4" t="s">
        <v>8886</v>
      </c>
      <c r="B2665" s="4" t="s">
        <v>8887</v>
      </c>
      <c r="C2665" s="4" t="s">
        <v>8888</v>
      </c>
      <c r="D2665" s="1">
        <f>DATE(2020,6,17)+TIME(5,8,20)</f>
        <v>43999.214120370372</v>
      </c>
    </row>
    <row r="2666" spans="1:4" ht="17">
      <c r="A2666" s="4" t="s">
        <v>7309</v>
      </c>
      <c r="B2666" s="4" t="s">
        <v>7310</v>
      </c>
      <c r="C2666" s="4" t="s">
        <v>7311</v>
      </c>
      <c r="D2666" s="1">
        <f>DATE(2020,6,4)+TIME(21,2,49)</f>
        <v>43986.876956018517</v>
      </c>
    </row>
    <row r="2667" spans="1:4" ht="17">
      <c r="A2667" s="5" t="s">
        <v>2954</v>
      </c>
      <c r="B2667" s="5" t="s">
        <v>2955</v>
      </c>
      <c r="C2667" s="5" t="s">
        <v>2956</v>
      </c>
      <c r="D2667" s="2">
        <f>DATE(2020,5,21)+TIME(9,40,11)</f>
        <v>43972.402905092589</v>
      </c>
    </row>
    <row r="2668" spans="1:4" ht="17">
      <c r="A2668" s="4" t="s">
        <v>2596</v>
      </c>
      <c r="B2668" s="4" t="s">
        <v>8575</v>
      </c>
      <c r="C2668" s="4" t="s">
        <v>8576</v>
      </c>
      <c r="D2668" s="1">
        <f>DATE(2020,5,5)+TIME(17,41,47)</f>
        <v>43956.737349537034</v>
      </c>
    </row>
    <row r="2669" spans="1:4" ht="17">
      <c r="A2669" s="5" t="s">
        <v>2596</v>
      </c>
      <c r="B2669" s="5" t="s">
        <v>2597</v>
      </c>
      <c r="C2669" s="5" t="s">
        <v>2598</v>
      </c>
      <c r="D2669" s="2">
        <f>DATE(2020,5,14)+TIME(9,15,16)</f>
        <v>43965.385601851849</v>
      </c>
    </row>
    <row r="2670" spans="1:4" ht="17">
      <c r="A2670" s="4" t="s">
        <v>2596</v>
      </c>
      <c r="B2670" s="4" t="s">
        <v>5075</v>
      </c>
      <c r="C2670" s="4" t="s">
        <v>5076</v>
      </c>
      <c r="D2670" s="1">
        <f>DATE(2020,5,21)+TIME(17,46,8)</f>
        <v>43972.740370370368</v>
      </c>
    </row>
    <row r="2671" spans="1:4" ht="17">
      <c r="A2671" s="5" t="s">
        <v>2596</v>
      </c>
      <c r="B2671" s="5" t="s">
        <v>3863</v>
      </c>
      <c r="C2671" s="5" t="s">
        <v>4911</v>
      </c>
      <c r="D2671" s="2">
        <f>DATE(2020,5,23)+TIME(10,12,40)</f>
        <v>43974.425462962965</v>
      </c>
    </row>
    <row r="2672" spans="1:4" ht="17">
      <c r="A2672" s="4" t="s">
        <v>2596</v>
      </c>
      <c r="B2672" s="4" t="s">
        <v>7928</v>
      </c>
      <c r="C2672" s="4" t="s">
        <v>7929</v>
      </c>
      <c r="D2672" s="1">
        <f>DATE(2020,6,8)+TIME(15,59,26)</f>
        <v>43990.666273148148</v>
      </c>
    </row>
    <row r="2673" spans="1:4" ht="17">
      <c r="A2673" s="5" t="s">
        <v>2596</v>
      </c>
      <c r="B2673" s="5" t="s">
        <v>2851</v>
      </c>
      <c r="C2673" s="5" t="s">
        <v>2852</v>
      </c>
      <c r="D2673" s="2">
        <f>DATE(2020,6,24)+TIME(7,4,24)</f>
        <v>44006.294722222221</v>
      </c>
    </row>
    <row r="2674" spans="1:4" ht="17">
      <c r="A2674" s="4" t="s">
        <v>5298</v>
      </c>
      <c r="B2674" s="4" t="s">
        <v>5298</v>
      </c>
      <c r="C2674" s="4" t="s">
        <v>5299</v>
      </c>
      <c r="D2674" s="1">
        <f>DATE(2020,6,26)+TIME(3,44,24)</f>
        <v>44008.155833333331</v>
      </c>
    </row>
    <row r="2675" spans="1:4" ht="17">
      <c r="A2675" s="4" t="s">
        <v>6502</v>
      </c>
      <c r="B2675" s="4" t="s">
        <v>6503</v>
      </c>
      <c r="C2675" s="4" t="s">
        <v>6504</v>
      </c>
      <c r="D2675" s="1">
        <f>DATE(2020,6,29)+TIME(10,20,17)</f>
        <v>44011.430752314816</v>
      </c>
    </row>
    <row r="2676" spans="1:4" ht="17">
      <c r="A2676" s="5" t="s">
        <v>3500</v>
      </c>
      <c r="B2676" s="5" t="s">
        <v>7222</v>
      </c>
      <c r="C2676" s="5" t="s">
        <v>7223</v>
      </c>
      <c r="D2676" s="2">
        <f>DATE(2020,5,7)+TIME(4,51,30)</f>
        <v>43958.202430555553</v>
      </c>
    </row>
    <row r="2677" spans="1:4" ht="17">
      <c r="A2677" s="4" t="s">
        <v>3500</v>
      </c>
      <c r="B2677" s="4" t="s">
        <v>3501</v>
      </c>
      <c r="C2677" s="4" t="s">
        <v>3502</v>
      </c>
      <c r="D2677" s="1">
        <f>DATE(2020,5,28)+TIME(13,22,40)</f>
        <v>43979.55740740741</v>
      </c>
    </row>
    <row r="2678" spans="1:4" ht="17">
      <c r="A2678" s="4" t="s">
        <v>3500</v>
      </c>
      <c r="B2678" s="4" t="s">
        <v>6717</v>
      </c>
      <c r="C2678" s="4" t="s">
        <v>6718</v>
      </c>
      <c r="D2678" s="1">
        <f>DATE(2020,5,29)+TIME(15,27,42)</f>
        <v>43980.644236111111</v>
      </c>
    </row>
    <row r="2679" spans="1:4" ht="17">
      <c r="A2679" s="4" t="s">
        <v>3500</v>
      </c>
      <c r="B2679" s="4" t="s">
        <v>6985</v>
      </c>
      <c r="C2679" s="4" t="s">
        <v>6986</v>
      </c>
      <c r="D2679" s="1">
        <f>DATE(2020,6,2)+TIME(11,14,3)</f>
        <v>43984.468090277776</v>
      </c>
    </row>
    <row r="2680" spans="1:4" ht="17">
      <c r="A2680" s="4" t="s">
        <v>3500</v>
      </c>
      <c r="B2680" s="4" t="s">
        <v>6629</v>
      </c>
      <c r="C2680" s="4" t="s">
        <v>6630</v>
      </c>
      <c r="D2680" s="1">
        <f>DATE(2020,6,15)+TIME(11,20,14)</f>
        <v>43997.472384259258</v>
      </c>
    </row>
    <row r="2681" spans="1:4" ht="17">
      <c r="A2681" s="4" t="s">
        <v>3500</v>
      </c>
      <c r="B2681" s="4" t="s">
        <v>1445</v>
      </c>
      <c r="C2681" s="4" t="s">
        <v>7563</v>
      </c>
      <c r="D2681" s="1">
        <f>DATE(2020,6,26)+TIME(12,13,38)</f>
        <v>44008.509467592594</v>
      </c>
    </row>
    <row r="2682" spans="1:4" ht="17">
      <c r="A2682" s="5" t="s">
        <v>773</v>
      </c>
      <c r="B2682" s="5" t="s">
        <v>774</v>
      </c>
      <c r="C2682" s="5" t="s">
        <v>775</v>
      </c>
      <c r="D2682" s="2">
        <f>DATE(2020,6,26)+TIME(15,24,58)</f>
        <v>44008.642337962963</v>
      </c>
    </row>
    <row r="2683" spans="1:4" ht="17">
      <c r="A2683" s="4" t="s">
        <v>3500</v>
      </c>
      <c r="B2683" s="4" t="s">
        <v>6284</v>
      </c>
      <c r="C2683" s="4" t="s">
        <v>6285</v>
      </c>
      <c r="D2683" s="1">
        <f>DATE(2020,6,26)+TIME(17,13,56)</f>
        <v>44008.718009259261</v>
      </c>
    </row>
    <row r="2684" spans="1:4" ht="17">
      <c r="A2684" s="5" t="s">
        <v>3415</v>
      </c>
      <c r="B2684" s="5" t="s">
        <v>3416</v>
      </c>
      <c r="C2684" s="5" t="s">
        <v>3417</v>
      </c>
      <c r="D2684" s="2">
        <f>DATE(2020,5,27)+TIME(2,19,43)</f>
        <v>43978.097025462965</v>
      </c>
    </row>
    <row r="2685" spans="1:4" ht="17">
      <c r="A2685" s="4" t="s">
        <v>3412</v>
      </c>
      <c r="B2685" s="4" t="s">
        <v>3413</v>
      </c>
      <c r="C2685" s="4" t="s">
        <v>3414</v>
      </c>
      <c r="D2685" s="1">
        <f>DATE(2020,6,18)+TIME(3,33,31)</f>
        <v>44000.148275462961</v>
      </c>
    </row>
    <row r="2686" spans="1:4" ht="17">
      <c r="A2686" s="4" t="s">
        <v>616</v>
      </c>
      <c r="B2686" s="4" t="s">
        <v>617</v>
      </c>
      <c r="C2686" s="4" t="s">
        <v>618</v>
      </c>
      <c r="D2686" s="1">
        <f>DATE(2020,6,23)+TIME(15,39,55)</f>
        <v>44005.652719907404</v>
      </c>
    </row>
    <row r="2687" spans="1:4" ht="17">
      <c r="A2687" s="4" t="s">
        <v>96</v>
      </c>
      <c r="B2687" s="4" t="s">
        <v>97</v>
      </c>
      <c r="C2687" s="4" t="s">
        <v>98</v>
      </c>
      <c r="D2687" s="1">
        <f>DATE(2020,5,5)+TIME(16,14,31)</f>
        <v>43956.676747685182</v>
      </c>
    </row>
    <row r="2688" spans="1:4" ht="17">
      <c r="A2688" s="5" t="s">
        <v>5396</v>
      </c>
      <c r="B2688" s="5" t="s">
        <v>5397</v>
      </c>
      <c r="C2688" s="5" t="s">
        <v>5398</v>
      </c>
      <c r="D2688" s="2">
        <f>DATE(2020,5,6)+TIME(2,33,40)</f>
        <v>43957.106712962966</v>
      </c>
    </row>
    <row r="2689" spans="1:4" ht="17">
      <c r="A2689" s="5" t="s">
        <v>96</v>
      </c>
      <c r="B2689" s="5" t="s">
        <v>3741</v>
      </c>
      <c r="C2689" s="5" t="s">
        <v>3742</v>
      </c>
      <c r="D2689" s="2">
        <f>DATE(2020,5,20)+TIME(16,45,42)</f>
        <v>43971.69840277778</v>
      </c>
    </row>
    <row r="2690" spans="1:4" ht="17">
      <c r="A2690" s="4" t="s">
        <v>96</v>
      </c>
      <c r="B2690" s="4" t="s">
        <v>6732</v>
      </c>
      <c r="C2690" s="4" t="s">
        <v>6733</v>
      </c>
      <c r="D2690" s="1">
        <f>DATE(2020,6,1)+TIME(19,45,33)</f>
        <v>43983.823298611111</v>
      </c>
    </row>
    <row r="2691" spans="1:4" ht="17">
      <c r="A2691" s="4" t="s">
        <v>96</v>
      </c>
      <c r="B2691" s="4" t="s">
        <v>7715</v>
      </c>
      <c r="C2691" s="4" t="s">
        <v>7716</v>
      </c>
      <c r="D2691" s="1">
        <f>DATE(2020,6,5)+TIME(7,41,11)</f>
        <v>43987.3202662037</v>
      </c>
    </row>
    <row r="2692" spans="1:4" ht="17">
      <c r="A2692" s="5" t="s">
        <v>96</v>
      </c>
      <c r="B2692" s="5" t="s">
        <v>9345</v>
      </c>
      <c r="C2692" s="5" t="s">
        <v>9346</v>
      </c>
      <c r="D2692" s="2">
        <f>DATE(2020,6,8)+TIME(2,54,33)</f>
        <v>43990.121215277781</v>
      </c>
    </row>
    <row r="2693" spans="1:4" ht="17">
      <c r="A2693" s="5" t="s">
        <v>96</v>
      </c>
      <c r="B2693" s="5" t="s">
        <v>1249</v>
      </c>
      <c r="C2693" s="5" t="s">
        <v>2884</v>
      </c>
      <c r="D2693" s="2">
        <f>DATE(2020,6,10)+TIME(9,19,9)</f>
        <v>43992.388298611113</v>
      </c>
    </row>
    <row r="2694" spans="1:4" ht="17">
      <c r="A2694" s="5" t="s">
        <v>96</v>
      </c>
      <c r="B2694" s="5" t="s">
        <v>2692</v>
      </c>
      <c r="C2694" s="5" t="s">
        <v>2693</v>
      </c>
      <c r="D2694" s="2">
        <f>DATE(2020,6,22)+TIME(8,35,17)</f>
        <v>44004.357835648145</v>
      </c>
    </row>
    <row r="2695" spans="1:4" ht="17">
      <c r="A2695" s="5" t="s">
        <v>9540</v>
      </c>
      <c r="B2695" s="5" t="s">
        <v>9541</v>
      </c>
      <c r="C2695" s="5" t="s">
        <v>9542</v>
      </c>
      <c r="D2695" s="2">
        <f>DATE(2020,5,11)+TIME(11,58,57)</f>
        <v>43962.49927083333</v>
      </c>
    </row>
    <row r="2696" spans="1:4" ht="17">
      <c r="A2696" s="4" t="s">
        <v>1878</v>
      </c>
      <c r="B2696" s="4" t="s">
        <v>1879</v>
      </c>
      <c r="C2696" s="4" t="s">
        <v>1880</v>
      </c>
      <c r="D2696" s="1">
        <f>DATE(2020,6,18)+TIME(1,0,26)</f>
        <v>44000.041967592595</v>
      </c>
    </row>
    <row r="2697" spans="1:4" ht="17">
      <c r="A2697" s="4" t="s">
        <v>6262</v>
      </c>
      <c r="B2697" s="4" t="s">
        <v>5792</v>
      </c>
      <c r="C2697" s="4" t="s">
        <v>6263</v>
      </c>
      <c r="D2697" s="1">
        <f>DATE(2020,6,26)+TIME(3,45,29)</f>
        <v>44008.156585648147</v>
      </c>
    </row>
    <row r="2698" spans="1:4" ht="17">
      <c r="A2698" s="5" t="s">
        <v>694</v>
      </c>
      <c r="B2698" s="5" t="s">
        <v>7396</v>
      </c>
      <c r="C2698" s="5" t="s">
        <v>7397</v>
      </c>
      <c r="D2698" s="2">
        <f>DATE(2020,5,8)+TIME(6,51,45)</f>
        <v>43959.285937499997</v>
      </c>
    </row>
    <row r="2699" spans="1:4" ht="17">
      <c r="A2699" s="4" t="s">
        <v>694</v>
      </c>
      <c r="B2699" s="4" t="s">
        <v>695</v>
      </c>
      <c r="C2699" s="4" t="s">
        <v>696</v>
      </c>
      <c r="D2699" s="1">
        <f>DATE(2020,6,25)+TIME(10,3,30)</f>
        <v>44007.41909722222</v>
      </c>
    </row>
    <row r="2700" spans="1:4" ht="17">
      <c r="A2700" s="4" t="s">
        <v>3434</v>
      </c>
      <c r="B2700" s="4" t="s">
        <v>3435</v>
      </c>
      <c r="C2700" s="4" t="s">
        <v>3436</v>
      </c>
      <c r="D2700" s="1">
        <f>DATE(2020,6,28)+TIME(14,10,46)</f>
        <v>44010.590810185182</v>
      </c>
    </row>
    <row r="2701" spans="1:4" ht="17">
      <c r="A2701" s="5" t="s">
        <v>9496</v>
      </c>
      <c r="B2701" s="5" t="s">
        <v>9497</v>
      </c>
      <c r="C2701" s="5" t="s">
        <v>9498</v>
      </c>
      <c r="D2701" s="2">
        <f>DATE(2020,5,21)+TIME(13,44,25)</f>
        <v>43972.572511574072</v>
      </c>
    </row>
    <row r="2702" spans="1:4" ht="17">
      <c r="A2702" s="4" t="s">
        <v>914</v>
      </c>
      <c r="B2702" s="4" t="s">
        <v>915</v>
      </c>
      <c r="C2702" s="4" t="s">
        <v>916</v>
      </c>
      <c r="D2702" s="1">
        <f>DATE(2020,6,12)+TIME(4,24,31)</f>
        <v>43994.183692129627</v>
      </c>
    </row>
    <row r="2703" spans="1:4" ht="17">
      <c r="A2703" s="4" t="s">
        <v>3288</v>
      </c>
      <c r="B2703" s="4" t="s">
        <v>3289</v>
      </c>
      <c r="C2703" s="4" t="s">
        <v>3290</v>
      </c>
      <c r="D2703" s="1">
        <f>DATE(2020,5,8)+TIME(19,24,0)</f>
        <v>43959.808333333334</v>
      </c>
    </row>
    <row r="2704" spans="1:4" ht="17">
      <c r="A2704" s="5" t="s">
        <v>3288</v>
      </c>
      <c r="B2704" s="5" t="s">
        <v>3959</v>
      </c>
      <c r="C2704" s="5" t="s">
        <v>3960</v>
      </c>
      <c r="D2704" s="2">
        <f>DATE(2020,6,2)+TIME(13,8,0)</f>
        <v>43984.547222222223</v>
      </c>
    </row>
    <row r="2705" spans="1:4" ht="17">
      <c r="A2705" s="5" t="s">
        <v>33</v>
      </c>
      <c r="B2705" s="5" t="s">
        <v>34</v>
      </c>
      <c r="C2705" s="5" t="s">
        <v>35</v>
      </c>
      <c r="D2705" s="2">
        <f>DATE(2020,6,19)+TIME(2,47,52)</f>
        <v>44001.116574074076</v>
      </c>
    </row>
    <row r="2706" spans="1:4" ht="17">
      <c r="A2706" s="4" t="s">
        <v>2753</v>
      </c>
      <c r="B2706" s="4" t="s">
        <v>2754</v>
      </c>
      <c r="C2706" s="4" t="s">
        <v>2755</v>
      </c>
      <c r="D2706" s="1">
        <f>DATE(2020,5,22)+TIME(14,47,34)</f>
        <v>43973.616365740738</v>
      </c>
    </row>
    <row r="2707" spans="1:4" ht="17">
      <c r="A2707" s="5" t="s">
        <v>9108</v>
      </c>
      <c r="B2707" s="5" t="s">
        <v>109</v>
      </c>
      <c r="C2707" s="5" t="s">
        <v>9109</v>
      </c>
      <c r="D2707" s="2">
        <f>DATE(2020,6,11)+TIME(12,19,39)</f>
        <v>43993.513645833336</v>
      </c>
    </row>
    <row r="2708" spans="1:4" ht="17">
      <c r="A2708" s="5" t="s">
        <v>4048</v>
      </c>
      <c r="B2708" s="5" t="s">
        <v>4049</v>
      </c>
      <c r="C2708" s="5" t="s">
        <v>4050</v>
      </c>
      <c r="D2708" s="2">
        <f>DATE(2020,6,23)+TIME(14,46,3)</f>
        <v>44005.615312499998</v>
      </c>
    </row>
    <row r="2709" spans="1:4" ht="17">
      <c r="A2709" s="4" t="s">
        <v>3249</v>
      </c>
      <c r="B2709" s="4" t="s">
        <v>3250</v>
      </c>
      <c r="C2709" s="4" t="s">
        <v>3251</v>
      </c>
      <c r="D2709" s="1">
        <f>DATE(2020,6,16)+TIME(13,5,15)</f>
        <v>43998.545312499999</v>
      </c>
    </row>
    <row r="2710" spans="1:4" ht="17">
      <c r="A2710" s="5" t="s">
        <v>3607</v>
      </c>
      <c r="B2710" s="5" t="s">
        <v>3608</v>
      </c>
      <c r="C2710" s="5" t="s">
        <v>3609</v>
      </c>
      <c r="D2710" s="2">
        <f>DATE(2020,5,14)+TIME(22,7,35)</f>
        <v>43965.921932870369</v>
      </c>
    </row>
    <row r="2711" spans="1:4" ht="17">
      <c r="A2711" s="5" t="s">
        <v>2030</v>
      </c>
      <c r="B2711" s="5" t="s">
        <v>2031</v>
      </c>
      <c r="C2711" s="5" t="s">
        <v>2032</v>
      </c>
      <c r="D2711" s="2">
        <f>DATE(2020,6,19)+TIME(0,11,38)</f>
        <v>44001.0080787037</v>
      </c>
    </row>
    <row r="2712" spans="1:4" ht="17">
      <c r="A2712" s="4" t="s">
        <v>3797</v>
      </c>
      <c r="B2712" s="4" t="s">
        <v>3798</v>
      </c>
      <c r="C2712" s="4" t="s">
        <v>3799</v>
      </c>
      <c r="D2712" s="1">
        <f>DATE(2020,5,7)+TIME(9,40,25)</f>
        <v>43958.403067129628</v>
      </c>
    </row>
    <row r="2713" spans="1:4" ht="17">
      <c r="A2713" s="4" t="s">
        <v>5948</v>
      </c>
      <c r="B2713" s="4" t="s">
        <v>7732</v>
      </c>
      <c r="C2713" s="4" t="s">
        <v>7733</v>
      </c>
      <c r="D2713" s="1">
        <f>DATE(2020,6,9)+TIME(2,16,58)</f>
        <v>43991.09511574074</v>
      </c>
    </row>
    <row r="2714" spans="1:4" ht="17">
      <c r="A2714" s="5" t="s">
        <v>5948</v>
      </c>
      <c r="B2714" s="5" t="s">
        <v>5949</v>
      </c>
      <c r="C2714" s="5" t="s">
        <v>5950</v>
      </c>
      <c r="D2714" s="2">
        <f>DATE(2020,6,26)+TIME(14,30,23)</f>
        <v>44008.604432870372</v>
      </c>
    </row>
    <row r="2715" spans="1:4" ht="17">
      <c r="A2715" s="5" t="s">
        <v>1518</v>
      </c>
      <c r="B2715" s="5" t="s">
        <v>1257</v>
      </c>
      <c r="C2715" s="5" t="s">
        <v>1519</v>
      </c>
      <c r="D2715" s="2">
        <f>DATE(2020,6,27)+TIME(3,53,56)</f>
        <v>44009.162453703706</v>
      </c>
    </row>
    <row r="2716" spans="1:4" ht="17">
      <c r="A2716" s="5" t="s">
        <v>573</v>
      </c>
      <c r="B2716" s="5" t="s">
        <v>574</v>
      </c>
      <c r="C2716" s="5" t="s">
        <v>575</v>
      </c>
      <c r="D2716" s="2">
        <f>DATE(2020,6,23)+TIME(15,3,54)</f>
        <v>44005.627708333333</v>
      </c>
    </row>
    <row r="2717" spans="1:4" ht="17">
      <c r="A2717" s="4" t="s">
        <v>6527</v>
      </c>
      <c r="B2717" s="4" t="s">
        <v>6528</v>
      </c>
      <c r="C2717" s="4" t="s">
        <v>6529</v>
      </c>
      <c r="D2717" s="1">
        <f>DATE(2020,6,24)+TIME(14,23,59)</f>
        <v>44006.599988425929</v>
      </c>
    </row>
    <row r="2718" spans="1:4" ht="17">
      <c r="A2718" s="4" t="s">
        <v>2382</v>
      </c>
      <c r="B2718" s="4" t="s">
        <v>2383</v>
      </c>
      <c r="C2718" s="4" t="s">
        <v>2384</v>
      </c>
      <c r="D2718" s="1">
        <f>DATE(2020,6,2)+TIME(22,25,26)</f>
        <v>43984.934328703705</v>
      </c>
    </row>
    <row r="2719" spans="1:4" ht="17">
      <c r="A2719" s="5" t="s">
        <v>4158</v>
      </c>
      <c r="B2719" s="5" t="s">
        <v>4159</v>
      </c>
      <c r="C2719" s="5" t="s">
        <v>4160</v>
      </c>
      <c r="D2719" s="2">
        <f>DATE(2020,5,6)+TIME(1,51,25)</f>
        <v>43957.077372685184</v>
      </c>
    </row>
    <row r="2720" spans="1:4" ht="17">
      <c r="A2720" s="5" t="s">
        <v>1070</v>
      </c>
      <c r="B2720" s="5" t="s">
        <v>6910</v>
      </c>
      <c r="C2720" s="5" t="s">
        <v>6911</v>
      </c>
      <c r="D2720" s="2">
        <f>DATE(2020,5,6)+TIME(11,7,34)</f>
        <v>43957.463587962964</v>
      </c>
    </row>
    <row r="2721" spans="1:4" ht="17">
      <c r="A2721" s="4" t="s">
        <v>8326</v>
      </c>
      <c r="B2721" s="4" t="s">
        <v>8327</v>
      </c>
      <c r="C2721" s="4" t="s">
        <v>8328</v>
      </c>
      <c r="D2721" s="1">
        <f>DATE(2020,5,10)+TIME(19,24,56)</f>
        <v>43961.808981481481</v>
      </c>
    </row>
    <row r="2722" spans="1:4" ht="17">
      <c r="A2722" s="4" t="s">
        <v>1419</v>
      </c>
      <c r="B2722" s="4" t="s">
        <v>1420</v>
      </c>
      <c r="C2722" s="4" t="s">
        <v>1421</v>
      </c>
      <c r="D2722" s="1">
        <f>DATE(2020,5,10)+TIME(21,0,59)</f>
        <v>43961.87568287037</v>
      </c>
    </row>
    <row r="2723" spans="1:4" ht="17">
      <c r="A2723" s="4" t="s">
        <v>4254</v>
      </c>
      <c r="B2723" s="4" t="s">
        <v>4255</v>
      </c>
      <c r="C2723" s="4" t="s">
        <v>4256</v>
      </c>
      <c r="D2723" s="1">
        <f>DATE(2020,5,6)+TIME(21,32,49)</f>
        <v>43957.897789351853</v>
      </c>
    </row>
    <row r="2724" spans="1:4" ht="17">
      <c r="A2724" s="4" t="s">
        <v>949</v>
      </c>
      <c r="B2724" s="4" t="s">
        <v>5634</v>
      </c>
      <c r="C2724" s="4" t="s">
        <v>5635</v>
      </c>
      <c r="D2724" s="1">
        <f>DATE(2020,5,13)+TIME(15,43,13)</f>
        <v>43964.655011574076</v>
      </c>
    </row>
    <row r="2725" spans="1:4" ht="17">
      <c r="A2725" s="4" t="s">
        <v>949</v>
      </c>
      <c r="B2725" s="4" t="s">
        <v>4166</v>
      </c>
      <c r="C2725" s="4" t="s">
        <v>4167</v>
      </c>
      <c r="D2725" s="1">
        <f>DATE(2020,5,25)+TIME(8,46,41)</f>
        <v>43976.365752314814</v>
      </c>
    </row>
    <row r="2726" spans="1:4" ht="17">
      <c r="A2726" s="4" t="s">
        <v>949</v>
      </c>
      <c r="B2726" s="4" t="s">
        <v>950</v>
      </c>
      <c r="C2726" s="4" t="s">
        <v>951</v>
      </c>
      <c r="D2726" s="1">
        <f>DATE(2020,6,24)+TIME(15,27,29)</f>
        <v>44006.644085648149</v>
      </c>
    </row>
    <row r="2727" spans="1:4" ht="17">
      <c r="A2727" s="4" t="s">
        <v>6245</v>
      </c>
      <c r="B2727" s="4" t="s">
        <v>6246</v>
      </c>
      <c r="C2727" s="4" t="s">
        <v>6247</v>
      </c>
      <c r="D2727" s="1">
        <f>DATE(2020,5,14)+TIME(10,50,50)</f>
        <v>43965.451967592591</v>
      </c>
    </row>
    <row r="2728" spans="1:4" ht="17">
      <c r="A2728" s="4" t="s">
        <v>6712</v>
      </c>
      <c r="B2728" s="4" t="s">
        <v>6713</v>
      </c>
      <c r="C2728" s="4" t="s">
        <v>6714</v>
      </c>
      <c r="D2728" s="1">
        <f>DATE(2020,6,1)+TIME(21,33,58)</f>
        <v>43983.898587962962</v>
      </c>
    </row>
    <row r="2729" spans="1:4" ht="17">
      <c r="A2729" s="4" t="s">
        <v>3940</v>
      </c>
      <c r="B2729" s="4" t="s">
        <v>3941</v>
      </c>
      <c r="C2729" s="4" t="s">
        <v>3942</v>
      </c>
      <c r="D2729" s="1">
        <f>DATE(2020,6,9)+TIME(19,51,47)</f>
        <v>43991.827627314815</v>
      </c>
    </row>
    <row r="2730" spans="1:4" ht="17">
      <c r="A2730" s="5" t="s">
        <v>6967</v>
      </c>
      <c r="B2730" s="5" t="s">
        <v>6968</v>
      </c>
      <c r="C2730" s="5" t="s">
        <v>6969</v>
      </c>
      <c r="D2730" s="2">
        <f>DATE(2020,6,12)+TIME(20,44,25)</f>
        <v>43994.864178240743</v>
      </c>
    </row>
    <row r="2731" spans="1:4" ht="17">
      <c r="A2731" s="5" t="s">
        <v>1263</v>
      </c>
      <c r="B2731" s="5" t="s">
        <v>1264</v>
      </c>
      <c r="C2731" s="5" t="s">
        <v>1265</v>
      </c>
      <c r="D2731" s="2">
        <f>DATE(2020,5,21)+TIME(16,25,20)</f>
        <v>43972.684259259258</v>
      </c>
    </row>
    <row r="2732" spans="1:4" ht="17">
      <c r="A2732" s="4" t="s">
        <v>2487</v>
      </c>
      <c r="B2732" s="4" t="s">
        <v>2488</v>
      </c>
      <c r="C2732" s="4" t="s">
        <v>2489</v>
      </c>
      <c r="D2732" s="1">
        <f>DATE(2020,6,22)+TIME(10,36,56)</f>
        <v>44004.442314814813</v>
      </c>
    </row>
    <row r="2733" spans="1:4" ht="17">
      <c r="A2733" s="5" t="s">
        <v>9253</v>
      </c>
      <c r="B2733" s="5" t="s">
        <v>9209</v>
      </c>
      <c r="C2733" s="5" t="s">
        <v>9254</v>
      </c>
      <c r="D2733" s="2">
        <f>DATE(2020,6,25)+TIME(7,37,37)</f>
        <v>44007.317789351851</v>
      </c>
    </row>
    <row r="2734" spans="1:4" ht="17">
      <c r="A2734" s="4" t="s">
        <v>6120</v>
      </c>
      <c r="B2734" s="4" t="s">
        <v>6121</v>
      </c>
      <c r="C2734" s="4" t="s">
        <v>6122</v>
      </c>
      <c r="D2734" s="1">
        <f>DATE(2020,6,25)+TIME(22,22,34)</f>
        <v>44007.932337962964</v>
      </c>
    </row>
    <row r="2735" spans="1:4" ht="17">
      <c r="A2735" s="4" t="s">
        <v>5531</v>
      </c>
      <c r="B2735" s="4" t="s">
        <v>5532</v>
      </c>
      <c r="C2735" s="4" t="s">
        <v>5533</v>
      </c>
      <c r="D2735" s="1">
        <f>DATE(2020,6,26)+TIME(8,38,37)</f>
        <v>44008.360150462962</v>
      </c>
    </row>
    <row r="2736" spans="1:4" ht="17">
      <c r="A2736" s="4" t="s">
        <v>8099</v>
      </c>
      <c r="B2736" s="4" t="s">
        <v>8100</v>
      </c>
      <c r="C2736" s="4" t="s">
        <v>8101</v>
      </c>
      <c r="D2736" s="1">
        <f>DATE(2020,6,26)+TIME(15,28,35)</f>
        <v>44008.644849537035</v>
      </c>
    </row>
    <row r="2737" spans="1:4" ht="17">
      <c r="A2737" s="5" t="s">
        <v>2076</v>
      </c>
      <c r="B2737" s="5" t="s">
        <v>2077</v>
      </c>
      <c r="C2737" s="5" t="s">
        <v>2078</v>
      </c>
      <c r="D2737" s="2">
        <f>DATE(2020,6,25)+TIME(22,31,28)</f>
        <v>44007.938518518517</v>
      </c>
    </row>
    <row r="2738" spans="1:4" ht="17">
      <c r="A2738" s="4" t="s">
        <v>5281</v>
      </c>
      <c r="B2738" s="4" t="s">
        <v>5282</v>
      </c>
      <c r="C2738" s="4" t="s">
        <v>5283</v>
      </c>
      <c r="D2738" s="1">
        <f>DATE(2020,6,5)+TIME(12,58,34)</f>
        <v>43987.540671296294</v>
      </c>
    </row>
    <row r="2739" spans="1:4" ht="17">
      <c r="A2739" s="4" t="s">
        <v>6354</v>
      </c>
      <c r="B2739" s="4" t="s">
        <v>6355</v>
      </c>
      <c r="C2739" s="4" t="s">
        <v>6356</v>
      </c>
      <c r="D2739" s="1">
        <f>DATE(2020,6,26)+TIME(15,41,57)</f>
        <v>44008.654131944444</v>
      </c>
    </row>
    <row r="2740" spans="1:4" ht="17">
      <c r="A2740" s="4" t="s">
        <v>7304</v>
      </c>
      <c r="B2740" s="4" t="s">
        <v>7305</v>
      </c>
      <c r="C2740" s="4" t="s">
        <v>7306</v>
      </c>
      <c r="D2740" s="1">
        <f>DATE(2020,5,12)+TIME(19,20,53)</f>
        <v>43963.806168981479</v>
      </c>
    </row>
    <row r="2741" spans="1:4" ht="17">
      <c r="A2741" s="4" t="s">
        <v>78</v>
      </c>
      <c r="B2741" s="4" t="s">
        <v>432</v>
      </c>
      <c r="C2741" s="4" t="s">
        <v>3092</v>
      </c>
      <c r="D2741" s="1">
        <f>DATE(2020,5,15)+TIME(1,49,44)</f>
        <v>43966.076203703706</v>
      </c>
    </row>
    <row r="2742" spans="1:4" ht="17">
      <c r="A2742" s="5" t="s">
        <v>78</v>
      </c>
      <c r="B2742" s="5" t="s">
        <v>2734</v>
      </c>
      <c r="C2742" s="5" t="s">
        <v>2735</v>
      </c>
      <c r="D2742" s="2">
        <f>DATE(2020,5,28)+TIME(1,55,53)</f>
        <v>43979.080474537041</v>
      </c>
    </row>
    <row r="2743" spans="1:4" ht="17">
      <c r="A2743" s="4" t="s">
        <v>78</v>
      </c>
      <c r="B2743" s="4" t="s">
        <v>7965</v>
      </c>
      <c r="C2743" s="4" t="s">
        <v>7966</v>
      </c>
      <c r="D2743" s="1">
        <f>DATE(2020,6,12)+TIME(12,58,12)</f>
        <v>43994.540416666663</v>
      </c>
    </row>
    <row r="2744" spans="1:4" ht="17">
      <c r="A2744" s="5" t="s">
        <v>78</v>
      </c>
      <c r="B2744" s="5" t="s">
        <v>5131</v>
      </c>
      <c r="C2744" s="5" t="s">
        <v>5132</v>
      </c>
      <c r="D2744" s="2">
        <f>DATE(2020,6,24)+TIME(14,39,23)</f>
        <v>44006.610682870371</v>
      </c>
    </row>
    <row r="2745" spans="1:4" ht="17">
      <c r="A2745" s="4" t="s">
        <v>78</v>
      </c>
      <c r="B2745" s="4" t="s">
        <v>79</v>
      </c>
      <c r="C2745" s="4" t="s">
        <v>80</v>
      </c>
      <c r="D2745" s="1">
        <f>DATE(2020,6,27)+TIME(9,3,30)</f>
        <v>44009.377430555556</v>
      </c>
    </row>
    <row r="2746" spans="1:4" ht="17">
      <c r="A2746" s="4" t="s">
        <v>4462</v>
      </c>
      <c r="B2746" s="4" t="s">
        <v>4463</v>
      </c>
      <c r="C2746" s="4" t="s">
        <v>4464</v>
      </c>
      <c r="D2746" s="1">
        <f>DATE(2020,5,21)+TIME(15,41,5)</f>
        <v>43972.65353009259</v>
      </c>
    </row>
    <row r="2747" spans="1:4" ht="17">
      <c r="A2747" s="5" t="s">
        <v>2542</v>
      </c>
      <c r="B2747" s="5" t="s">
        <v>6842</v>
      </c>
      <c r="C2747" s="5" t="s">
        <v>6843</v>
      </c>
      <c r="D2747" s="2">
        <f>DATE(2020,3,27)+TIME(17,17,43)</f>
        <v>43917.720636574071</v>
      </c>
    </row>
    <row r="2748" spans="1:4" ht="17">
      <c r="A2748" s="4" t="s">
        <v>1313</v>
      </c>
      <c r="B2748" s="4" t="s">
        <v>1314</v>
      </c>
      <c r="C2748" s="4" t="s">
        <v>1315</v>
      </c>
      <c r="D2748" s="1">
        <f>DATE(2020,5,14)+TIME(3,22,57)</f>
        <v>43965.1409375</v>
      </c>
    </row>
    <row r="2749" spans="1:4" ht="17">
      <c r="A2749" s="5" t="s">
        <v>2542</v>
      </c>
      <c r="B2749" s="5" t="s">
        <v>2543</v>
      </c>
      <c r="C2749" s="5" t="s">
        <v>2544</v>
      </c>
      <c r="D2749" s="2">
        <f>DATE(2020,6,16)+TIME(16,58,8)</f>
        <v>43998.707037037035</v>
      </c>
    </row>
    <row r="2750" spans="1:4" ht="17">
      <c r="A2750" s="5" t="s">
        <v>7258</v>
      </c>
      <c r="B2750" s="5" t="s">
        <v>7259</v>
      </c>
      <c r="C2750" s="5" t="s">
        <v>7260</v>
      </c>
      <c r="D2750" s="2">
        <f>DATE(2020,5,6)+TIME(3,8,45)</f>
        <v>43957.131076388891</v>
      </c>
    </row>
    <row r="2751" spans="1:4" ht="17">
      <c r="A2751" s="4" t="s">
        <v>8524</v>
      </c>
      <c r="B2751" s="4" t="s">
        <v>8525</v>
      </c>
      <c r="C2751" s="4" t="s">
        <v>8526</v>
      </c>
      <c r="D2751" s="1">
        <f>DATE(2020,5,27)+TIME(12,0,13)</f>
        <v>43978.500150462962</v>
      </c>
    </row>
    <row r="2752" spans="1:4" ht="17">
      <c r="A2752" s="4" t="s">
        <v>1545</v>
      </c>
      <c r="B2752" s="4" t="s">
        <v>1546</v>
      </c>
      <c r="C2752" s="4" t="s">
        <v>1547</v>
      </c>
      <c r="D2752" s="1">
        <f>DATE(2020,6,23)+TIME(14,8,25)</f>
        <v>44005.589178240742</v>
      </c>
    </row>
    <row r="2753" spans="1:4" ht="17">
      <c r="A2753" s="5" t="s">
        <v>2042</v>
      </c>
      <c r="B2753" s="5" t="s">
        <v>2043</v>
      </c>
      <c r="C2753" s="5" t="s">
        <v>2044</v>
      </c>
      <c r="D2753" s="2">
        <f>DATE(2020,6,23)+TIME(17,36,50)</f>
        <v>44005.733912037038</v>
      </c>
    </row>
    <row r="2754" spans="1:4" ht="17">
      <c r="A2754" s="5" t="s">
        <v>1360</v>
      </c>
      <c r="B2754" s="5" t="s">
        <v>1361</v>
      </c>
      <c r="C2754" s="5" t="s">
        <v>1362</v>
      </c>
      <c r="D2754" s="2">
        <f>DATE(2020,6,24)+TIME(16,39,50)</f>
        <v>44006.694328703707</v>
      </c>
    </row>
    <row r="2755" spans="1:4" ht="17">
      <c r="A2755" s="4" t="s">
        <v>1730</v>
      </c>
      <c r="B2755" s="4" t="s">
        <v>1731</v>
      </c>
      <c r="C2755" s="4" t="s">
        <v>1732</v>
      </c>
      <c r="D2755" s="1">
        <f>DATE(2020,6,18)+TIME(10,6,58)</f>
        <v>44000.42150462963</v>
      </c>
    </row>
    <row r="2756" spans="1:4" ht="17">
      <c r="A2756" s="5" t="s">
        <v>192</v>
      </c>
      <c r="B2756" s="5" t="s">
        <v>193</v>
      </c>
      <c r="C2756" s="5" t="s">
        <v>194</v>
      </c>
      <c r="D2756" s="2">
        <f>DATE(2020,6,24)+TIME(17,26,21)</f>
        <v>44006.726631944446</v>
      </c>
    </row>
    <row r="2757" spans="1:4" ht="17">
      <c r="A2757" s="5" t="s">
        <v>8139</v>
      </c>
      <c r="B2757" s="5" t="s">
        <v>8140</v>
      </c>
      <c r="C2757" s="5" t="s">
        <v>8141</v>
      </c>
      <c r="D2757" s="2">
        <f>DATE(2020,6,25)+TIME(5,5,19)</f>
        <v>44007.212025462963</v>
      </c>
    </row>
    <row r="2758" spans="1:4" ht="17">
      <c r="A2758" s="4" t="s">
        <v>4369</v>
      </c>
      <c r="B2758" s="4" t="s">
        <v>4370</v>
      </c>
      <c r="C2758" s="4" t="s">
        <v>4371</v>
      </c>
      <c r="D2758" s="1">
        <f>DATE(2020,6,6)+TIME(15,14,30)</f>
        <v>43988.635069444441</v>
      </c>
    </row>
    <row r="2759" spans="1:4" ht="17">
      <c r="A2759" s="4" t="s">
        <v>7973</v>
      </c>
      <c r="B2759" s="4" t="s">
        <v>5837</v>
      </c>
      <c r="C2759" s="4" t="s">
        <v>7974</v>
      </c>
      <c r="D2759" s="1">
        <f>DATE(2020,6,20)+TIME(12,37,15)</f>
        <v>44002.525868055556</v>
      </c>
    </row>
    <row r="2760" spans="1:4" ht="17">
      <c r="A2760" s="4" t="s">
        <v>1705</v>
      </c>
      <c r="B2760" s="4" t="s">
        <v>1706</v>
      </c>
      <c r="C2760" s="4" t="s">
        <v>1707</v>
      </c>
      <c r="D2760" s="1">
        <f>DATE(2020,6,8)+TIME(2,54,32)</f>
        <v>43990.121203703704</v>
      </c>
    </row>
    <row r="2761" spans="1:4" ht="17">
      <c r="A2761" s="4" t="s">
        <v>1705</v>
      </c>
      <c r="B2761" s="4" t="s">
        <v>5547</v>
      </c>
      <c r="C2761" s="4" t="s">
        <v>5548</v>
      </c>
      <c r="D2761" s="1">
        <f>DATE(2020,6,26)+TIME(10,34,6)</f>
        <v>44008.440347222226</v>
      </c>
    </row>
    <row r="2762" spans="1:4" ht="17">
      <c r="A2762" s="4" t="s">
        <v>5422</v>
      </c>
      <c r="B2762" s="4" t="s">
        <v>5423</v>
      </c>
      <c r="C2762" s="4" t="s">
        <v>5424</v>
      </c>
      <c r="D2762" s="1">
        <f>DATE(2020,6,26)+TIME(0,41,38)</f>
        <v>44008.028912037036</v>
      </c>
    </row>
    <row r="2763" spans="1:4" ht="17">
      <c r="A2763" s="5" t="s">
        <v>8671</v>
      </c>
      <c r="B2763" s="5" t="s">
        <v>6334</v>
      </c>
      <c r="C2763" s="5" t="s">
        <v>8672</v>
      </c>
      <c r="D2763" s="2">
        <f>DATE(2020,6,17)+TIME(8,19,46)</f>
        <v>43999.347060185188</v>
      </c>
    </row>
    <row r="2764" spans="1:4" ht="17">
      <c r="A2764" s="5" t="s">
        <v>1533</v>
      </c>
      <c r="B2764" s="5" t="s">
        <v>1534</v>
      </c>
      <c r="C2764" s="5" t="s">
        <v>1535</v>
      </c>
      <c r="D2764" s="2">
        <f>DATE(2020,5,6)+TIME(5,40,2)</f>
        <v>43957.236134259256</v>
      </c>
    </row>
    <row r="2765" spans="1:4" ht="17">
      <c r="A2765" s="5" t="s">
        <v>8402</v>
      </c>
      <c r="B2765" s="5" t="s">
        <v>8403</v>
      </c>
      <c r="C2765" s="5" t="s">
        <v>8404</v>
      </c>
      <c r="D2765" s="2">
        <f>DATE(2020,6,12)+TIME(18,51,32)</f>
        <v>43994.785787037035</v>
      </c>
    </row>
    <row r="2766" spans="1:4" ht="17">
      <c r="A2766" s="4" t="s">
        <v>2780</v>
      </c>
      <c r="B2766" s="4" t="s">
        <v>2781</v>
      </c>
      <c r="C2766" s="4" t="s">
        <v>2782</v>
      </c>
      <c r="D2766" s="1">
        <f>DATE(2020,5,14)+TIME(11,2,17)</f>
        <v>43965.459918981483</v>
      </c>
    </row>
    <row r="2767" spans="1:4" ht="17">
      <c r="A2767" s="5" t="s">
        <v>978</v>
      </c>
      <c r="B2767" s="5" t="s">
        <v>979</v>
      </c>
      <c r="C2767" s="5" t="s">
        <v>980</v>
      </c>
      <c r="D2767" s="2">
        <f>DATE(2020,6,25)+TIME(23,0,16)</f>
        <v>44007.958518518521</v>
      </c>
    </row>
    <row r="2768" spans="1:4" ht="17">
      <c r="A2768" s="4" t="s">
        <v>929</v>
      </c>
      <c r="B2768" s="4" t="s">
        <v>930</v>
      </c>
      <c r="C2768" s="4" t="s">
        <v>931</v>
      </c>
      <c r="D2768" s="1">
        <f>DATE(2020,5,7)+TIME(6,1,51)</f>
        <v>43958.251284722224</v>
      </c>
    </row>
    <row r="2769" spans="1:4" ht="17">
      <c r="A2769" s="5" t="s">
        <v>929</v>
      </c>
      <c r="B2769" s="5" t="s">
        <v>8852</v>
      </c>
      <c r="C2769" s="5" t="s">
        <v>8853</v>
      </c>
      <c r="D2769" s="2">
        <f>DATE(2020,5,11)+TIME(10,58,50)</f>
        <v>43962.45752314815</v>
      </c>
    </row>
    <row r="2770" spans="1:4" ht="17">
      <c r="A2770" s="5" t="s">
        <v>1398</v>
      </c>
      <c r="B2770" s="5" t="s">
        <v>1399</v>
      </c>
      <c r="C2770" s="5" t="s">
        <v>1400</v>
      </c>
      <c r="D2770" s="2">
        <f>DATE(2020,6,25)+TIME(17,6,39)</f>
        <v>44007.712951388887</v>
      </c>
    </row>
    <row r="2771" spans="1:4" ht="17">
      <c r="A2771" s="4" t="s">
        <v>5497</v>
      </c>
      <c r="B2771" s="4" t="s">
        <v>5498</v>
      </c>
      <c r="C2771" s="4" t="s">
        <v>5499</v>
      </c>
      <c r="D2771" s="1">
        <f>DATE(2020,6,24)+TIME(9,3,37)</f>
        <v>44006.377511574072</v>
      </c>
    </row>
    <row r="2772" spans="1:4" ht="17">
      <c r="A2772" s="4" t="s">
        <v>1464</v>
      </c>
      <c r="B2772" s="4" t="s">
        <v>1465</v>
      </c>
      <c r="C2772" s="4" t="s">
        <v>1466</v>
      </c>
      <c r="D2772" s="1">
        <f>DATE(2020,5,24)+TIME(16,1,45)</f>
        <v>43975.667881944442</v>
      </c>
    </row>
    <row r="2773" spans="1:4" ht="17">
      <c r="A2773" s="4" t="s">
        <v>4643</v>
      </c>
      <c r="B2773" s="4" t="s">
        <v>4644</v>
      </c>
      <c r="C2773" s="4" t="s">
        <v>4645</v>
      </c>
      <c r="D2773" s="1">
        <f>DATE(2020,5,7)+TIME(2,29,25)</f>
        <v>43958.103761574072</v>
      </c>
    </row>
    <row r="2774" spans="1:4" ht="17">
      <c r="A2774" s="5" t="s">
        <v>1310</v>
      </c>
      <c r="B2774" s="5" t="s">
        <v>1311</v>
      </c>
      <c r="C2774" s="5" t="s">
        <v>1312</v>
      </c>
      <c r="D2774" s="2">
        <f>DATE(2020,6,8)+TIME(11,42,4)</f>
        <v>43990.487546296295</v>
      </c>
    </row>
    <row r="2775" spans="1:4" ht="17">
      <c r="A2775" s="5" t="s">
        <v>1467</v>
      </c>
      <c r="B2775" s="5" t="s">
        <v>1468</v>
      </c>
      <c r="C2775" s="5" t="s">
        <v>1469</v>
      </c>
      <c r="D2775" s="2">
        <f>DATE(2020,6,10)+TIME(19,37,56)</f>
        <v>43992.818009259259</v>
      </c>
    </row>
    <row r="2776" spans="1:4" ht="17">
      <c r="A2776" s="4" t="s">
        <v>3259</v>
      </c>
      <c r="B2776" s="4" t="s">
        <v>123</v>
      </c>
      <c r="C2776" s="4" t="s">
        <v>3260</v>
      </c>
      <c r="D2776" s="1">
        <f>DATE(2020,6,29)+TIME(11,46,46)</f>
        <v>44011.490810185183</v>
      </c>
    </row>
    <row r="2777" spans="1:4" ht="17">
      <c r="A2777" s="5" t="s">
        <v>8383</v>
      </c>
      <c r="B2777" s="5" t="s">
        <v>432</v>
      </c>
      <c r="C2777" s="5" t="s">
        <v>8384</v>
      </c>
      <c r="D2777" s="2">
        <f>DATE(2020,6,27)+TIME(14,26,15)</f>
        <v>44009.6015625</v>
      </c>
    </row>
    <row r="2778" spans="1:4" ht="17">
      <c r="A2778" s="5" t="s">
        <v>8865</v>
      </c>
      <c r="B2778" s="5" t="s">
        <v>1352</v>
      </c>
      <c r="C2778" s="5" t="s">
        <v>8866</v>
      </c>
      <c r="D2778" s="2">
        <f>DATE(2020,6,16)+TIME(9,36,54)</f>
        <v>43998.400625000002</v>
      </c>
    </row>
    <row r="2779" spans="1:4" ht="17">
      <c r="A2779" s="5" t="s">
        <v>8482</v>
      </c>
      <c r="B2779" s="5" t="s">
        <v>1723</v>
      </c>
      <c r="C2779" s="5" t="s">
        <v>8483</v>
      </c>
      <c r="D2779" s="2">
        <f>DATE(2020,6,25)+TIME(5,34,28)</f>
        <v>44007.232268518521</v>
      </c>
    </row>
    <row r="2780" spans="1:4" ht="17">
      <c r="A2780" s="5" t="s">
        <v>6461</v>
      </c>
      <c r="B2780" s="5" t="s">
        <v>2273</v>
      </c>
      <c r="C2780" s="5" t="s">
        <v>6462</v>
      </c>
      <c r="D2780" s="2">
        <f>DATE(2020,6,29)+TIME(1,37,27)</f>
        <v>44011.067673611113</v>
      </c>
    </row>
    <row r="2781" spans="1:4" ht="17">
      <c r="A2781" s="5" t="s">
        <v>9019</v>
      </c>
      <c r="B2781" s="5" t="s">
        <v>1486</v>
      </c>
      <c r="C2781" s="5" t="s">
        <v>9020</v>
      </c>
      <c r="D2781" s="2">
        <f>DATE(2020,6,27)+TIME(11,2,39)</f>
        <v>44009.460173611114</v>
      </c>
    </row>
    <row r="2782" spans="1:4" ht="17">
      <c r="A2782" s="4" t="s">
        <v>7785</v>
      </c>
      <c r="B2782" s="4" t="s">
        <v>7786</v>
      </c>
      <c r="C2782" s="4" t="s">
        <v>7787</v>
      </c>
      <c r="D2782" s="1">
        <f>DATE(2020,3,29)+TIME(6,50,24)</f>
        <v>43919.285000000003</v>
      </c>
    </row>
    <row r="2783" spans="1:4" ht="17">
      <c r="A2783" s="5" t="s">
        <v>7819</v>
      </c>
      <c r="B2783" s="5" t="s">
        <v>7820</v>
      </c>
      <c r="C2783" s="5" t="s">
        <v>7821</v>
      </c>
      <c r="D2783" s="2">
        <f>DATE(2020,6,19)+TIME(6,58,22)</f>
        <v>44001.290532407409</v>
      </c>
    </row>
    <row r="2784" spans="1:4" ht="17">
      <c r="A2784" s="4" t="s">
        <v>7811</v>
      </c>
      <c r="B2784" s="4" t="s">
        <v>7812</v>
      </c>
      <c r="C2784" s="4" t="s">
        <v>7813</v>
      </c>
      <c r="D2784" s="1">
        <f>DATE(2020,6,19)+TIME(2,44,45)</f>
        <v>44001.11440972222</v>
      </c>
    </row>
    <row r="2785" spans="1:4" ht="17">
      <c r="A2785" s="5" t="s">
        <v>1676</v>
      </c>
      <c r="B2785" s="5" t="s">
        <v>1677</v>
      </c>
      <c r="C2785" s="5" t="s">
        <v>1678</v>
      </c>
      <c r="D2785" s="2">
        <f>DATE(2020,3,28)+TIME(6,45,1)</f>
        <v>43918.281261574077</v>
      </c>
    </row>
    <row r="2786" spans="1:4" ht="17">
      <c r="A2786" s="5" t="s">
        <v>1051</v>
      </c>
      <c r="B2786" s="5" t="s">
        <v>1052</v>
      </c>
      <c r="C2786" s="5" t="s">
        <v>1053</v>
      </c>
      <c r="D2786" s="2">
        <f>DATE(2020,6,24)+TIME(10,19,37)</f>
        <v>44006.430289351854</v>
      </c>
    </row>
    <row r="2787" spans="1:4" ht="17">
      <c r="A2787" s="5" t="s">
        <v>438</v>
      </c>
      <c r="B2787" s="5" t="s">
        <v>7717</v>
      </c>
      <c r="C2787" s="5" t="s">
        <v>7718</v>
      </c>
      <c r="D2787" s="2">
        <f>DATE(2020,5,5)+TIME(16,32,1)</f>
        <v>43956.688900462963</v>
      </c>
    </row>
    <row r="2788" spans="1:4" ht="17">
      <c r="A2788" s="5" t="s">
        <v>438</v>
      </c>
      <c r="B2788" s="5" t="s">
        <v>641</v>
      </c>
      <c r="C2788" s="5" t="s">
        <v>642</v>
      </c>
      <c r="D2788" s="2">
        <f>DATE(2020,5,14)+TIME(1,40,52)</f>
        <v>43965.0700462963</v>
      </c>
    </row>
    <row r="2789" spans="1:4" ht="17">
      <c r="A2789" s="5" t="s">
        <v>8621</v>
      </c>
      <c r="B2789" s="5" t="s">
        <v>8622</v>
      </c>
      <c r="C2789" s="5" t="s">
        <v>8623</v>
      </c>
      <c r="D2789" s="2">
        <f>DATE(2020,6,16)+TIME(8,51,33)</f>
        <v>43998.369131944448</v>
      </c>
    </row>
    <row r="2790" spans="1:4" ht="17">
      <c r="A2790" s="4" t="s">
        <v>438</v>
      </c>
      <c r="B2790" s="4" t="s">
        <v>2806</v>
      </c>
      <c r="C2790" s="4" t="s">
        <v>5717</v>
      </c>
      <c r="D2790" s="1">
        <f>DATE(2020,6,17)+TIME(15,13,15)</f>
        <v>43999.634201388886</v>
      </c>
    </row>
    <row r="2791" spans="1:4" ht="17">
      <c r="A2791" s="4" t="s">
        <v>438</v>
      </c>
      <c r="B2791" s="4" t="s">
        <v>3555</v>
      </c>
      <c r="C2791" s="4" t="s">
        <v>3556</v>
      </c>
      <c r="D2791" s="1">
        <f>DATE(2020,6,23)+TIME(13,22,57)</f>
        <v>44005.557604166665</v>
      </c>
    </row>
    <row r="2792" spans="1:4" ht="17">
      <c r="A2792" s="5" t="s">
        <v>438</v>
      </c>
      <c r="B2792" s="5" t="s">
        <v>4966</v>
      </c>
      <c r="C2792" s="5" t="s">
        <v>4967</v>
      </c>
      <c r="D2792" s="2">
        <f>DATE(2020,6,25)+TIME(17,18,54)</f>
        <v>44007.721458333333</v>
      </c>
    </row>
    <row r="2793" spans="1:4" ht="17">
      <c r="A2793" s="5" t="s">
        <v>438</v>
      </c>
      <c r="B2793" s="5" t="s">
        <v>439</v>
      </c>
      <c r="C2793" s="5" t="s">
        <v>440</v>
      </c>
      <c r="D2793" s="2">
        <f>DATE(2020,6,26)+TIME(11,19,47)</f>
        <v>44008.472071759257</v>
      </c>
    </row>
    <row r="2794" spans="1:4" ht="17">
      <c r="A2794" s="5" t="s">
        <v>438</v>
      </c>
      <c r="B2794" s="5" t="s">
        <v>1446</v>
      </c>
      <c r="C2794" s="5" t="s">
        <v>5989</v>
      </c>
      <c r="D2794" s="2">
        <f>DATE(2020,6,29)+TIME(11,40,37)</f>
        <v>44011.486539351848</v>
      </c>
    </row>
    <row r="2795" spans="1:4" ht="17">
      <c r="A2795" s="5" t="s">
        <v>4941</v>
      </c>
      <c r="B2795" s="5" t="s">
        <v>4942</v>
      </c>
      <c r="C2795" s="5" t="s">
        <v>4943</v>
      </c>
      <c r="D2795" s="2">
        <f>DATE(2020,6,22)+TIME(4,53,29)</f>
        <v>44004.20380787037</v>
      </c>
    </row>
    <row r="2796" spans="1:4" ht="17">
      <c r="A2796" s="4" t="s">
        <v>111</v>
      </c>
      <c r="B2796" s="4" t="s">
        <v>120</v>
      </c>
      <c r="C2796" s="4" t="s">
        <v>7356</v>
      </c>
      <c r="D2796" s="1">
        <f>DATE(2020,3,27)+TIME(16,21,37)</f>
        <v>43917.68167824074</v>
      </c>
    </row>
    <row r="2797" spans="1:4" ht="17">
      <c r="A2797" s="4" t="s">
        <v>111</v>
      </c>
      <c r="B2797" s="4" t="s">
        <v>4676</v>
      </c>
      <c r="C2797" s="4" t="s">
        <v>4677</v>
      </c>
      <c r="D2797" s="1">
        <f>DATE(2020,5,6)+TIME(15,21,42)</f>
        <v>43957.640069444446</v>
      </c>
    </row>
    <row r="2798" spans="1:4" ht="17">
      <c r="A2798" s="4" t="s">
        <v>111</v>
      </c>
      <c r="B2798" s="4" t="s">
        <v>5615</v>
      </c>
      <c r="C2798" s="4" t="s">
        <v>5616</v>
      </c>
      <c r="D2798" s="1">
        <f>DATE(2020,5,7)+TIME(12,22,41)</f>
        <v>43958.515752314815</v>
      </c>
    </row>
    <row r="2799" spans="1:4" ht="17">
      <c r="A2799" s="4" t="s">
        <v>111</v>
      </c>
      <c r="B2799" s="4" t="s">
        <v>955</v>
      </c>
      <c r="C2799" s="4" t="s">
        <v>956</v>
      </c>
      <c r="D2799" s="1">
        <f>DATE(2020,5,13)+TIME(16,21,12)</f>
        <v>43964.681388888886</v>
      </c>
    </row>
    <row r="2800" spans="1:4" ht="17">
      <c r="A2800" s="5" t="s">
        <v>111</v>
      </c>
      <c r="B2800" s="5" t="s">
        <v>1081</v>
      </c>
      <c r="C2800" s="5" t="s">
        <v>1082</v>
      </c>
      <c r="D2800" s="2">
        <f>DATE(2020,5,14)+TIME(6,51,33)</f>
        <v>43965.285798611112</v>
      </c>
    </row>
    <row r="2801" spans="1:4" ht="17">
      <c r="A2801" s="5" t="s">
        <v>111</v>
      </c>
      <c r="B2801" s="5" t="s">
        <v>7538</v>
      </c>
      <c r="C2801" s="5" t="s">
        <v>7539</v>
      </c>
      <c r="D2801" s="2">
        <f>DATE(2020,5,14)+TIME(21,40,58)</f>
        <v>43965.903449074074</v>
      </c>
    </row>
    <row r="2802" spans="1:4" ht="17">
      <c r="A2802" s="5" t="s">
        <v>111</v>
      </c>
      <c r="B2802" s="5" t="s">
        <v>1121</v>
      </c>
      <c r="C2802" s="5" t="s">
        <v>1122</v>
      </c>
      <c r="D2802" s="2">
        <f>DATE(2020,5,17)+TIME(11,28,6)</f>
        <v>43968.477847222224</v>
      </c>
    </row>
    <row r="2803" spans="1:4" ht="17">
      <c r="A2803" s="5" t="s">
        <v>111</v>
      </c>
      <c r="B2803" s="5" t="s">
        <v>8289</v>
      </c>
      <c r="C2803" s="5" t="s">
        <v>8290</v>
      </c>
      <c r="D2803" s="2">
        <f>DATE(2020,6,5)+TIME(18,12,14)</f>
        <v>43987.75849537037</v>
      </c>
    </row>
    <row r="2804" spans="1:4" ht="17">
      <c r="A2804" s="5" t="s">
        <v>111</v>
      </c>
      <c r="B2804" s="5" t="s">
        <v>7169</v>
      </c>
      <c r="C2804" s="5" t="s">
        <v>7170</v>
      </c>
      <c r="D2804" s="2">
        <f>DATE(2020,6,8)+TIME(14,42,38)</f>
        <v>43990.612939814811</v>
      </c>
    </row>
    <row r="2805" spans="1:4" ht="17">
      <c r="A2805" s="5" t="s">
        <v>111</v>
      </c>
      <c r="B2805" s="5" t="s">
        <v>123</v>
      </c>
      <c r="C2805" s="5" t="s">
        <v>2012</v>
      </c>
      <c r="D2805" s="2">
        <f>DATE(2020,6,12)+TIME(14,23,47)</f>
        <v>43994.599849537037</v>
      </c>
    </row>
    <row r="2806" spans="1:4" ht="17">
      <c r="A2806" s="5" t="s">
        <v>111</v>
      </c>
      <c r="B2806" s="5" t="s">
        <v>6518</v>
      </c>
      <c r="C2806" s="5" t="s">
        <v>6519</v>
      </c>
      <c r="D2806" s="2">
        <f>DATE(2020,6,15)+TIME(2,26,40)</f>
        <v>43997.101851851854</v>
      </c>
    </row>
    <row r="2807" spans="1:4" ht="17">
      <c r="A2807" s="4" t="s">
        <v>111</v>
      </c>
      <c r="B2807" s="4" t="s">
        <v>120</v>
      </c>
      <c r="C2807" s="4" t="s">
        <v>121</v>
      </c>
      <c r="D2807" s="1">
        <f>DATE(2020,6,16)+TIME(14,39,48)</f>
        <v>43998.610972222225</v>
      </c>
    </row>
    <row r="2808" spans="1:4" ht="17">
      <c r="A2808" s="5" t="s">
        <v>111</v>
      </c>
      <c r="B2808" s="5" t="s">
        <v>112</v>
      </c>
      <c r="C2808" s="5" t="s">
        <v>113</v>
      </c>
      <c r="D2808" s="2">
        <f>DATE(2020,6,17)+TIME(1,42,7)</f>
        <v>43999.070914351854</v>
      </c>
    </row>
    <row r="2809" spans="1:4" ht="17">
      <c r="A2809" s="5" t="s">
        <v>111</v>
      </c>
      <c r="B2809" s="5" t="s">
        <v>8508</v>
      </c>
      <c r="C2809" s="5" t="s">
        <v>8509</v>
      </c>
      <c r="D2809" s="2">
        <f>DATE(2020,6,17)+TIME(16,1,16)</f>
        <v>43999.667546296296</v>
      </c>
    </row>
    <row r="2810" spans="1:4" ht="17">
      <c r="A2810" s="4" t="s">
        <v>111</v>
      </c>
      <c r="B2810" s="4" t="s">
        <v>2775</v>
      </c>
      <c r="C2810" s="4" t="s">
        <v>2776</v>
      </c>
      <c r="D2810" s="1">
        <f>DATE(2020,6,18)+TIME(16,18,29)</f>
        <v>44000.679502314815</v>
      </c>
    </row>
    <row r="2811" spans="1:4" ht="17">
      <c r="A2811" s="4" t="s">
        <v>111</v>
      </c>
      <c r="B2811" s="4" t="s">
        <v>7874</v>
      </c>
      <c r="C2811" s="4" t="s">
        <v>7875</v>
      </c>
      <c r="D2811" s="1">
        <f>DATE(2020,6,22)+TIME(5,54,43)</f>
        <v>44004.246331018519</v>
      </c>
    </row>
    <row r="2812" spans="1:4" ht="17">
      <c r="A2812" s="5" t="s">
        <v>111</v>
      </c>
      <c r="B2812" s="5" t="s">
        <v>630</v>
      </c>
      <c r="C2812" s="5" t="s">
        <v>631</v>
      </c>
      <c r="D2812" s="2">
        <f>DATE(2020,6,24)+TIME(8,13,57)</f>
        <v>44006.34302083333</v>
      </c>
    </row>
    <row r="2813" spans="1:4" ht="17">
      <c r="A2813" s="4" t="s">
        <v>111</v>
      </c>
      <c r="B2813" s="4" t="s">
        <v>331</v>
      </c>
      <c r="C2813" s="4" t="s">
        <v>4221</v>
      </c>
      <c r="D2813" s="1">
        <f>DATE(2020,6,25)+TIME(16,17,12)</f>
        <v>44007.678611111114</v>
      </c>
    </row>
    <row r="2814" spans="1:4" ht="17">
      <c r="A2814" s="5" t="s">
        <v>111</v>
      </c>
      <c r="B2814" s="5" t="s">
        <v>2449</v>
      </c>
      <c r="C2814" s="5" t="s">
        <v>8195</v>
      </c>
      <c r="D2814" s="2">
        <f>DATE(2020,6,26)+TIME(16,17,9)</f>
        <v>44008.678576388891</v>
      </c>
    </row>
    <row r="2815" spans="1:4" ht="17">
      <c r="A2815" s="4" t="s">
        <v>111</v>
      </c>
      <c r="B2815" s="4" t="s">
        <v>1475</v>
      </c>
      <c r="C2815" s="4" t="s">
        <v>8953</v>
      </c>
      <c r="D2815" s="1">
        <f>DATE(2020,6,26)+TIME(16,26,58)</f>
        <v>44008.685393518521</v>
      </c>
    </row>
    <row r="2816" spans="1:4" ht="17">
      <c r="A2816" s="4" t="s">
        <v>111</v>
      </c>
      <c r="B2816" s="4" t="s">
        <v>302</v>
      </c>
      <c r="C2816" s="4" t="s">
        <v>303</v>
      </c>
      <c r="D2816" s="1">
        <f>DATE(2020,6,29)+TIME(9,36,43)</f>
        <v>44011.400497685187</v>
      </c>
    </row>
    <row r="2817" spans="1:4" ht="17">
      <c r="A2817" s="5" t="s">
        <v>111</v>
      </c>
      <c r="B2817" s="5" t="s">
        <v>4286</v>
      </c>
      <c r="C2817" s="5" t="s">
        <v>4287</v>
      </c>
      <c r="D2817" s="2">
        <f>DATE(2020,6,29)+TIME(12,57,55)</f>
        <v>44011.540219907409</v>
      </c>
    </row>
    <row r="2818" spans="1:4" ht="17">
      <c r="A2818" s="4" t="s">
        <v>1087</v>
      </c>
      <c r="B2818" s="4" t="s">
        <v>5112</v>
      </c>
      <c r="C2818" s="4" t="s">
        <v>5113</v>
      </c>
      <c r="D2818" s="1">
        <f>DATE(2020,6,3)+TIME(3,18,30)</f>
        <v>43985.13784722222</v>
      </c>
    </row>
    <row r="2819" spans="1:4" ht="17">
      <c r="A2819" s="4" t="s">
        <v>1087</v>
      </c>
      <c r="B2819" s="4" t="s">
        <v>1088</v>
      </c>
      <c r="C2819" s="4" t="s">
        <v>1089</v>
      </c>
      <c r="D2819" s="1">
        <f>DATE(2020,6,22)+TIME(12,7,10)</f>
        <v>44004.504976851851</v>
      </c>
    </row>
    <row r="2820" spans="1:4" ht="17">
      <c r="A2820" s="4" t="s">
        <v>1087</v>
      </c>
      <c r="B2820" s="4" t="s">
        <v>6141</v>
      </c>
      <c r="C2820" s="4" t="s">
        <v>6142</v>
      </c>
      <c r="D2820" s="1">
        <f>DATE(2020,6,28)+TIME(14,47,37)</f>
        <v>44010.616400462961</v>
      </c>
    </row>
    <row r="2821" spans="1:4" ht="17">
      <c r="A2821" s="5" t="s">
        <v>1719</v>
      </c>
      <c r="B2821" s="5" t="s">
        <v>6756</v>
      </c>
      <c r="C2821" s="5" t="s">
        <v>6757</v>
      </c>
      <c r="D2821" s="2">
        <f>DATE(2020,5,14)+TIME(16,6,6)</f>
        <v>43965.670902777776</v>
      </c>
    </row>
    <row r="2822" spans="1:4" ht="17">
      <c r="A2822" s="4" t="s">
        <v>1719</v>
      </c>
      <c r="B2822" s="4" t="s">
        <v>8480</v>
      </c>
      <c r="C2822" s="4" t="s">
        <v>8481</v>
      </c>
      <c r="D2822" s="1">
        <f>DATE(2020,5,28)+TIME(14,48,46)</f>
        <v>43979.617199074077</v>
      </c>
    </row>
    <row r="2823" spans="1:4" ht="17">
      <c r="A2823" s="4" t="s">
        <v>1719</v>
      </c>
      <c r="B2823" s="4" t="s">
        <v>1720</v>
      </c>
      <c r="C2823" s="4" t="s">
        <v>1721</v>
      </c>
      <c r="D2823" s="1">
        <f>DATE(2020,6,19)+TIME(17,44,36)</f>
        <v>44001.739305555559</v>
      </c>
    </row>
    <row r="2824" spans="1:4" ht="17">
      <c r="A2824" s="4" t="s">
        <v>1719</v>
      </c>
      <c r="B2824" s="4" t="s">
        <v>4085</v>
      </c>
      <c r="C2824" s="4" t="s">
        <v>4086</v>
      </c>
      <c r="D2824" s="1">
        <f>DATE(2020,6,25)+TIME(2,47,59)</f>
        <v>44007.116655092592</v>
      </c>
    </row>
    <row r="2825" spans="1:4" ht="17">
      <c r="A2825" s="5" t="s">
        <v>5855</v>
      </c>
      <c r="B2825" s="5" t="s">
        <v>5856</v>
      </c>
      <c r="C2825" s="5" t="s">
        <v>5857</v>
      </c>
      <c r="D2825" s="2">
        <f>DATE(2020,5,22)+TIME(1,46,16)</f>
        <v>43973.073796296296</v>
      </c>
    </row>
    <row r="2826" spans="1:4" ht="17">
      <c r="A2826" s="5" t="s">
        <v>3937</v>
      </c>
      <c r="B2826" s="5" t="s">
        <v>6402</v>
      </c>
      <c r="C2826" s="5" t="s">
        <v>6403</v>
      </c>
      <c r="D2826" s="2">
        <f>DATE(2020,5,25)+TIME(6,3,13)</f>
        <v>43976.252233796295</v>
      </c>
    </row>
    <row r="2827" spans="1:4" ht="17">
      <c r="A2827" s="4" t="s">
        <v>3937</v>
      </c>
      <c r="B2827" s="4" t="s">
        <v>6775</v>
      </c>
      <c r="C2827" s="4" t="s">
        <v>6776</v>
      </c>
      <c r="D2827" s="1">
        <f>DATE(2020,6,3)+TIME(11,44,33)</f>
        <v>43985.489270833335</v>
      </c>
    </row>
    <row r="2828" spans="1:4" ht="17">
      <c r="A2828" s="5" t="s">
        <v>3937</v>
      </c>
      <c r="B2828" s="5" t="s">
        <v>3938</v>
      </c>
      <c r="C2828" s="5" t="s">
        <v>3939</v>
      </c>
      <c r="D2828" s="2">
        <f>DATE(2020,6,16)+TIME(10,31,43)</f>
        <v>43998.438692129632</v>
      </c>
    </row>
    <row r="2829" spans="1:4" ht="17">
      <c r="A2829" s="4" t="s">
        <v>9459</v>
      </c>
      <c r="B2829" s="4" t="s">
        <v>9460</v>
      </c>
      <c r="C2829" s="4" t="s">
        <v>9461</v>
      </c>
      <c r="D2829" s="1">
        <f>DATE(2020,6,19)+TIME(0,48,46)</f>
        <v>44001.033865740741</v>
      </c>
    </row>
    <row r="2830" spans="1:4" ht="17">
      <c r="A2830" s="5" t="s">
        <v>310</v>
      </c>
      <c r="B2830" s="5" t="s">
        <v>311</v>
      </c>
      <c r="C2830" s="5" t="s">
        <v>312</v>
      </c>
      <c r="D2830" s="2">
        <f>DATE(2020,6,23)+TIME(20,17,3)</f>
        <v>44005.845173611109</v>
      </c>
    </row>
    <row r="2831" spans="1:4" ht="17">
      <c r="A2831" s="4" t="s">
        <v>3961</v>
      </c>
      <c r="B2831" s="4" t="s">
        <v>3962</v>
      </c>
      <c r="C2831" s="4" t="s">
        <v>3963</v>
      </c>
      <c r="D2831" s="1">
        <f>DATE(2020,6,21)+TIME(1,10,41)</f>
        <v>44003.049085648148</v>
      </c>
    </row>
    <row r="2832" spans="1:4" ht="17">
      <c r="A2832" s="4" t="s">
        <v>3961</v>
      </c>
      <c r="B2832" s="4" t="s">
        <v>6467</v>
      </c>
      <c r="C2832" s="4" t="s">
        <v>6468</v>
      </c>
      <c r="D2832" s="1">
        <f>DATE(2020,6,22)+TIME(4,53,29)</f>
        <v>44004.20380787037</v>
      </c>
    </row>
    <row r="2833" spans="1:4" ht="17">
      <c r="A2833" s="4" t="s">
        <v>137</v>
      </c>
      <c r="B2833" s="4" t="s">
        <v>138</v>
      </c>
      <c r="C2833" s="4" t="s">
        <v>139</v>
      </c>
      <c r="D2833" s="1">
        <f>DATE(2020,5,6)+TIME(4,43,4)</f>
        <v>43957.196574074071</v>
      </c>
    </row>
    <row r="2834" spans="1:4" ht="17">
      <c r="A2834" s="4" t="s">
        <v>137</v>
      </c>
      <c r="B2834" s="4" t="s">
        <v>4863</v>
      </c>
      <c r="C2834" s="4" t="s">
        <v>4864</v>
      </c>
      <c r="D2834" s="1">
        <f>DATE(2020,6,24)+TIME(9,0,35)</f>
        <v>44006.375405092593</v>
      </c>
    </row>
    <row r="2835" spans="1:4" ht="17">
      <c r="A2835" s="4" t="s">
        <v>5874</v>
      </c>
      <c r="B2835" s="4" t="s">
        <v>8830</v>
      </c>
      <c r="C2835" s="4" t="s">
        <v>8831</v>
      </c>
      <c r="D2835" s="1">
        <f>DATE(2020,5,11)+TIME(13,50,16)</f>
        <v>43962.576574074075</v>
      </c>
    </row>
    <row r="2836" spans="1:4" ht="17">
      <c r="A2836" s="4" t="s">
        <v>5874</v>
      </c>
      <c r="B2836" s="4" t="s">
        <v>5875</v>
      </c>
      <c r="C2836" s="4" t="s">
        <v>5876</v>
      </c>
      <c r="D2836" s="1">
        <f>DATE(2020,6,29)+TIME(7,22,26)</f>
        <v>44011.307245370372</v>
      </c>
    </row>
    <row r="2837" spans="1:4" ht="17">
      <c r="A2837" s="5" t="s">
        <v>7707</v>
      </c>
      <c r="B2837" s="5" t="s">
        <v>7708</v>
      </c>
      <c r="C2837" s="5" t="s">
        <v>7709</v>
      </c>
      <c r="D2837" s="2">
        <f>DATE(2020,6,29)+TIME(9,14,28)</f>
        <v>44011.385046296295</v>
      </c>
    </row>
    <row r="2838" spans="1:4" ht="17">
      <c r="A2838" s="5" t="s">
        <v>4148</v>
      </c>
      <c r="B2838" s="5" t="s">
        <v>4149</v>
      </c>
      <c r="C2838" s="5" t="s">
        <v>4150</v>
      </c>
      <c r="D2838" s="2">
        <f>DATE(2020,6,21)+TIME(21,51,58)</f>
        <v>44003.911087962966</v>
      </c>
    </row>
    <row r="2839" spans="1:4" ht="17">
      <c r="A2839" s="4" t="s">
        <v>5700</v>
      </c>
      <c r="B2839" s="4" t="s">
        <v>5701</v>
      </c>
      <c r="C2839" s="4" t="s">
        <v>5702</v>
      </c>
      <c r="D2839" s="1">
        <f>DATE(2020,6,26)+TIME(10,6,43)</f>
        <v>44008.421331018515</v>
      </c>
    </row>
    <row r="2840" spans="1:4" ht="17">
      <c r="A2840" s="5" t="s">
        <v>6807</v>
      </c>
      <c r="B2840" s="5" t="s">
        <v>6808</v>
      </c>
      <c r="C2840" s="5" t="s">
        <v>6809</v>
      </c>
      <c r="D2840" s="2">
        <f>DATE(2020,5,21)+TIME(19,17,8)</f>
        <v>43972.803564814814</v>
      </c>
    </row>
    <row r="2841" spans="1:4" ht="17">
      <c r="A2841" s="4" t="s">
        <v>881</v>
      </c>
      <c r="B2841" s="4" t="s">
        <v>882</v>
      </c>
      <c r="C2841" s="4" t="s">
        <v>883</v>
      </c>
      <c r="D2841" s="1">
        <f>DATE(2020,3,30)+TIME(8,53,3)</f>
        <v>43920.370173611111</v>
      </c>
    </row>
    <row r="2842" spans="1:4" ht="17">
      <c r="A2842" s="4" t="s">
        <v>219</v>
      </c>
      <c r="B2842" s="4" t="s">
        <v>5325</v>
      </c>
      <c r="C2842" s="4" t="s">
        <v>5326</v>
      </c>
      <c r="D2842" s="1">
        <f>DATE(2020,5,19)+TIME(12,48,31)</f>
        <v>43970.533692129633</v>
      </c>
    </row>
    <row r="2843" spans="1:4" ht="17">
      <c r="A2843" s="4" t="s">
        <v>219</v>
      </c>
      <c r="B2843" s="4" t="s">
        <v>5205</v>
      </c>
      <c r="C2843" s="4" t="s">
        <v>5206</v>
      </c>
      <c r="D2843" s="1">
        <f>DATE(2020,5,26)+TIME(13,9,22)</f>
        <v>43977.548171296294</v>
      </c>
    </row>
    <row r="2844" spans="1:4" ht="17">
      <c r="A2844" s="4" t="s">
        <v>219</v>
      </c>
      <c r="B2844" s="4" t="s">
        <v>2181</v>
      </c>
      <c r="C2844" s="4" t="s">
        <v>2182</v>
      </c>
      <c r="D2844" s="1">
        <f>DATE(2020,5,29)+TIME(13,47,11)</f>
        <v>43980.574432870373</v>
      </c>
    </row>
    <row r="2845" spans="1:4" ht="17">
      <c r="A2845" s="5" t="s">
        <v>219</v>
      </c>
      <c r="B2845" s="5" t="s">
        <v>983</v>
      </c>
      <c r="C2845" s="5" t="s">
        <v>984</v>
      </c>
      <c r="D2845" s="2">
        <f>DATE(2020,6,8)+TIME(3,43,18)</f>
        <v>43990.155069444445</v>
      </c>
    </row>
    <row r="2846" spans="1:4" ht="17">
      <c r="A2846" s="4" t="s">
        <v>219</v>
      </c>
      <c r="B2846" s="4" t="s">
        <v>9584</v>
      </c>
      <c r="C2846" s="4" t="s">
        <v>9585</v>
      </c>
      <c r="D2846" s="1">
        <f>DATE(2020,6,11)+TIME(12,6,51)</f>
        <v>43993.504756944443</v>
      </c>
    </row>
    <row r="2847" spans="1:4" ht="17">
      <c r="A2847" s="4" t="s">
        <v>219</v>
      </c>
      <c r="B2847" s="4" t="s">
        <v>3522</v>
      </c>
      <c r="C2847" s="4" t="s">
        <v>3523</v>
      </c>
      <c r="D2847" s="1">
        <f>DATE(2020,6,16)+TIME(8,8,48)</f>
        <v>43998.339444444442</v>
      </c>
    </row>
    <row r="2848" spans="1:4" ht="17">
      <c r="A2848" s="4" t="s">
        <v>219</v>
      </c>
      <c r="B2848" s="4" t="s">
        <v>7248</v>
      </c>
      <c r="C2848" s="4" t="s">
        <v>7249</v>
      </c>
      <c r="D2848" s="1">
        <f>DATE(2020,6,19)+TIME(14,13,48)</f>
        <v>44001.592916666668</v>
      </c>
    </row>
    <row r="2849" spans="1:4" ht="17">
      <c r="A2849" s="4" t="s">
        <v>219</v>
      </c>
      <c r="B2849" s="4" t="s">
        <v>2028</v>
      </c>
      <c r="C2849" s="4" t="s">
        <v>2029</v>
      </c>
      <c r="D2849" s="1">
        <f>DATE(2020,6,19)+TIME(15,15,15)</f>
        <v>44001.63559027778</v>
      </c>
    </row>
    <row r="2850" spans="1:4" ht="17">
      <c r="A2850" s="5" t="s">
        <v>219</v>
      </c>
      <c r="B2850" s="5" t="s">
        <v>3593</v>
      </c>
      <c r="C2850" s="5" t="s">
        <v>3594</v>
      </c>
      <c r="D2850" s="2">
        <f>DATE(2020,6,23)+TIME(16,24,25)</f>
        <v>44005.683622685188</v>
      </c>
    </row>
    <row r="2851" spans="1:4" ht="17">
      <c r="A2851" s="5" t="s">
        <v>219</v>
      </c>
      <c r="B2851" s="5" t="s">
        <v>7003</v>
      </c>
      <c r="C2851" s="5" t="s">
        <v>7004</v>
      </c>
      <c r="D2851" s="2">
        <f>DATE(2020,6,24)+TIME(8,52,11)</f>
        <v>44006.369571759256</v>
      </c>
    </row>
    <row r="2852" spans="1:4" ht="17">
      <c r="A2852" s="5" t="s">
        <v>219</v>
      </c>
      <c r="B2852" s="5" t="s">
        <v>5194</v>
      </c>
      <c r="C2852" s="5" t="s">
        <v>5195</v>
      </c>
      <c r="D2852" s="2">
        <f>DATE(2020,6,24)+TIME(12,49,30)</f>
        <v>44006.534375000003</v>
      </c>
    </row>
    <row r="2853" spans="1:4" ht="17">
      <c r="A2853" s="5" t="s">
        <v>219</v>
      </c>
      <c r="B2853" s="5" t="s">
        <v>936</v>
      </c>
      <c r="C2853" s="5" t="s">
        <v>937</v>
      </c>
      <c r="D2853" s="2">
        <f>DATE(2020,6,24)+TIME(14,41,46)</f>
        <v>44006.612337962964</v>
      </c>
    </row>
    <row r="2854" spans="1:4" ht="17">
      <c r="A2854" s="4" t="s">
        <v>219</v>
      </c>
      <c r="B2854" s="4" t="s">
        <v>1680</v>
      </c>
      <c r="C2854" s="4" t="s">
        <v>1819</v>
      </c>
      <c r="D2854" s="1">
        <f>DATE(2020,6,26)+TIME(8,31,46)</f>
        <v>44008.355393518519</v>
      </c>
    </row>
    <row r="2855" spans="1:4" ht="17">
      <c r="A2855" s="5" t="s">
        <v>219</v>
      </c>
      <c r="B2855" s="5" t="s">
        <v>220</v>
      </c>
      <c r="C2855" s="5" t="s">
        <v>221</v>
      </c>
      <c r="D2855" s="2">
        <f>DATE(2020,6,26)+TIME(12,1,28)</f>
        <v>44008.501018518517</v>
      </c>
    </row>
    <row r="2856" spans="1:4" ht="17">
      <c r="A2856" s="4" t="s">
        <v>219</v>
      </c>
      <c r="B2856" s="4" t="s">
        <v>4858</v>
      </c>
      <c r="C2856" s="4" t="s">
        <v>4859</v>
      </c>
      <c r="D2856" s="1">
        <f>DATE(2020,6,26)+TIME(13,10,18)</f>
        <v>44008.548819444448</v>
      </c>
    </row>
    <row r="2857" spans="1:4" ht="17">
      <c r="A2857" s="5" t="s">
        <v>4313</v>
      </c>
      <c r="B2857" s="5" t="s">
        <v>4314</v>
      </c>
      <c r="C2857" s="5" t="s">
        <v>4315</v>
      </c>
      <c r="D2857" s="2">
        <f>DATE(2020,6,24)+TIME(12,18,58)</f>
        <v>44006.513171296298</v>
      </c>
    </row>
    <row r="2858" spans="1:4" ht="17">
      <c r="A2858" s="4" t="s">
        <v>6036</v>
      </c>
      <c r="B2858" s="4" t="s">
        <v>6037</v>
      </c>
      <c r="C2858" s="4" t="s">
        <v>6038</v>
      </c>
      <c r="D2858" s="1">
        <f>DATE(2020,5,14)+TIME(8,30,24)</f>
        <v>43965.354444444441</v>
      </c>
    </row>
    <row r="2859" spans="1:4" ht="17">
      <c r="A2859" s="5" t="s">
        <v>9553</v>
      </c>
      <c r="B2859" s="5" t="s">
        <v>9554</v>
      </c>
      <c r="C2859" s="5" t="s">
        <v>9555</v>
      </c>
      <c r="D2859" s="2">
        <f>DATE(2020,5,8)+TIME(7,28,16)</f>
        <v>43959.311296296299</v>
      </c>
    </row>
    <row r="2860" spans="1:4" ht="17">
      <c r="A2860" s="5" t="s">
        <v>3256</v>
      </c>
      <c r="B2860" s="5" t="s">
        <v>3257</v>
      </c>
      <c r="C2860" s="5" t="s">
        <v>3258</v>
      </c>
      <c r="D2860" s="2">
        <f>DATE(2020,6,8)+TIME(7,51,48)</f>
        <v>43990.327638888892</v>
      </c>
    </row>
    <row r="2861" spans="1:4" ht="17">
      <c r="A2861" s="5" t="s">
        <v>3256</v>
      </c>
      <c r="B2861" s="5" t="s">
        <v>8271</v>
      </c>
      <c r="C2861" s="5" t="s">
        <v>8272</v>
      </c>
      <c r="D2861" s="2">
        <f>DATE(2020,6,23)+TIME(3,57,26)</f>
        <v>44005.164884259262</v>
      </c>
    </row>
    <row r="2862" spans="1:4" ht="17">
      <c r="A2862" s="4" t="s">
        <v>6399</v>
      </c>
      <c r="B2862" s="4" t="s">
        <v>6400</v>
      </c>
      <c r="C2862" s="4" t="s">
        <v>6401</v>
      </c>
      <c r="D2862" s="1">
        <f>DATE(2020,5,7)+TIME(14,37,26)</f>
        <v>43958.6093287037</v>
      </c>
    </row>
    <row r="2863" spans="1:4" ht="17">
      <c r="A2863" s="5" t="s">
        <v>1829</v>
      </c>
      <c r="B2863" s="5" t="s">
        <v>1830</v>
      </c>
      <c r="C2863" s="5" t="s">
        <v>1831</v>
      </c>
      <c r="D2863" s="2">
        <f>DATE(2020,5,13)+TIME(22,25,13)</f>
        <v>43964.934178240743</v>
      </c>
    </row>
    <row r="2864" spans="1:4" ht="17">
      <c r="A2864" s="5" t="s">
        <v>140</v>
      </c>
      <c r="B2864" s="5" t="s">
        <v>141</v>
      </c>
      <c r="C2864" s="5" t="s">
        <v>142</v>
      </c>
      <c r="D2864" s="2">
        <f>DATE(2020,6,17)+TIME(5,3,41)</f>
        <v>43999.2108912037</v>
      </c>
    </row>
    <row r="2865" spans="1:4" ht="17">
      <c r="A2865" s="5" t="s">
        <v>3134</v>
      </c>
      <c r="B2865" s="5" t="s">
        <v>4914</v>
      </c>
      <c r="C2865" s="5" t="s">
        <v>4915</v>
      </c>
      <c r="D2865" s="2">
        <f>DATE(2020,6,5)+TIME(11,26,2)</f>
        <v>43987.476412037038</v>
      </c>
    </row>
    <row r="2866" spans="1:4" ht="17">
      <c r="A2866" s="5" t="s">
        <v>3134</v>
      </c>
      <c r="B2866" s="5" t="s">
        <v>3135</v>
      </c>
      <c r="C2866" s="5" t="s">
        <v>3136</v>
      </c>
      <c r="D2866" s="2">
        <f>DATE(2020,6,12)+TIME(14,19,35)</f>
        <v>43994.596932870372</v>
      </c>
    </row>
    <row r="2867" spans="1:4" ht="17">
      <c r="A2867" s="5" t="s">
        <v>3134</v>
      </c>
      <c r="B2867" s="5" t="s">
        <v>3115</v>
      </c>
      <c r="C2867" s="5" t="s">
        <v>6283</v>
      </c>
      <c r="D2867" s="2">
        <f>DATE(2020,6,14)+TIME(8,9,28)</f>
        <v>43996.339907407404</v>
      </c>
    </row>
    <row r="2868" spans="1:4" ht="17">
      <c r="A2868" s="4" t="s">
        <v>3134</v>
      </c>
      <c r="B2868" s="4" t="s">
        <v>2503</v>
      </c>
      <c r="C2868" s="4" t="s">
        <v>5178</v>
      </c>
      <c r="D2868" s="1">
        <f>DATE(2020,6,15)+TIME(10,27,59)</f>
        <v>43997.436099537037</v>
      </c>
    </row>
    <row r="2869" spans="1:4" ht="17">
      <c r="A2869" s="5" t="s">
        <v>3134</v>
      </c>
      <c r="B2869" s="5" t="s">
        <v>4460</v>
      </c>
      <c r="C2869" s="5" t="s">
        <v>4461</v>
      </c>
      <c r="D2869" s="2">
        <f>DATE(2020,6,15)+TIME(10,49,13)</f>
        <v>43997.450844907406</v>
      </c>
    </row>
    <row r="2870" spans="1:4" ht="17">
      <c r="A2870" s="4" t="s">
        <v>3134</v>
      </c>
      <c r="B2870" s="4" t="s">
        <v>4321</v>
      </c>
      <c r="C2870" s="4" t="s">
        <v>4322</v>
      </c>
      <c r="D2870" s="1">
        <f>DATE(2020,6,23)+TIME(19,19,42)</f>
        <v>44005.805347222224</v>
      </c>
    </row>
    <row r="2871" spans="1:4" ht="17">
      <c r="A2871" s="5" t="s">
        <v>3134</v>
      </c>
      <c r="B2871" s="5" t="s">
        <v>4758</v>
      </c>
      <c r="C2871" s="5" t="s">
        <v>4759</v>
      </c>
      <c r="D2871" s="2">
        <f>DATE(2020,6,27)+TIME(1,29,13)</f>
        <v>44009.061956018515</v>
      </c>
    </row>
    <row r="2872" spans="1:4" ht="17">
      <c r="A2872" s="5" t="s">
        <v>782</v>
      </c>
      <c r="B2872" s="5" t="s">
        <v>2770</v>
      </c>
      <c r="C2872" s="5" t="s">
        <v>2771</v>
      </c>
      <c r="D2872" s="2">
        <f>DATE(2020,5,6)+TIME(16,45,13)</f>
        <v>43957.698067129626</v>
      </c>
    </row>
    <row r="2873" spans="1:4" ht="17">
      <c r="A2873" s="5" t="s">
        <v>782</v>
      </c>
      <c r="B2873" s="5" t="s">
        <v>3661</v>
      </c>
      <c r="C2873" s="5" t="s">
        <v>3662</v>
      </c>
      <c r="D2873" s="2">
        <f>DATE(2020,5,14)+TIME(0,20,22)</f>
        <v>43965.014143518521</v>
      </c>
    </row>
    <row r="2874" spans="1:4" ht="17">
      <c r="A2874" s="5" t="s">
        <v>782</v>
      </c>
      <c r="B2874" s="5" t="s">
        <v>4174</v>
      </c>
      <c r="C2874" s="5" t="s">
        <v>4175</v>
      </c>
      <c r="D2874" s="2">
        <f>DATE(2020,5,16)+TIME(21,56,38)</f>
        <v>43967.9143287037</v>
      </c>
    </row>
    <row r="2875" spans="1:4" ht="17">
      <c r="A2875" s="5" t="s">
        <v>782</v>
      </c>
      <c r="B2875" s="5" t="s">
        <v>1924</v>
      </c>
      <c r="C2875" s="5" t="s">
        <v>1925</v>
      </c>
      <c r="D2875" s="2">
        <f>DATE(2020,5,20)+TIME(16,37,7)</f>
        <v>43971.692442129628</v>
      </c>
    </row>
    <row r="2876" spans="1:4" ht="17">
      <c r="A2876" s="5" t="s">
        <v>782</v>
      </c>
      <c r="B2876" s="5" t="s">
        <v>4698</v>
      </c>
      <c r="C2876" s="5" t="s">
        <v>4699</v>
      </c>
      <c r="D2876" s="2">
        <f>DATE(2020,5,28)+TIME(14,13,25)</f>
        <v>43979.592650462961</v>
      </c>
    </row>
    <row r="2877" spans="1:4" ht="17">
      <c r="A2877" s="4" t="s">
        <v>782</v>
      </c>
      <c r="B2877" s="4" t="s">
        <v>783</v>
      </c>
      <c r="C2877" s="4" t="s">
        <v>784</v>
      </c>
      <c r="D2877" s="1">
        <f>DATE(2020,6,2)+TIME(7,50,10)</f>
        <v>43984.326504629629</v>
      </c>
    </row>
    <row r="2878" spans="1:4" ht="17">
      <c r="A2878" s="4" t="s">
        <v>782</v>
      </c>
      <c r="B2878" s="4" t="s">
        <v>2243</v>
      </c>
      <c r="C2878" s="4" t="s">
        <v>2244</v>
      </c>
      <c r="D2878" s="1">
        <f>DATE(2020,6,29)+TIME(11,44,21)</f>
        <v>44011.489131944443</v>
      </c>
    </row>
    <row r="2879" spans="1:4" ht="17">
      <c r="A2879" s="4" t="s">
        <v>3063</v>
      </c>
      <c r="B2879" s="4" t="s">
        <v>7135</v>
      </c>
      <c r="C2879" s="4" t="s">
        <v>7136</v>
      </c>
      <c r="D2879" s="1">
        <f>DATE(2020,6,22)+TIME(17,45,20)</f>
        <v>44004.739814814813</v>
      </c>
    </row>
    <row r="2880" spans="1:4" ht="17">
      <c r="A2880" s="5" t="s">
        <v>3063</v>
      </c>
      <c r="B2880" s="5" t="s">
        <v>3064</v>
      </c>
      <c r="C2880" s="5" t="s">
        <v>3065</v>
      </c>
      <c r="D2880" s="2">
        <f>DATE(2020,6,29)+TIME(5,3,0)</f>
        <v>44011.210416666669</v>
      </c>
    </row>
    <row r="2881" spans="1:4" ht="17">
      <c r="A2881" s="4" t="s">
        <v>9</v>
      </c>
      <c r="B2881" s="4" t="s">
        <v>876</v>
      </c>
      <c r="C2881" s="4" t="s">
        <v>877</v>
      </c>
      <c r="D2881" s="1">
        <f>DATE(2020,4,3)+TIME(7,12,54)</f>
        <v>43924.300625000003</v>
      </c>
    </row>
    <row r="2882" spans="1:4" ht="17">
      <c r="A2882" s="4" t="s">
        <v>9</v>
      </c>
      <c r="B2882" s="4" t="s">
        <v>3874</v>
      </c>
      <c r="C2882" s="4" t="s">
        <v>6104</v>
      </c>
      <c r="D2882" s="1">
        <f>DATE(2020,5,6)+TIME(3,47,45)</f>
        <v>43957.158159722225</v>
      </c>
    </row>
    <row r="2883" spans="1:4" ht="17">
      <c r="A2883" s="5" t="s">
        <v>9</v>
      </c>
      <c r="B2883" s="5" t="s">
        <v>1773</v>
      </c>
      <c r="C2883" s="5" t="s">
        <v>1774</v>
      </c>
      <c r="D2883" s="2">
        <f>DATE(2020,5,28)+TIME(15,4,56)</f>
        <v>43979.628425925926</v>
      </c>
    </row>
    <row r="2884" spans="1:4" ht="17">
      <c r="A2884" s="5" t="s">
        <v>9</v>
      </c>
      <c r="B2884" s="5" t="s">
        <v>10</v>
      </c>
      <c r="C2884" s="5" t="s">
        <v>11</v>
      </c>
      <c r="D2884" s="2">
        <f>DATE(2020,6,5)+TIME(7,4,2)</f>
        <v>43987.29446759259</v>
      </c>
    </row>
    <row r="2885" spans="1:4" ht="17">
      <c r="A2885" s="4" t="s">
        <v>9</v>
      </c>
      <c r="B2885" s="4" t="s">
        <v>5427</v>
      </c>
      <c r="C2885" s="4" t="s">
        <v>5428</v>
      </c>
      <c r="D2885" s="1">
        <f>DATE(2020,6,28)+TIME(5,20,57)</f>
        <v>44010.222881944443</v>
      </c>
    </row>
    <row r="2886" spans="1:4" ht="17">
      <c r="A2886" s="5" t="s">
        <v>6530</v>
      </c>
      <c r="B2886" s="5" t="s">
        <v>859</v>
      </c>
      <c r="C2886" s="5" t="s">
        <v>6531</v>
      </c>
      <c r="D2886" s="2">
        <f>DATE(2020,6,23)+TIME(13,44,24)</f>
        <v>44005.572500000002</v>
      </c>
    </row>
    <row r="2887" spans="1:4" ht="17">
      <c r="A2887" s="4" t="s">
        <v>1780</v>
      </c>
      <c r="B2887" s="4" t="s">
        <v>1781</v>
      </c>
      <c r="C2887" s="4" t="s">
        <v>1782</v>
      </c>
      <c r="D2887" s="1">
        <f>DATE(2020,6,18)+TIME(13,59,26)</f>
        <v>44000.582939814813</v>
      </c>
    </row>
    <row r="2888" spans="1:4" ht="17">
      <c r="A2888" s="4" t="s">
        <v>4690</v>
      </c>
      <c r="B2888" s="4" t="s">
        <v>140</v>
      </c>
      <c r="C2888" s="4" t="s">
        <v>4691</v>
      </c>
      <c r="D2888" s="1">
        <f>DATE(2020,5,26)+TIME(2,7,48)</f>
        <v>43977.088750000003</v>
      </c>
    </row>
    <row r="2889" spans="1:4" ht="17">
      <c r="A2889" s="4" t="s">
        <v>3888</v>
      </c>
      <c r="B2889" s="4" t="s">
        <v>8469</v>
      </c>
      <c r="C2889" s="4" t="s">
        <v>8470</v>
      </c>
      <c r="D2889" s="1">
        <f>DATE(2020,5,18)+TIME(7,56,39)</f>
        <v>43969.331006944441</v>
      </c>
    </row>
    <row r="2890" spans="1:4" ht="17">
      <c r="A2890" s="4" t="s">
        <v>3888</v>
      </c>
      <c r="B2890" s="4" t="s">
        <v>3889</v>
      </c>
      <c r="C2890" s="4" t="s">
        <v>3890</v>
      </c>
      <c r="D2890" s="1">
        <f>DATE(2020,6,29)+TIME(3,45,57)</f>
        <v>44011.156909722224</v>
      </c>
    </row>
    <row r="2891" spans="1:4" ht="17">
      <c r="A2891" s="4" t="s">
        <v>2533</v>
      </c>
      <c r="B2891" s="4" t="s">
        <v>2534</v>
      </c>
      <c r="C2891" s="4" t="s">
        <v>2535</v>
      </c>
      <c r="D2891" s="1">
        <f>DATE(2020,5,28)+TIME(16,48,44)</f>
        <v>43979.700509259259</v>
      </c>
    </row>
    <row r="2892" spans="1:4" ht="17">
      <c r="A2892" s="5" t="s">
        <v>81</v>
      </c>
      <c r="B2892" s="5" t="s">
        <v>82</v>
      </c>
      <c r="C2892" s="5" t="s">
        <v>83</v>
      </c>
      <c r="D2892" s="2">
        <f>DATE(2020,5,14)+TIME(16,42,51)</f>
        <v>43965.696423611109</v>
      </c>
    </row>
    <row r="2893" spans="1:4" ht="17">
      <c r="A2893" s="5" t="s">
        <v>3431</v>
      </c>
      <c r="B2893" s="5" t="s">
        <v>3432</v>
      </c>
      <c r="C2893" s="5" t="s">
        <v>3433</v>
      </c>
      <c r="D2893" s="2">
        <f>DATE(2020,6,23)+TIME(15,13,59)</f>
        <v>44005.634710648148</v>
      </c>
    </row>
    <row r="2894" spans="1:4" ht="17">
      <c r="A2894" s="5" t="s">
        <v>3545</v>
      </c>
      <c r="B2894" s="5" t="s">
        <v>3546</v>
      </c>
      <c r="C2894" s="5" t="s">
        <v>3547</v>
      </c>
      <c r="D2894" s="2">
        <f>DATE(2020,5,13)+TIME(3,54,27)</f>
        <v>43964.162812499999</v>
      </c>
    </row>
    <row r="2895" spans="1:4" ht="17">
      <c r="A2895" s="4" t="s">
        <v>3545</v>
      </c>
      <c r="B2895" s="4" t="s">
        <v>6321</v>
      </c>
      <c r="C2895" s="4" t="s">
        <v>6322</v>
      </c>
      <c r="D2895" s="1">
        <f>DATE(2020,5,13)+TIME(3,54,29)</f>
        <v>43964.162835648145</v>
      </c>
    </row>
    <row r="2896" spans="1:4" ht="17">
      <c r="A2896" s="4" t="s">
        <v>3545</v>
      </c>
      <c r="B2896" s="4" t="s">
        <v>6837</v>
      </c>
      <c r="C2896" s="4" t="s">
        <v>6838</v>
      </c>
      <c r="D2896" s="1">
        <f>DATE(2020,6,29)+TIME(10,42,21)</f>
        <v>44011.446076388886</v>
      </c>
    </row>
    <row r="2897" spans="1:4" ht="17">
      <c r="A2897" s="4" t="s">
        <v>2301</v>
      </c>
      <c r="B2897" s="4" t="s">
        <v>2302</v>
      </c>
      <c r="C2897" s="4" t="s">
        <v>2303</v>
      </c>
      <c r="D2897" s="1">
        <f>DATE(2020,6,17)+TIME(23,5,20)</f>
        <v>43999.962037037039</v>
      </c>
    </row>
    <row r="2898" spans="1:4" ht="17">
      <c r="A2898" s="4" t="s">
        <v>6404</v>
      </c>
      <c r="B2898" s="4" t="s">
        <v>2129</v>
      </c>
      <c r="C2898" s="4" t="s">
        <v>6405</v>
      </c>
      <c r="D2898" s="1">
        <f>DATE(2020,6,19)+TIME(14,30,58)</f>
        <v>44001.604837962965</v>
      </c>
    </row>
    <row r="2899" spans="1:4" ht="17">
      <c r="A2899" s="5" t="s">
        <v>5091</v>
      </c>
      <c r="B2899" s="5" t="s">
        <v>109</v>
      </c>
      <c r="C2899" s="5" t="s">
        <v>5092</v>
      </c>
      <c r="D2899" s="2">
        <f>DATE(2020,6,19)+TIME(4,34,16)</f>
        <v>44001.190462962964</v>
      </c>
    </row>
    <row r="2900" spans="1:4" ht="17">
      <c r="A2900" s="4" t="s">
        <v>1520</v>
      </c>
      <c r="B2900" s="4" t="s">
        <v>1521</v>
      </c>
      <c r="C2900" s="4" t="s">
        <v>1522</v>
      </c>
      <c r="D2900" s="1">
        <f>DATE(2020,6,19)+TIME(13,53,31)</f>
        <v>44001.578831018516</v>
      </c>
    </row>
    <row r="2901" spans="1:4" ht="17">
      <c r="A2901" s="4" t="s">
        <v>3086</v>
      </c>
      <c r="B2901" s="4" t="s">
        <v>3087</v>
      </c>
      <c r="C2901" s="4" t="s">
        <v>3088</v>
      </c>
      <c r="D2901" s="1">
        <f>DATE(2020,6,16)+TIME(2,41,54)</f>
        <v>43998.112430555557</v>
      </c>
    </row>
    <row r="2902" spans="1:4" ht="17">
      <c r="A2902" s="5" t="s">
        <v>3086</v>
      </c>
      <c r="B2902" s="5" t="s">
        <v>9015</v>
      </c>
      <c r="C2902" s="5" t="s">
        <v>9016</v>
      </c>
      <c r="D2902" s="2">
        <f>DATE(2020,6,27)+TIME(9,25,11)</f>
        <v>44009.392488425925</v>
      </c>
    </row>
    <row r="2903" spans="1:4" ht="17">
      <c r="A2903" s="5" t="s">
        <v>2918</v>
      </c>
      <c r="B2903" s="5" t="s">
        <v>2919</v>
      </c>
      <c r="C2903" s="5" t="s">
        <v>2920</v>
      </c>
      <c r="D2903" s="2">
        <f>DATE(2020,6,4)+TIME(9,20,0)</f>
        <v>43986.388888888891</v>
      </c>
    </row>
    <row r="2904" spans="1:4" ht="17">
      <c r="A2904" s="5" t="s">
        <v>6653</v>
      </c>
      <c r="B2904" s="5" t="s">
        <v>6777</v>
      </c>
      <c r="C2904" s="5" t="s">
        <v>6778</v>
      </c>
      <c r="D2904" s="2">
        <f>DATE(2020,5,21)+TIME(15,55,48)</f>
        <v>43972.66375</v>
      </c>
    </row>
    <row r="2905" spans="1:4" ht="17">
      <c r="A2905" s="4" t="s">
        <v>6653</v>
      </c>
      <c r="B2905" s="4" t="s">
        <v>8273</v>
      </c>
      <c r="C2905" s="4" t="s">
        <v>8274</v>
      </c>
      <c r="D2905" s="1">
        <f>DATE(2020,5,21)+TIME(19,9,53)</f>
        <v>43972.798530092594</v>
      </c>
    </row>
    <row r="2906" spans="1:4" ht="17">
      <c r="A2906" s="4" t="s">
        <v>6653</v>
      </c>
      <c r="B2906" s="4" t="s">
        <v>6654</v>
      </c>
      <c r="C2906" s="4" t="s">
        <v>6655</v>
      </c>
      <c r="D2906" s="1">
        <f>DATE(2020,6,24)+TIME(22,30,8)</f>
        <v>44006.937592592592</v>
      </c>
    </row>
    <row r="2907" spans="1:4" ht="17">
      <c r="A2907" s="4" t="s">
        <v>9134</v>
      </c>
      <c r="B2907" s="4" t="s">
        <v>9135</v>
      </c>
      <c r="C2907" s="4" t="s">
        <v>9136</v>
      </c>
      <c r="D2907" s="1">
        <f>DATE(2020,6,18)+TIME(14,59,45)</f>
        <v>44000.624826388892</v>
      </c>
    </row>
    <row r="2908" spans="1:4" ht="17">
      <c r="A2908" s="5" t="s">
        <v>6642</v>
      </c>
      <c r="B2908" s="5" t="s">
        <v>6643</v>
      </c>
      <c r="C2908" s="5" t="s">
        <v>6644</v>
      </c>
      <c r="D2908" s="2">
        <f>DATE(2020,6,26)+TIME(14,39,59)</f>
        <v>44008.61109953704</v>
      </c>
    </row>
    <row r="2909" spans="1:4" ht="17">
      <c r="A2909" s="5" t="s">
        <v>8754</v>
      </c>
      <c r="B2909" s="5" t="s">
        <v>8755</v>
      </c>
      <c r="C2909" s="5" t="s">
        <v>8756</v>
      </c>
      <c r="D2909" s="2">
        <f>DATE(2020,6,27)+TIME(23,39,52)</f>
        <v>44009.986018518517</v>
      </c>
    </row>
    <row r="2910" spans="1:4" ht="17">
      <c r="A2910" s="4" t="s">
        <v>3634</v>
      </c>
      <c r="B2910" s="4" t="s">
        <v>3635</v>
      </c>
      <c r="C2910" s="4" t="s">
        <v>3636</v>
      </c>
      <c r="D2910" s="1">
        <f>DATE(2020,5,22)+TIME(7,50,3)</f>
        <v>43973.326423611114</v>
      </c>
    </row>
    <row r="2911" spans="1:4" ht="17">
      <c r="A2911" s="5" t="s">
        <v>5402</v>
      </c>
      <c r="B2911" s="5" t="s">
        <v>118</v>
      </c>
      <c r="C2911" s="5" t="s">
        <v>5403</v>
      </c>
      <c r="D2911" s="2">
        <f>DATE(2020,6,12)+TIME(19,3,0)</f>
        <v>43994.793749999997</v>
      </c>
    </row>
    <row r="2912" spans="1:4" ht="17">
      <c r="A2912" s="5" t="s">
        <v>266</v>
      </c>
      <c r="B2912" s="5" t="s">
        <v>267</v>
      </c>
      <c r="C2912" s="5" t="s">
        <v>268</v>
      </c>
      <c r="D2912" s="2">
        <f>DATE(2020,5,5)+TIME(17,16,17)</f>
        <v>43956.719641203701</v>
      </c>
    </row>
    <row r="2913" spans="1:4" ht="17">
      <c r="A2913" s="5" t="s">
        <v>266</v>
      </c>
      <c r="B2913" s="5" t="s">
        <v>1783</v>
      </c>
      <c r="C2913" s="5" t="s">
        <v>1784</v>
      </c>
      <c r="D2913" s="2">
        <f>DATE(2020,5,22)+TIME(6,51,39)</f>
        <v>43973.285868055558</v>
      </c>
    </row>
    <row r="2914" spans="1:4" ht="17">
      <c r="A2914" s="4" t="s">
        <v>266</v>
      </c>
      <c r="B2914" s="4" t="s">
        <v>2801</v>
      </c>
      <c r="C2914" s="4" t="s">
        <v>2802</v>
      </c>
      <c r="D2914" s="1">
        <f>DATE(2020,6,24)+TIME(11,28,1)</f>
        <v>44006.477789351855</v>
      </c>
    </row>
    <row r="2915" spans="1:4" ht="17">
      <c r="A2915" s="4" t="s">
        <v>2332</v>
      </c>
      <c r="B2915" s="4" t="s">
        <v>2333</v>
      </c>
      <c r="C2915" s="4" t="s">
        <v>2334</v>
      </c>
      <c r="D2915" s="1">
        <f>DATE(2020,6,26)+TIME(19,41,44)</f>
        <v>44008.820648148147</v>
      </c>
    </row>
    <row r="2916" spans="1:4" ht="17">
      <c r="A2916" s="4" t="s">
        <v>3448</v>
      </c>
      <c r="B2916" s="4" t="s">
        <v>3449</v>
      </c>
      <c r="C2916" s="4" t="s">
        <v>3450</v>
      </c>
      <c r="D2916" s="1">
        <f>DATE(2020,6,2)+TIME(20,36,6)</f>
        <v>43984.858402777776</v>
      </c>
    </row>
    <row r="2917" spans="1:4" ht="17">
      <c r="A2917" s="4" t="s">
        <v>1272</v>
      </c>
      <c r="B2917" s="4" t="s">
        <v>1273</v>
      </c>
      <c r="C2917" s="4" t="s">
        <v>1274</v>
      </c>
      <c r="D2917" s="1">
        <f>DATE(2020,6,22)+TIME(3,12,27)</f>
        <v>44004.133645833332</v>
      </c>
    </row>
    <row r="2918" spans="1:4" ht="17">
      <c r="A2918" s="5" t="s">
        <v>7100</v>
      </c>
      <c r="B2918" s="5" t="s">
        <v>7101</v>
      </c>
      <c r="C2918" s="5" t="s">
        <v>7102</v>
      </c>
      <c r="D2918" s="2">
        <f>DATE(2020,6,18)+TIME(23,13,1)</f>
        <v>44000.967372685183</v>
      </c>
    </row>
    <row r="2919" spans="1:4" ht="17">
      <c r="A2919" s="4" t="s">
        <v>6854</v>
      </c>
      <c r="B2919" s="4" t="s">
        <v>6855</v>
      </c>
      <c r="C2919" s="4" t="s">
        <v>6856</v>
      </c>
      <c r="D2919" s="1">
        <f>DATE(2020,6,12)+TIME(5,48,41)</f>
        <v>43994.2421412037</v>
      </c>
    </row>
    <row r="2920" spans="1:4" ht="17">
      <c r="A2920" s="4" t="s">
        <v>1921</v>
      </c>
      <c r="B2920" s="4" t="s">
        <v>1922</v>
      </c>
      <c r="C2920" s="4" t="s">
        <v>1923</v>
      </c>
      <c r="D2920" s="1">
        <f>DATE(2020,3,28)+TIME(16,14,24)</f>
        <v>43918.676666666666</v>
      </c>
    </row>
    <row r="2921" spans="1:4" ht="17">
      <c r="A2921" s="4" t="s">
        <v>8751</v>
      </c>
      <c r="B2921" s="4" t="s">
        <v>8752</v>
      </c>
      <c r="C2921" s="4" t="s">
        <v>8753</v>
      </c>
      <c r="D2921" s="1">
        <f>DATE(2020,6,20)+TIME(19,34,29)</f>
        <v>44002.815613425926</v>
      </c>
    </row>
    <row r="2922" spans="1:4" ht="17">
      <c r="A2922" s="4" t="s">
        <v>2105</v>
      </c>
      <c r="B2922" s="4" t="s">
        <v>2106</v>
      </c>
      <c r="C2922" s="4" t="s">
        <v>2107</v>
      </c>
      <c r="D2922" s="1">
        <f>DATE(2020,5,7)+TIME(6,15,57)</f>
        <v>43958.261076388888</v>
      </c>
    </row>
    <row r="2923" spans="1:4" ht="17">
      <c r="A2923" s="4" t="s">
        <v>1894</v>
      </c>
      <c r="B2923" s="4" t="s">
        <v>1894</v>
      </c>
      <c r="C2923" s="4" t="s">
        <v>1895</v>
      </c>
      <c r="D2923" s="1">
        <f>DATE(2020,6,19)+TIME(5,30,33)</f>
        <v>44001.229548611111</v>
      </c>
    </row>
    <row r="2924" spans="1:4" ht="17">
      <c r="A2924" s="5" t="s">
        <v>5860</v>
      </c>
      <c r="B2924" s="5" t="s">
        <v>556</v>
      </c>
      <c r="C2924" s="5" t="s">
        <v>5861</v>
      </c>
      <c r="D2924" s="2">
        <f>DATE(2020,6,12)+TIME(22,19,53)</f>
        <v>43994.930474537039</v>
      </c>
    </row>
    <row r="2925" spans="1:4" ht="17">
      <c r="A2925" s="5" t="s">
        <v>5007</v>
      </c>
      <c r="B2925" s="5" t="s">
        <v>2442</v>
      </c>
      <c r="C2925" s="5" t="s">
        <v>6692</v>
      </c>
      <c r="D2925" s="2">
        <f>DATE(2020,6,11)+TIME(21,50,4)</f>
        <v>43993.909768518519</v>
      </c>
    </row>
    <row r="2926" spans="1:4" ht="17">
      <c r="A2926" s="4" t="s">
        <v>5007</v>
      </c>
      <c r="B2926" s="4" t="s">
        <v>5007</v>
      </c>
      <c r="C2926" s="4" t="s">
        <v>5008</v>
      </c>
      <c r="D2926" s="1">
        <f>DATE(2020,6,20)+TIME(19,32,47)</f>
        <v>44002.814432870371</v>
      </c>
    </row>
    <row r="2927" spans="1:4" ht="17">
      <c r="A2927" s="5" t="s">
        <v>1722</v>
      </c>
      <c r="B2927" s="5" t="s">
        <v>1723</v>
      </c>
      <c r="C2927" s="5" t="s">
        <v>1724</v>
      </c>
      <c r="D2927" s="2">
        <f>DATE(2020,6,25)+TIME(5,11,38)</f>
        <v>44007.216412037036</v>
      </c>
    </row>
    <row r="2928" spans="1:4" ht="17">
      <c r="A2928" s="4" t="s">
        <v>263</v>
      </c>
      <c r="B2928" s="4" t="s">
        <v>264</v>
      </c>
      <c r="C2928" s="4" t="s">
        <v>265</v>
      </c>
      <c r="D2928" s="1">
        <f>DATE(2020,6,15)+TIME(13,36,8)</f>
        <v>43997.566759259258</v>
      </c>
    </row>
    <row r="2929" spans="1:4" ht="17">
      <c r="A2929" s="5" t="s">
        <v>5105</v>
      </c>
      <c r="B2929" s="5" t="s">
        <v>118</v>
      </c>
      <c r="C2929" s="5" t="s">
        <v>5106</v>
      </c>
      <c r="D2929" s="2">
        <f>DATE(2020,6,23)+TIME(13,29,21)</f>
        <v>44005.562048611115</v>
      </c>
    </row>
    <row r="2930" spans="1:4" ht="17">
      <c r="A2930" s="5" t="s">
        <v>4771</v>
      </c>
      <c r="B2930" s="5" t="s">
        <v>553</v>
      </c>
      <c r="C2930" s="5" t="s">
        <v>4772</v>
      </c>
      <c r="D2930" s="2">
        <f>DATE(2020,6,22)+TIME(18,36,56)</f>
        <v>44004.775648148148</v>
      </c>
    </row>
    <row r="2931" spans="1:4" ht="17">
      <c r="A2931" s="5" t="s">
        <v>4063</v>
      </c>
      <c r="B2931" s="5" t="s">
        <v>4064</v>
      </c>
      <c r="C2931" s="5" t="s">
        <v>4065</v>
      </c>
      <c r="D2931" s="2">
        <f>DATE(2020,6,23)+TIME(15,38,18)</f>
        <v>44005.651597222219</v>
      </c>
    </row>
    <row r="2932" spans="1:4" ht="17">
      <c r="A2932" s="4" t="s">
        <v>4921</v>
      </c>
      <c r="B2932" s="4" t="s">
        <v>4922</v>
      </c>
      <c r="C2932" s="4" t="s">
        <v>4923</v>
      </c>
      <c r="D2932" s="1">
        <f>DATE(2020,6,24)+TIME(12,31,57)</f>
        <v>44006.522187499999</v>
      </c>
    </row>
    <row r="2933" spans="1:4" ht="17">
      <c r="A2933" s="5" t="s">
        <v>7298</v>
      </c>
      <c r="B2933" s="5" t="s">
        <v>6647</v>
      </c>
      <c r="C2933" s="5" t="s">
        <v>7299</v>
      </c>
      <c r="D2933" s="2">
        <f>DATE(2020,6,27)+TIME(2,11,58)</f>
        <v>44009.091643518521</v>
      </c>
    </row>
    <row r="2934" spans="1:4" ht="17">
      <c r="A2934" s="5" t="s">
        <v>4844</v>
      </c>
      <c r="B2934" s="5" t="s">
        <v>4845</v>
      </c>
      <c r="C2934" s="5" t="s">
        <v>4846</v>
      </c>
      <c r="D2934" s="2">
        <f>DATE(2020,6,28)+TIME(11,56,0)</f>
        <v>44010.49722222222</v>
      </c>
    </row>
    <row r="2935" spans="1:4" ht="17">
      <c r="A2935" s="5" t="s">
        <v>7587</v>
      </c>
      <c r="B2935" s="5" t="s">
        <v>19</v>
      </c>
      <c r="C2935" s="5" t="s">
        <v>7588</v>
      </c>
      <c r="D2935" s="2">
        <f>DATE(2020,5,6)+TIME(8,25,33)</f>
        <v>43957.351076388892</v>
      </c>
    </row>
    <row r="2936" spans="1:4" ht="17">
      <c r="A2936" s="5" t="s">
        <v>3374</v>
      </c>
      <c r="B2936" s="5" t="s">
        <v>118</v>
      </c>
      <c r="C2936" s="5" t="s">
        <v>3375</v>
      </c>
      <c r="D2936" s="2">
        <f>DATE(2020,6,25)+TIME(2,4,58)</f>
        <v>44007.086782407408</v>
      </c>
    </row>
    <row r="2937" spans="1:4" ht="17">
      <c r="A2937" s="4" t="s">
        <v>5218</v>
      </c>
      <c r="B2937" s="4" t="s">
        <v>5219</v>
      </c>
      <c r="C2937" s="4" t="s">
        <v>5220</v>
      </c>
      <c r="D2937" s="1">
        <f>DATE(2020,3,29)+TIME(17,56,34)</f>
        <v>43919.747615740744</v>
      </c>
    </row>
    <row r="2938" spans="1:4" ht="17">
      <c r="A2938" s="5" t="s">
        <v>7056</v>
      </c>
      <c r="B2938" s="5" t="s">
        <v>2736</v>
      </c>
      <c r="C2938" s="5" t="s">
        <v>7057</v>
      </c>
      <c r="D2938" s="2">
        <f>DATE(2020,5,6)+TIME(16,47,5)</f>
        <v>43957.699363425927</v>
      </c>
    </row>
    <row r="2939" spans="1:4" ht="17">
      <c r="A2939" s="4" t="s">
        <v>367</v>
      </c>
      <c r="B2939" s="4" t="s">
        <v>367</v>
      </c>
      <c r="C2939" s="4" t="s">
        <v>368</v>
      </c>
      <c r="D2939" s="1">
        <f>DATE(2020,6,23)+TIME(19,35,25)</f>
        <v>44005.816261574073</v>
      </c>
    </row>
    <row r="2940" spans="1:4" ht="17">
      <c r="A2940" s="4" t="s">
        <v>652</v>
      </c>
      <c r="B2940" s="4" t="s">
        <v>5368</v>
      </c>
      <c r="C2940" s="4" t="s">
        <v>5369</v>
      </c>
      <c r="D2940" s="1">
        <f>DATE(2020,5,18)+TIME(16,6,24)</f>
        <v>43969.671111111114</v>
      </c>
    </row>
    <row r="2941" spans="1:4" ht="17">
      <c r="A2941" s="5" t="s">
        <v>652</v>
      </c>
      <c r="B2941" s="5" t="s">
        <v>653</v>
      </c>
      <c r="C2941" s="5" t="s">
        <v>654</v>
      </c>
      <c r="D2941" s="2">
        <f>DATE(2020,6,25)+TIME(4,58,5)</f>
        <v>44007.207002314812</v>
      </c>
    </row>
    <row r="2942" spans="1:4" ht="17">
      <c r="A2942" s="4" t="s">
        <v>4557</v>
      </c>
      <c r="B2942" s="4" t="s">
        <v>4558</v>
      </c>
      <c r="C2942" s="4" t="s">
        <v>4559</v>
      </c>
      <c r="D2942" s="1">
        <f>DATE(2020,6,24)+TIME(3,32,31)</f>
        <v>44006.147581018522</v>
      </c>
    </row>
    <row r="2943" spans="1:4" ht="17">
      <c r="A2943" s="4" t="s">
        <v>1968</v>
      </c>
      <c r="B2943" s="4" t="s">
        <v>1969</v>
      </c>
      <c r="C2943" s="4" t="s">
        <v>1970</v>
      </c>
      <c r="D2943" s="1">
        <f>DATE(2020,6,26)+TIME(10,29,57)</f>
        <v>44008.437465277777</v>
      </c>
    </row>
    <row r="2944" spans="1:4" ht="17">
      <c r="A2944" s="5" t="s">
        <v>4753</v>
      </c>
      <c r="B2944" s="5" t="s">
        <v>2575</v>
      </c>
      <c r="C2944" s="5" t="s">
        <v>4754</v>
      </c>
      <c r="D2944" s="2">
        <f>DATE(2020,5,12)+TIME(15,37,17)</f>
        <v>43963.650891203702</v>
      </c>
    </row>
    <row r="2945" spans="1:4" ht="17">
      <c r="A2945" s="5" t="s">
        <v>6469</v>
      </c>
      <c r="B2945" s="5" t="s">
        <v>6470</v>
      </c>
      <c r="C2945" s="5" t="s">
        <v>6471</v>
      </c>
      <c r="D2945" s="2">
        <f>DATE(2020,5,14)+TIME(20,36,44)</f>
        <v>43965.858842592592</v>
      </c>
    </row>
    <row r="2946" spans="1:4" ht="17">
      <c r="A2946" s="5" t="s">
        <v>220</v>
      </c>
      <c r="B2946" s="5" t="s">
        <v>1188</v>
      </c>
      <c r="C2946" s="5" t="s">
        <v>6086</v>
      </c>
      <c r="D2946" s="2">
        <f>DATE(2020,5,26)+TIME(9,52,22)</f>
        <v>43977.411365740743</v>
      </c>
    </row>
    <row r="2947" spans="1:4" ht="17">
      <c r="A2947" s="4" t="s">
        <v>5786</v>
      </c>
      <c r="B2947" s="4" t="s">
        <v>5787</v>
      </c>
      <c r="C2947" s="4" t="s">
        <v>5788</v>
      </c>
      <c r="D2947" s="1">
        <f>DATE(2020,6,5)+TIME(18,9,0)</f>
        <v>43987.756249999999</v>
      </c>
    </row>
    <row r="2948" spans="1:4" ht="17">
      <c r="A2948" s="5" t="s">
        <v>6631</v>
      </c>
      <c r="B2948" s="5" t="s">
        <v>6488</v>
      </c>
      <c r="C2948" s="5" t="s">
        <v>6632</v>
      </c>
      <c r="D2948" s="2">
        <f>DATE(2020,5,28)+TIME(16,30,26)</f>
        <v>43979.687800925924</v>
      </c>
    </row>
    <row r="2949" spans="1:4" ht="17">
      <c r="A2949" s="5" t="s">
        <v>2294</v>
      </c>
      <c r="B2949" s="5" t="s">
        <v>2295</v>
      </c>
      <c r="C2949" s="5" t="s">
        <v>2296</v>
      </c>
      <c r="D2949" s="2">
        <f>DATE(2020,5,14)+TIME(17,13,11)</f>
        <v>43965.717488425929</v>
      </c>
    </row>
    <row r="2950" spans="1:4" ht="17">
      <c r="A2950" s="5" t="s">
        <v>203</v>
      </c>
      <c r="B2950" s="5" t="s">
        <v>204</v>
      </c>
      <c r="C2950" s="5" t="s">
        <v>205</v>
      </c>
      <c r="D2950" s="2">
        <f>DATE(2020,5,5)+TIME(20,53,12)</f>
        <v>43956.87027777778</v>
      </c>
    </row>
    <row r="2951" spans="1:4" ht="17">
      <c r="A2951" s="4" t="s">
        <v>2479</v>
      </c>
      <c r="B2951" s="4" t="s">
        <v>1486</v>
      </c>
      <c r="C2951" s="4" t="s">
        <v>2480</v>
      </c>
      <c r="D2951" s="1">
        <f>DATE(2020,6,16)+TIME(22,11,28)</f>
        <v>43998.924629629626</v>
      </c>
    </row>
    <row r="2952" spans="1:4" ht="17">
      <c r="A2952" s="4" t="s">
        <v>4105</v>
      </c>
      <c r="B2952" s="4" t="s">
        <v>8314</v>
      </c>
      <c r="C2952" s="4" t="s">
        <v>8315</v>
      </c>
      <c r="D2952" s="1">
        <f>DATE(2020,4,9)+TIME(12,41,34)</f>
        <v>43930.528865740744</v>
      </c>
    </row>
    <row r="2953" spans="1:4" ht="17">
      <c r="A2953" s="4" t="s">
        <v>4105</v>
      </c>
      <c r="B2953" s="4" t="s">
        <v>8677</v>
      </c>
      <c r="C2953" s="4" t="s">
        <v>8678</v>
      </c>
      <c r="D2953" s="1">
        <f>DATE(2020,5,14)+TIME(11,42,4)</f>
        <v>43965.487546296295</v>
      </c>
    </row>
    <row r="2954" spans="1:4" ht="17">
      <c r="A2954" s="5" t="s">
        <v>4105</v>
      </c>
      <c r="B2954" s="5" t="s">
        <v>4106</v>
      </c>
      <c r="C2954" s="5" t="s">
        <v>4107</v>
      </c>
      <c r="D2954" s="2">
        <f>DATE(2020,6,20)+TIME(6,47,44)</f>
        <v>44002.283148148148</v>
      </c>
    </row>
    <row r="2955" spans="1:4" ht="17">
      <c r="A2955" s="4" t="s">
        <v>4105</v>
      </c>
      <c r="B2955" s="4" t="s">
        <v>8435</v>
      </c>
      <c r="C2955" s="4" t="s">
        <v>8436</v>
      </c>
      <c r="D2955" s="1">
        <f>DATE(2020,6,24)+TIME(17,25,54)</f>
        <v>44006.726319444446</v>
      </c>
    </row>
    <row r="2956" spans="1:4" ht="17">
      <c r="A2956" s="4" t="s">
        <v>6336</v>
      </c>
      <c r="B2956" s="4" t="s">
        <v>6337</v>
      </c>
      <c r="C2956" s="4" t="s">
        <v>6338</v>
      </c>
      <c r="D2956" s="1">
        <f>DATE(2020,6,16)+TIME(13,36,17)</f>
        <v>43998.566863425927</v>
      </c>
    </row>
    <row r="2957" spans="1:4" ht="17">
      <c r="A2957" s="5" t="s">
        <v>504</v>
      </c>
      <c r="B2957" s="5" t="s">
        <v>505</v>
      </c>
      <c r="C2957" s="5" t="s">
        <v>506</v>
      </c>
      <c r="D2957" s="2">
        <f>DATE(2020,5,17)+TIME(15,10,54)</f>
        <v>43968.632569444446</v>
      </c>
    </row>
    <row r="2958" spans="1:4" ht="17">
      <c r="A2958" s="4" t="s">
        <v>6744</v>
      </c>
      <c r="B2958" s="4" t="s">
        <v>6745</v>
      </c>
      <c r="C2958" s="4" t="s">
        <v>6746</v>
      </c>
      <c r="D2958" s="1">
        <f>DATE(2020,6,28)+TIME(9,38,29)</f>
        <v>44010.401724537034</v>
      </c>
    </row>
    <row r="2959" spans="1:4" ht="17">
      <c r="A2959" s="5" t="s">
        <v>4902</v>
      </c>
      <c r="B2959" s="5" t="s">
        <v>4903</v>
      </c>
      <c r="C2959" s="5" t="s">
        <v>4904</v>
      </c>
      <c r="D2959" s="2">
        <f>DATE(2020,6,17)+TIME(14,35,27)</f>
        <v>43999.607951388891</v>
      </c>
    </row>
    <row r="2960" spans="1:4" ht="17">
      <c r="A2960" s="5" t="s">
        <v>5207</v>
      </c>
      <c r="B2960" s="5" t="s">
        <v>2723</v>
      </c>
      <c r="C2960" s="5" t="s">
        <v>5208</v>
      </c>
      <c r="D2960" s="2">
        <f>DATE(2020,5,28)+TIME(2,16,6)</f>
        <v>43979.094513888886</v>
      </c>
    </row>
    <row r="2961" spans="1:4" ht="17">
      <c r="A2961" s="5" t="s">
        <v>2701</v>
      </c>
      <c r="B2961" s="5" t="s">
        <v>2702</v>
      </c>
      <c r="C2961" s="5" t="s">
        <v>2703</v>
      </c>
      <c r="D2961" s="2">
        <f>DATE(2020,6,26)+TIME(4,58,38)</f>
        <v>44008.207384259258</v>
      </c>
    </row>
    <row r="2962" spans="1:4" ht="17">
      <c r="A2962" s="4" t="s">
        <v>4517</v>
      </c>
      <c r="B2962" s="4" t="s">
        <v>8530</v>
      </c>
      <c r="C2962" s="4" t="s">
        <v>8531</v>
      </c>
      <c r="D2962" s="1">
        <f>DATE(2020,5,6)+TIME(3,38,47)</f>
        <v>43957.151932870373</v>
      </c>
    </row>
    <row r="2963" spans="1:4" ht="17">
      <c r="A2963" s="4" t="s">
        <v>4517</v>
      </c>
      <c r="B2963" s="4" t="s">
        <v>8629</v>
      </c>
      <c r="C2963" s="4" t="s">
        <v>8630</v>
      </c>
      <c r="D2963" s="1">
        <f>DATE(2020,5,14)+TIME(16,6,6)</f>
        <v>43965.670902777776</v>
      </c>
    </row>
    <row r="2964" spans="1:4" ht="17">
      <c r="A2964" s="5" t="s">
        <v>4781</v>
      </c>
      <c r="B2964" s="5" t="s">
        <v>4782</v>
      </c>
      <c r="C2964" s="5" t="s">
        <v>4783</v>
      </c>
      <c r="D2964" s="2">
        <f>DATE(2020,6,19)+TIME(19,25,43)</f>
        <v>44001.809525462966</v>
      </c>
    </row>
    <row r="2965" spans="1:4" ht="17">
      <c r="A2965" s="4" t="s">
        <v>4517</v>
      </c>
      <c r="B2965" s="4" t="s">
        <v>6542</v>
      </c>
      <c r="C2965" s="4" t="s">
        <v>6543</v>
      </c>
      <c r="D2965" s="1">
        <f>DATE(2020,6,23)+TIME(17,14,34)</f>
        <v>44005.718449074076</v>
      </c>
    </row>
    <row r="2966" spans="1:4" ht="17">
      <c r="A2966" s="5" t="s">
        <v>4517</v>
      </c>
      <c r="B2966" s="5" t="s">
        <v>4518</v>
      </c>
      <c r="C2966" s="5" t="s">
        <v>4519</v>
      </c>
      <c r="D2966" s="2">
        <f>DATE(2020,6,25)+TIME(21,3,46)</f>
        <v>44007.877615740741</v>
      </c>
    </row>
    <row r="2967" spans="1:4" ht="17">
      <c r="A2967" s="5" t="s">
        <v>4214</v>
      </c>
      <c r="B2967" s="5" t="s">
        <v>2286</v>
      </c>
      <c r="C2967" s="5" t="s">
        <v>4215</v>
      </c>
      <c r="D2967" s="2">
        <f>DATE(2020,6,22)+TIME(14,5,29)</f>
        <v>44004.587141203701</v>
      </c>
    </row>
    <row r="2968" spans="1:4" ht="17">
      <c r="A2968" s="4" t="s">
        <v>2349</v>
      </c>
      <c r="B2968" s="4" t="s">
        <v>2350</v>
      </c>
      <c r="C2968" s="4" t="s">
        <v>2351</v>
      </c>
      <c r="D2968" s="1">
        <f>DATE(2020,5,26)+TIME(12,10,22)</f>
        <v>43977.507199074076</v>
      </c>
    </row>
    <row r="2969" spans="1:4" ht="17">
      <c r="A2969" s="5" t="s">
        <v>2349</v>
      </c>
      <c r="B2969" s="5" t="s">
        <v>9162</v>
      </c>
      <c r="C2969" s="5" t="s">
        <v>9163</v>
      </c>
      <c r="D2969" s="2">
        <f>DATE(2020,6,10)+TIME(10,9,46)</f>
        <v>43992.423449074071</v>
      </c>
    </row>
    <row r="2970" spans="1:4" ht="17">
      <c r="A2970" s="4" t="s">
        <v>2572</v>
      </c>
      <c r="B2970" s="4" t="s">
        <v>2573</v>
      </c>
      <c r="C2970" s="4" t="s">
        <v>2574</v>
      </c>
      <c r="D2970" s="1">
        <f>DATE(2020,6,8)+TIME(3,9,30)</f>
        <v>43990.131597222222</v>
      </c>
    </row>
    <row r="2971" spans="1:4" ht="17">
      <c r="A2971" s="5" t="s">
        <v>591</v>
      </c>
      <c r="B2971" s="5" t="s">
        <v>7753</v>
      </c>
      <c r="C2971" s="5" t="s">
        <v>7754</v>
      </c>
      <c r="D2971" s="2">
        <f>DATE(2020,6,25)+TIME(5,1,1)</f>
        <v>44007.209039351852</v>
      </c>
    </row>
    <row r="2972" spans="1:4" ht="17">
      <c r="A2972" s="5" t="s">
        <v>591</v>
      </c>
      <c r="B2972" s="5" t="s">
        <v>592</v>
      </c>
      <c r="C2972" s="5" t="s">
        <v>593</v>
      </c>
      <c r="D2972" s="2">
        <f>DATE(2020,6,27)+TIME(4,42,56)</f>
        <v>44009.196481481478</v>
      </c>
    </row>
    <row r="2973" spans="1:4" ht="17">
      <c r="A2973" s="4" t="s">
        <v>8283</v>
      </c>
      <c r="B2973" s="4" t="s">
        <v>1402</v>
      </c>
      <c r="C2973" s="4" t="s">
        <v>8284</v>
      </c>
      <c r="D2973" s="1">
        <f>DATE(2020,6,19)+TIME(18,9,40)</f>
        <v>44001.756712962961</v>
      </c>
    </row>
    <row r="2974" spans="1:4" ht="17">
      <c r="A2974" s="4" t="s">
        <v>9274</v>
      </c>
      <c r="B2974" s="4" t="s">
        <v>9275</v>
      </c>
      <c r="C2974" s="4" t="s">
        <v>9276</v>
      </c>
      <c r="D2974" s="1">
        <f>DATE(2020,5,19)+TIME(10,24,41)</f>
        <v>43970.433807870373</v>
      </c>
    </row>
    <row r="2975" spans="1:4" ht="17">
      <c r="A2975" s="5" t="s">
        <v>946</v>
      </c>
      <c r="B2975" s="5" t="s">
        <v>947</v>
      </c>
      <c r="C2975" s="5" t="s">
        <v>948</v>
      </c>
      <c r="D2975" s="2">
        <f>DATE(2020,5,5)+TIME(17,42,56)</f>
        <v>43956.73814814815</v>
      </c>
    </row>
    <row r="2976" spans="1:4" ht="17">
      <c r="A2976" s="5" t="s">
        <v>946</v>
      </c>
      <c r="B2976" s="5" t="s">
        <v>6821</v>
      </c>
      <c r="C2976" s="5" t="s">
        <v>6822</v>
      </c>
      <c r="D2976" s="2">
        <f>DATE(2020,6,19)+TIME(11,7,49)</f>
        <v>44001.463761574072</v>
      </c>
    </row>
    <row r="2977" spans="1:4" ht="17">
      <c r="A2977" s="5" t="s">
        <v>946</v>
      </c>
      <c r="B2977" s="5" t="s">
        <v>8720</v>
      </c>
      <c r="C2977" s="5" t="s">
        <v>8721</v>
      </c>
      <c r="D2977" s="2">
        <f>DATE(2020,6,26)+TIME(17,56,15)</f>
        <v>44008.747395833336</v>
      </c>
    </row>
    <row r="2978" spans="1:4" ht="17">
      <c r="A2978" s="4" t="s">
        <v>946</v>
      </c>
      <c r="B2978" s="4" t="s">
        <v>6754</v>
      </c>
      <c r="C2978" s="4" t="s">
        <v>6755</v>
      </c>
      <c r="D2978" s="1">
        <f>DATE(2020,6,28)+TIME(16,14,0)</f>
        <v>44010.676388888889</v>
      </c>
    </row>
    <row r="2979" spans="1:4" ht="17">
      <c r="A2979" s="4" t="s">
        <v>36</v>
      </c>
      <c r="B2979" s="4" t="s">
        <v>37</v>
      </c>
      <c r="C2979" s="4" t="s">
        <v>38</v>
      </c>
      <c r="D2979" s="1">
        <f>DATE(2020,6,24)+TIME(1,56,23)</f>
        <v>44006.080821759257</v>
      </c>
    </row>
    <row r="2980" spans="1:4" ht="17">
      <c r="A2980" s="5" t="s">
        <v>7022</v>
      </c>
      <c r="B2980" s="5" t="s">
        <v>7023</v>
      </c>
      <c r="C2980" s="5" t="s">
        <v>7024</v>
      </c>
      <c r="D2980" s="2">
        <f>DATE(2020,6,24)+TIME(9,1,11)</f>
        <v>44006.375821759262</v>
      </c>
    </row>
    <row r="2981" spans="1:4" ht="17">
      <c r="A2981" s="5" t="s">
        <v>552</v>
      </c>
      <c r="B2981" s="5" t="s">
        <v>2179</v>
      </c>
      <c r="C2981" s="5" t="s">
        <v>2180</v>
      </c>
      <c r="D2981" s="2">
        <f>DATE(2020,5,15)+TIME(17,4,13)</f>
        <v>43966.711261574077</v>
      </c>
    </row>
    <row r="2982" spans="1:4" ht="17">
      <c r="A2982" s="5" t="s">
        <v>552</v>
      </c>
      <c r="B2982" s="5" t="s">
        <v>568</v>
      </c>
      <c r="C2982" s="5" t="s">
        <v>3964</v>
      </c>
      <c r="D2982" s="2">
        <f>DATE(2020,5,28)+TIME(17,46,45)</f>
        <v>43979.740798611114</v>
      </c>
    </row>
    <row r="2983" spans="1:4" ht="17">
      <c r="A2983" s="4" t="s">
        <v>552</v>
      </c>
      <c r="B2983" s="4" t="s">
        <v>553</v>
      </c>
      <c r="C2983" s="4" t="s">
        <v>554</v>
      </c>
      <c r="D2983" s="1">
        <f>DATE(2020,6,23)+TIME(22,32,9)</f>
        <v>44005.938993055555</v>
      </c>
    </row>
    <row r="2984" spans="1:4" ht="17">
      <c r="A2984" s="5" t="s">
        <v>1275</v>
      </c>
      <c r="B2984" s="5" t="s">
        <v>1276</v>
      </c>
      <c r="C2984" s="5" t="s">
        <v>1277</v>
      </c>
      <c r="D2984" s="2">
        <f>DATE(2020,6,28)+TIME(4,59,53)</f>
        <v>44010.208252314813</v>
      </c>
    </row>
    <row r="2985" spans="1:4" ht="17">
      <c r="A2985" s="4" t="s">
        <v>3649</v>
      </c>
      <c r="B2985" s="4" t="s">
        <v>3649</v>
      </c>
      <c r="C2985" s="4" t="s">
        <v>3650</v>
      </c>
      <c r="D2985" s="1">
        <f>DATE(2020,6,24)+TIME(12,6,21)</f>
        <v>44006.50440972222</v>
      </c>
    </row>
    <row r="2986" spans="1:4" ht="17">
      <c r="A2986" s="5" t="s">
        <v>2590</v>
      </c>
      <c r="B2986" s="5" t="s">
        <v>2591</v>
      </c>
      <c r="C2986" s="5" t="s">
        <v>2592</v>
      </c>
      <c r="D2986" s="2">
        <f>DATE(2020,6,16)+TIME(14,17,57)</f>
        <v>43998.59579861111</v>
      </c>
    </row>
    <row r="2987" spans="1:4" ht="17">
      <c r="A2987" s="5" t="s">
        <v>1657</v>
      </c>
      <c r="B2987" s="5" t="s">
        <v>3749</v>
      </c>
      <c r="C2987" s="5" t="s">
        <v>3750</v>
      </c>
      <c r="D2987" s="2">
        <f>DATE(2020,5,20)+TIME(17,6,6)</f>
        <v>43971.712569444448</v>
      </c>
    </row>
    <row r="2988" spans="1:4" ht="17">
      <c r="A2988" s="4" t="s">
        <v>1657</v>
      </c>
      <c r="B2988" s="4" t="s">
        <v>109</v>
      </c>
      <c r="C2988" s="4" t="s">
        <v>2090</v>
      </c>
      <c r="D2988" s="1">
        <f>DATE(2020,6,8)+TIME(14,21,45)</f>
        <v>43990.598437499997</v>
      </c>
    </row>
    <row r="2989" spans="1:4" ht="17">
      <c r="A2989" s="4" t="s">
        <v>1657</v>
      </c>
      <c r="B2989" s="4" t="s">
        <v>2286</v>
      </c>
      <c r="C2989" s="4" t="s">
        <v>2938</v>
      </c>
      <c r="D2989" s="1">
        <f>DATE(2020,6,18)+TIME(13,55,50)</f>
        <v>44000.580439814818</v>
      </c>
    </row>
    <row r="2990" spans="1:4" ht="17">
      <c r="A2990" s="4" t="s">
        <v>1657</v>
      </c>
      <c r="B2990" s="4" t="s">
        <v>1658</v>
      </c>
      <c r="C2990" s="4" t="s">
        <v>1659</v>
      </c>
      <c r="D2990" s="1">
        <f>DATE(2020,6,22)+TIME(14,56,6)</f>
        <v>44004.622291666667</v>
      </c>
    </row>
    <row r="2991" spans="1:4" ht="17">
      <c r="A2991" s="4" t="s">
        <v>9048</v>
      </c>
      <c r="B2991" s="4" t="s">
        <v>6854</v>
      </c>
      <c r="C2991" s="4" t="s">
        <v>9049</v>
      </c>
      <c r="D2991" s="1">
        <f>DATE(2020,5,11)+TIME(13,55,4)</f>
        <v>43962.579907407409</v>
      </c>
    </row>
    <row r="2992" spans="1:4" ht="17">
      <c r="A2992" s="5" t="s">
        <v>9084</v>
      </c>
      <c r="B2992" s="5" t="s">
        <v>9085</v>
      </c>
      <c r="C2992" s="5" t="s">
        <v>9086</v>
      </c>
      <c r="D2992" s="2">
        <f>DATE(2020,5,8)+TIME(15,56,33)</f>
        <v>43959.664270833331</v>
      </c>
    </row>
    <row r="2993" spans="1:4" ht="17">
      <c r="A2993" s="5" t="s">
        <v>9392</v>
      </c>
      <c r="B2993" s="5" t="s">
        <v>9393</v>
      </c>
      <c r="C2993" s="5" t="s">
        <v>9394</v>
      </c>
      <c r="D2993" s="2">
        <f>DATE(2020,5,5)+TIME(15,52,7)</f>
        <v>43956.661192129628</v>
      </c>
    </row>
    <row r="2994" spans="1:4" ht="17">
      <c r="A2994" s="5" t="s">
        <v>6058</v>
      </c>
      <c r="B2994" s="5" t="s">
        <v>6059</v>
      </c>
      <c r="C2994" s="5" t="s">
        <v>6060</v>
      </c>
      <c r="D2994" s="2">
        <f>DATE(2020,6,26)+TIME(15,44,29)</f>
        <v>44008.655891203707</v>
      </c>
    </row>
    <row r="2995" spans="1:4" ht="17">
      <c r="A2995" s="4" t="s">
        <v>7677</v>
      </c>
      <c r="B2995" s="4" t="s">
        <v>7678</v>
      </c>
      <c r="C2995" s="4" t="s">
        <v>7679</v>
      </c>
      <c r="D2995" s="1">
        <f>DATE(2020,6,29)+TIME(10,12,11)</f>
        <v>44011.425127314818</v>
      </c>
    </row>
    <row r="2996" spans="1:4" ht="17">
      <c r="A2996" s="4" t="s">
        <v>2285</v>
      </c>
      <c r="B2996" s="4" t="s">
        <v>2286</v>
      </c>
      <c r="C2996" s="4" t="s">
        <v>2287</v>
      </c>
      <c r="D2996" s="1">
        <f>DATE(2020,6,26)+TIME(9,56,32)</f>
        <v>44008.414259259262</v>
      </c>
    </row>
    <row r="2997" spans="1:4" ht="17">
      <c r="A2997" s="4" t="s">
        <v>6921</v>
      </c>
      <c r="B2997" s="4" t="s">
        <v>6922</v>
      </c>
      <c r="C2997" s="4" t="s">
        <v>6923</v>
      </c>
      <c r="D2997" s="1">
        <f>DATE(2020,6,13)+TIME(4,33,44)</f>
        <v>43995.190092592595</v>
      </c>
    </row>
    <row r="2998" spans="1:4" ht="17">
      <c r="A2998" s="5" t="s">
        <v>3572</v>
      </c>
      <c r="B2998" s="5" t="s">
        <v>3573</v>
      </c>
      <c r="C2998" s="5" t="s">
        <v>3574</v>
      </c>
      <c r="D2998" s="2">
        <f>DATE(2020,5,7)+TIME(21,7,5)</f>
        <v>43958.879918981482</v>
      </c>
    </row>
    <row r="2999" spans="1:4" ht="17">
      <c r="A2999" s="4" t="s">
        <v>7389</v>
      </c>
      <c r="B2999" s="4" t="s">
        <v>7390</v>
      </c>
      <c r="C2999" s="4" t="s">
        <v>7391</v>
      </c>
      <c r="D2999" s="1">
        <f>DATE(2020,6,19)+TIME(23,58,48)</f>
        <v>44001.999166666668</v>
      </c>
    </row>
    <row r="3000" spans="1:4" ht="17">
      <c r="A3000" s="4" t="s">
        <v>7389</v>
      </c>
      <c r="B3000" s="4" t="s">
        <v>352</v>
      </c>
      <c r="C3000" s="4" t="s">
        <v>8501</v>
      </c>
      <c r="D3000" s="1">
        <f>DATE(2020,6,29)+TIME(10,46,54)</f>
        <v>44011.449236111112</v>
      </c>
    </row>
    <row r="3001" spans="1:4" ht="17">
      <c r="A3001" s="4" t="s">
        <v>2233</v>
      </c>
      <c r="B3001" s="4" t="s">
        <v>2234</v>
      </c>
      <c r="C3001" s="4" t="s">
        <v>2235</v>
      </c>
      <c r="D3001" s="1">
        <f>DATE(2020,6,24)+TIME(18,34,35)</f>
        <v>44006.774016203701</v>
      </c>
    </row>
    <row r="3002" spans="1:4" ht="17">
      <c r="A3002" s="5" t="s">
        <v>3716</v>
      </c>
      <c r="B3002" s="5" t="s">
        <v>7312</v>
      </c>
      <c r="C3002" s="5" t="s">
        <v>7313</v>
      </c>
      <c r="D3002" s="2">
        <f>DATE(2020,3,10)+TIME(15,24,7)</f>
        <v>43900.641747685186</v>
      </c>
    </row>
    <row r="3003" spans="1:4" ht="17">
      <c r="A3003" s="4" t="s">
        <v>3716</v>
      </c>
      <c r="B3003" s="4" t="s">
        <v>3803</v>
      </c>
      <c r="C3003" s="4" t="s">
        <v>3804</v>
      </c>
      <c r="D3003" s="1">
        <f>DATE(2020,6,24)+TIME(8,47,39)</f>
        <v>44006.366423611114</v>
      </c>
    </row>
    <row r="3004" spans="1:4" ht="17">
      <c r="A3004" s="5" t="s">
        <v>3716</v>
      </c>
      <c r="B3004" s="5" t="s">
        <v>7048</v>
      </c>
      <c r="C3004" s="5" t="s">
        <v>7049</v>
      </c>
      <c r="D3004" s="2">
        <f>DATE(2020,6,24)+TIME(11,49,44)</f>
        <v>44006.49287037037</v>
      </c>
    </row>
    <row r="3005" spans="1:4" ht="17">
      <c r="A3005" s="5" t="s">
        <v>3716</v>
      </c>
      <c r="B3005" s="5" t="s">
        <v>254</v>
      </c>
      <c r="C3005" s="5" t="s">
        <v>7564</v>
      </c>
      <c r="D3005" s="2">
        <f>DATE(2020,6,25)+TIME(11,0,16)</f>
        <v>44007.458518518521</v>
      </c>
    </row>
    <row r="3006" spans="1:4" ht="17">
      <c r="A3006" s="4" t="s">
        <v>3716</v>
      </c>
      <c r="B3006" s="4" t="s">
        <v>8496</v>
      </c>
      <c r="C3006" s="4" t="s">
        <v>8497</v>
      </c>
      <c r="D3006" s="1">
        <f>DATE(2020,6,26)+TIME(3,0,26)</f>
        <v>44008.125300925924</v>
      </c>
    </row>
    <row r="3007" spans="1:4" ht="17">
      <c r="A3007" s="4" t="s">
        <v>3716</v>
      </c>
      <c r="B3007" s="4" t="s">
        <v>3717</v>
      </c>
      <c r="C3007" s="4" t="s">
        <v>3718</v>
      </c>
      <c r="D3007" s="1">
        <f>DATE(2020,6,26)+TIME(15,23,52)</f>
        <v>44008.641574074078</v>
      </c>
    </row>
    <row r="3008" spans="1:4" ht="17">
      <c r="A3008" s="4" t="s">
        <v>3716</v>
      </c>
      <c r="B3008" s="4" t="s">
        <v>9283</v>
      </c>
      <c r="C3008" s="4" t="s">
        <v>9284</v>
      </c>
      <c r="D3008" s="1">
        <f>DATE(2020,6,27)+TIME(18,46,17)</f>
        <v>44009.782141203701</v>
      </c>
    </row>
    <row r="3009" spans="1:4" ht="17">
      <c r="A3009" s="5" t="s">
        <v>277</v>
      </c>
      <c r="B3009" s="5" t="s">
        <v>278</v>
      </c>
      <c r="C3009" s="5" t="s">
        <v>279</v>
      </c>
      <c r="D3009" s="2">
        <f>DATE(2020,6,20)+TIME(15,41,18)</f>
        <v>44002.653680555559</v>
      </c>
    </row>
    <row r="3010" spans="1:4" ht="17">
      <c r="A3010" s="4" t="s">
        <v>277</v>
      </c>
      <c r="B3010" s="4" t="s">
        <v>6771</v>
      </c>
      <c r="C3010" s="4" t="s">
        <v>6772</v>
      </c>
      <c r="D3010" s="1">
        <f>DATE(2020,6,26)+TIME(8,27,46)</f>
        <v>44008.35261574074</v>
      </c>
    </row>
    <row r="3011" spans="1:4" ht="17">
      <c r="A3011" s="4" t="s">
        <v>277</v>
      </c>
      <c r="B3011" s="4" t="s">
        <v>7668</v>
      </c>
      <c r="C3011" s="4" t="s">
        <v>7669</v>
      </c>
      <c r="D3011" s="1">
        <f>DATE(2020,6,29)+TIME(11,38,51)</f>
        <v>44011.485312500001</v>
      </c>
    </row>
    <row r="3012" spans="1:4" ht="17">
      <c r="A3012" s="5" t="s">
        <v>1636</v>
      </c>
      <c r="B3012" s="5" t="s">
        <v>1637</v>
      </c>
      <c r="C3012" s="5" t="s">
        <v>1638</v>
      </c>
      <c r="D3012" s="2">
        <f>DATE(2020,6,22)+TIME(15,35,47)</f>
        <v>44004.64984953704</v>
      </c>
    </row>
    <row r="3013" spans="1:4" ht="17">
      <c r="A3013" s="4" t="s">
        <v>3969</v>
      </c>
      <c r="B3013" s="4" t="s">
        <v>3970</v>
      </c>
      <c r="C3013" s="4" t="s">
        <v>3971</v>
      </c>
      <c r="D3013" s="1">
        <f>DATE(2020,5,5)+TIME(16,41,8)</f>
        <v>43956.695231481484</v>
      </c>
    </row>
    <row r="3014" spans="1:4" ht="17">
      <c r="A3014" s="4" t="s">
        <v>7116</v>
      </c>
      <c r="B3014" s="4" t="s">
        <v>3365</v>
      </c>
      <c r="C3014" s="4" t="s">
        <v>7117</v>
      </c>
      <c r="D3014" s="1">
        <f>DATE(2020,6,27)+TIME(6,29,2)</f>
        <v>44009.270162037035</v>
      </c>
    </row>
    <row r="3015" spans="1:4" ht="17">
      <c r="A3015" s="4" t="s">
        <v>3233</v>
      </c>
      <c r="B3015" s="4" t="s">
        <v>3234</v>
      </c>
      <c r="C3015" s="4" t="s">
        <v>3235</v>
      </c>
      <c r="D3015" s="1">
        <f>DATE(2020,6,19)+TIME(0,32,29)</f>
        <v>44001.022557870368</v>
      </c>
    </row>
    <row r="3016" spans="1:4" ht="17">
      <c r="A3016" s="5" t="s">
        <v>9046</v>
      </c>
      <c r="B3016" s="5" t="s">
        <v>311</v>
      </c>
      <c r="C3016" s="5" t="s">
        <v>9047</v>
      </c>
      <c r="D3016" s="2">
        <f>DATE(2020,6,22)+TIME(15,0,38)</f>
        <v>44004.625439814816</v>
      </c>
    </row>
    <row r="3017" spans="1:4" ht="17">
      <c r="A3017" s="4" t="s">
        <v>6440</v>
      </c>
      <c r="B3017" s="4" t="s">
        <v>2442</v>
      </c>
      <c r="C3017" s="4" t="s">
        <v>6441</v>
      </c>
      <c r="D3017" s="1">
        <f>DATE(2020,5,31)+TIME(8,53,3)</f>
        <v>43982.370173611111</v>
      </c>
    </row>
    <row r="3018" spans="1:4" ht="17">
      <c r="A3018" s="4" t="s">
        <v>429</v>
      </c>
      <c r="B3018" s="4" t="s">
        <v>430</v>
      </c>
      <c r="C3018" s="4" t="s">
        <v>431</v>
      </c>
      <c r="D3018" s="1">
        <f>DATE(2020,5,5)+TIME(20,12,37)</f>
        <v>43956.842094907406</v>
      </c>
    </row>
    <row r="3019" spans="1:4" ht="17">
      <c r="A3019" s="4" t="s">
        <v>1112</v>
      </c>
      <c r="B3019" s="4" t="s">
        <v>1113</v>
      </c>
      <c r="C3019" s="4" t="s">
        <v>1114</v>
      </c>
      <c r="D3019" s="1">
        <f>DATE(2020,6,23)+TIME(15,32,53)</f>
        <v>44005.647835648146</v>
      </c>
    </row>
    <row r="3020" spans="1:4" ht="17">
      <c r="A3020" s="4" t="s">
        <v>2806</v>
      </c>
      <c r="B3020" s="4" t="s">
        <v>1853</v>
      </c>
      <c r="C3020" s="4" t="s">
        <v>2808</v>
      </c>
      <c r="D3020" s="1">
        <f>DATE(2020,6,24)+TIME(3,31,8)</f>
        <v>44006.146620370368</v>
      </c>
    </row>
    <row r="3021" spans="1:4" ht="17">
      <c r="A3021" s="5" t="s">
        <v>2806</v>
      </c>
      <c r="B3021" s="5" t="s">
        <v>545</v>
      </c>
      <c r="C3021" s="5" t="s">
        <v>3173</v>
      </c>
      <c r="D3021" s="2">
        <f>DATE(2020,6,25)+TIME(17,57,40)</f>
        <v>44007.748379629629</v>
      </c>
    </row>
    <row r="3022" spans="1:4" ht="17">
      <c r="A3022" s="4" t="s">
        <v>6950</v>
      </c>
      <c r="B3022" s="4" t="s">
        <v>5437</v>
      </c>
      <c r="C3022" s="4" t="s">
        <v>6951</v>
      </c>
      <c r="D3022" s="1">
        <f>DATE(2020,6,2)+TIME(9,53,43)</f>
        <v>43984.412303240744</v>
      </c>
    </row>
    <row r="3023" spans="1:4" ht="17">
      <c r="A3023" s="4" t="s">
        <v>4963</v>
      </c>
      <c r="B3023" s="4" t="s">
        <v>4964</v>
      </c>
      <c r="C3023" s="4" t="s">
        <v>4965</v>
      </c>
      <c r="D3023" s="1">
        <f>DATE(2020,5,13)+TIME(23,32,41)</f>
        <v>43964.981030092589</v>
      </c>
    </row>
    <row r="3024" spans="1:4" ht="17">
      <c r="A3024" s="4" t="s">
        <v>1785</v>
      </c>
      <c r="B3024" s="4" t="s">
        <v>1786</v>
      </c>
      <c r="C3024" s="4" t="s">
        <v>1787</v>
      </c>
      <c r="D3024" s="1">
        <f>DATE(2020,6,17)+TIME(18,32,49)</f>
        <v>43999.772789351853</v>
      </c>
    </row>
    <row r="3025" spans="1:4" ht="17">
      <c r="A3025" s="4" t="s">
        <v>1673</v>
      </c>
      <c r="B3025" s="4" t="s">
        <v>1674</v>
      </c>
      <c r="C3025" s="4" t="s">
        <v>1675</v>
      </c>
      <c r="D3025" s="1">
        <f>DATE(2020,4,9)+TIME(14,1,21)</f>
        <v>43930.584270833337</v>
      </c>
    </row>
    <row r="3026" spans="1:4" ht="17">
      <c r="A3026" s="4" t="s">
        <v>4585</v>
      </c>
      <c r="B3026" s="4" t="s">
        <v>4586</v>
      </c>
      <c r="C3026" s="4" t="s">
        <v>4587</v>
      </c>
      <c r="D3026" s="1">
        <f>DATE(2020,5,13)+TIME(3,54,28)</f>
        <v>43964.162824074076</v>
      </c>
    </row>
    <row r="3027" spans="1:4" ht="17">
      <c r="A3027" s="4" t="s">
        <v>5227</v>
      </c>
      <c r="B3027" s="4" t="s">
        <v>5228</v>
      </c>
      <c r="C3027" s="4" t="s">
        <v>5229</v>
      </c>
      <c r="D3027" s="1">
        <f>DATE(2020,6,24)+TIME(14,31,7)</f>
        <v>44006.604942129627</v>
      </c>
    </row>
    <row r="3028" spans="1:4" ht="17">
      <c r="A3028" s="4" t="s">
        <v>5227</v>
      </c>
      <c r="B3028" s="4" t="s">
        <v>9143</v>
      </c>
      <c r="C3028" s="4" t="s">
        <v>9144</v>
      </c>
      <c r="D3028" s="1">
        <f>DATE(2020,6,26)+TIME(12,53,19)</f>
        <v>44008.53702546296</v>
      </c>
    </row>
    <row r="3029" spans="1:4" ht="17">
      <c r="A3029" s="5" t="s">
        <v>6259</v>
      </c>
      <c r="B3029" s="5" t="s">
        <v>6260</v>
      </c>
      <c r="C3029" s="5" t="s">
        <v>6261</v>
      </c>
      <c r="D3029" s="2">
        <f>DATE(2020,6,24)+TIME(9,33,38)</f>
        <v>44006.398356481484</v>
      </c>
    </row>
    <row r="3030" spans="1:4" ht="17">
      <c r="A3030" s="4" t="s">
        <v>42</v>
      </c>
      <c r="B3030" s="4" t="s">
        <v>43</v>
      </c>
      <c r="C3030" s="4" t="s">
        <v>44</v>
      </c>
      <c r="D3030" s="1">
        <f>DATE(2020,5,16)+TIME(8,30,52)</f>
        <v>43967.354768518519</v>
      </c>
    </row>
    <row r="3031" spans="1:4" ht="17">
      <c r="A3031" s="4" t="s">
        <v>42</v>
      </c>
      <c r="B3031" s="4" t="s">
        <v>4773</v>
      </c>
      <c r="C3031" s="4" t="s">
        <v>4774</v>
      </c>
      <c r="D3031" s="1">
        <f>DATE(2020,6,24)+TIME(14,9,48)</f>
        <v>44006.590138888889</v>
      </c>
    </row>
    <row r="3032" spans="1:4" ht="17">
      <c r="A3032" s="5" t="s">
        <v>5054</v>
      </c>
      <c r="B3032" s="5" t="s">
        <v>5055</v>
      </c>
      <c r="C3032" s="5" t="s">
        <v>5056</v>
      </c>
      <c r="D3032" s="2">
        <f>DATE(2020,5,18)+TIME(11,30,11)</f>
        <v>43969.47929398148</v>
      </c>
    </row>
    <row r="3033" spans="1:4" ht="17">
      <c r="A3033" s="5" t="s">
        <v>6147</v>
      </c>
      <c r="B3033" s="5" t="s">
        <v>830</v>
      </c>
      <c r="C3033" s="5" t="s">
        <v>6148</v>
      </c>
      <c r="D3033" s="2">
        <f>DATE(2020,6,3)+TIME(12,17,18)</f>
        <v>43985.512013888889</v>
      </c>
    </row>
    <row r="3034" spans="1:4" ht="17">
      <c r="A3034" s="5" t="s">
        <v>8716</v>
      </c>
      <c r="B3034" s="5" t="s">
        <v>8717</v>
      </c>
      <c r="C3034" s="5" t="s">
        <v>8718</v>
      </c>
      <c r="D3034" s="2">
        <f>DATE(2020,6,26)+TIME(13,38,9)</f>
        <v>44008.568159722221</v>
      </c>
    </row>
    <row r="3035" spans="1:4" ht="17">
      <c r="A3035" s="4" t="s">
        <v>9075</v>
      </c>
      <c r="B3035" s="4" t="s">
        <v>9076</v>
      </c>
      <c r="C3035" s="4" t="s">
        <v>9077</v>
      </c>
      <c r="D3035" s="1">
        <f>DATE(2020,6,22)+TIME(6,51,54)</f>
        <v>44004.286041666666</v>
      </c>
    </row>
    <row r="3036" spans="1:4" ht="17">
      <c r="A3036" s="5" t="s">
        <v>3714</v>
      </c>
      <c r="B3036" s="5" t="s">
        <v>3695</v>
      </c>
      <c r="C3036" s="5" t="s">
        <v>3715</v>
      </c>
      <c r="D3036" s="2">
        <f>DATE(2020,5,29)+TIME(13,49,25)</f>
        <v>43980.575983796298</v>
      </c>
    </row>
    <row r="3037" spans="1:4" ht="17">
      <c r="A3037" s="5" t="s">
        <v>4798</v>
      </c>
      <c r="B3037" s="5" t="s">
        <v>272</v>
      </c>
      <c r="C3037" s="5" t="s">
        <v>4799</v>
      </c>
      <c r="D3037" s="2">
        <f>DATE(2020,6,15)+TIME(12,6,9)</f>
        <v>43997.504270833335</v>
      </c>
    </row>
    <row r="3038" spans="1:4" ht="17">
      <c r="A3038" s="5" t="s">
        <v>3020</v>
      </c>
      <c r="B3038" s="5" t="s">
        <v>3021</v>
      </c>
      <c r="C3038" s="5" t="s">
        <v>3022</v>
      </c>
      <c r="D3038" s="2">
        <f>DATE(2020,6,12)+TIME(20,22,7)</f>
        <v>43994.848692129628</v>
      </c>
    </row>
    <row r="3039" spans="1:4" ht="17">
      <c r="A3039" s="4" t="s">
        <v>5862</v>
      </c>
      <c r="B3039" s="4" t="s">
        <v>5863</v>
      </c>
      <c r="C3039" s="4" t="s">
        <v>5864</v>
      </c>
      <c r="D3039" s="1">
        <f>DATE(2020,6,25)+TIME(11,55,14)</f>
        <v>44007.496689814812</v>
      </c>
    </row>
    <row r="3040" spans="1:4" ht="17">
      <c r="A3040" s="5" t="s">
        <v>8626</v>
      </c>
      <c r="B3040" s="5" t="s">
        <v>8627</v>
      </c>
      <c r="C3040" s="5" t="s">
        <v>8628</v>
      </c>
      <c r="D3040" s="2">
        <f>DATE(2020,5,14)+TIME(16,6,6)</f>
        <v>43965.670902777776</v>
      </c>
    </row>
    <row r="3041" spans="1:4" ht="17">
      <c r="A3041" s="5" t="s">
        <v>8928</v>
      </c>
      <c r="B3041" s="5" t="s">
        <v>2792</v>
      </c>
      <c r="C3041" s="5" t="s">
        <v>8929</v>
      </c>
      <c r="D3041" s="2">
        <f>DATE(2020,6,2)+TIME(15,31,42)</f>
        <v>43984.647013888891</v>
      </c>
    </row>
    <row r="3042" spans="1:4" ht="17">
      <c r="A3042" s="5" t="s">
        <v>4621</v>
      </c>
      <c r="B3042" s="5" t="s">
        <v>311</v>
      </c>
      <c r="C3042" s="5" t="s">
        <v>4622</v>
      </c>
      <c r="D3042" s="2">
        <f>DATE(2020,6,19)+TIME(7,44,36)</f>
        <v>44001.322638888887</v>
      </c>
    </row>
    <row r="3043" spans="1:4" ht="17">
      <c r="A3043" s="4" t="s">
        <v>1615</v>
      </c>
      <c r="B3043" s="4" t="s">
        <v>3897</v>
      </c>
      <c r="C3043" s="4" t="s">
        <v>3898</v>
      </c>
      <c r="D3043" s="1">
        <f>DATE(2020,4,2)+TIME(20,40,40)</f>
        <v>43923.861574074072</v>
      </c>
    </row>
    <row r="3044" spans="1:4" ht="17">
      <c r="A3044" s="4" t="s">
        <v>1615</v>
      </c>
      <c r="B3044" s="4" t="s">
        <v>6175</v>
      </c>
      <c r="C3044" s="4" t="s">
        <v>6176</v>
      </c>
      <c r="D3044" s="1">
        <f>DATE(2020,4,3)+TIME(15,50,0)</f>
        <v>43924.659722222219</v>
      </c>
    </row>
    <row r="3045" spans="1:4" ht="17">
      <c r="A3045" s="4" t="s">
        <v>1615</v>
      </c>
      <c r="B3045" s="4" t="s">
        <v>7484</v>
      </c>
      <c r="C3045" s="4" t="s">
        <v>7485</v>
      </c>
      <c r="D3045" s="1">
        <f>DATE(2020,5,6)+TIME(3,59,33)</f>
        <v>43957.166354166664</v>
      </c>
    </row>
    <row r="3046" spans="1:4" ht="17">
      <c r="A3046" s="5" t="s">
        <v>1615</v>
      </c>
      <c r="B3046" s="5" t="s">
        <v>7302</v>
      </c>
      <c r="C3046" s="5" t="s">
        <v>7303</v>
      </c>
      <c r="D3046" s="2">
        <f>DATE(2020,5,6)+TIME(14,0,47)</f>
        <v>43957.583877314813</v>
      </c>
    </row>
    <row r="3047" spans="1:4" ht="17">
      <c r="A3047" s="5" t="s">
        <v>1615</v>
      </c>
      <c r="B3047" s="5" t="s">
        <v>853</v>
      </c>
      <c r="C3047" s="5" t="s">
        <v>3899</v>
      </c>
      <c r="D3047" s="2">
        <f>DATE(2020,5,20)+TIME(16,30,16)</f>
        <v>43971.687685185185</v>
      </c>
    </row>
    <row r="3048" spans="1:4" ht="17">
      <c r="A3048" s="4" t="s">
        <v>1615</v>
      </c>
      <c r="B3048" s="4" t="s">
        <v>1616</v>
      </c>
      <c r="C3048" s="4" t="s">
        <v>1617</v>
      </c>
      <c r="D3048" s="1">
        <f>DATE(2020,5,22)+TIME(0,44,45)</f>
        <v>43973.031076388892</v>
      </c>
    </row>
    <row r="3049" spans="1:4" ht="17">
      <c r="A3049" s="4" t="s">
        <v>462</v>
      </c>
      <c r="B3049" s="4" t="s">
        <v>463</v>
      </c>
      <c r="C3049" s="4" t="s">
        <v>464</v>
      </c>
      <c r="D3049" s="1">
        <f>DATE(2020,5,20)+TIME(11,35,36)</f>
        <v>43971.483055555553</v>
      </c>
    </row>
    <row r="3050" spans="1:4" ht="17">
      <c r="A3050" s="5" t="s">
        <v>462</v>
      </c>
      <c r="B3050" s="5" t="s">
        <v>2976</v>
      </c>
      <c r="C3050" s="5" t="s">
        <v>2977</v>
      </c>
      <c r="D3050" s="2">
        <f>DATE(2020,5,21)+TIME(17,45,17)</f>
        <v>43972.73978009259</v>
      </c>
    </row>
    <row r="3051" spans="1:4" ht="17">
      <c r="A3051" s="5" t="s">
        <v>462</v>
      </c>
      <c r="B3051" s="5" t="s">
        <v>7160</v>
      </c>
      <c r="C3051" s="5" t="s">
        <v>7161</v>
      </c>
      <c r="D3051" s="2">
        <f>DATE(2020,6,24)+TIME(5,14,58)</f>
        <v>44006.218726851854</v>
      </c>
    </row>
    <row r="3052" spans="1:4" ht="17">
      <c r="A3052" s="4" t="s">
        <v>1178</v>
      </c>
      <c r="B3052" s="4" t="s">
        <v>9538</v>
      </c>
      <c r="C3052" s="4" t="s">
        <v>9539</v>
      </c>
      <c r="D3052" s="1">
        <f>DATE(2020,5,5)+TIME(16,3,54)</f>
        <v>43956.669374999998</v>
      </c>
    </row>
    <row r="3053" spans="1:4" ht="17">
      <c r="A3053" s="4" t="s">
        <v>1178</v>
      </c>
      <c r="B3053" s="4" t="s">
        <v>6880</v>
      </c>
      <c r="C3053" s="4" t="s">
        <v>6881</v>
      </c>
      <c r="D3053" s="1">
        <f>DATE(2020,5,6)+TIME(9,29,25)</f>
        <v>43957.395428240743</v>
      </c>
    </row>
    <row r="3054" spans="1:4" ht="17">
      <c r="A3054" s="4" t="s">
        <v>1178</v>
      </c>
      <c r="B3054" s="4" t="s">
        <v>6793</v>
      </c>
      <c r="C3054" s="4" t="s">
        <v>6794</v>
      </c>
      <c r="D3054" s="1">
        <f>DATE(2020,5,6)+TIME(9,43,19)</f>
        <v>43957.405081018522</v>
      </c>
    </row>
    <row r="3055" spans="1:4" ht="17">
      <c r="A3055" s="4" t="s">
        <v>1178</v>
      </c>
      <c r="B3055" s="4" t="s">
        <v>7663</v>
      </c>
      <c r="C3055" s="4" t="s">
        <v>7664</v>
      </c>
      <c r="D3055" s="1">
        <f>DATE(2020,5,9)+TIME(4,15,40)</f>
        <v>43960.177546296298</v>
      </c>
    </row>
    <row r="3056" spans="1:4" ht="17">
      <c r="A3056" s="4" t="s">
        <v>1178</v>
      </c>
      <c r="B3056" s="4" t="s">
        <v>1179</v>
      </c>
      <c r="C3056" s="4" t="s">
        <v>1180</v>
      </c>
      <c r="D3056" s="1">
        <f>DATE(2020,5,12)+TIME(19,20,53)</f>
        <v>43963.806168981479</v>
      </c>
    </row>
    <row r="3057" spans="1:4" ht="17">
      <c r="A3057" s="5" t="s">
        <v>1178</v>
      </c>
      <c r="B3057" s="5" t="s">
        <v>2898</v>
      </c>
      <c r="C3057" s="5" t="s">
        <v>2899</v>
      </c>
      <c r="D3057" s="2">
        <f>DATE(2020,5,14)+TIME(3,56,44)</f>
        <v>43965.164398148147</v>
      </c>
    </row>
    <row r="3058" spans="1:4" ht="17">
      <c r="A3058" s="5" t="s">
        <v>8734</v>
      </c>
      <c r="B3058" s="5" t="s">
        <v>8735</v>
      </c>
      <c r="C3058" s="5" t="s">
        <v>8736</v>
      </c>
      <c r="D3058" s="2">
        <f>DATE(2020,5,15)+TIME(10,44,50)</f>
        <v>43966.447800925926</v>
      </c>
    </row>
    <row r="3059" spans="1:4" ht="17">
      <c r="A3059" s="5" t="s">
        <v>1178</v>
      </c>
      <c r="B3059" s="5" t="s">
        <v>2430</v>
      </c>
      <c r="C3059" s="5" t="s">
        <v>2431</v>
      </c>
      <c r="D3059" s="2">
        <f>DATE(2020,6,5)+TIME(14,32,53)</f>
        <v>43987.606168981481</v>
      </c>
    </row>
    <row r="3060" spans="1:4" ht="17">
      <c r="A3060" s="4" t="s">
        <v>1178</v>
      </c>
      <c r="B3060" s="4" t="s">
        <v>5080</v>
      </c>
      <c r="C3060" s="4" t="s">
        <v>5081</v>
      </c>
      <c r="D3060" s="1">
        <f>DATE(2020,6,5)+TIME(18,17,55)</f>
        <v>43987.762442129628</v>
      </c>
    </row>
    <row r="3061" spans="1:4" ht="17">
      <c r="A3061" s="4" t="s">
        <v>1178</v>
      </c>
      <c r="B3061" s="4" t="s">
        <v>7248</v>
      </c>
      <c r="C3061" s="4" t="s">
        <v>9279</v>
      </c>
      <c r="D3061" s="1">
        <f>DATE(2020,6,17)+TIME(8,5,9)</f>
        <v>43999.336909722224</v>
      </c>
    </row>
    <row r="3062" spans="1:4" ht="17">
      <c r="A3062" s="4" t="s">
        <v>1178</v>
      </c>
      <c r="B3062" s="4" t="s">
        <v>2559</v>
      </c>
      <c r="C3062" s="4" t="s">
        <v>8782</v>
      </c>
      <c r="D3062" s="1">
        <f>DATE(2020,6,23)+TIME(12,51,47)</f>
        <v>44005.535960648151</v>
      </c>
    </row>
    <row r="3063" spans="1:4" ht="17">
      <c r="A3063" s="4" t="s">
        <v>1178</v>
      </c>
      <c r="B3063" s="4" t="s">
        <v>6816</v>
      </c>
      <c r="C3063" s="4" t="s">
        <v>7265</v>
      </c>
      <c r="D3063" s="1">
        <f>DATE(2020,6,24)+TIME(22,52,27)</f>
        <v>44006.953090277777</v>
      </c>
    </row>
    <row r="3064" spans="1:4" ht="17">
      <c r="A3064" s="5" t="s">
        <v>1178</v>
      </c>
      <c r="B3064" s="5" t="s">
        <v>4579</v>
      </c>
      <c r="C3064" s="5" t="s">
        <v>4580</v>
      </c>
      <c r="D3064" s="2">
        <f>DATE(2020,6,25)+TIME(21,53,18)</f>
        <v>44007.91201388889</v>
      </c>
    </row>
    <row r="3065" spans="1:4" ht="17">
      <c r="A3065" s="4" t="s">
        <v>1178</v>
      </c>
      <c r="B3065" s="4" t="s">
        <v>8570</v>
      </c>
      <c r="C3065" s="4" t="s">
        <v>8571</v>
      </c>
      <c r="D3065" s="1">
        <f>DATE(2020,6,26)+TIME(10,12,19)</f>
        <v>44008.425219907411</v>
      </c>
    </row>
    <row r="3066" spans="1:4" ht="17">
      <c r="A3066" s="5" t="s">
        <v>1178</v>
      </c>
      <c r="B3066" s="5" t="s">
        <v>1598</v>
      </c>
      <c r="C3066" s="5" t="s">
        <v>1599</v>
      </c>
      <c r="D3066" s="2">
        <f>DATE(2020,6,26)+TIME(11,40,12)</f>
        <v>44008.486250000002</v>
      </c>
    </row>
    <row r="3067" spans="1:4" ht="17">
      <c r="A3067" s="4" t="s">
        <v>1178</v>
      </c>
      <c r="B3067" s="4" t="s">
        <v>8076</v>
      </c>
      <c r="C3067" s="4" t="s">
        <v>8077</v>
      </c>
      <c r="D3067" s="1">
        <f>DATE(2020,6,29)+TIME(10,49,28)</f>
        <v>44011.451018518521</v>
      </c>
    </row>
    <row r="3068" spans="1:4" ht="17">
      <c r="A3068" s="5" t="s">
        <v>1178</v>
      </c>
      <c r="B3068" s="5" t="s">
        <v>6491</v>
      </c>
      <c r="C3068" s="5" t="s">
        <v>6492</v>
      </c>
      <c r="D3068" s="2">
        <f>DATE(2020,6,29)+TIME(12,52,3)</f>
        <v>44011.536145833335</v>
      </c>
    </row>
    <row r="3069" spans="1:4" ht="17">
      <c r="A3069" s="5" t="s">
        <v>481</v>
      </c>
      <c r="B3069" s="5" t="s">
        <v>1110</v>
      </c>
      <c r="C3069" s="5" t="s">
        <v>1111</v>
      </c>
      <c r="D3069" s="2">
        <f>DATE(2020,6,1)+TIME(10,14,6)</f>
        <v>43983.426458333335</v>
      </c>
    </row>
    <row r="3070" spans="1:4" ht="17">
      <c r="A3070" s="5" t="s">
        <v>481</v>
      </c>
      <c r="B3070" s="5" t="s">
        <v>482</v>
      </c>
      <c r="C3070" s="5" t="s">
        <v>483</v>
      </c>
      <c r="D3070" s="2">
        <f>DATE(2020,6,22)+TIME(15,57,42)</f>
        <v>44004.665069444447</v>
      </c>
    </row>
    <row r="3071" spans="1:4" ht="17">
      <c r="A3071" s="4" t="s">
        <v>6116</v>
      </c>
      <c r="B3071" s="4" t="s">
        <v>6117</v>
      </c>
      <c r="C3071" s="4" t="s">
        <v>6118</v>
      </c>
      <c r="D3071" s="1">
        <f>DATE(2020,6,27)+TIME(17,19,59)</f>
        <v>44009.722210648149</v>
      </c>
    </row>
    <row r="3072" spans="1:4" ht="17">
      <c r="A3072" s="4" t="s">
        <v>3743</v>
      </c>
      <c r="B3072" s="4" t="s">
        <v>3744</v>
      </c>
      <c r="C3072" s="4" t="s">
        <v>3745</v>
      </c>
      <c r="D3072" s="1">
        <f>DATE(2020,5,7)+TIME(9,38,13)</f>
        <v>43958.401539351849</v>
      </c>
    </row>
    <row r="3073" spans="1:4" ht="17">
      <c r="A3073" s="4" t="s">
        <v>1445</v>
      </c>
      <c r="B3073" s="4" t="s">
        <v>1446</v>
      </c>
      <c r="C3073" s="4" t="s">
        <v>1447</v>
      </c>
      <c r="D3073" s="1">
        <f>DATE(2020,6,27)+TIME(12,37,1)</f>
        <v>44009.525706018518</v>
      </c>
    </row>
    <row r="3074" spans="1:4" ht="17">
      <c r="A3074" s="4" t="s">
        <v>8911</v>
      </c>
      <c r="B3074" s="4" t="s">
        <v>7070</v>
      </c>
      <c r="C3074" s="4" t="s">
        <v>8912</v>
      </c>
      <c r="D3074" s="1">
        <f>DATE(2020,5,6)+TIME(22,56,50)</f>
        <v>43957.956134259257</v>
      </c>
    </row>
    <row r="3075" spans="1:4" ht="17">
      <c r="A3075" s="5" t="s">
        <v>4002</v>
      </c>
      <c r="B3075" s="5" t="s">
        <v>1308</v>
      </c>
      <c r="C3075" s="5" t="s">
        <v>5250</v>
      </c>
      <c r="D3075" s="2">
        <f>DATE(2020,6,19)+TIME(1,55,1)</f>
        <v>44001.079872685186</v>
      </c>
    </row>
    <row r="3076" spans="1:4" ht="17">
      <c r="A3076" s="5" t="s">
        <v>4002</v>
      </c>
      <c r="B3076" s="5" t="s">
        <v>311</v>
      </c>
      <c r="C3076" s="5" t="s">
        <v>4069</v>
      </c>
      <c r="D3076" s="2">
        <f>DATE(2020,6,27)+TIME(12,48,16)</f>
        <v>44009.533518518518</v>
      </c>
    </row>
    <row r="3077" spans="1:4" ht="17">
      <c r="A3077" s="5" t="s">
        <v>4002</v>
      </c>
      <c r="B3077" s="5" t="s">
        <v>4003</v>
      </c>
      <c r="C3077" s="5" t="s">
        <v>4004</v>
      </c>
      <c r="D3077" s="2">
        <f>DATE(2020,6,29)+TIME(2,12,10)</f>
        <v>44011.091782407406</v>
      </c>
    </row>
    <row r="3078" spans="1:4" ht="17">
      <c r="A3078" s="5" t="s">
        <v>8486</v>
      </c>
      <c r="B3078" s="5" t="s">
        <v>8487</v>
      </c>
      <c r="C3078" s="5" t="s">
        <v>8488</v>
      </c>
      <c r="D3078" s="2">
        <f>DATE(2020,6,25)+TIME(0,48,54)</f>
        <v>44007.033958333333</v>
      </c>
    </row>
    <row r="3079" spans="1:4" ht="17">
      <c r="A3079" s="4" t="s">
        <v>6918</v>
      </c>
      <c r="B3079" s="4" t="s">
        <v>1701</v>
      </c>
      <c r="C3079" s="4" t="s">
        <v>6919</v>
      </c>
      <c r="D3079" s="1">
        <f>DATE(2020,6,19)+TIME(3,49,2)</f>
        <v>44001.159050925926</v>
      </c>
    </row>
    <row r="3080" spans="1:4" ht="17">
      <c r="A3080" s="4" t="s">
        <v>805</v>
      </c>
      <c r="B3080" s="4" t="s">
        <v>806</v>
      </c>
      <c r="C3080" s="4" t="s">
        <v>807</v>
      </c>
      <c r="D3080" s="1">
        <f>DATE(2020,6,15)+TIME(2,59,27)</f>
        <v>43997.124618055554</v>
      </c>
    </row>
    <row r="3081" spans="1:4" ht="17">
      <c r="A3081" s="4" t="s">
        <v>7589</v>
      </c>
      <c r="B3081" s="4" t="s">
        <v>2675</v>
      </c>
      <c r="C3081" s="4" t="s">
        <v>7590</v>
      </c>
      <c r="D3081" s="1">
        <f>DATE(2020,6,13)+TIME(17,18,40)</f>
        <v>43995.721296296295</v>
      </c>
    </row>
    <row r="3082" spans="1:4" ht="17">
      <c r="A3082" s="5" t="s">
        <v>8443</v>
      </c>
      <c r="B3082" s="5" t="s">
        <v>8444</v>
      </c>
      <c r="C3082" s="5" t="s">
        <v>8445</v>
      </c>
      <c r="D3082" s="2">
        <f>DATE(2020,3,28)+TIME(7,52,3)</f>
        <v>43918.3278125</v>
      </c>
    </row>
    <row r="3083" spans="1:4" ht="17">
      <c r="A3083" s="5" t="s">
        <v>855</v>
      </c>
      <c r="B3083" s="5" t="s">
        <v>1538</v>
      </c>
      <c r="C3083" s="5" t="s">
        <v>1539</v>
      </c>
      <c r="D3083" s="2">
        <f>DATE(2020,3,30)+TIME(21,37,7)</f>
        <v>43920.900775462964</v>
      </c>
    </row>
    <row r="3084" spans="1:4" ht="17">
      <c r="A3084" s="5" t="s">
        <v>855</v>
      </c>
      <c r="B3084" s="5" t="s">
        <v>856</v>
      </c>
      <c r="C3084" s="5" t="s">
        <v>857</v>
      </c>
      <c r="D3084" s="2">
        <f>DATE(2020,5,11)+TIME(10,52,59)</f>
        <v>43962.453460648147</v>
      </c>
    </row>
    <row r="3085" spans="1:4" ht="17">
      <c r="A3085" s="5" t="s">
        <v>855</v>
      </c>
      <c r="B3085" s="5" t="s">
        <v>340</v>
      </c>
      <c r="C3085" s="5" t="s">
        <v>8351</v>
      </c>
      <c r="D3085" s="2">
        <f>DATE(2020,6,11)+TIME(16,22,25)</f>
        <v>43993.682233796295</v>
      </c>
    </row>
    <row r="3086" spans="1:4" ht="17">
      <c r="A3086" s="4" t="s">
        <v>855</v>
      </c>
      <c r="B3086" s="4" t="s">
        <v>2394</v>
      </c>
      <c r="C3086" s="4" t="s">
        <v>2395</v>
      </c>
      <c r="D3086" s="1">
        <f>DATE(2020,6,13)+TIME(16,37,22)</f>
        <v>43995.692615740743</v>
      </c>
    </row>
    <row r="3087" spans="1:4" ht="17">
      <c r="A3087" s="4" t="s">
        <v>855</v>
      </c>
      <c r="B3087" s="4" t="s">
        <v>4552</v>
      </c>
      <c r="C3087" s="4" t="s">
        <v>4553</v>
      </c>
      <c r="D3087" s="1">
        <f>DATE(2020,6,24)+TIME(11,50,57)</f>
        <v>44006.493715277778</v>
      </c>
    </row>
    <row r="3088" spans="1:4" ht="17">
      <c r="A3088" s="4" t="s">
        <v>855</v>
      </c>
      <c r="B3088" s="4" t="s">
        <v>2495</v>
      </c>
      <c r="C3088" s="4" t="s">
        <v>4386</v>
      </c>
      <c r="D3088" s="1">
        <f>DATE(2020,6,24)+TIME(15,13,13)</f>
        <v>44006.63417824074</v>
      </c>
    </row>
    <row r="3089" spans="1:4" ht="17">
      <c r="A3089" s="4" t="s">
        <v>855</v>
      </c>
      <c r="B3089" s="4" t="s">
        <v>8956</v>
      </c>
      <c r="C3089" s="4" t="s">
        <v>8957</v>
      </c>
      <c r="D3089" s="1">
        <f>DATE(2020,6,25)+TIME(10,47,21)</f>
        <v>44007.449548611112</v>
      </c>
    </row>
    <row r="3090" spans="1:4" ht="17">
      <c r="A3090" s="4" t="s">
        <v>855</v>
      </c>
      <c r="B3090" s="4" t="s">
        <v>5169</v>
      </c>
      <c r="C3090" s="4" t="s">
        <v>5170</v>
      </c>
      <c r="D3090" s="1">
        <f>DATE(2020,6,25)+TIME(11,54,24)</f>
        <v>44007.496111111112</v>
      </c>
    </row>
    <row r="3091" spans="1:4" ht="17">
      <c r="A3091" s="4" t="s">
        <v>5051</v>
      </c>
      <c r="B3091" s="4" t="s">
        <v>5052</v>
      </c>
      <c r="C3091" s="4" t="s">
        <v>5053</v>
      </c>
      <c r="D3091" s="1">
        <f>DATE(2020,6,22)+TIME(13,15,42)</f>
        <v>44004.552569444444</v>
      </c>
    </row>
    <row r="3092" spans="1:4" ht="17">
      <c r="A3092" s="4" t="s">
        <v>134</v>
      </c>
      <c r="B3092" s="4" t="s">
        <v>6680</v>
      </c>
      <c r="C3092" s="4" t="s">
        <v>6681</v>
      </c>
      <c r="D3092" s="1">
        <f>DATE(2020,5,7)+TIME(0,16,45)</f>
        <v>43958.011631944442</v>
      </c>
    </row>
    <row r="3093" spans="1:4" ht="17">
      <c r="A3093" s="4" t="s">
        <v>134</v>
      </c>
      <c r="B3093" s="4" t="s">
        <v>347</v>
      </c>
      <c r="C3093" s="4" t="s">
        <v>348</v>
      </c>
      <c r="D3093" s="1">
        <f>DATE(2020,5,8)+TIME(17,48,36)</f>
        <v>43959.742083333331</v>
      </c>
    </row>
    <row r="3094" spans="1:4" ht="17">
      <c r="A3094" s="5" t="s">
        <v>134</v>
      </c>
      <c r="B3094" s="5" t="s">
        <v>756</v>
      </c>
      <c r="C3094" s="5" t="s">
        <v>757</v>
      </c>
      <c r="D3094" s="2">
        <f>DATE(2020,5,16)+TIME(19,34,30)</f>
        <v>43967.815625000003</v>
      </c>
    </row>
    <row r="3095" spans="1:4" ht="17">
      <c r="A3095" s="5" t="s">
        <v>134</v>
      </c>
      <c r="B3095" s="5" t="s">
        <v>9013</v>
      </c>
      <c r="C3095" s="5" t="s">
        <v>9222</v>
      </c>
      <c r="D3095" s="2">
        <f>DATE(2020,5,19)+TIME(4,5,30)</f>
        <v>43970.170486111114</v>
      </c>
    </row>
    <row r="3096" spans="1:4" ht="17">
      <c r="A3096" s="5" t="s">
        <v>134</v>
      </c>
      <c r="B3096" s="5" t="s">
        <v>3252</v>
      </c>
      <c r="C3096" s="5" t="s">
        <v>3253</v>
      </c>
      <c r="D3096" s="2">
        <f>DATE(2020,6,3)+TIME(12,4,33)</f>
        <v>43985.503159722219</v>
      </c>
    </row>
    <row r="3097" spans="1:4" ht="17">
      <c r="A3097" s="4" t="s">
        <v>134</v>
      </c>
      <c r="B3097" s="4" t="s">
        <v>1095</v>
      </c>
      <c r="C3097" s="4" t="s">
        <v>6414</v>
      </c>
      <c r="D3097" s="1">
        <f>DATE(2020,6,4)+TIME(21,2,49)</f>
        <v>43986.876956018517</v>
      </c>
    </row>
    <row r="3098" spans="1:4" ht="17">
      <c r="A3098" s="4" t="s">
        <v>134</v>
      </c>
      <c r="B3098" s="4" t="s">
        <v>8779</v>
      </c>
      <c r="C3098" s="4" t="s">
        <v>8780</v>
      </c>
      <c r="D3098" s="1">
        <f>DATE(2020,6,10)+TIME(7,37,24)</f>
        <v>43992.31763888889</v>
      </c>
    </row>
    <row r="3099" spans="1:4" ht="17">
      <c r="A3099" s="5" t="s">
        <v>134</v>
      </c>
      <c r="B3099" s="5" t="s">
        <v>8968</v>
      </c>
      <c r="C3099" s="5" t="s">
        <v>8969</v>
      </c>
      <c r="D3099" s="2">
        <f>DATE(2020,6,12)+TIME(13,14,51)</f>
        <v>43994.551979166667</v>
      </c>
    </row>
    <row r="3100" spans="1:4" ht="17">
      <c r="A3100" s="5" t="s">
        <v>134</v>
      </c>
      <c r="B3100" s="5" t="s">
        <v>2758</v>
      </c>
      <c r="C3100" s="5" t="s">
        <v>9402</v>
      </c>
      <c r="D3100" s="2">
        <f>DATE(2020,6,22)+TIME(3,0,24)</f>
        <v>44004.125277777777</v>
      </c>
    </row>
    <row r="3101" spans="1:4" ht="17">
      <c r="A3101" s="5" t="s">
        <v>134</v>
      </c>
      <c r="B3101" s="5" t="s">
        <v>204</v>
      </c>
      <c r="C3101" s="5" t="s">
        <v>6027</v>
      </c>
      <c r="D3101" s="2">
        <f>DATE(2020,6,22)+TIME(20,21,14)</f>
        <v>44004.848078703704</v>
      </c>
    </row>
    <row r="3102" spans="1:4" ht="17">
      <c r="A3102" s="5" t="s">
        <v>134</v>
      </c>
      <c r="B3102" s="5" t="s">
        <v>135</v>
      </c>
      <c r="C3102" s="5" t="s">
        <v>136</v>
      </c>
      <c r="D3102" s="2">
        <f>DATE(2020,6,23)+TIME(18,26,57)</f>
        <v>44005.76871527778</v>
      </c>
    </row>
    <row r="3103" spans="1:4" ht="17">
      <c r="A3103" s="5" t="s">
        <v>134</v>
      </c>
      <c r="B3103" s="5" t="s">
        <v>3981</v>
      </c>
      <c r="C3103" s="5" t="s">
        <v>4305</v>
      </c>
      <c r="D3103" s="2">
        <f>DATE(2020,6,24)+TIME(17,3,27)</f>
        <v>44006.710729166669</v>
      </c>
    </row>
    <row r="3104" spans="1:4" ht="17">
      <c r="A3104" s="4" t="s">
        <v>134</v>
      </c>
      <c r="B3104" s="4" t="s">
        <v>2768</v>
      </c>
      <c r="C3104" s="4" t="s">
        <v>2769</v>
      </c>
      <c r="D3104" s="1">
        <f>DATE(2020,6,24)+TIME(17,5,21)</f>
        <v>44006.712048611109</v>
      </c>
    </row>
    <row r="3105" spans="1:4" ht="17">
      <c r="A3105" s="4" t="s">
        <v>134</v>
      </c>
      <c r="B3105" s="4" t="s">
        <v>7802</v>
      </c>
      <c r="C3105" s="4" t="s">
        <v>7803</v>
      </c>
      <c r="D3105" s="1">
        <f>DATE(2020,6,25)+TIME(11,46,55)</f>
        <v>44007.490914351853</v>
      </c>
    </row>
    <row r="3106" spans="1:4" ht="17">
      <c r="A3106" s="5" t="s">
        <v>134</v>
      </c>
      <c r="B3106" s="5" t="s">
        <v>6063</v>
      </c>
      <c r="C3106" s="5" t="s">
        <v>6064</v>
      </c>
      <c r="D3106" s="2">
        <f>DATE(2020,6,25)+TIME(13,3,7)</f>
        <v>44007.54383101852</v>
      </c>
    </row>
    <row r="3107" spans="1:4" ht="17">
      <c r="A3107" s="4" t="s">
        <v>134</v>
      </c>
      <c r="B3107" s="4" t="s">
        <v>3157</v>
      </c>
      <c r="C3107" s="4" t="s">
        <v>3158</v>
      </c>
      <c r="D3107" s="1">
        <f>DATE(2020,6,25)+TIME(19,3,38)</f>
        <v>44007.794189814813</v>
      </c>
    </row>
    <row r="3108" spans="1:4" ht="17">
      <c r="A3108" s="5" t="s">
        <v>134</v>
      </c>
      <c r="B3108" s="5" t="s">
        <v>3700</v>
      </c>
      <c r="C3108" s="5" t="s">
        <v>3701</v>
      </c>
      <c r="D3108" s="2">
        <f>DATE(2020,6,27)+TIME(11,31,59)</f>
        <v>44009.480543981481</v>
      </c>
    </row>
    <row r="3109" spans="1:4" ht="17">
      <c r="A3109" s="4" t="s">
        <v>134</v>
      </c>
      <c r="B3109" s="4" t="s">
        <v>628</v>
      </c>
      <c r="C3109" s="4" t="s">
        <v>629</v>
      </c>
      <c r="D3109" s="1">
        <f>DATE(2020,6,29)+TIME(6,45,34)</f>
        <v>44011.281643518516</v>
      </c>
    </row>
    <row r="3110" spans="1:4" ht="17">
      <c r="A3110" s="4" t="s">
        <v>134</v>
      </c>
      <c r="B3110" s="4" t="s">
        <v>6870</v>
      </c>
      <c r="C3110" s="4" t="s">
        <v>6871</v>
      </c>
      <c r="D3110" s="1">
        <f>DATE(2020,6,29)+TIME(9,24,24)</f>
        <v>44011.391944444447</v>
      </c>
    </row>
    <row r="3111" spans="1:4" ht="17">
      <c r="A3111" s="4" t="s">
        <v>134</v>
      </c>
      <c r="B3111" s="4" t="s">
        <v>1357</v>
      </c>
      <c r="C3111" s="4" t="s">
        <v>2281</v>
      </c>
      <c r="D3111" s="1">
        <f>DATE(2020,6,29)+TIME(11,2,38)</f>
        <v>44011.460162037038</v>
      </c>
    </row>
    <row r="3112" spans="1:4" ht="17">
      <c r="A3112" s="5" t="s">
        <v>3729</v>
      </c>
      <c r="B3112" s="5" t="s">
        <v>3730</v>
      </c>
      <c r="C3112" s="5" t="s">
        <v>3731</v>
      </c>
      <c r="D3112" s="2">
        <f>DATE(2020,6,26)+TIME(15,10,21)</f>
        <v>44008.632187499999</v>
      </c>
    </row>
    <row r="3113" spans="1:4" ht="17">
      <c r="A3113" s="5" t="s">
        <v>2536</v>
      </c>
      <c r="B3113" s="5" t="s">
        <v>2537</v>
      </c>
      <c r="C3113" s="5" t="s">
        <v>2538</v>
      </c>
      <c r="D3113" s="2">
        <f>DATE(2020,6,25)+TIME(5,25,15)</f>
        <v>44007.225868055553</v>
      </c>
    </row>
    <row r="3114" spans="1:4" ht="17">
      <c r="A3114" s="5" t="s">
        <v>93</v>
      </c>
      <c r="B3114" s="5" t="s">
        <v>94</v>
      </c>
      <c r="C3114" s="5" t="s">
        <v>95</v>
      </c>
      <c r="D3114" s="2">
        <f>DATE(2020,6,2)+TIME(0,50,0)</f>
        <v>43984.034722222219</v>
      </c>
    </row>
    <row r="3115" spans="1:4" ht="17">
      <c r="A3115" s="5" t="s">
        <v>1630</v>
      </c>
      <c r="B3115" s="5" t="s">
        <v>1631</v>
      </c>
      <c r="C3115" s="5" t="s">
        <v>1632</v>
      </c>
      <c r="D3115" s="2">
        <f>DATE(2020,5,15)+TIME(15,27,15)</f>
        <v>43966.643923611111</v>
      </c>
    </row>
    <row r="3116" spans="1:4" ht="17">
      <c r="A3116" s="5" t="s">
        <v>1630</v>
      </c>
      <c r="B3116" s="5" t="s">
        <v>432</v>
      </c>
      <c r="C3116" s="5" t="s">
        <v>7731</v>
      </c>
      <c r="D3116" s="2">
        <f>DATE(2020,6,19)+TIME(0,16,52)</f>
        <v>44001.011712962965</v>
      </c>
    </row>
    <row r="3117" spans="1:4" ht="17">
      <c r="A3117" s="5" t="s">
        <v>1630</v>
      </c>
      <c r="B3117" s="5" t="s">
        <v>8198</v>
      </c>
      <c r="C3117" s="5" t="s">
        <v>8199</v>
      </c>
      <c r="D3117" s="2">
        <f>DATE(2020,6,24)+TIME(19,36,13)</f>
        <v>44006.816817129627</v>
      </c>
    </row>
    <row r="3118" spans="1:4" ht="17">
      <c r="A3118" s="4" t="s">
        <v>4638</v>
      </c>
      <c r="B3118" s="4" t="s">
        <v>4639</v>
      </c>
      <c r="C3118" s="4" t="s">
        <v>4640</v>
      </c>
      <c r="D3118" s="1">
        <f>DATE(2020,6,4)+TIME(18,29,31)</f>
        <v>43986.770497685182</v>
      </c>
    </row>
    <row r="3119" spans="1:4" ht="17">
      <c r="A3119" s="4" t="s">
        <v>4472</v>
      </c>
      <c r="B3119" s="4" t="s">
        <v>4473</v>
      </c>
      <c r="C3119" s="4" t="s">
        <v>4474</v>
      </c>
      <c r="D3119" s="1">
        <f>DATE(2020,6,25)+TIME(15,26,12)</f>
        <v>44007.643194444441</v>
      </c>
    </row>
    <row r="3120" spans="1:4" ht="17">
      <c r="A3120" s="4" t="s">
        <v>3343</v>
      </c>
      <c r="B3120" s="4" t="s">
        <v>3344</v>
      </c>
      <c r="C3120" s="4" t="s">
        <v>3345</v>
      </c>
      <c r="D3120" s="1">
        <f>DATE(2020,5,5)+TIME(15,2,4)</f>
        <v>43956.626435185186</v>
      </c>
    </row>
    <row r="3121" spans="1:4" ht="17">
      <c r="A3121" s="4" t="s">
        <v>1407</v>
      </c>
      <c r="B3121" s="4" t="s">
        <v>1408</v>
      </c>
      <c r="C3121" s="4" t="s">
        <v>1409</v>
      </c>
      <c r="D3121" s="1">
        <f>DATE(2020,6,28)+TIME(8,23,6)</f>
        <v>44010.349374999998</v>
      </c>
    </row>
    <row r="3122" spans="1:4" ht="17">
      <c r="A3122" s="4" t="s">
        <v>2399</v>
      </c>
      <c r="B3122" s="4" t="s">
        <v>2400</v>
      </c>
      <c r="C3122" s="4" t="s">
        <v>2401</v>
      </c>
      <c r="D3122" s="1">
        <f>DATE(2020,6,25)+TIME(14,18,37)</f>
        <v>44007.596261574072</v>
      </c>
    </row>
    <row r="3123" spans="1:4" ht="17">
      <c r="A3123" s="5" t="s">
        <v>2494</v>
      </c>
      <c r="B3123" s="5" t="s">
        <v>2495</v>
      </c>
      <c r="C3123" s="5" t="s">
        <v>2496</v>
      </c>
      <c r="D3123" s="2">
        <f>DATE(2020,6,23)+TIME(12,45,20)</f>
        <v>44005.531481481485</v>
      </c>
    </row>
    <row r="3124" spans="1:4" ht="17">
      <c r="A3124" s="4" t="s">
        <v>2033</v>
      </c>
      <c r="B3124" s="4" t="s">
        <v>2034</v>
      </c>
      <c r="C3124" s="4" t="s">
        <v>2035</v>
      </c>
      <c r="D3124" s="1">
        <f>DATE(2020,6,24)+TIME(10,44,58)</f>
        <v>44006.447893518518</v>
      </c>
    </row>
    <row r="3125" spans="1:4" ht="17">
      <c r="A3125" s="5" t="s">
        <v>8787</v>
      </c>
      <c r="B3125" s="5" t="s">
        <v>8788</v>
      </c>
      <c r="C3125" s="5" t="s">
        <v>8789</v>
      </c>
      <c r="D3125" s="2">
        <f>DATE(2020,6,24)+TIME(14,13,46)</f>
        <v>44006.592893518522</v>
      </c>
    </row>
    <row r="3126" spans="1:4" ht="17">
      <c r="A3126" s="5" t="s">
        <v>465</v>
      </c>
      <c r="B3126" s="5" t="s">
        <v>466</v>
      </c>
      <c r="C3126" s="5" t="s">
        <v>467</v>
      </c>
      <c r="D3126" s="2">
        <f>DATE(2020,5,5)+TIME(16,59,5)</f>
        <v>43956.707696759258</v>
      </c>
    </row>
    <row r="3127" spans="1:4" ht="17">
      <c r="A3127" s="5" t="s">
        <v>465</v>
      </c>
      <c r="B3127" s="5" t="s">
        <v>3844</v>
      </c>
      <c r="C3127" s="5" t="s">
        <v>3845</v>
      </c>
      <c r="D3127" s="2">
        <f>DATE(2020,5,8)+TIME(6,51,45)</f>
        <v>43959.285937499997</v>
      </c>
    </row>
    <row r="3128" spans="1:4" ht="17">
      <c r="A3128" s="4" t="s">
        <v>5928</v>
      </c>
      <c r="B3128" s="4" t="s">
        <v>5929</v>
      </c>
      <c r="C3128" s="4" t="s">
        <v>5930</v>
      </c>
      <c r="D3128" s="1">
        <f>DATE(2020,6,26)+TIME(13,5,11)</f>
        <v>44008.545266203706</v>
      </c>
    </row>
    <row r="3129" spans="1:4" ht="17">
      <c r="A3129" s="4" t="s">
        <v>725</v>
      </c>
      <c r="B3129" s="4" t="s">
        <v>1352</v>
      </c>
      <c r="C3129" s="4" t="s">
        <v>1353</v>
      </c>
      <c r="D3129" s="1">
        <f>DATE(2020,6,25)+TIME(3,15,32)</f>
        <v>44007.135787037034</v>
      </c>
    </row>
    <row r="3130" spans="1:4" ht="17">
      <c r="A3130" s="4" t="s">
        <v>725</v>
      </c>
      <c r="B3130" s="4" t="s">
        <v>7817</v>
      </c>
      <c r="C3130" s="4" t="s">
        <v>7818</v>
      </c>
      <c r="D3130" s="1">
        <f>DATE(2020,6,25)+TIME(23,59,40)</f>
        <v>44007.999768518515</v>
      </c>
    </row>
    <row r="3131" spans="1:4" ht="17">
      <c r="A3131" s="4" t="s">
        <v>725</v>
      </c>
      <c r="B3131" s="4" t="s">
        <v>726</v>
      </c>
      <c r="C3131" s="4" t="s">
        <v>727</v>
      </c>
      <c r="D3131" s="1">
        <f>DATE(2020,6,29)+TIME(12,51,6)</f>
        <v>44011.535486111112</v>
      </c>
    </row>
    <row r="3132" spans="1:4" ht="17">
      <c r="A3132" s="4" t="s">
        <v>710</v>
      </c>
      <c r="B3132" s="4" t="s">
        <v>7932</v>
      </c>
      <c r="C3132" s="4" t="s">
        <v>7933</v>
      </c>
      <c r="D3132" s="1">
        <f>DATE(2020,3,27)+TIME(19,40,20)</f>
        <v>43917.819675925923</v>
      </c>
    </row>
    <row r="3133" spans="1:4" ht="17">
      <c r="A3133" s="4" t="s">
        <v>1164</v>
      </c>
      <c r="B3133" s="4" t="s">
        <v>7724</v>
      </c>
      <c r="C3133" s="4" t="s">
        <v>7725</v>
      </c>
      <c r="D3133" s="1">
        <f>DATE(2020,6,16)+TIME(15,56,10)</f>
        <v>43998.664004629631</v>
      </c>
    </row>
    <row r="3134" spans="1:4" ht="17">
      <c r="A3134" s="5" t="s">
        <v>1164</v>
      </c>
      <c r="B3134" s="5" t="s">
        <v>1165</v>
      </c>
      <c r="C3134" s="5" t="s">
        <v>1166</v>
      </c>
      <c r="D3134" s="2">
        <f>DATE(2020,6,26)+TIME(14,11,47)</f>
        <v>44008.591516203705</v>
      </c>
    </row>
    <row r="3135" spans="1:4" ht="17">
      <c r="A3135" s="4" t="s">
        <v>741</v>
      </c>
      <c r="B3135" s="4" t="s">
        <v>742</v>
      </c>
      <c r="C3135" s="4" t="s">
        <v>743</v>
      </c>
      <c r="D3135" s="1">
        <f>DATE(2020,5,28)+TIME(13,56,54)</f>
        <v>43979.581180555557</v>
      </c>
    </row>
    <row r="3136" spans="1:4" ht="17">
      <c r="A3136" s="5" t="s">
        <v>741</v>
      </c>
      <c r="B3136" s="5" t="s">
        <v>4022</v>
      </c>
      <c r="C3136" s="5" t="s">
        <v>4023</v>
      </c>
      <c r="D3136" s="2">
        <f>DATE(2020,6,24)+TIME(2,0,23)</f>
        <v>44006.083599537036</v>
      </c>
    </row>
    <row r="3137" spans="1:4" ht="17">
      <c r="A3137" s="4" t="s">
        <v>6810</v>
      </c>
      <c r="B3137" s="4" t="s">
        <v>311</v>
      </c>
      <c r="C3137" s="4" t="s">
        <v>6811</v>
      </c>
      <c r="D3137" s="1">
        <f>DATE(2020,5,6)+TIME(9,39,34)</f>
        <v>43957.40247685185</v>
      </c>
    </row>
    <row r="3138" spans="1:4" ht="17">
      <c r="A3138" s="5" t="s">
        <v>6450</v>
      </c>
      <c r="B3138" s="5" t="s">
        <v>3001</v>
      </c>
      <c r="C3138" s="5" t="s">
        <v>6451</v>
      </c>
      <c r="D3138" s="2">
        <f>DATE(2020,6,25)+TIME(12,44,23)</f>
        <v>44007.530821759261</v>
      </c>
    </row>
    <row r="3139" spans="1:4" ht="17">
      <c r="A3139" s="4" t="s">
        <v>1278</v>
      </c>
      <c r="B3139" s="4" t="s">
        <v>109</v>
      </c>
      <c r="C3139" s="4" t="s">
        <v>1279</v>
      </c>
      <c r="D3139" s="1">
        <f>DATE(2020,5,20)+TIME(9,39,22)</f>
        <v>43971.402337962965</v>
      </c>
    </row>
    <row r="3140" spans="1:4" ht="17">
      <c r="A3140" s="4" t="s">
        <v>750</v>
      </c>
      <c r="B3140" s="4" t="s">
        <v>5602</v>
      </c>
      <c r="C3140" s="4" t="s">
        <v>5603</v>
      </c>
      <c r="D3140" s="1">
        <f>DATE(2020,6,1)+TIME(10,13,21)</f>
        <v>43983.425937499997</v>
      </c>
    </row>
    <row r="3141" spans="1:4" ht="17">
      <c r="A3141" s="4" t="s">
        <v>750</v>
      </c>
      <c r="B3141" s="4" t="s">
        <v>5450</v>
      </c>
      <c r="C3141" s="4" t="s">
        <v>5451</v>
      </c>
      <c r="D3141" s="1">
        <f>DATE(2020,6,2)+TIME(10,51,29)</f>
        <v>43984.452418981484</v>
      </c>
    </row>
    <row r="3142" spans="1:4" ht="17">
      <c r="A3142" s="5" t="s">
        <v>750</v>
      </c>
      <c r="B3142" s="5" t="s">
        <v>751</v>
      </c>
      <c r="C3142" s="5" t="s">
        <v>752</v>
      </c>
      <c r="D3142" s="2">
        <f>DATE(2020,6,17)+TIME(19,35,16)</f>
        <v>43999.816157407404</v>
      </c>
    </row>
    <row r="3143" spans="1:4" ht="17">
      <c r="A3143" s="4" t="s">
        <v>1701</v>
      </c>
      <c r="B3143" s="4" t="s">
        <v>252</v>
      </c>
      <c r="C3143" s="4" t="s">
        <v>1702</v>
      </c>
      <c r="D3143" s="1">
        <f>DATE(2020,6,29)+TIME(7,17,5)</f>
        <v>44011.303530092591</v>
      </c>
    </row>
    <row r="3144" spans="1:4" ht="17">
      <c r="A3144" s="5" t="s">
        <v>7902</v>
      </c>
      <c r="B3144" s="5" t="s">
        <v>7903</v>
      </c>
      <c r="C3144" s="5" t="s">
        <v>7904</v>
      </c>
      <c r="D3144" s="2">
        <f>DATE(2020,5,8)+TIME(1,24,6)</f>
        <v>43959.05840277778</v>
      </c>
    </row>
    <row r="3145" spans="1:4" ht="17">
      <c r="A3145" s="4" t="s">
        <v>2709</v>
      </c>
      <c r="B3145" s="4" t="s">
        <v>2710</v>
      </c>
      <c r="C3145" s="4" t="s">
        <v>2711</v>
      </c>
      <c r="D3145" s="1">
        <f>DATE(2020,6,27)+TIME(10,1,35)</f>
        <v>44009.417766203704</v>
      </c>
    </row>
    <row r="3146" spans="1:4" ht="17">
      <c r="A3146" s="5" t="s">
        <v>4043</v>
      </c>
      <c r="B3146" s="5" t="s">
        <v>4044</v>
      </c>
      <c r="C3146" s="5" t="s">
        <v>4045</v>
      </c>
      <c r="D3146" s="2">
        <f>DATE(2020,6,13)+TIME(5,56,39)</f>
        <v>43995.247673611113</v>
      </c>
    </row>
    <row r="3147" spans="1:4" ht="17">
      <c r="A3147" s="5" t="s">
        <v>4078</v>
      </c>
      <c r="B3147" s="5" t="s">
        <v>311</v>
      </c>
      <c r="C3147" s="5" t="s">
        <v>4079</v>
      </c>
      <c r="D3147" s="2">
        <f>DATE(2020,6,29)+TIME(11,50,9)</f>
        <v>44011.493159722224</v>
      </c>
    </row>
    <row r="3148" spans="1:4" ht="17">
      <c r="A3148" s="5" t="s">
        <v>7090</v>
      </c>
      <c r="B3148" s="5" t="s">
        <v>4822</v>
      </c>
      <c r="C3148" s="5" t="s">
        <v>7091</v>
      </c>
      <c r="D3148" s="2">
        <f>DATE(2020,5,5)+TIME(18,37,38)</f>
        <v>43956.776134259257</v>
      </c>
    </row>
    <row r="3149" spans="1:4" ht="17">
      <c r="A3149" s="5" t="s">
        <v>832</v>
      </c>
      <c r="B3149" s="5" t="s">
        <v>833</v>
      </c>
      <c r="C3149" s="5" t="s">
        <v>834</v>
      </c>
      <c r="D3149" s="2">
        <f>DATE(2020,5,23)+TIME(4,41,6)</f>
        <v>43974.195208333331</v>
      </c>
    </row>
    <row r="3150" spans="1:4" ht="17">
      <c r="A3150" s="5" t="s">
        <v>2385</v>
      </c>
      <c r="B3150" s="5" t="s">
        <v>2386</v>
      </c>
      <c r="C3150" s="5" t="s">
        <v>2387</v>
      </c>
      <c r="D3150" s="2">
        <f>DATE(2020,5,14)+TIME(3,19,39)</f>
        <v>43965.138645833336</v>
      </c>
    </row>
    <row r="3151" spans="1:4" ht="17">
      <c r="A3151" s="5" t="s">
        <v>2385</v>
      </c>
      <c r="B3151" s="5" t="s">
        <v>3681</v>
      </c>
      <c r="C3151" s="5" t="s">
        <v>3682</v>
      </c>
      <c r="D3151" s="2">
        <f>DATE(2020,6,26)+TIME(12,3,5)</f>
        <v>44008.502141203702</v>
      </c>
    </row>
    <row r="3152" spans="1:4" ht="17">
      <c r="A3152" s="4" t="s">
        <v>1906</v>
      </c>
      <c r="B3152" s="4" t="s">
        <v>322</v>
      </c>
      <c r="C3152" s="4" t="s">
        <v>6018</v>
      </c>
      <c r="D3152" s="1">
        <f>DATE(2020,3,28)+TIME(1,13,4)</f>
        <v>43918.050740740742</v>
      </c>
    </row>
    <row r="3153" spans="1:4" ht="17">
      <c r="A3153" s="5" t="s">
        <v>1906</v>
      </c>
      <c r="B3153" s="5" t="s">
        <v>1907</v>
      </c>
      <c r="C3153" s="5" t="s">
        <v>1908</v>
      </c>
      <c r="D3153" s="2">
        <f>DATE(2020,5,14)+TIME(5,22,11)</f>
        <v>43965.223738425928</v>
      </c>
    </row>
    <row r="3154" spans="1:4" ht="17">
      <c r="A3154" s="5" t="s">
        <v>9515</v>
      </c>
      <c r="B3154" s="5" t="s">
        <v>5425</v>
      </c>
      <c r="C3154" s="5" t="s">
        <v>9516</v>
      </c>
      <c r="D3154" s="2">
        <f>DATE(2020,6,26)+TIME(10,7,31)</f>
        <v>44008.421886574077</v>
      </c>
    </row>
    <row r="3155" spans="1:4" ht="17">
      <c r="A3155" s="5" t="s">
        <v>2391</v>
      </c>
      <c r="B3155" s="5" t="s">
        <v>2392</v>
      </c>
      <c r="C3155" s="5" t="s">
        <v>2393</v>
      </c>
      <c r="D3155" s="2">
        <f>DATE(2020,6,25)+TIME(6,35,31)</f>
        <v>44007.274664351855</v>
      </c>
    </row>
    <row r="3156" spans="1:4" ht="17">
      <c r="A3156" s="5" t="s">
        <v>9423</v>
      </c>
      <c r="B3156" s="5" t="s">
        <v>9424</v>
      </c>
      <c r="C3156" s="5" t="s">
        <v>9425</v>
      </c>
      <c r="D3156" s="2">
        <f>DATE(2020,6,23)+TIME(3,21,54)</f>
        <v>44005.140208333331</v>
      </c>
    </row>
    <row r="3157" spans="1:4" ht="17">
      <c r="A3157" s="5" t="s">
        <v>6380</v>
      </c>
      <c r="B3157" s="5" t="s">
        <v>6381</v>
      </c>
      <c r="C3157" s="5" t="s">
        <v>6382</v>
      </c>
      <c r="D3157" s="2">
        <f>DATE(2020,6,27)+TIME(2,41,38)</f>
        <v>44009.112245370372</v>
      </c>
    </row>
    <row r="3158" spans="1:4" ht="17">
      <c r="A3158" s="4" t="s">
        <v>7608</v>
      </c>
      <c r="B3158" s="4" t="s">
        <v>7609</v>
      </c>
      <c r="C3158" s="4" t="s">
        <v>7610</v>
      </c>
      <c r="D3158" s="1">
        <f>DATE(2020,5,14)+TIME(4,57,14)</f>
        <v>43965.206412037034</v>
      </c>
    </row>
    <row r="3159" spans="1:4" ht="17">
      <c r="A3159" s="4" t="s">
        <v>1474</v>
      </c>
      <c r="B3159" s="4" t="s">
        <v>1475</v>
      </c>
      <c r="C3159" s="4" t="s">
        <v>1476</v>
      </c>
      <c r="D3159" s="1">
        <f>DATE(2020,3,30)+TIME(14,28,46)</f>
        <v>43920.603310185186</v>
      </c>
    </row>
    <row r="3160" spans="1:4" ht="17">
      <c r="A3160" s="5" t="s">
        <v>1474</v>
      </c>
      <c r="B3160" s="5" t="s">
        <v>3276</v>
      </c>
      <c r="C3160" s="5" t="s">
        <v>3277</v>
      </c>
      <c r="D3160" s="2">
        <f>DATE(2020,6,19)+TIME(15,28,27)</f>
        <v>44001.644756944443</v>
      </c>
    </row>
    <row r="3161" spans="1:4" ht="17">
      <c r="A3161" s="5" t="s">
        <v>1474</v>
      </c>
      <c r="B3161" s="5" t="s">
        <v>163</v>
      </c>
      <c r="C3161" s="5" t="s">
        <v>8889</v>
      </c>
      <c r="D3161" s="2">
        <f>DATE(2020,6,24)+TIME(5,37,1)</f>
        <v>44006.234039351853</v>
      </c>
    </row>
    <row r="3162" spans="1:4" ht="17">
      <c r="A3162" s="4" t="s">
        <v>1474</v>
      </c>
      <c r="B3162" s="4" t="s">
        <v>9052</v>
      </c>
      <c r="C3162" s="4" t="s">
        <v>9053</v>
      </c>
      <c r="D3162" s="1">
        <f>DATE(2020,6,24)+TIME(9,49,19)</f>
        <v>44006.409247685187</v>
      </c>
    </row>
    <row r="3163" spans="1:4" ht="17">
      <c r="A3163" s="5" t="s">
        <v>5253</v>
      </c>
      <c r="B3163" s="5" t="s">
        <v>5254</v>
      </c>
      <c r="C3163" s="5" t="s">
        <v>5255</v>
      </c>
      <c r="D3163" s="2">
        <f>DATE(2020,5,10)+TIME(13,37,46)</f>
        <v>43961.567893518521</v>
      </c>
    </row>
    <row r="3164" spans="1:4" ht="17">
      <c r="A3164" s="4" t="s">
        <v>6311</v>
      </c>
      <c r="B3164" s="4" t="s">
        <v>4552</v>
      </c>
      <c r="C3164" s="4" t="s">
        <v>6312</v>
      </c>
      <c r="D3164" s="1">
        <f>DATE(2020,6,24)+TIME(11,55,1)</f>
        <v>44006.496539351851</v>
      </c>
    </row>
    <row r="3165" spans="1:4" ht="17">
      <c r="A3165" s="4" t="s">
        <v>5412</v>
      </c>
      <c r="B3165" s="4" t="s">
        <v>5413</v>
      </c>
      <c r="C3165" s="4" t="s">
        <v>5414</v>
      </c>
      <c r="D3165" s="1">
        <f>DATE(2020,6,19)+TIME(11,31,3)</f>
        <v>44001.479895833334</v>
      </c>
    </row>
    <row r="3166" spans="1:4" ht="17">
      <c r="A3166" s="4" t="s">
        <v>4847</v>
      </c>
      <c r="B3166" s="4" t="s">
        <v>9030</v>
      </c>
      <c r="C3166" s="4" t="s">
        <v>9031</v>
      </c>
      <c r="D3166" s="1">
        <f>DATE(2020,5,20)+TIME(18,21,46)</f>
        <v>43971.765115740738</v>
      </c>
    </row>
    <row r="3167" spans="1:4" ht="17">
      <c r="A3167" s="4" t="s">
        <v>4847</v>
      </c>
      <c r="B3167" s="4" t="s">
        <v>4848</v>
      </c>
      <c r="C3167" s="4" t="s">
        <v>4849</v>
      </c>
      <c r="D3167" s="1">
        <f>DATE(2020,6,29)+TIME(7,36,36)</f>
        <v>44011.317083333335</v>
      </c>
    </row>
    <row r="3168" spans="1:4" ht="17">
      <c r="A3168" s="4" t="s">
        <v>2978</v>
      </c>
      <c r="B3168" s="4" t="s">
        <v>1095</v>
      </c>
      <c r="C3168" s="4" t="s">
        <v>2979</v>
      </c>
      <c r="D3168" s="1">
        <f>DATE(2020,6,24)+TIME(19,46,37)</f>
        <v>44006.82403935185</v>
      </c>
    </row>
    <row r="3169" spans="1:4" ht="17">
      <c r="A3169" s="4" t="s">
        <v>450</v>
      </c>
      <c r="B3169" s="4" t="s">
        <v>432</v>
      </c>
      <c r="C3169" s="4" t="s">
        <v>7914</v>
      </c>
      <c r="D3169" s="1">
        <f>DATE(2020,3,27)+TIME(18,1,5)</f>
        <v>43917.750752314816</v>
      </c>
    </row>
    <row r="3170" spans="1:4" ht="17">
      <c r="A3170" s="5" t="s">
        <v>450</v>
      </c>
      <c r="B3170" s="5" t="s">
        <v>1391</v>
      </c>
      <c r="C3170" s="5" t="s">
        <v>3746</v>
      </c>
      <c r="D3170" s="2">
        <f>DATE(2020,3,31)+TIME(13,56,30)</f>
        <v>43921.58090277778</v>
      </c>
    </row>
    <row r="3171" spans="1:4" ht="17">
      <c r="A3171" s="4" t="s">
        <v>450</v>
      </c>
      <c r="B3171" s="4" t="s">
        <v>3007</v>
      </c>
      <c r="C3171" s="4" t="s">
        <v>3008</v>
      </c>
      <c r="D3171" s="1">
        <f>DATE(2020,6,8)+TIME(14,38,8)</f>
        <v>43990.609814814816</v>
      </c>
    </row>
    <row r="3172" spans="1:4" ht="17">
      <c r="A3172" s="4" t="s">
        <v>450</v>
      </c>
      <c r="B3172" s="4" t="s">
        <v>2394</v>
      </c>
      <c r="C3172" s="4" t="s">
        <v>8715</v>
      </c>
      <c r="D3172" s="1">
        <f>DATE(2020,6,10)+TIME(9,45,27)</f>
        <v>43992.4065625</v>
      </c>
    </row>
    <row r="3173" spans="1:4" ht="17">
      <c r="A3173" s="4" t="s">
        <v>450</v>
      </c>
      <c r="B3173" s="4" t="s">
        <v>1233</v>
      </c>
      <c r="C3173" s="4" t="s">
        <v>1234</v>
      </c>
      <c r="D3173" s="1">
        <f>DATE(2020,6,18)+TIME(15,2,6)</f>
        <v>44000.626458333332</v>
      </c>
    </row>
    <row r="3174" spans="1:4" ht="17">
      <c r="A3174" s="5" t="s">
        <v>450</v>
      </c>
      <c r="B3174" s="5" t="s">
        <v>4458</v>
      </c>
      <c r="C3174" s="5" t="s">
        <v>9155</v>
      </c>
      <c r="D3174" s="2">
        <f>DATE(2020,6,18)+TIME(19,54,17)</f>
        <v>44000.829363425924</v>
      </c>
    </row>
    <row r="3175" spans="1:4" ht="17">
      <c r="A3175" s="4" t="s">
        <v>450</v>
      </c>
      <c r="B3175" s="4" t="s">
        <v>7205</v>
      </c>
      <c r="C3175" s="4" t="s">
        <v>7206</v>
      </c>
      <c r="D3175" s="1">
        <f>DATE(2020,6,20)+TIME(11,32,17)</f>
        <v>44002.480752314812</v>
      </c>
    </row>
    <row r="3176" spans="1:4" ht="17">
      <c r="A3176" s="5" t="s">
        <v>450</v>
      </c>
      <c r="B3176" s="5" t="s">
        <v>4465</v>
      </c>
      <c r="C3176" s="5" t="s">
        <v>4466</v>
      </c>
      <c r="D3176" s="2">
        <f>DATE(2020,6,22)+TIME(20,0,5)</f>
        <v>44004.833391203705</v>
      </c>
    </row>
    <row r="3177" spans="1:4" ht="17">
      <c r="A3177" s="4" t="s">
        <v>450</v>
      </c>
      <c r="B3177" s="4" t="s">
        <v>4927</v>
      </c>
      <c r="C3177" s="4" t="s">
        <v>4928</v>
      </c>
      <c r="D3177" s="1">
        <f>DATE(2020,6,24)+TIME(12,34,8)</f>
        <v>44006.5237037037</v>
      </c>
    </row>
    <row r="3178" spans="1:4" ht="17">
      <c r="A3178" s="4" t="s">
        <v>450</v>
      </c>
      <c r="B3178" s="4" t="s">
        <v>451</v>
      </c>
      <c r="C3178" s="4" t="s">
        <v>452</v>
      </c>
      <c r="D3178" s="1">
        <f>DATE(2020,6,28)+TIME(15,13,11)</f>
        <v>44010.634155092594</v>
      </c>
    </row>
    <row r="3179" spans="1:4" ht="17">
      <c r="A3179" s="4" t="s">
        <v>450</v>
      </c>
      <c r="B3179" s="4" t="s">
        <v>9097</v>
      </c>
      <c r="C3179" s="4" t="s">
        <v>9098</v>
      </c>
      <c r="D3179" s="1">
        <f>DATE(2020,6,29)+TIME(8,21,47)</f>
        <v>44011.348460648151</v>
      </c>
    </row>
    <row r="3180" spans="1:4" ht="17">
      <c r="A3180" s="4" t="s">
        <v>450</v>
      </c>
      <c r="B3180" s="4" t="s">
        <v>5515</v>
      </c>
      <c r="C3180" s="4" t="s">
        <v>5516</v>
      </c>
      <c r="D3180" s="1">
        <f>DATE(2020,6,29)+TIME(11,15,52)</f>
        <v>44011.469351851854</v>
      </c>
    </row>
    <row r="3181" spans="1:4" ht="17">
      <c r="A3181" s="5" t="s">
        <v>450</v>
      </c>
      <c r="B3181" s="5" t="s">
        <v>3144</v>
      </c>
      <c r="C3181" s="5" t="s">
        <v>3145</v>
      </c>
      <c r="D3181" s="2">
        <f>DATE(2020,6,29)+TIME(13,42,1)</f>
        <v>44011.570844907408</v>
      </c>
    </row>
    <row r="3182" spans="1:4" ht="17">
      <c r="A3182" s="4" t="s">
        <v>6346</v>
      </c>
      <c r="B3182" s="4" t="s">
        <v>6347</v>
      </c>
      <c r="C3182" s="4" t="s">
        <v>6348</v>
      </c>
      <c r="D3182" s="1">
        <f>DATE(2020,6,8)+TIME(17,39,15)</f>
        <v>43990.735590277778</v>
      </c>
    </row>
    <row r="3183" spans="1:4" ht="17">
      <c r="A3183" s="5" t="s">
        <v>248</v>
      </c>
      <c r="B3183" s="5" t="s">
        <v>249</v>
      </c>
      <c r="C3183" s="5" t="s">
        <v>250</v>
      </c>
      <c r="D3183" s="2">
        <f>DATE(2020,5,29)+TIME(20,17,29)</f>
        <v>43980.84547453704</v>
      </c>
    </row>
    <row r="3184" spans="1:4" ht="17">
      <c r="A3184" s="5" t="s">
        <v>1257</v>
      </c>
      <c r="B3184" s="5" t="s">
        <v>1258</v>
      </c>
      <c r="C3184" s="5" t="s">
        <v>1259</v>
      </c>
      <c r="D3184" s="2">
        <f>DATE(2020,6,8)+TIME(15,43,27)</f>
        <v>43990.655173611114</v>
      </c>
    </row>
    <row r="3185" spans="1:4" ht="17">
      <c r="A3185" s="4" t="s">
        <v>2079</v>
      </c>
      <c r="B3185" s="4" t="s">
        <v>8741</v>
      </c>
      <c r="C3185" s="4" t="s">
        <v>8742</v>
      </c>
      <c r="D3185" s="1">
        <f>DATE(2020,5,12)+TIME(19,18,49)</f>
        <v>43963.8047337963</v>
      </c>
    </row>
    <row r="3186" spans="1:4" ht="17">
      <c r="A3186" s="4" t="s">
        <v>2079</v>
      </c>
      <c r="B3186" s="4" t="s">
        <v>9566</v>
      </c>
      <c r="C3186" s="4" t="s">
        <v>9567</v>
      </c>
      <c r="D3186" s="1">
        <f>DATE(2020,6,19)+TIME(8,25,8)</f>
        <v>44001.350787037038</v>
      </c>
    </row>
    <row r="3187" spans="1:4" ht="17">
      <c r="A3187" s="4" t="s">
        <v>2079</v>
      </c>
      <c r="B3187" s="4" t="s">
        <v>118</v>
      </c>
      <c r="C3187" s="4" t="s">
        <v>2080</v>
      </c>
      <c r="D3187" s="1">
        <f>DATE(2020,6,25)+TIME(7,36,24)</f>
        <v>44007.316944444443</v>
      </c>
    </row>
    <row r="3188" spans="1:4" ht="17">
      <c r="A3188" s="5" t="s">
        <v>2079</v>
      </c>
      <c r="B3188" s="5" t="s">
        <v>2630</v>
      </c>
      <c r="C3188" s="5" t="s">
        <v>2631</v>
      </c>
      <c r="D3188" s="2">
        <f>DATE(2020,6,25)+TIME(12,46,1)</f>
        <v>44007.531956018516</v>
      </c>
    </row>
    <row r="3189" spans="1:4" ht="17">
      <c r="A3189" s="4" t="s">
        <v>9431</v>
      </c>
      <c r="B3189" s="4" t="s">
        <v>9432</v>
      </c>
      <c r="C3189" s="4" t="s">
        <v>9433</v>
      </c>
      <c r="D3189" s="1">
        <f>DATE(2020,6,26)+TIME(8,58,1)</f>
        <v>44008.373622685183</v>
      </c>
    </row>
    <row r="3190" spans="1:4" ht="17">
      <c r="A3190" s="5" t="s">
        <v>5658</v>
      </c>
      <c r="B3190" s="5" t="s">
        <v>5658</v>
      </c>
      <c r="C3190" s="5" t="s">
        <v>5659</v>
      </c>
      <c r="D3190" s="2">
        <f>DATE(2020,6,24)+TIME(9,36,36)</f>
        <v>44006.400416666664</v>
      </c>
    </row>
    <row r="3191" spans="1:4" ht="17">
      <c r="A3191" s="5" t="s">
        <v>4494</v>
      </c>
      <c r="B3191" s="5" t="s">
        <v>4495</v>
      </c>
      <c r="C3191" s="5" t="s">
        <v>4496</v>
      </c>
      <c r="D3191" s="2">
        <f>DATE(2020,6,26)+TIME(22,0,57)</f>
        <v>44008.917326388888</v>
      </c>
    </row>
    <row r="3192" spans="1:4" ht="17">
      <c r="A3192" s="4" t="s">
        <v>588</v>
      </c>
      <c r="B3192" s="4" t="s">
        <v>3166</v>
      </c>
      <c r="C3192" s="4" t="s">
        <v>3167</v>
      </c>
      <c r="D3192" s="1">
        <f>DATE(2020,5,17)+TIME(18,49,17)</f>
        <v>43968.784224537034</v>
      </c>
    </row>
    <row r="3193" spans="1:4" ht="17">
      <c r="A3193" s="4" t="s">
        <v>588</v>
      </c>
      <c r="B3193" s="4" t="s">
        <v>589</v>
      </c>
      <c r="C3193" s="4" t="s">
        <v>590</v>
      </c>
      <c r="D3193" s="1">
        <f>DATE(2020,5,29)+TIME(15,8,51)</f>
        <v>43980.631145833337</v>
      </c>
    </row>
    <row r="3194" spans="1:4" ht="17">
      <c r="A3194" s="4" t="s">
        <v>5868</v>
      </c>
      <c r="B3194" s="4" t="s">
        <v>5869</v>
      </c>
      <c r="C3194" s="4" t="s">
        <v>5870</v>
      </c>
      <c r="D3194" s="1">
        <f>DATE(2020,6,26)+TIME(5,37,48)</f>
        <v>44008.234583333331</v>
      </c>
    </row>
    <row r="3195" spans="1:4" ht="17">
      <c r="A3195" s="5" t="s">
        <v>2434</v>
      </c>
      <c r="B3195" s="5" t="s">
        <v>2435</v>
      </c>
      <c r="C3195" s="5" t="s">
        <v>2436</v>
      </c>
      <c r="D3195" s="2">
        <f>DATE(2020,6,24)+TIME(15,40,58)</f>
        <v>44006.653449074074</v>
      </c>
    </row>
    <row r="3196" spans="1:4" ht="17">
      <c r="A3196" s="4" t="s">
        <v>3654</v>
      </c>
      <c r="B3196" s="4" t="s">
        <v>3655</v>
      </c>
      <c r="C3196" s="4" t="s">
        <v>3656</v>
      </c>
      <c r="D3196" s="1">
        <f>DATE(2020,6,25)+TIME(7,45,18)</f>
        <v>44007.323125000003</v>
      </c>
    </row>
    <row r="3197" spans="1:4" ht="17">
      <c r="A3197" s="5" t="s">
        <v>5096</v>
      </c>
      <c r="B3197" s="5" t="s">
        <v>5097</v>
      </c>
      <c r="C3197" s="5" t="s">
        <v>5098</v>
      </c>
      <c r="D3197" s="2">
        <f>DATE(2020,6,25)+TIME(7,58,10)</f>
        <v>44007.332060185188</v>
      </c>
    </row>
    <row r="3198" spans="1:4" ht="17">
      <c r="A3198" s="5" t="s">
        <v>9177</v>
      </c>
      <c r="B3198" s="5" t="s">
        <v>9177</v>
      </c>
      <c r="C3198" s="5" t="s">
        <v>9178</v>
      </c>
      <c r="D3198" s="2">
        <f>DATE(2020,6,25)+TIME(8,7,52)</f>
        <v>44007.338796296295</v>
      </c>
    </row>
    <row r="3199" spans="1:4" ht="17">
      <c r="A3199" s="4" t="s">
        <v>5976</v>
      </c>
      <c r="B3199" s="4" t="s">
        <v>5977</v>
      </c>
      <c r="C3199" s="4" t="s">
        <v>5978</v>
      </c>
      <c r="D3199" s="1">
        <f>DATE(2020,6,22)+TIME(17,43,33)</f>
        <v>44004.738576388889</v>
      </c>
    </row>
    <row r="3200" spans="1:4" ht="17">
      <c r="A3200" s="5" t="s">
        <v>4455</v>
      </c>
      <c r="B3200" s="5" t="s">
        <v>4456</v>
      </c>
      <c r="C3200" s="5" t="s">
        <v>4457</v>
      </c>
      <c r="D3200" s="2">
        <f>DATE(2020,6,26)+TIME(10,27,26)</f>
        <v>44008.435717592591</v>
      </c>
    </row>
    <row r="3201" spans="1:4" ht="17">
      <c r="A3201" s="5" t="s">
        <v>3360</v>
      </c>
      <c r="B3201" s="5" t="s">
        <v>1807</v>
      </c>
      <c r="C3201" s="5" t="s">
        <v>3361</v>
      </c>
      <c r="D3201" s="2">
        <f>DATE(2020,6,9)+TIME(7,14,6)</f>
        <v>43991.301458333335</v>
      </c>
    </row>
    <row r="3202" spans="1:4" ht="17">
      <c r="A3202" s="4" t="s">
        <v>3360</v>
      </c>
      <c r="B3202" s="4" t="s">
        <v>5418</v>
      </c>
      <c r="C3202" s="4" t="s">
        <v>5419</v>
      </c>
      <c r="D3202" s="1">
        <f>DATE(2020,6,24)+TIME(12,5,27)</f>
        <v>44006.503784722219</v>
      </c>
    </row>
    <row r="3203" spans="1:4" ht="17">
      <c r="A3203" s="4" t="s">
        <v>3360</v>
      </c>
      <c r="B3203" s="4" t="s">
        <v>6854</v>
      </c>
      <c r="C3203" s="4" t="s">
        <v>8864</v>
      </c>
      <c r="D3203" s="1">
        <f>DATE(2020,6,29)+TIME(9,44,24)</f>
        <v>44011.405833333331</v>
      </c>
    </row>
    <row r="3204" spans="1:4" ht="17">
      <c r="A3204" s="4" t="s">
        <v>6452</v>
      </c>
      <c r="B3204" s="4" t="s">
        <v>6453</v>
      </c>
      <c r="C3204" s="4" t="s">
        <v>6454</v>
      </c>
      <c r="D3204" s="1">
        <f>DATE(2020,6,4)+TIME(17,13,11)</f>
        <v>43986.717488425929</v>
      </c>
    </row>
    <row r="3205" spans="1:4" ht="17">
      <c r="A3205" s="4" t="s">
        <v>4711</v>
      </c>
      <c r="B3205" s="4" t="s">
        <v>4712</v>
      </c>
      <c r="C3205" s="4" t="s">
        <v>4713</v>
      </c>
      <c r="D3205" s="1">
        <f>DATE(2020,6,25)+TIME(4,54,6)</f>
        <v>44007.204236111109</v>
      </c>
    </row>
    <row r="3206" spans="1:4" ht="17">
      <c r="A3206" s="5" t="s">
        <v>2021</v>
      </c>
      <c r="B3206" s="5" t="s">
        <v>2022</v>
      </c>
      <c r="C3206" s="5" t="s">
        <v>2023</v>
      </c>
      <c r="D3206" s="2">
        <f>DATE(2020,6,26)+TIME(2,53,17)</f>
        <v>44008.120335648149</v>
      </c>
    </row>
    <row r="3207" spans="1:4" ht="17">
      <c r="A3207" s="4" t="s">
        <v>5584</v>
      </c>
      <c r="B3207" s="4" t="s">
        <v>5585</v>
      </c>
      <c r="C3207" s="4" t="s">
        <v>5586</v>
      </c>
      <c r="D3207" s="1">
        <f>DATE(2020,6,24)+TIME(22,37,14)</f>
        <v>44006.942523148151</v>
      </c>
    </row>
    <row r="3208" spans="1:4" ht="17">
      <c r="A3208" s="5" t="s">
        <v>3513</v>
      </c>
      <c r="B3208" s="5" t="s">
        <v>3514</v>
      </c>
      <c r="C3208" s="5" t="s">
        <v>3515</v>
      </c>
      <c r="D3208" s="2">
        <f>DATE(2020,5,26)+TIME(0,59,22)</f>
        <v>43977.041226851848</v>
      </c>
    </row>
    <row r="3209" spans="1:4" ht="17">
      <c r="A3209" s="4" t="s">
        <v>3315</v>
      </c>
      <c r="B3209" s="4" t="s">
        <v>3316</v>
      </c>
      <c r="C3209" s="4" t="s">
        <v>3317</v>
      </c>
      <c r="D3209" s="1">
        <f>DATE(2020,5,6)+TIME(18,1,39)</f>
        <v>43957.751145833332</v>
      </c>
    </row>
    <row r="3210" spans="1:4" ht="17">
      <c r="A3210" s="5" t="s">
        <v>1387</v>
      </c>
      <c r="B3210" s="5" t="s">
        <v>1388</v>
      </c>
      <c r="C3210" s="5" t="s">
        <v>1389</v>
      </c>
      <c r="D3210" s="2">
        <f>DATE(2020,6,14)+TIME(20,33,36)</f>
        <v>43996.856666666667</v>
      </c>
    </row>
    <row r="3211" spans="1:4" ht="17">
      <c r="A3211" s="4" t="s">
        <v>3038</v>
      </c>
      <c r="B3211" s="4" t="s">
        <v>3039</v>
      </c>
      <c r="C3211" s="4" t="s">
        <v>3040</v>
      </c>
      <c r="D3211" s="1">
        <f>DATE(2020,6,24)+TIME(2,28,15)</f>
        <v>44006.102951388886</v>
      </c>
    </row>
    <row r="3212" spans="1:4" ht="17">
      <c r="A3212" s="4" t="s">
        <v>6849</v>
      </c>
      <c r="B3212" s="4" t="s">
        <v>6850</v>
      </c>
      <c r="C3212" s="4" t="s">
        <v>6851</v>
      </c>
      <c r="D3212" s="1">
        <f>DATE(2020,6,19)+TIME(3,49,35)</f>
        <v>44001.159432870372</v>
      </c>
    </row>
    <row r="3213" spans="1:4" ht="17">
      <c r="A3213" s="5" t="s">
        <v>7381</v>
      </c>
      <c r="B3213" s="5" t="s">
        <v>7382</v>
      </c>
      <c r="C3213" s="5" t="s">
        <v>7383</v>
      </c>
      <c r="D3213" s="2">
        <f>DATE(2020,6,3)+TIME(0,59,33)</f>
        <v>43985.041354166664</v>
      </c>
    </row>
    <row r="3214" spans="1:4" ht="17">
      <c r="A3214" s="5" t="s">
        <v>4387</v>
      </c>
      <c r="B3214" s="5" t="s">
        <v>1892</v>
      </c>
      <c r="C3214" s="5" t="s">
        <v>4388</v>
      </c>
      <c r="D3214" s="2">
        <f>DATE(2020,6,25)+TIME(7,39,42)</f>
        <v>44007.319236111114</v>
      </c>
    </row>
    <row r="3215" spans="1:4" ht="17">
      <c r="A3215" s="4" t="s">
        <v>5576</v>
      </c>
      <c r="B3215" s="4" t="s">
        <v>2986</v>
      </c>
      <c r="C3215" s="4" t="s">
        <v>5577</v>
      </c>
      <c r="D3215" s="1">
        <f>DATE(2020,6,9)+TIME(10,52,32)</f>
        <v>43991.453148148146</v>
      </c>
    </row>
    <row r="3216" spans="1:4" ht="17">
      <c r="A3216" s="4" t="s">
        <v>361</v>
      </c>
      <c r="B3216" s="4" t="s">
        <v>362</v>
      </c>
      <c r="C3216" s="4" t="s">
        <v>363</v>
      </c>
      <c r="D3216" s="1">
        <f>DATE(2020,5,14)+TIME(14,15,56)</f>
        <v>43965.594398148147</v>
      </c>
    </row>
    <row r="3217" spans="1:4" ht="17">
      <c r="A3217" s="5" t="s">
        <v>361</v>
      </c>
      <c r="B3217" s="5" t="s">
        <v>1871</v>
      </c>
      <c r="C3217" s="5" t="s">
        <v>1872</v>
      </c>
      <c r="D3217" s="2">
        <f>DATE(2020,5,19)+TIME(12,50,36)</f>
        <v>43970.535138888888</v>
      </c>
    </row>
    <row r="3218" spans="1:4" ht="17">
      <c r="A3218" s="5" t="s">
        <v>361</v>
      </c>
      <c r="B3218" s="5" t="s">
        <v>3581</v>
      </c>
      <c r="C3218" s="5" t="s">
        <v>3582</v>
      </c>
      <c r="D3218" s="2">
        <f>DATE(2020,6,26)+TIME(9,26,17)</f>
        <v>44008.393252314818</v>
      </c>
    </row>
    <row r="3219" spans="1:4" ht="17">
      <c r="A3219" s="5" t="s">
        <v>8457</v>
      </c>
      <c r="B3219" s="5" t="s">
        <v>568</v>
      </c>
      <c r="C3219" s="5" t="s">
        <v>8458</v>
      </c>
      <c r="D3219" s="2">
        <f>DATE(2020,6,25)+TIME(2,30,35)</f>
        <v>44007.104571759257</v>
      </c>
    </row>
    <row r="3220" spans="1:4" ht="17">
      <c r="A3220" s="5" t="s">
        <v>2626</v>
      </c>
      <c r="B3220" s="5" t="s">
        <v>109</v>
      </c>
      <c r="C3220" s="5" t="s">
        <v>2627</v>
      </c>
      <c r="D3220" s="2">
        <f>DATE(2020,6,28)+TIME(4,49,5)</f>
        <v>44010.200752314813</v>
      </c>
    </row>
    <row r="3221" spans="1:4" ht="17">
      <c r="A3221" s="5" t="s">
        <v>2988</v>
      </c>
      <c r="B3221" s="5" t="s">
        <v>2989</v>
      </c>
      <c r="C3221" s="5" t="s">
        <v>2990</v>
      </c>
      <c r="D3221" s="2">
        <f>DATE(2020,6,2)+TIME(10,10,34)</f>
        <v>43984.424004629633</v>
      </c>
    </row>
    <row r="3222" spans="1:4" ht="17">
      <c r="A3222" s="4" t="s">
        <v>2988</v>
      </c>
      <c r="B3222" s="4" t="s">
        <v>8291</v>
      </c>
      <c r="C3222" s="4" t="s">
        <v>8292</v>
      </c>
      <c r="D3222" s="1">
        <f>DATE(2020,6,8)+TIME(11,54,38)</f>
        <v>43990.49627314815</v>
      </c>
    </row>
    <row r="3223" spans="1:4" ht="17">
      <c r="A3223" s="5" t="s">
        <v>6371</v>
      </c>
      <c r="B3223" s="5" t="s">
        <v>6372</v>
      </c>
      <c r="C3223" s="5" t="s">
        <v>6373</v>
      </c>
      <c r="D3223" s="2">
        <f>DATE(2020,6,3)+TIME(9,51,43)</f>
        <v>43985.410914351851</v>
      </c>
    </row>
    <row r="3224" spans="1:4" ht="17">
      <c r="A3224" s="4" t="s">
        <v>3610</v>
      </c>
      <c r="B3224" s="4" t="s">
        <v>3611</v>
      </c>
      <c r="C3224" s="4" t="s">
        <v>3612</v>
      </c>
      <c r="D3224" s="1">
        <f>DATE(2020,6,29)+TIME(5,44,6)</f>
        <v>44011.238958333335</v>
      </c>
    </row>
    <row r="3225" spans="1:4" ht="17">
      <c r="A3225" s="5" t="s">
        <v>1404</v>
      </c>
      <c r="B3225" s="5" t="s">
        <v>1405</v>
      </c>
      <c r="C3225" s="5" t="s">
        <v>1406</v>
      </c>
      <c r="D3225" s="2">
        <f>DATE(2020,6,13)+TIME(6,42,56)</f>
        <v>43995.279814814814</v>
      </c>
    </row>
    <row r="3226" spans="1:4" ht="17">
      <c r="A3226" s="4" t="s">
        <v>3697</v>
      </c>
      <c r="B3226" s="4" t="s">
        <v>3698</v>
      </c>
      <c r="C3226" s="4" t="s">
        <v>3699</v>
      </c>
      <c r="D3226" s="1">
        <f>DATE(2020,6,1)+TIME(14,21,9)</f>
        <v>43983.598020833335</v>
      </c>
    </row>
    <row r="3227" spans="1:4" ht="17">
      <c r="A3227" s="4" t="s">
        <v>3697</v>
      </c>
      <c r="B3227" s="4" t="s">
        <v>6693</v>
      </c>
      <c r="C3227" s="4" t="s">
        <v>6694</v>
      </c>
      <c r="D3227" s="1">
        <f>DATE(2020,6,23)+TIME(2,36,47)</f>
        <v>44005.108877314815</v>
      </c>
    </row>
    <row r="3228" spans="1:4" ht="17">
      <c r="A3228" s="5" t="s">
        <v>3697</v>
      </c>
      <c r="B3228" s="5" t="s">
        <v>1432</v>
      </c>
      <c r="C3228" s="5" t="s">
        <v>7525</v>
      </c>
      <c r="D3228" s="2">
        <f>DATE(2020,6,23)+TIME(13,21,4)</f>
        <v>44005.556296296294</v>
      </c>
    </row>
    <row r="3229" spans="1:4" ht="17">
      <c r="A3229" s="4" t="s">
        <v>8484</v>
      </c>
      <c r="B3229" s="4" t="s">
        <v>568</v>
      </c>
      <c r="C3229" s="4" t="s">
        <v>8485</v>
      </c>
      <c r="D3229" s="1">
        <f>DATE(2020,6,21)+TIME(23,44,38)</f>
        <v>44003.989328703705</v>
      </c>
    </row>
    <row r="3230" spans="1:4" ht="17">
      <c r="A3230" s="4" t="s">
        <v>9561</v>
      </c>
      <c r="B3230" s="4" t="s">
        <v>9562</v>
      </c>
      <c r="C3230" s="4" t="s">
        <v>9563</v>
      </c>
      <c r="D3230" s="1">
        <f>DATE(2020,6,16)+TIME(17,52,35)</f>
        <v>43998.744849537034</v>
      </c>
    </row>
    <row r="3231" spans="1:4" ht="17">
      <c r="A3231" s="5" t="s">
        <v>8454</v>
      </c>
      <c r="B3231" s="5" t="s">
        <v>559</v>
      </c>
      <c r="C3231" s="5" t="s">
        <v>8455</v>
      </c>
      <c r="D3231" s="2">
        <f>DATE(2020,6,23)+TIME(21,3,13)</f>
        <v>44005.877233796295</v>
      </c>
    </row>
    <row r="3232" spans="1:4" ht="17">
      <c r="A3232" s="5" t="s">
        <v>585</v>
      </c>
      <c r="B3232" s="5" t="s">
        <v>586</v>
      </c>
      <c r="C3232" s="5" t="s">
        <v>587</v>
      </c>
      <c r="D3232" s="2">
        <f>DATE(2020,6,27)+TIME(2,23,31)</f>
        <v>44009.099664351852</v>
      </c>
    </row>
    <row r="3233" spans="1:4" ht="17">
      <c r="A3233" s="4" t="s">
        <v>5107</v>
      </c>
      <c r="B3233" s="4" t="s">
        <v>5108</v>
      </c>
      <c r="C3233" s="4" t="s">
        <v>5109</v>
      </c>
      <c r="D3233" s="1">
        <f>DATE(2020,6,15)+TIME(17,8,18)</f>
        <v>43997.714097222219</v>
      </c>
    </row>
    <row r="3234" spans="1:4" ht="17">
      <c r="A3234" s="4" t="s">
        <v>5107</v>
      </c>
      <c r="B3234" s="4" t="s">
        <v>5720</v>
      </c>
      <c r="C3234" s="4" t="s">
        <v>5721</v>
      </c>
      <c r="D3234" s="1">
        <f>DATE(2020,6,18)+TIME(13,17,18)</f>
        <v>44000.553680555553</v>
      </c>
    </row>
    <row r="3235" spans="1:4" ht="17">
      <c r="A3235" s="4" t="s">
        <v>6703</v>
      </c>
      <c r="B3235" s="4" t="s">
        <v>7140</v>
      </c>
      <c r="C3235" s="4" t="s">
        <v>7141</v>
      </c>
      <c r="D3235" s="1">
        <f>DATE(2020,6,12)+TIME(18,1,6)</f>
        <v>43994.750763888886</v>
      </c>
    </row>
    <row r="3236" spans="1:4" ht="17">
      <c r="A3236" s="4" t="s">
        <v>6703</v>
      </c>
      <c r="B3236" s="4" t="s">
        <v>6704</v>
      </c>
      <c r="C3236" s="4" t="s">
        <v>6705</v>
      </c>
      <c r="D3236" s="1">
        <f>DATE(2020,6,29)+TIME(10,33,14)</f>
        <v>44011.439745370371</v>
      </c>
    </row>
    <row r="3237" spans="1:4" ht="17">
      <c r="A3237" s="4" t="s">
        <v>8016</v>
      </c>
      <c r="B3237" s="4" t="s">
        <v>8020</v>
      </c>
      <c r="C3237" s="4" t="s">
        <v>8021</v>
      </c>
      <c r="D3237" s="1">
        <f>DATE(2020,5,10)+TIME(8,36,5)</f>
        <v>43961.358391203707</v>
      </c>
    </row>
    <row r="3238" spans="1:4" ht="17">
      <c r="A3238" s="5" t="s">
        <v>8016</v>
      </c>
      <c r="B3238" s="5" t="s">
        <v>8190</v>
      </c>
      <c r="C3238" s="5" t="s">
        <v>8191</v>
      </c>
      <c r="D3238" s="2">
        <f>DATE(2020,6,3)+TIME(17,39,59)</f>
        <v>43985.73609953704</v>
      </c>
    </row>
    <row r="3239" spans="1:4" ht="17">
      <c r="A3239" s="4" t="s">
        <v>8016</v>
      </c>
      <c r="B3239" s="4" t="s">
        <v>8017</v>
      </c>
      <c r="C3239" s="4" t="s">
        <v>8018</v>
      </c>
      <c r="D3239" s="1">
        <f>DATE(2020,6,15)+TIME(12,32,12)</f>
        <v>43997.522361111114</v>
      </c>
    </row>
    <row r="3240" spans="1:4" ht="17">
      <c r="A3240" s="5" t="s">
        <v>8016</v>
      </c>
      <c r="B3240" s="5" t="s">
        <v>9457</v>
      </c>
      <c r="C3240" s="5" t="s">
        <v>9458</v>
      </c>
      <c r="D3240" s="2">
        <f>DATE(2020,6,23)+TIME(16,58,27)</f>
        <v>44005.707256944443</v>
      </c>
    </row>
    <row r="3241" spans="1:4" ht="17">
      <c r="A3241" s="4" t="s">
        <v>3588</v>
      </c>
      <c r="B3241" s="4" t="s">
        <v>9295</v>
      </c>
      <c r="C3241" s="4" t="s">
        <v>9296</v>
      </c>
      <c r="D3241" s="1">
        <f>DATE(2020,4,7)+TIME(10,6,26)</f>
        <v>43928.421134259261</v>
      </c>
    </row>
    <row r="3242" spans="1:4" ht="17">
      <c r="A3242" s="5" t="s">
        <v>3588</v>
      </c>
      <c r="B3242" s="5" t="s">
        <v>3589</v>
      </c>
      <c r="C3242" s="5" t="s">
        <v>3590</v>
      </c>
      <c r="D3242" s="2">
        <f>DATE(2020,6,29)+TIME(9,45,13)</f>
        <v>44011.406400462962</v>
      </c>
    </row>
    <row r="3243" spans="1:4" ht="17">
      <c r="A3243" s="5" t="s">
        <v>6790</v>
      </c>
      <c r="B3243" s="5" t="s">
        <v>6791</v>
      </c>
      <c r="C3243" s="5" t="s">
        <v>6792</v>
      </c>
      <c r="D3243" s="2">
        <f>DATE(2020,5,8)+TIME(19,24,0)</f>
        <v>43959.808333333334</v>
      </c>
    </row>
    <row r="3244" spans="1:4" ht="17">
      <c r="A3244" s="4" t="s">
        <v>4005</v>
      </c>
      <c r="B3244" s="4" t="s">
        <v>4006</v>
      </c>
      <c r="C3244" s="4" t="s">
        <v>4007</v>
      </c>
      <c r="D3244" s="1">
        <f>DATE(2020,6,16)+TIME(3,19,15)</f>
        <v>43998.138368055559</v>
      </c>
    </row>
    <row r="3245" spans="1:4" ht="17">
      <c r="A3245" s="5" t="s">
        <v>8068</v>
      </c>
      <c r="B3245" s="5" t="s">
        <v>8069</v>
      </c>
      <c r="C3245" s="5" t="s">
        <v>8070</v>
      </c>
      <c r="D3245" s="2">
        <f>DATE(2020,3,27)+TIME(14,51,8)</f>
        <v>43917.618842592594</v>
      </c>
    </row>
    <row r="3246" spans="1:4" ht="17">
      <c r="A3246" s="5" t="s">
        <v>2687</v>
      </c>
      <c r="B3246" s="5" t="s">
        <v>109</v>
      </c>
      <c r="C3246" s="5" t="s">
        <v>2688</v>
      </c>
      <c r="D3246" s="2">
        <f>DATE(2020,5,28)+TIME(23,38,37)</f>
        <v>43979.985150462962</v>
      </c>
    </row>
    <row r="3247" spans="1:4" ht="17">
      <c r="A3247" s="4" t="s">
        <v>318</v>
      </c>
      <c r="B3247" s="4" t="s">
        <v>319</v>
      </c>
      <c r="C3247" s="4" t="s">
        <v>320</v>
      </c>
      <c r="D3247" s="1">
        <f>DATE(2020,6,28)+TIME(21,17,55)</f>
        <v>44010.887442129628</v>
      </c>
    </row>
    <row r="3248" spans="1:4" ht="17">
      <c r="A3248" s="5" t="s">
        <v>8646</v>
      </c>
      <c r="B3248" s="5" t="s">
        <v>8647</v>
      </c>
      <c r="C3248" s="5" t="s">
        <v>8648</v>
      </c>
      <c r="D3248" s="2">
        <f>DATE(2020,6,1)+TIME(3,38,19)</f>
        <v>43983.151608796295</v>
      </c>
    </row>
    <row r="3249" spans="1:4" ht="17">
      <c r="A3249" s="5" t="s">
        <v>8636</v>
      </c>
      <c r="B3249" s="5" t="s">
        <v>8637</v>
      </c>
      <c r="C3249" s="5" t="s">
        <v>8638</v>
      </c>
      <c r="D3249" s="2">
        <f>DATE(2020,6,24)+TIME(10,53,17)</f>
        <v>44006.453668981485</v>
      </c>
    </row>
    <row r="3250" spans="1:4" ht="17">
      <c r="A3250" s="4" t="s">
        <v>3616</v>
      </c>
      <c r="B3250" s="4" t="s">
        <v>3617</v>
      </c>
      <c r="C3250" s="4" t="s">
        <v>3618</v>
      </c>
      <c r="D3250" s="1">
        <f>DATE(2020,6,27)+TIME(13,3,44)</f>
        <v>44009.544259259259</v>
      </c>
    </row>
    <row r="3251" spans="1:4" ht="17">
      <c r="A3251" s="5" t="s">
        <v>2783</v>
      </c>
      <c r="B3251" s="5" t="s">
        <v>2784</v>
      </c>
      <c r="C3251" s="5" t="s">
        <v>2785</v>
      </c>
      <c r="D3251" s="2">
        <f>DATE(2020,6,26)+TIME(18,6,53)</f>
        <v>44008.754780092589</v>
      </c>
    </row>
    <row r="3252" spans="1:4" ht="17">
      <c r="A3252" s="5" t="s">
        <v>9244</v>
      </c>
      <c r="B3252" s="5" t="s">
        <v>9245</v>
      </c>
      <c r="C3252" s="5" t="s">
        <v>9246</v>
      </c>
      <c r="D3252" s="2">
        <f>DATE(2020,5,13)+TIME(23,31,59)</f>
        <v>43964.980543981481</v>
      </c>
    </row>
    <row r="3253" spans="1:4" ht="17">
      <c r="A3253" s="4" t="s">
        <v>6889</v>
      </c>
      <c r="B3253" s="4" t="s">
        <v>6890</v>
      </c>
      <c r="C3253" s="4" t="s">
        <v>6891</v>
      </c>
      <c r="D3253" s="1">
        <f>DATE(2020,6,23)+TIME(14,5,24)</f>
        <v>44005.587083333332</v>
      </c>
    </row>
    <row r="3254" spans="1:4" ht="17">
      <c r="A3254" s="5" t="s">
        <v>5230</v>
      </c>
      <c r="B3254" s="5" t="s">
        <v>5231</v>
      </c>
      <c r="C3254" s="5" t="s">
        <v>5232</v>
      </c>
      <c r="D3254" s="2">
        <f>DATE(2020,6,26)+TIME(9,29,12)</f>
        <v>44008.395277777781</v>
      </c>
    </row>
    <row r="3255" spans="1:4" ht="17">
      <c r="A3255" s="4" t="s">
        <v>2638</v>
      </c>
      <c r="B3255" s="4" t="s">
        <v>2639</v>
      </c>
      <c r="C3255" s="4" t="s">
        <v>2640</v>
      </c>
      <c r="D3255" s="1">
        <f>DATE(2020,6,23)+TIME(15,1,56)</f>
        <v>44005.626342592594</v>
      </c>
    </row>
    <row r="3256" spans="1:4" ht="17">
      <c r="A3256" s="5" t="s">
        <v>3154</v>
      </c>
      <c r="B3256" s="5" t="s">
        <v>5671</v>
      </c>
      <c r="C3256" s="5" t="s">
        <v>5672</v>
      </c>
      <c r="D3256" s="2">
        <f>DATE(2020,6,13)+TIME(2,48,52)</f>
        <v>43995.117268518516</v>
      </c>
    </row>
    <row r="3257" spans="1:4" ht="17">
      <c r="A3257" s="4" t="s">
        <v>7479</v>
      </c>
      <c r="B3257" s="4" t="s">
        <v>7480</v>
      </c>
      <c r="C3257" s="4" t="s">
        <v>7481</v>
      </c>
      <c r="D3257" s="1">
        <f>DATE(2020,6,22)+TIME(20,59,58)</f>
        <v>44004.874976851854</v>
      </c>
    </row>
    <row r="3258" spans="1:4" ht="17">
      <c r="A3258" s="5" t="s">
        <v>3154</v>
      </c>
      <c r="B3258" s="5" t="s">
        <v>7571</v>
      </c>
      <c r="C3258" s="5" t="s">
        <v>7572</v>
      </c>
      <c r="D3258" s="2">
        <f>DATE(2020,6,23)+TIME(14,41,5)</f>
        <v>44005.611863425926</v>
      </c>
    </row>
    <row r="3259" spans="1:4" ht="17">
      <c r="A3259" s="5" t="s">
        <v>3154</v>
      </c>
      <c r="B3259" s="5" t="s">
        <v>3155</v>
      </c>
      <c r="C3259" s="5" t="s">
        <v>3156</v>
      </c>
      <c r="D3259" s="2">
        <f>DATE(2020,6,24)+TIME(15,32,42)</f>
        <v>44006.64770833333</v>
      </c>
    </row>
    <row r="3260" spans="1:4" ht="17">
      <c r="A3260" s="4" t="s">
        <v>3154</v>
      </c>
      <c r="B3260" s="4" t="s">
        <v>4981</v>
      </c>
      <c r="C3260" s="4" t="s">
        <v>4982</v>
      </c>
      <c r="D3260" s="1">
        <f>DATE(2020,6,26)+TIME(11,51,24)</f>
        <v>44008.494027777779</v>
      </c>
    </row>
    <row r="3261" spans="1:4" ht="17">
      <c r="A3261" s="5" t="s">
        <v>3154</v>
      </c>
      <c r="B3261" s="5" t="s">
        <v>8705</v>
      </c>
      <c r="C3261" s="5" t="s">
        <v>8706</v>
      </c>
      <c r="D3261" s="2">
        <f>DATE(2020,6,29)+TIME(10,19,2)</f>
        <v>44011.429884259262</v>
      </c>
    </row>
    <row r="3262" spans="1:4" ht="17">
      <c r="A3262" s="4" t="s">
        <v>1103</v>
      </c>
      <c r="B3262" s="4" t="s">
        <v>1104</v>
      </c>
      <c r="C3262" s="4" t="s">
        <v>1105</v>
      </c>
      <c r="D3262" s="1">
        <f>DATE(2020,6,24)+TIME(18,23,34)</f>
        <v>44006.766365740739</v>
      </c>
    </row>
    <row r="3263" spans="1:4" ht="17">
      <c r="A3263" s="4" t="s">
        <v>9570</v>
      </c>
      <c r="B3263" s="4" t="s">
        <v>3954</v>
      </c>
      <c r="C3263" s="4" t="s">
        <v>9571</v>
      </c>
      <c r="D3263" s="1">
        <f>DATE(2020,6,23)+TIME(15,42,10)</f>
        <v>44005.654282407406</v>
      </c>
    </row>
    <row r="3264" spans="1:4" ht="17">
      <c r="A3264" s="5" t="s">
        <v>3497</v>
      </c>
      <c r="B3264" s="5" t="s">
        <v>3498</v>
      </c>
      <c r="C3264" s="5" t="s">
        <v>3499</v>
      </c>
      <c r="D3264" s="2">
        <f>DATE(2020,5,28)+TIME(20,27,20)</f>
        <v>43979.852314814816</v>
      </c>
    </row>
    <row r="3265" spans="1:4" ht="17">
      <c r="A3265" s="4" t="s">
        <v>7186</v>
      </c>
      <c r="B3265" s="4" t="s">
        <v>7187</v>
      </c>
      <c r="C3265" s="4" t="s">
        <v>7188</v>
      </c>
      <c r="D3265" s="1">
        <f>DATE(2020,6,17)+TIME(10,4,33)</f>
        <v>43999.41982638889</v>
      </c>
    </row>
    <row r="3266" spans="1:4" ht="17">
      <c r="A3266" s="5" t="s">
        <v>4692</v>
      </c>
      <c r="B3266" s="5" t="s">
        <v>4693</v>
      </c>
      <c r="C3266" s="5" t="s">
        <v>4694</v>
      </c>
      <c r="D3266" s="2">
        <f>DATE(2020,6,16)+TIME(16,38,25)</f>
        <v>43998.693344907406</v>
      </c>
    </row>
    <row r="3267" spans="1:4" ht="17">
      <c r="A3267" s="5" t="s">
        <v>6900</v>
      </c>
      <c r="B3267" s="5" t="s">
        <v>311</v>
      </c>
      <c r="C3267" s="5" t="s">
        <v>6901</v>
      </c>
      <c r="D3267" s="2">
        <f>DATE(2020,6,27)+TIME(6,0,48)</f>
        <v>44009.250555555554</v>
      </c>
    </row>
    <row r="3268" spans="1:4" ht="17">
      <c r="A3268" s="4" t="s">
        <v>4596</v>
      </c>
      <c r="B3268" s="4" t="s">
        <v>4597</v>
      </c>
      <c r="C3268" s="4" t="s">
        <v>4598</v>
      </c>
      <c r="D3268" s="1">
        <f>DATE(2020,6,26)+TIME(8,6,45)</f>
        <v>44008.338020833333</v>
      </c>
    </row>
    <row r="3269" spans="1:4" ht="17">
      <c r="A3269" s="4" t="s">
        <v>424</v>
      </c>
      <c r="B3269" s="4" t="s">
        <v>425</v>
      </c>
      <c r="C3269" s="4" t="s">
        <v>426</v>
      </c>
      <c r="D3269" s="1">
        <f>DATE(2020,5,21)+TIME(10,35,47)</f>
        <v>43972.441516203704</v>
      </c>
    </row>
    <row r="3270" spans="1:4" ht="17">
      <c r="A3270" s="4" t="s">
        <v>424</v>
      </c>
      <c r="B3270" s="4" t="s">
        <v>892</v>
      </c>
      <c r="C3270" s="4" t="s">
        <v>893</v>
      </c>
      <c r="D3270" s="1">
        <f>DATE(2020,6,17)+TIME(14,50,45)</f>
        <v>43999.618576388886</v>
      </c>
    </row>
    <row r="3271" spans="1:4" ht="17">
      <c r="A3271" s="4" t="s">
        <v>9399</v>
      </c>
      <c r="B3271" s="4" t="s">
        <v>9400</v>
      </c>
      <c r="C3271" s="4" t="s">
        <v>9401</v>
      </c>
      <c r="D3271" s="1">
        <f>DATE(2020,6,13)+TIME(12,53,33)</f>
        <v>43995.537187499998</v>
      </c>
    </row>
    <row r="3272" spans="1:4" ht="17">
      <c r="A3272" s="4" t="s">
        <v>3337</v>
      </c>
      <c r="B3272" s="4" t="s">
        <v>3338</v>
      </c>
      <c r="C3272" s="4" t="s">
        <v>3339</v>
      </c>
      <c r="D3272" s="1">
        <f>DATE(2020,5,6)+TIME(0,50,0)</f>
        <v>43957.034722222219</v>
      </c>
    </row>
    <row r="3273" spans="1:4" ht="17">
      <c r="A3273" s="4" t="s">
        <v>5201</v>
      </c>
      <c r="B3273" s="4" t="s">
        <v>4294</v>
      </c>
      <c r="C3273" s="4" t="s">
        <v>5202</v>
      </c>
      <c r="D3273" s="1">
        <f>DATE(2020,5,22)+TIME(12,53,28)</f>
        <v>43973.537129629629</v>
      </c>
    </row>
    <row r="3274" spans="1:4" ht="17">
      <c r="A3274" s="5" t="s">
        <v>8567</v>
      </c>
      <c r="B3274" s="5" t="s">
        <v>8568</v>
      </c>
      <c r="C3274" s="5" t="s">
        <v>8569</v>
      </c>
      <c r="D3274" s="2">
        <f>DATE(2020,6,3)+TIME(12,23,21)</f>
        <v>43985.516215277778</v>
      </c>
    </row>
    <row r="3275" spans="1:4" ht="17">
      <c r="A3275" s="5" t="s">
        <v>4326</v>
      </c>
      <c r="B3275" s="5" t="s">
        <v>4327</v>
      </c>
      <c r="C3275" s="5" t="s">
        <v>4328</v>
      </c>
      <c r="D3275" s="2">
        <f>DATE(2020,6,29)+TIME(12,3,4)</f>
        <v>44011.502129629633</v>
      </c>
    </row>
    <row r="3276" spans="1:4" ht="17">
      <c r="A3276" s="4" t="s">
        <v>1633</v>
      </c>
      <c r="B3276" s="4" t="s">
        <v>1634</v>
      </c>
      <c r="C3276" s="4" t="s">
        <v>1635</v>
      </c>
      <c r="D3276" s="1">
        <f>DATE(2020,5,7)+TIME(14,40,49)</f>
        <v>43958.611678240741</v>
      </c>
    </row>
    <row r="3277" spans="1:4" ht="17">
      <c r="A3277" s="4" t="s">
        <v>4358</v>
      </c>
      <c r="B3277" s="4" t="s">
        <v>4359</v>
      </c>
      <c r="C3277" s="4" t="s">
        <v>4360</v>
      </c>
      <c r="D3277" s="1">
        <f>DATE(2020,6,25)+TIME(6,9,10)</f>
        <v>44007.256365740737</v>
      </c>
    </row>
    <row r="3278" spans="1:4" ht="17">
      <c r="A3278" s="4" t="s">
        <v>8094</v>
      </c>
      <c r="B3278" s="4" t="s">
        <v>8095</v>
      </c>
      <c r="C3278" s="4" t="s">
        <v>8096</v>
      </c>
      <c r="D3278" s="1">
        <f>DATE(2020,6,4)+TIME(4,31,21)</f>
        <v>43986.188437500001</v>
      </c>
    </row>
    <row r="3279" spans="1:4" ht="17">
      <c r="A3279" s="5" t="s">
        <v>9078</v>
      </c>
      <c r="B3279" s="5" t="s">
        <v>9079</v>
      </c>
      <c r="C3279" s="5" t="s">
        <v>9080</v>
      </c>
      <c r="D3279" s="2">
        <f>DATE(2020,5,14)+TIME(11,9,3)</f>
        <v>43965.464618055557</v>
      </c>
    </row>
    <row r="3280" spans="1:4" ht="17">
      <c r="A3280" s="5" t="s">
        <v>5077</v>
      </c>
      <c r="B3280" s="5" t="s">
        <v>5078</v>
      </c>
      <c r="C3280" s="5" t="s">
        <v>5079</v>
      </c>
      <c r="D3280" s="2">
        <f>DATE(2020,5,15)+TIME(14,36,58)</f>
        <v>43966.60900462963</v>
      </c>
    </row>
    <row r="3281" spans="1:4" ht="17">
      <c r="A3281" s="4" t="s">
        <v>632</v>
      </c>
      <c r="B3281" s="4" t="s">
        <v>2344</v>
      </c>
      <c r="C3281" s="4" t="s">
        <v>2345</v>
      </c>
      <c r="D3281" s="1">
        <f>DATE(2020,5,5)+TIME(15,20,36)</f>
        <v>43956.639305555553</v>
      </c>
    </row>
    <row r="3282" spans="1:4" ht="17">
      <c r="A3282" s="5" t="s">
        <v>632</v>
      </c>
      <c r="B3282" s="5" t="s">
        <v>5718</v>
      </c>
      <c r="C3282" s="5" t="s">
        <v>5719</v>
      </c>
      <c r="D3282" s="2">
        <f>DATE(2020,5,14)+TIME(13,2,24)</f>
        <v>43965.543333333335</v>
      </c>
    </row>
    <row r="3283" spans="1:4" ht="17">
      <c r="A3283" s="5" t="s">
        <v>632</v>
      </c>
      <c r="B3283" s="5" t="s">
        <v>3597</v>
      </c>
      <c r="C3283" s="5" t="s">
        <v>5569</v>
      </c>
      <c r="D3283" s="2">
        <f>DATE(2020,5,15)+TIME(12,37,47)</f>
        <v>43966.526238425926</v>
      </c>
    </row>
    <row r="3284" spans="1:4" ht="17">
      <c r="A3284" s="5" t="s">
        <v>632</v>
      </c>
      <c r="B3284" s="5" t="s">
        <v>5027</v>
      </c>
      <c r="C3284" s="5" t="s">
        <v>5028</v>
      </c>
      <c r="D3284" s="2">
        <f>DATE(2020,5,20)+TIME(17,56,23)</f>
        <v>43971.747488425928</v>
      </c>
    </row>
    <row r="3285" spans="1:4" ht="17">
      <c r="A3285" s="4" t="s">
        <v>632</v>
      </c>
      <c r="B3285" s="4" t="s">
        <v>1802</v>
      </c>
      <c r="C3285" s="4" t="s">
        <v>1803</v>
      </c>
      <c r="D3285" s="1">
        <f>DATE(2020,5,23)+TIME(11,37,56)</f>
        <v>43974.484675925924</v>
      </c>
    </row>
    <row r="3286" spans="1:4" ht="17">
      <c r="A3286" s="5" t="s">
        <v>632</v>
      </c>
      <c r="B3286" s="5" t="s">
        <v>1446</v>
      </c>
      <c r="C3286" s="5" t="s">
        <v>5357</v>
      </c>
      <c r="D3286" s="2">
        <f>DATE(2020,5,28)+TIME(14,42,44)</f>
        <v>43979.613009259258</v>
      </c>
    </row>
    <row r="3287" spans="1:4" ht="17">
      <c r="A3287" s="4" t="s">
        <v>632</v>
      </c>
      <c r="B3287" s="4" t="s">
        <v>7197</v>
      </c>
      <c r="C3287" s="4" t="s">
        <v>7198</v>
      </c>
      <c r="D3287" s="1">
        <f>DATE(2020,6,16)+TIME(14,4,46)</f>
        <v>43998.586643518516</v>
      </c>
    </row>
    <row r="3288" spans="1:4" ht="17">
      <c r="A3288" s="4" t="s">
        <v>632</v>
      </c>
      <c r="B3288" s="4" t="s">
        <v>633</v>
      </c>
      <c r="C3288" s="4" t="s">
        <v>634</v>
      </c>
      <c r="D3288" s="1">
        <f>DATE(2020,6,20)+TIME(13,16,24)</f>
        <v>44002.553055555552</v>
      </c>
    </row>
    <row r="3289" spans="1:4" ht="17">
      <c r="A3289" s="5" t="s">
        <v>632</v>
      </c>
      <c r="B3289" s="5" t="s">
        <v>3187</v>
      </c>
      <c r="C3289" s="5" t="s">
        <v>3188</v>
      </c>
      <c r="D3289" s="2">
        <f>DATE(2020,6,22)+TIME(15,19,6)</f>
        <v>44004.63826388889</v>
      </c>
    </row>
    <row r="3290" spans="1:4" ht="17">
      <c r="A3290" s="5" t="s">
        <v>632</v>
      </c>
      <c r="B3290" s="5" t="s">
        <v>6053</v>
      </c>
      <c r="C3290" s="5" t="s">
        <v>6054</v>
      </c>
      <c r="D3290" s="2">
        <f>DATE(2020,6,24)+TIME(8,47,23)</f>
        <v>44006.366238425922</v>
      </c>
    </row>
    <row r="3291" spans="1:4" ht="17">
      <c r="A3291" s="4" t="s">
        <v>632</v>
      </c>
      <c r="B3291" s="4" t="s">
        <v>3990</v>
      </c>
      <c r="C3291" s="4" t="s">
        <v>3991</v>
      </c>
      <c r="D3291" s="1">
        <f>DATE(2020,6,24)+TIME(18,13,43)</f>
        <v>44006.759525462963</v>
      </c>
    </row>
    <row r="3292" spans="1:4" ht="17">
      <c r="A3292" s="5" t="s">
        <v>632</v>
      </c>
      <c r="B3292" s="5" t="s">
        <v>4979</v>
      </c>
      <c r="C3292" s="5" t="s">
        <v>4980</v>
      </c>
      <c r="D3292" s="2">
        <f>DATE(2020,6,25)+TIME(18,27,16)</f>
        <v>44007.768935185188</v>
      </c>
    </row>
    <row r="3293" spans="1:4" ht="17">
      <c r="A3293" s="5" t="s">
        <v>632</v>
      </c>
      <c r="B3293" s="5" t="s">
        <v>7072</v>
      </c>
      <c r="C3293" s="5" t="s">
        <v>7073</v>
      </c>
      <c r="D3293" s="2">
        <f>DATE(2020,6,28)+TIME(7,30,11)</f>
        <v>44010.312627314815</v>
      </c>
    </row>
    <row r="3294" spans="1:4" ht="17">
      <c r="A3294" s="4" t="s">
        <v>632</v>
      </c>
      <c r="B3294" s="4" t="s">
        <v>8707</v>
      </c>
      <c r="C3294" s="4" t="s">
        <v>8708</v>
      </c>
      <c r="D3294" s="1">
        <f>DATE(2020,6,28)+TIME(14,56,18)</f>
        <v>44010.622430555559</v>
      </c>
    </row>
    <row r="3295" spans="1:4" ht="17">
      <c r="A3295" s="5" t="s">
        <v>632</v>
      </c>
      <c r="B3295" s="5" t="s">
        <v>2596</v>
      </c>
      <c r="C3295" s="5" t="s">
        <v>3764</v>
      </c>
      <c r="D3295" s="2">
        <f>DATE(2020,6,29)+TIME(11,6,58)</f>
        <v>44011.463171296295</v>
      </c>
    </row>
    <row r="3296" spans="1:4" ht="17">
      <c r="A3296" s="4" t="s">
        <v>632</v>
      </c>
      <c r="B3296" s="4" t="s">
        <v>5358</v>
      </c>
      <c r="C3296" s="4" t="s">
        <v>5359</v>
      </c>
      <c r="D3296" s="1">
        <f>DATE(2020,6,29)+TIME(12,18,48)</f>
        <v>44011.513055555559</v>
      </c>
    </row>
    <row r="3297" spans="1:4" ht="17">
      <c r="A3297" s="5" t="s">
        <v>453</v>
      </c>
      <c r="B3297" s="5" t="s">
        <v>7990</v>
      </c>
      <c r="C3297" s="5" t="s">
        <v>7991</v>
      </c>
      <c r="D3297" s="2">
        <f>DATE(2020,3,5)+TIME(0,2,7)</f>
        <v>43895.001469907409</v>
      </c>
    </row>
    <row r="3298" spans="1:4" ht="17">
      <c r="A3298" s="5" t="s">
        <v>453</v>
      </c>
      <c r="B3298" s="5" t="s">
        <v>1613</v>
      </c>
      <c r="C3298" s="5" t="s">
        <v>1614</v>
      </c>
      <c r="D3298" s="2">
        <f>DATE(2020,5,5)+TIME(18,4,35)</f>
        <v>43956.753182870372</v>
      </c>
    </row>
    <row r="3299" spans="1:4" ht="17">
      <c r="A3299" s="4" t="s">
        <v>453</v>
      </c>
      <c r="B3299" s="4" t="s">
        <v>1495</v>
      </c>
      <c r="C3299" s="4" t="s">
        <v>2128</v>
      </c>
      <c r="D3299" s="1">
        <f>DATE(2020,5,6)+TIME(9,25,59)</f>
        <v>43957.393043981479</v>
      </c>
    </row>
    <row r="3300" spans="1:4" ht="17">
      <c r="A3300" s="4" t="s">
        <v>453</v>
      </c>
      <c r="B3300" s="4" t="s">
        <v>6427</v>
      </c>
      <c r="C3300" s="4" t="s">
        <v>6428</v>
      </c>
      <c r="D3300" s="1">
        <f>DATE(2020,5,29)+TIME(13,0,38)</f>
        <v>43980.54210648148</v>
      </c>
    </row>
    <row r="3301" spans="1:4" ht="17">
      <c r="A3301" s="5" t="s">
        <v>453</v>
      </c>
      <c r="B3301" s="5" t="s">
        <v>4277</v>
      </c>
      <c r="C3301" s="5" t="s">
        <v>4278</v>
      </c>
      <c r="D3301" s="2">
        <f>DATE(2020,6,4)+TIME(19,38,39)</f>
        <v>43986.818506944444</v>
      </c>
    </row>
    <row r="3302" spans="1:4" ht="17">
      <c r="A3302" s="4" t="s">
        <v>453</v>
      </c>
      <c r="B3302" s="4" t="s">
        <v>5320</v>
      </c>
      <c r="C3302" s="4" t="s">
        <v>5321</v>
      </c>
      <c r="D3302" s="1">
        <f>DATE(2020,6,10)+TIME(8,57,4)</f>
        <v>43992.37296296296</v>
      </c>
    </row>
    <row r="3303" spans="1:4" ht="17">
      <c r="A3303" s="5" t="s">
        <v>453</v>
      </c>
      <c r="B3303" s="5" t="s">
        <v>454</v>
      </c>
      <c r="C3303" s="5" t="s">
        <v>455</v>
      </c>
      <c r="D3303" s="2">
        <f>DATE(2020,6,17)+TIME(15,57,14)</f>
        <v>43999.66474537037</v>
      </c>
    </row>
    <row r="3304" spans="1:4" ht="17">
      <c r="A3304" s="5" t="s">
        <v>453</v>
      </c>
      <c r="B3304" s="5" t="s">
        <v>432</v>
      </c>
      <c r="C3304" s="5" t="s">
        <v>697</v>
      </c>
      <c r="D3304" s="2">
        <f>DATE(2020,6,26)+TIME(12,15,11)</f>
        <v>44008.51054398148</v>
      </c>
    </row>
    <row r="3305" spans="1:4" ht="17">
      <c r="A3305" s="5" t="s">
        <v>453</v>
      </c>
      <c r="B3305" s="5" t="s">
        <v>7432</v>
      </c>
      <c r="C3305" s="5" t="s">
        <v>7433</v>
      </c>
      <c r="D3305" s="2">
        <f>DATE(2020,6,26)+TIME(12,49,26)</f>
        <v>44008.534328703703</v>
      </c>
    </row>
    <row r="3306" spans="1:4" ht="17">
      <c r="A3306" s="5" t="s">
        <v>453</v>
      </c>
      <c r="B3306" s="5" t="s">
        <v>4507</v>
      </c>
      <c r="C3306" s="5" t="s">
        <v>4508</v>
      </c>
      <c r="D3306" s="2">
        <f>DATE(2020,6,26)+TIME(15,39,11)</f>
        <v>44008.65221064815</v>
      </c>
    </row>
    <row r="3307" spans="1:4" ht="17">
      <c r="A3307" s="5" t="s">
        <v>1230</v>
      </c>
      <c r="B3307" s="5" t="s">
        <v>220</v>
      </c>
      <c r="C3307" s="5" t="s">
        <v>7575</v>
      </c>
      <c r="D3307" s="2">
        <f>DATE(2020,5,6)+TIME(13,4,50)</f>
        <v>43957.545023148145</v>
      </c>
    </row>
    <row r="3308" spans="1:4" ht="17">
      <c r="A3308" s="4" t="s">
        <v>1230</v>
      </c>
      <c r="B3308" s="4" t="s">
        <v>3579</v>
      </c>
      <c r="C3308" s="4" t="s">
        <v>3580</v>
      </c>
      <c r="D3308" s="1">
        <f>DATE(2020,5,13)+TIME(3,54,29)</f>
        <v>43964.162835648145</v>
      </c>
    </row>
    <row r="3309" spans="1:4" ht="17">
      <c r="A3309" s="4" t="s">
        <v>1230</v>
      </c>
      <c r="B3309" s="4" t="s">
        <v>7410</v>
      </c>
      <c r="C3309" s="4" t="s">
        <v>7411</v>
      </c>
      <c r="D3309" s="1">
        <f>DATE(2020,5,13)+TIME(5,25,39)</f>
        <v>43964.226145833331</v>
      </c>
    </row>
    <row r="3310" spans="1:4" ht="17">
      <c r="A3310" s="5" t="s">
        <v>1230</v>
      </c>
      <c r="B3310" s="5" t="s">
        <v>1231</v>
      </c>
      <c r="C3310" s="5" t="s">
        <v>1232</v>
      </c>
      <c r="D3310" s="2">
        <f>DATE(2020,6,12)+TIME(12,17,10)</f>
        <v>43994.511921296296</v>
      </c>
    </row>
    <row r="3311" spans="1:4" ht="17">
      <c r="A3311" s="4" t="s">
        <v>1230</v>
      </c>
      <c r="B3311" s="4" t="s">
        <v>4812</v>
      </c>
      <c r="C3311" s="4" t="s">
        <v>4813</v>
      </c>
      <c r="D3311" s="1">
        <f>DATE(2020,6,18)+TIME(6,41,31)</f>
        <v>44000.278831018521</v>
      </c>
    </row>
    <row r="3312" spans="1:4" ht="17">
      <c r="A3312" s="4" t="s">
        <v>1230</v>
      </c>
      <c r="B3312" s="4" t="s">
        <v>4141</v>
      </c>
      <c r="C3312" s="4" t="s">
        <v>4142</v>
      </c>
      <c r="D3312" s="1">
        <f>DATE(2020,6,23)+TIME(20,25,2)</f>
        <v>44005.850717592592</v>
      </c>
    </row>
    <row r="3313" spans="1:4" ht="17">
      <c r="A3313" s="4" t="s">
        <v>8763</v>
      </c>
      <c r="B3313" s="4" t="s">
        <v>8764</v>
      </c>
      <c r="C3313" s="4" t="s">
        <v>8765</v>
      </c>
      <c r="D3313" s="1">
        <f>DATE(2020,6,25)+TIME(17,21,18)</f>
        <v>44007.723124999997</v>
      </c>
    </row>
    <row r="3314" spans="1:4" ht="17">
      <c r="A3314" s="4" t="s">
        <v>5460</v>
      </c>
      <c r="B3314" s="4" t="s">
        <v>5461</v>
      </c>
      <c r="C3314" s="4" t="s">
        <v>5462</v>
      </c>
      <c r="D3314" s="1">
        <f>DATE(2020,6,13)+TIME(4,27,8)</f>
        <v>43995.18550925926</v>
      </c>
    </row>
    <row r="3315" spans="1:4" ht="17">
      <c r="A3315" s="4" t="s">
        <v>7683</v>
      </c>
      <c r="B3315" s="4" t="s">
        <v>7684</v>
      </c>
      <c r="C3315" s="4" t="s">
        <v>7685</v>
      </c>
      <c r="D3315" s="1">
        <f>DATE(2020,6,28)+TIME(7,31,11)</f>
        <v>44010.313321759262</v>
      </c>
    </row>
    <row r="3316" spans="1:4" ht="17">
      <c r="A3316" s="5" t="s">
        <v>5370</v>
      </c>
      <c r="B3316" s="5" t="s">
        <v>5371</v>
      </c>
      <c r="C3316" s="5" t="s">
        <v>5372</v>
      </c>
      <c r="D3316" s="2">
        <f>DATE(2020,6,21)+TIME(12,54,59)</f>
        <v>44003.538182870368</v>
      </c>
    </row>
    <row r="3317" spans="1:4" ht="17">
      <c r="A3317" s="5" t="s">
        <v>4200</v>
      </c>
      <c r="B3317" s="5" t="s">
        <v>4201</v>
      </c>
      <c r="C3317" s="5" t="s">
        <v>4202</v>
      </c>
      <c r="D3317" s="2">
        <f>DATE(2020,6,25)+TIME(6,54,47)</f>
        <v>44007.288043981483</v>
      </c>
    </row>
    <row r="3318" spans="1:4" ht="17">
      <c r="A3318" s="4" t="s">
        <v>7143</v>
      </c>
      <c r="B3318" s="4" t="s">
        <v>7144</v>
      </c>
      <c r="C3318" s="4" t="s">
        <v>7145</v>
      </c>
      <c r="D3318" s="1">
        <f>DATE(2020,5,27)+TIME(2,21,51)</f>
        <v>43978.098506944443</v>
      </c>
    </row>
    <row r="3319" spans="1:4" ht="17">
      <c r="A3319" s="5" t="s">
        <v>3705</v>
      </c>
      <c r="B3319" s="5" t="s">
        <v>3706</v>
      </c>
      <c r="C3319" s="5" t="s">
        <v>3707</v>
      </c>
      <c r="D3319" s="2">
        <f>DATE(2020,6,24)+TIME(12,55,45)</f>
        <v>44006.538715277777</v>
      </c>
    </row>
    <row r="3320" spans="1:4" ht="17">
      <c r="A3320" s="4" t="s">
        <v>8583</v>
      </c>
      <c r="B3320" s="4" t="s">
        <v>8584</v>
      </c>
      <c r="C3320" s="4" t="s">
        <v>8585</v>
      </c>
      <c r="D3320" s="1">
        <f>DATE(2020,5,5)+TIME(21,46,22)</f>
        <v>43956.907199074078</v>
      </c>
    </row>
    <row r="3321" spans="1:4" ht="17">
      <c r="A3321" s="4" t="s">
        <v>5466</v>
      </c>
      <c r="B3321" s="4" t="s">
        <v>5467</v>
      </c>
      <c r="C3321" s="4" t="s">
        <v>5468</v>
      </c>
      <c r="D3321" s="1">
        <f>DATE(2020,6,13)+TIME(11,32,56)</f>
        <v>43995.481203703705</v>
      </c>
    </row>
    <row r="3322" spans="1:4" ht="17">
      <c r="A3322" s="5" t="s">
        <v>8180</v>
      </c>
      <c r="B3322" s="5" t="s">
        <v>8181</v>
      </c>
      <c r="C3322" s="5" t="s">
        <v>8182</v>
      </c>
      <c r="D3322" s="2">
        <f>DATE(2020,6,25)+TIME(19,49,10)</f>
        <v>44007.825810185182</v>
      </c>
    </row>
    <row r="3323" spans="1:4" ht="17">
      <c r="A3323" s="5" t="s">
        <v>3437</v>
      </c>
      <c r="B3323" s="5" t="s">
        <v>3438</v>
      </c>
      <c r="C3323" s="5" t="s">
        <v>3439</v>
      </c>
      <c r="D3323" s="2">
        <f>DATE(2020,6,25)+TIME(11,23,26)</f>
        <v>44007.474606481483</v>
      </c>
    </row>
    <row r="3324" spans="1:4" ht="17">
      <c r="A3324" s="5" t="s">
        <v>3907</v>
      </c>
      <c r="B3324" s="5" t="s">
        <v>3908</v>
      </c>
      <c r="C3324" s="5" t="s">
        <v>3909</v>
      </c>
      <c r="D3324" s="2">
        <f>DATE(2020,6,25)+TIME(4,4,57)</f>
        <v>44007.170104166667</v>
      </c>
    </row>
    <row r="3325" spans="1:4" ht="17">
      <c r="A3325" s="4" t="s">
        <v>3907</v>
      </c>
      <c r="B3325" s="4" t="s">
        <v>8371</v>
      </c>
      <c r="C3325" s="4" t="s">
        <v>8372</v>
      </c>
      <c r="D3325" s="1">
        <f>DATE(2020,6,29)+TIME(1,54,39)</f>
        <v>44011.079618055555</v>
      </c>
    </row>
    <row r="3326" spans="1:4" ht="17">
      <c r="A3326" s="5" t="s">
        <v>516</v>
      </c>
      <c r="B3326" s="5" t="s">
        <v>517</v>
      </c>
      <c r="C3326" s="5" t="s">
        <v>518</v>
      </c>
      <c r="D3326" s="2">
        <f>DATE(2020,3,28)+TIME(5,0,12)</f>
        <v>43918.208472222221</v>
      </c>
    </row>
    <row r="3327" spans="1:4" ht="17">
      <c r="A3327" s="5" t="s">
        <v>516</v>
      </c>
      <c r="B3327" s="5" t="s">
        <v>4101</v>
      </c>
      <c r="C3327" s="5" t="s">
        <v>4102</v>
      </c>
      <c r="D3327" s="2">
        <f>DATE(2020,5,18)+TIME(8,2,23)</f>
        <v>43969.334988425922</v>
      </c>
    </row>
    <row r="3328" spans="1:4" ht="17">
      <c r="A3328" s="5" t="s">
        <v>516</v>
      </c>
      <c r="B3328" s="5" t="s">
        <v>3335</v>
      </c>
      <c r="C3328" s="5" t="s">
        <v>3336</v>
      </c>
      <c r="D3328" s="2">
        <f>DATE(2020,6,24)+TIME(10,5,50)</f>
        <v>44006.420717592591</v>
      </c>
    </row>
    <row r="3329" spans="1:4" ht="17">
      <c r="A3329" s="5" t="s">
        <v>7721</v>
      </c>
      <c r="B3329" s="5" t="s">
        <v>7722</v>
      </c>
      <c r="C3329" s="5" t="s">
        <v>7723</v>
      </c>
      <c r="D3329" s="2">
        <f>DATE(2020,6,25)+TIME(17,13,47)</f>
        <v>44007.717905092592</v>
      </c>
    </row>
    <row r="3330" spans="1:4" ht="17">
      <c r="A3330" s="4" t="s">
        <v>6483</v>
      </c>
      <c r="B3330" s="4" t="s">
        <v>6483</v>
      </c>
      <c r="C3330" s="4" t="s">
        <v>6484</v>
      </c>
      <c r="D3330" s="1">
        <f>DATE(2020,6,8)+TIME(8,18,28)</f>
        <v>43990.34615740741</v>
      </c>
    </row>
    <row r="3331" spans="1:4" ht="17">
      <c r="A3331" s="5" t="s">
        <v>2641</v>
      </c>
      <c r="B3331" s="5" t="s">
        <v>2642</v>
      </c>
      <c r="C3331" s="5" t="s">
        <v>2643</v>
      </c>
      <c r="D3331" s="2">
        <f>DATE(2020,6,27)+TIME(9,23,40)</f>
        <v>44009.391435185185</v>
      </c>
    </row>
    <row r="3332" spans="1:4" ht="17">
      <c r="A3332" s="4" t="s">
        <v>5488</v>
      </c>
      <c r="B3332" s="4" t="s">
        <v>7070</v>
      </c>
      <c r="C3332" s="4" t="s">
        <v>7071</v>
      </c>
      <c r="D3332" s="1">
        <f>DATE(2020,6,3)+TIME(0,59,33)</f>
        <v>43985.041354166664</v>
      </c>
    </row>
    <row r="3333" spans="1:4" ht="17">
      <c r="A3333" s="4" t="s">
        <v>5488</v>
      </c>
      <c r="B3333" s="4" t="s">
        <v>5489</v>
      </c>
      <c r="C3333" s="4" t="s">
        <v>5490</v>
      </c>
      <c r="D3333" s="1">
        <f>DATE(2020,6,23)+TIME(19,11,42)</f>
        <v>44005.799791666665</v>
      </c>
    </row>
    <row r="3334" spans="1:4" ht="17">
      <c r="A3334" s="4" t="s">
        <v>5488</v>
      </c>
      <c r="B3334" s="4" t="s">
        <v>8295</v>
      </c>
      <c r="C3334" s="4" t="s">
        <v>8296</v>
      </c>
      <c r="D3334" s="1">
        <f>DATE(2020,6,29)+TIME(12,47,2)</f>
        <v>44011.53266203704</v>
      </c>
    </row>
    <row r="3335" spans="1:4" ht="17">
      <c r="A3335" s="5" t="s">
        <v>1935</v>
      </c>
      <c r="B3335" s="5" t="s">
        <v>1936</v>
      </c>
      <c r="C3335" s="5" t="s">
        <v>1937</v>
      </c>
      <c r="D3335" s="2">
        <f>DATE(2020,6,19)+TIME(1,27,26)</f>
        <v>44001.060717592591</v>
      </c>
    </row>
    <row r="3336" spans="1:4" ht="17">
      <c r="A3336" s="5" t="s">
        <v>3530</v>
      </c>
      <c r="B3336" s="5" t="s">
        <v>3531</v>
      </c>
      <c r="C3336" s="5" t="s">
        <v>3532</v>
      </c>
      <c r="D3336" s="2">
        <f>DATE(2020,6,23)+TIME(17,29,55)</f>
        <v>44005.729108796295</v>
      </c>
    </row>
    <row r="3337" spans="1:4" ht="17">
      <c r="A3337" s="4" t="s">
        <v>2456</v>
      </c>
      <c r="B3337" s="4" t="s">
        <v>559</v>
      </c>
      <c r="C3337" s="4" t="s">
        <v>2457</v>
      </c>
      <c r="D3337" s="1">
        <f>DATE(2020,6,17)+TIME(13,34,42)</f>
        <v>43999.565763888888</v>
      </c>
    </row>
    <row r="3338" spans="1:4" ht="17">
      <c r="A3338" s="5" t="s">
        <v>9572</v>
      </c>
      <c r="B3338" s="5" t="s">
        <v>9573</v>
      </c>
      <c r="C3338" s="5" t="s">
        <v>9574</v>
      </c>
      <c r="D3338" s="2">
        <f>DATE(2020,6,26)+TIME(10,38,24)</f>
        <v>44008.443333333336</v>
      </c>
    </row>
    <row r="3339" spans="1:4" ht="17">
      <c r="A3339" s="5" t="s">
        <v>51</v>
      </c>
      <c r="B3339" s="5" t="s">
        <v>52</v>
      </c>
      <c r="C3339" s="5" t="s">
        <v>53</v>
      </c>
      <c r="D3339" s="2">
        <f>DATE(2020,5,28)+TIME(16,19,21)</f>
        <v>43979.680104166669</v>
      </c>
    </row>
    <row r="3340" spans="1:4" ht="17">
      <c r="A3340" s="4" t="s">
        <v>6537</v>
      </c>
      <c r="B3340" s="4" t="s">
        <v>907</v>
      </c>
      <c r="C3340" s="4" t="s">
        <v>6538</v>
      </c>
      <c r="D3340" s="1">
        <f>DATE(2020,6,19)+TIME(6,3,16)</f>
        <v>44001.252268518518</v>
      </c>
    </row>
    <row r="3341" spans="1:4" ht="17">
      <c r="A3341" s="4" t="s">
        <v>8321</v>
      </c>
      <c r="B3341" s="4" t="s">
        <v>907</v>
      </c>
      <c r="C3341" s="4" t="s">
        <v>8322</v>
      </c>
      <c r="D3341" s="1">
        <f>DATE(2020,6,26)+TIME(5,3,46)</f>
        <v>44008.210949074077</v>
      </c>
    </row>
    <row r="3342" spans="1:4" ht="17">
      <c r="A3342" s="5" t="s">
        <v>7747</v>
      </c>
      <c r="B3342" s="5" t="s">
        <v>7748</v>
      </c>
      <c r="C3342" s="5" t="s">
        <v>7749</v>
      </c>
      <c r="D3342" s="2">
        <f>DATE(2020,6,16)+TIME(9,36,54)</f>
        <v>43998.400625000002</v>
      </c>
    </row>
    <row r="3343" spans="1:4" ht="17">
      <c r="A3343" s="4" t="s">
        <v>2050</v>
      </c>
      <c r="B3343" s="4" t="s">
        <v>2051</v>
      </c>
      <c r="C3343" s="4" t="s">
        <v>2052</v>
      </c>
      <c r="D3343" s="1">
        <f>DATE(2020,6,24)+TIME(13,7,4)</f>
        <v>44006.546574074076</v>
      </c>
    </row>
    <row r="3344" spans="1:4" ht="17">
      <c r="A3344" s="4" t="s">
        <v>1283</v>
      </c>
      <c r="B3344" s="4" t="s">
        <v>1284</v>
      </c>
      <c r="C3344" s="4" t="s">
        <v>1285</v>
      </c>
      <c r="D3344" s="1">
        <f>DATE(2020,5,20)+TIME(0,8,3)</f>
        <v>43971.005590277775</v>
      </c>
    </row>
    <row r="3345" spans="1:4" ht="17">
      <c r="A3345" s="4" t="s">
        <v>4414</v>
      </c>
      <c r="B3345" s="4" t="s">
        <v>4415</v>
      </c>
      <c r="C3345" s="4" t="s">
        <v>4416</v>
      </c>
      <c r="D3345" s="1">
        <f>DATE(2020,5,20)+TIME(17,26,26)</f>
        <v>43971.726689814815</v>
      </c>
    </row>
    <row r="3346" spans="1:4" ht="17">
      <c r="A3346" s="4" t="s">
        <v>3097</v>
      </c>
      <c r="B3346" s="4" t="s">
        <v>7793</v>
      </c>
      <c r="C3346" s="4" t="s">
        <v>7794</v>
      </c>
      <c r="D3346" s="1">
        <f>DATE(2020,3,30)+TIME(6,14,49)</f>
        <v>43920.260289351849</v>
      </c>
    </row>
    <row r="3347" spans="1:4" ht="17">
      <c r="A3347" s="5" t="s">
        <v>3097</v>
      </c>
      <c r="B3347" s="5" t="s">
        <v>322</v>
      </c>
      <c r="C3347" s="5" t="s">
        <v>3098</v>
      </c>
      <c r="D3347" s="2">
        <f>DATE(2020,6,4)+TIME(2,54,56)</f>
        <v>43986.121481481481</v>
      </c>
    </row>
    <row r="3348" spans="1:4" ht="17">
      <c r="A3348" s="4" t="s">
        <v>3097</v>
      </c>
      <c r="B3348" s="4" t="s">
        <v>7181</v>
      </c>
      <c r="C3348" s="4" t="s">
        <v>7182</v>
      </c>
      <c r="D3348" s="1">
        <f>DATE(2020,6,15)+TIME(19,18,5)</f>
        <v>43997.804224537038</v>
      </c>
    </row>
    <row r="3349" spans="1:4" ht="17">
      <c r="A3349" s="5" t="s">
        <v>3097</v>
      </c>
      <c r="B3349" s="5" t="s">
        <v>5475</v>
      </c>
      <c r="C3349" s="5" t="s">
        <v>5476</v>
      </c>
      <c r="D3349" s="2">
        <f>DATE(2020,6,25)+TIME(0,32,45)</f>
        <v>44007.022743055553</v>
      </c>
    </row>
    <row r="3350" spans="1:4" ht="17">
      <c r="A3350" s="4" t="s">
        <v>5511</v>
      </c>
      <c r="B3350" s="4" t="s">
        <v>322</v>
      </c>
      <c r="C3350" s="4" t="s">
        <v>5512</v>
      </c>
      <c r="D3350" s="1">
        <f>DATE(2020,6,15)+TIME(10,51,24)</f>
        <v>43997.452361111114</v>
      </c>
    </row>
    <row r="3351" spans="1:4" ht="17">
      <c r="A3351" s="5" t="s">
        <v>4573</v>
      </c>
      <c r="B3351" s="5" t="s">
        <v>4574</v>
      </c>
      <c r="C3351" s="5" t="s">
        <v>4575</v>
      </c>
      <c r="D3351" s="2">
        <f>DATE(2020,6,11)+TIME(10,22,57)</f>
        <v>43993.432604166665</v>
      </c>
    </row>
    <row r="3352" spans="1:4" ht="17">
      <c r="A3352" s="5" t="s">
        <v>940</v>
      </c>
      <c r="B3352" s="5" t="s">
        <v>941</v>
      </c>
      <c r="C3352" s="5" t="s">
        <v>942</v>
      </c>
      <c r="D3352" s="2">
        <f>DATE(2020,6,17)+TIME(8,13,36)</f>
        <v>43999.342777777776</v>
      </c>
    </row>
    <row r="3353" spans="1:4" ht="17">
      <c r="A3353" s="4" t="s">
        <v>940</v>
      </c>
      <c r="B3353" s="4" t="s">
        <v>1195</v>
      </c>
      <c r="C3353" s="4" t="s">
        <v>1196</v>
      </c>
      <c r="D3353" s="1">
        <f>DATE(2020,6,24)+TIME(13,33,17)</f>
        <v>44006.564780092594</v>
      </c>
    </row>
    <row r="3354" spans="1:4" ht="17">
      <c r="A3354" s="4" t="s">
        <v>940</v>
      </c>
      <c r="B3354" s="4" t="s">
        <v>6797</v>
      </c>
      <c r="C3354" s="4" t="s">
        <v>6798</v>
      </c>
      <c r="D3354" s="1">
        <f>DATE(2020,6,25)+TIME(13,51,47)</f>
        <v>44007.577627314815</v>
      </c>
    </row>
    <row r="3355" spans="1:4" ht="17">
      <c r="A3355" s="4" t="s">
        <v>4609</v>
      </c>
      <c r="B3355" s="4" t="s">
        <v>4610</v>
      </c>
      <c r="C3355" s="4" t="s">
        <v>4611</v>
      </c>
      <c r="D3355" s="1">
        <f>DATE(2020,6,18)+TIME(23,33,4)</f>
        <v>44000.981296296297</v>
      </c>
    </row>
    <row r="3356" spans="1:4" ht="17">
      <c r="A3356" s="4" t="s">
        <v>2644</v>
      </c>
      <c r="B3356" s="4" t="s">
        <v>2645</v>
      </c>
      <c r="C3356" s="4" t="s">
        <v>2646</v>
      </c>
      <c r="D3356" s="1">
        <f>DATE(2020,6,25)+TIME(0,46,37)</f>
        <v>44007.032372685186</v>
      </c>
    </row>
    <row r="3357" spans="1:4" ht="17">
      <c r="A3357" s="5" t="s">
        <v>5865</v>
      </c>
      <c r="B3357" s="5" t="s">
        <v>5866</v>
      </c>
      <c r="C3357" s="5" t="s">
        <v>5867</v>
      </c>
      <c r="D3357" s="2">
        <f>DATE(2020,6,26)+TIME(12,12,13)</f>
        <v>44008.508483796293</v>
      </c>
    </row>
    <row r="3358" spans="1:4" ht="17">
      <c r="A3358" s="5" t="s">
        <v>3370</v>
      </c>
      <c r="B3358" s="5" t="s">
        <v>3371</v>
      </c>
      <c r="C3358" s="5" t="s">
        <v>3372</v>
      </c>
      <c r="D3358" s="2">
        <f>DATE(2020,6,14)+TIME(9,40,55)</f>
        <v>43996.403414351851</v>
      </c>
    </row>
    <row r="3359" spans="1:4" ht="17">
      <c r="A3359" s="5" t="s">
        <v>4835</v>
      </c>
      <c r="B3359" s="5" t="s">
        <v>4836</v>
      </c>
      <c r="C3359" s="5" t="s">
        <v>4837</v>
      </c>
      <c r="D3359" s="2">
        <f>DATE(2020,6,27)+TIME(2,35,34)</f>
        <v>44009.108032407406</v>
      </c>
    </row>
    <row r="3360" spans="1:4" ht="17">
      <c r="A3360" s="4" t="s">
        <v>1842</v>
      </c>
      <c r="B3360" s="4" t="s">
        <v>1843</v>
      </c>
      <c r="C3360" s="4" t="s">
        <v>1844</v>
      </c>
      <c r="D3360" s="1">
        <f>DATE(2020,5,6)+TIME(13,12,17)</f>
        <v>43957.550196759257</v>
      </c>
    </row>
    <row r="3361" spans="1:4" ht="17">
      <c r="A3361" s="5" t="s">
        <v>5649</v>
      </c>
      <c r="B3361" s="5" t="s">
        <v>5650</v>
      </c>
      <c r="C3361" s="5" t="s">
        <v>5651</v>
      </c>
      <c r="D3361" s="2">
        <f>DATE(2020,5,22)+TIME(9,29,8)</f>
        <v>43973.395231481481</v>
      </c>
    </row>
    <row r="3362" spans="1:4" ht="17">
      <c r="A3362" s="4" t="s">
        <v>8173</v>
      </c>
      <c r="B3362" s="4" t="s">
        <v>8174</v>
      </c>
      <c r="C3362" s="4" t="s">
        <v>8175</v>
      </c>
      <c r="D3362" s="1">
        <f>DATE(2020,6,17)+TIME(13,32,25)</f>
        <v>43999.56417824074</v>
      </c>
    </row>
    <row r="3363" spans="1:4" ht="17">
      <c r="A3363" s="5" t="s">
        <v>3192</v>
      </c>
      <c r="B3363" s="5" t="s">
        <v>3193</v>
      </c>
      <c r="C3363" s="5" t="s">
        <v>3194</v>
      </c>
      <c r="D3363" s="2">
        <f>DATE(2020,6,26)+TIME(17,20,56)</f>
        <v>44008.722870370373</v>
      </c>
    </row>
    <row r="3364" spans="1:4" ht="17">
      <c r="A3364" s="4" t="s">
        <v>9003</v>
      </c>
      <c r="B3364" s="4" t="s">
        <v>9004</v>
      </c>
      <c r="C3364" s="4" t="s">
        <v>9005</v>
      </c>
      <c r="D3364" s="1">
        <f>DATE(2020,5,13)+TIME(23,42,22)</f>
        <v>43964.987754629627</v>
      </c>
    </row>
    <row r="3365" spans="1:4" ht="17">
      <c r="A3365" s="4" t="s">
        <v>4194</v>
      </c>
      <c r="B3365" s="4" t="s">
        <v>844</v>
      </c>
      <c r="C3365" s="4" t="s">
        <v>4195</v>
      </c>
      <c r="D3365" s="1">
        <f>DATE(2020,6,26)+TIME(17,15,46)</f>
        <v>44008.719282407408</v>
      </c>
    </row>
    <row r="3366" spans="1:4" ht="17">
      <c r="A3366" s="5" t="s">
        <v>7375</v>
      </c>
      <c r="B3366" s="5" t="s">
        <v>7376</v>
      </c>
      <c r="C3366" s="5" t="s">
        <v>7377</v>
      </c>
      <c r="D3366" s="2">
        <f>DATE(2020,6,25)+TIME(9,6,14)</f>
        <v>44007.379328703704</v>
      </c>
    </row>
    <row r="3367" spans="1:4" ht="17">
      <c r="A3367" s="5" t="s">
        <v>4383</v>
      </c>
      <c r="B3367" s="5" t="s">
        <v>4384</v>
      </c>
      <c r="C3367" s="5" t="s">
        <v>4385</v>
      </c>
      <c r="D3367" s="2">
        <f>DATE(2020,5,29)+TIME(9,34,31)</f>
        <v>43980.398969907408</v>
      </c>
    </row>
    <row r="3368" spans="1:4" ht="17">
      <c r="A3368" s="4" t="s">
        <v>7000</v>
      </c>
      <c r="B3368" s="4" t="s">
        <v>7001</v>
      </c>
      <c r="C3368" s="4" t="s">
        <v>7002</v>
      </c>
      <c r="D3368" s="1">
        <f>DATE(2020,5,26)+TIME(4,17,1)</f>
        <v>43977.178483796299</v>
      </c>
    </row>
    <row r="3369" spans="1:4" ht="17">
      <c r="A3369" s="4" t="s">
        <v>2725</v>
      </c>
      <c r="B3369" s="4" t="s">
        <v>2726</v>
      </c>
      <c r="C3369" s="4" t="s">
        <v>2727</v>
      </c>
      <c r="D3369" s="1">
        <f>DATE(2020,6,5)+TIME(0,20,13)</f>
        <v>43987.014039351852</v>
      </c>
    </row>
    <row r="3370" spans="1:4" ht="17">
      <c r="A3370" s="5" t="s">
        <v>3079</v>
      </c>
      <c r="B3370" s="5" t="s">
        <v>3080</v>
      </c>
      <c r="C3370" s="5" t="s">
        <v>3081</v>
      </c>
      <c r="D3370" s="2">
        <f>DATE(2020,2,21)+TIME(10,59,45)</f>
        <v>43882.45815972222</v>
      </c>
    </row>
    <row r="3371" spans="1:4" ht="17">
      <c r="A3371" s="4" t="s">
        <v>4576</v>
      </c>
      <c r="B3371" s="4" t="s">
        <v>4577</v>
      </c>
      <c r="C3371" s="4" t="s">
        <v>4578</v>
      </c>
      <c r="D3371" s="1">
        <f>DATE(2020,6,26)+TIME(13,22,6)</f>
        <v>44008.557013888887</v>
      </c>
    </row>
    <row r="3372" spans="1:4" ht="17">
      <c r="A3372" s="5" t="s">
        <v>838</v>
      </c>
      <c r="B3372" s="5" t="s">
        <v>839</v>
      </c>
      <c r="C3372" s="5" t="s">
        <v>840</v>
      </c>
      <c r="D3372" s="2">
        <f>DATE(2020,6,27)+TIME(23,41,4)</f>
        <v>44009.986851851849</v>
      </c>
    </row>
    <row r="3373" spans="1:4" ht="17">
      <c r="A3373" s="5" t="s">
        <v>5676</v>
      </c>
      <c r="B3373" s="5" t="s">
        <v>5677</v>
      </c>
      <c r="C3373" s="5" t="s">
        <v>5678</v>
      </c>
      <c r="D3373" s="2">
        <f>DATE(2020,5,5)+TIME(16,16,43)</f>
        <v>43956.67827546296</v>
      </c>
    </row>
    <row r="3374" spans="1:4" ht="17">
      <c r="A3374" s="5" t="s">
        <v>3838</v>
      </c>
      <c r="B3374" s="5" t="s">
        <v>3839</v>
      </c>
      <c r="C3374" s="5" t="s">
        <v>3840</v>
      </c>
      <c r="D3374" s="2">
        <f>DATE(2020,6,29)+TIME(10,8,8)</f>
        <v>44011.422314814816</v>
      </c>
    </row>
    <row r="3375" spans="1:4" ht="17">
      <c r="A3375" s="5" t="s">
        <v>3215</v>
      </c>
      <c r="B3375" s="5" t="s">
        <v>3216</v>
      </c>
      <c r="C3375" s="5" t="s">
        <v>3217</v>
      </c>
      <c r="D3375" s="2">
        <f>DATE(2020,5,6)+TIME(2,2,41)</f>
        <v>43957.085196759261</v>
      </c>
    </row>
    <row r="3376" spans="1:4" ht="17">
      <c r="A3376" s="4" t="s">
        <v>7755</v>
      </c>
      <c r="B3376" s="4" t="s">
        <v>7756</v>
      </c>
      <c r="C3376" s="4" t="s">
        <v>7757</v>
      </c>
      <c r="D3376" s="1">
        <f>DATE(2020,6,17)+TIME(11,32,28)</f>
        <v>43999.480879629627</v>
      </c>
    </row>
    <row r="3377" spans="1:4" ht="17">
      <c r="A3377" s="4" t="s">
        <v>564</v>
      </c>
      <c r="B3377" s="4" t="s">
        <v>565</v>
      </c>
      <c r="C3377" s="4" t="s">
        <v>566</v>
      </c>
      <c r="D3377" s="1">
        <f>DATE(2020,6,27)+TIME(3,19,10)</f>
        <v>44009.138310185182</v>
      </c>
    </row>
    <row r="3378" spans="1:4" ht="17">
      <c r="A3378" s="4" t="s">
        <v>9183</v>
      </c>
      <c r="B3378" s="4" t="s">
        <v>4044</v>
      </c>
      <c r="C3378" s="4" t="s">
        <v>9184</v>
      </c>
      <c r="D3378" s="1">
        <f>DATE(2020,6,13)+TIME(1,32,21)</f>
        <v>43995.064131944448</v>
      </c>
    </row>
    <row r="3379" spans="1:4" ht="17">
      <c r="A3379" s="5" t="s">
        <v>2100</v>
      </c>
      <c r="B3379" s="5" t="s">
        <v>3031</v>
      </c>
      <c r="C3379" s="5" t="s">
        <v>3032</v>
      </c>
      <c r="D3379" s="2">
        <f>DATE(2020,6,21)+TIME(6,26,45)</f>
        <v>44003.268576388888</v>
      </c>
    </row>
    <row r="3380" spans="1:4" ht="17">
      <c r="A3380" s="4" t="s">
        <v>2100</v>
      </c>
      <c r="B3380" s="4" t="s">
        <v>118</v>
      </c>
      <c r="C3380" s="4" t="s">
        <v>2101</v>
      </c>
      <c r="D3380" s="1">
        <f>DATE(2020,6,27)+TIME(3,22,4)</f>
        <v>44009.140324074076</v>
      </c>
    </row>
    <row r="3381" spans="1:4" ht="17">
      <c r="A3381" s="5" t="s">
        <v>4602</v>
      </c>
      <c r="B3381" s="5" t="s">
        <v>4603</v>
      </c>
      <c r="C3381" s="5" t="s">
        <v>4604</v>
      </c>
      <c r="D3381" s="2">
        <f>DATE(2020,6,25)+TIME(2,21,15)</f>
        <v>44007.098090277781</v>
      </c>
    </row>
    <row r="3382" spans="1:4" ht="17">
      <c r="A3382" s="4" t="s">
        <v>1994</v>
      </c>
      <c r="B3382" s="4" t="s">
        <v>1995</v>
      </c>
      <c r="C3382" s="4" t="s">
        <v>1996</v>
      </c>
      <c r="D3382" s="1">
        <f>DATE(2020,6,16)+TIME(17,52,35)</f>
        <v>43998.744849537034</v>
      </c>
    </row>
    <row r="3383" spans="1:4" ht="17">
      <c r="A3383" s="5" t="s">
        <v>5538</v>
      </c>
      <c r="B3383" s="5" t="s">
        <v>5539</v>
      </c>
      <c r="C3383" s="5" t="s">
        <v>5540</v>
      </c>
      <c r="D3383" s="2">
        <f>DATE(2020,5,11)+TIME(0,58,30)</f>
        <v>43962.040625000001</v>
      </c>
    </row>
    <row r="3384" spans="1:4" ht="17">
      <c r="A3384" s="4" t="s">
        <v>7623</v>
      </c>
      <c r="B3384" s="4" t="s">
        <v>7624</v>
      </c>
      <c r="C3384" s="4" t="s">
        <v>7625</v>
      </c>
      <c r="D3384" s="1">
        <f>DATE(2020,6,10)+TIME(12,40,52)</f>
        <v>43992.528379629628</v>
      </c>
    </row>
    <row r="3385" spans="1:4" ht="17">
      <c r="A3385" s="4" t="s">
        <v>5196</v>
      </c>
      <c r="B3385" s="4" t="s">
        <v>5197</v>
      </c>
      <c r="C3385" s="4" t="s">
        <v>5198</v>
      </c>
      <c r="D3385" s="1">
        <f>DATE(2020,6,12)+TIME(19,59,44)</f>
        <v>43994.833148148151</v>
      </c>
    </row>
    <row r="3386" spans="1:4" ht="17">
      <c r="A3386" s="4" t="s">
        <v>5999</v>
      </c>
      <c r="B3386" s="4" t="s">
        <v>3219</v>
      </c>
      <c r="C3386" s="4" t="s">
        <v>6000</v>
      </c>
      <c r="D3386" s="1">
        <f>DATE(2020,6,26)+TIME(21,8,34)</f>
        <v>44008.880949074075</v>
      </c>
    </row>
    <row r="3387" spans="1:4" ht="17">
      <c r="A3387" s="4" t="s">
        <v>2094</v>
      </c>
      <c r="B3387" s="4" t="s">
        <v>2095</v>
      </c>
      <c r="C3387" s="4" t="s">
        <v>2096</v>
      </c>
      <c r="D3387" s="1">
        <f>DATE(2020,5,28)+TIME(22,10,24)</f>
        <v>43979.923888888887</v>
      </c>
    </row>
    <row r="3388" spans="1:4" ht="17">
      <c r="A3388" s="5" t="s">
        <v>3324</v>
      </c>
      <c r="B3388" s="5" t="s">
        <v>3325</v>
      </c>
      <c r="C3388" s="5" t="s">
        <v>3326</v>
      </c>
      <c r="D3388" s="2">
        <f>DATE(2020,6,19)+TIME(6,35,17)</f>
        <v>44001.274502314816</v>
      </c>
    </row>
    <row r="3389" spans="1:4" ht="17">
      <c r="A3389" s="4" t="s">
        <v>4103</v>
      </c>
      <c r="B3389" s="4" t="s">
        <v>947</v>
      </c>
      <c r="C3389" s="4" t="s">
        <v>4104</v>
      </c>
      <c r="D3389" s="1">
        <f>DATE(2020,6,25)+TIME(4,53,43)</f>
        <v>44007.203969907408</v>
      </c>
    </row>
    <row r="3390" spans="1:4" ht="17">
      <c r="A3390" s="5" t="s">
        <v>8102</v>
      </c>
      <c r="B3390" s="5" t="s">
        <v>3325</v>
      </c>
      <c r="C3390" s="5" t="s">
        <v>8103</v>
      </c>
      <c r="D3390" s="2">
        <f>DATE(2020,6,19)+TIME(6,27,16)</f>
        <v>44001.268935185188</v>
      </c>
    </row>
    <row r="3391" spans="1:4" ht="17">
      <c r="A3391" s="4" t="s">
        <v>2689</v>
      </c>
      <c r="B3391" s="4" t="s">
        <v>5567</v>
      </c>
      <c r="C3391" s="4" t="s">
        <v>5568</v>
      </c>
      <c r="D3391" s="1">
        <f>DATE(2020,5,29)+TIME(21,20,4)</f>
        <v>43980.888935185183</v>
      </c>
    </row>
    <row r="3392" spans="1:4" ht="17">
      <c r="A3392" s="4" t="s">
        <v>2689</v>
      </c>
      <c r="B3392" s="4" t="s">
        <v>2690</v>
      </c>
      <c r="C3392" s="4" t="s">
        <v>2691</v>
      </c>
      <c r="D3392" s="1">
        <f>DATE(2020,6,24)+TIME(3,19,35)</f>
        <v>44006.138599537036</v>
      </c>
    </row>
    <row r="3393" spans="1:4" ht="17">
      <c r="A3393" s="4" t="s">
        <v>4706</v>
      </c>
      <c r="B3393" s="4" t="s">
        <v>4707</v>
      </c>
      <c r="C3393" s="4" t="s">
        <v>4708</v>
      </c>
      <c r="D3393" s="1">
        <f>DATE(2020,5,27)+TIME(12,25,57)</f>
        <v>43978.518020833333</v>
      </c>
    </row>
    <row r="3394" spans="1:4" ht="17">
      <c r="A3394" s="4" t="s">
        <v>2519</v>
      </c>
      <c r="B3394" s="4" t="s">
        <v>559</v>
      </c>
      <c r="C3394" s="4" t="s">
        <v>2520</v>
      </c>
      <c r="D3394" s="1">
        <f>DATE(2020,5,18)+TIME(8,16,49)</f>
        <v>43969.345011574071</v>
      </c>
    </row>
    <row r="3395" spans="1:4" ht="17">
      <c r="A3395" s="5" t="s">
        <v>555</v>
      </c>
      <c r="B3395" s="5" t="s">
        <v>8641</v>
      </c>
      <c r="C3395" s="5" t="s">
        <v>8642</v>
      </c>
      <c r="D3395" s="2">
        <f>DATE(2020,6,12)+TIME(18,56,46)</f>
        <v>43994.789421296293</v>
      </c>
    </row>
    <row r="3396" spans="1:4" ht="17">
      <c r="A3396" s="5" t="s">
        <v>555</v>
      </c>
      <c r="B3396" s="5" t="s">
        <v>556</v>
      </c>
      <c r="C3396" s="5" t="s">
        <v>557</v>
      </c>
      <c r="D3396" s="2">
        <f>DATE(2020,6,19)+TIME(2,37,4)</f>
        <v>44001.109074074076</v>
      </c>
    </row>
    <row r="3397" spans="1:4" ht="17">
      <c r="A3397" s="5" t="s">
        <v>555</v>
      </c>
      <c r="B3397" s="5" t="s">
        <v>2677</v>
      </c>
      <c r="C3397" s="5" t="s">
        <v>2678</v>
      </c>
      <c r="D3397" s="2">
        <f>DATE(2020,6,27)+TIME(8,15,49)</f>
        <v>44009.344317129631</v>
      </c>
    </row>
    <row r="3398" spans="1:4" ht="17">
      <c r="A3398" s="5" t="s">
        <v>7033</v>
      </c>
      <c r="B3398" s="5" t="s">
        <v>7034</v>
      </c>
      <c r="C3398" s="5" t="s">
        <v>7035</v>
      </c>
      <c r="D3398" s="2">
        <f>DATE(2020,5,5)+TIME(16,59,43)</f>
        <v>43956.708136574074</v>
      </c>
    </row>
    <row r="3399" spans="1:4" ht="17">
      <c r="A3399" s="5" t="s">
        <v>7225</v>
      </c>
      <c r="B3399" s="5" t="s">
        <v>7226</v>
      </c>
      <c r="C3399" s="5" t="s">
        <v>7227</v>
      </c>
      <c r="D3399" s="2">
        <f>DATE(2020,5,11)+TIME(18,5,17)</f>
        <v>43962.753668981481</v>
      </c>
    </row>
    <row r="3400" spans="1:4" ht="17">
      <c r="A3400" s="4" t="s">
        <v>4409</v>
      </c>
      <c r="B3400" s="4" t="s">
        <v>4410</v>
      </c>
      <c r="C3400" s="4" t="s">
        <v>4411</v>
      </c>
      <c r="D3400" s="1">
        <f>DATE(2020,6,16)+TIME(20,57,14)</f>
        <v>43998.873078703706</v>
      </c>
    </row>
    <row r="3401" spans="1:4" ht="17">
      <c r="A3401" s="4" t="s">
        <v>7736</v>
      </c>
      <c r="B3401" s="4" t="s">
        <v>4359</v>
      </c>
      <c r="C3401" s="4" t="s">
        <v>7737</v>
      </c>
      <c r="D3401" s="1">
        <f>DATE(2020,5,20)+TIME(3,40,55)</f>
        <v>43971.153414351851</v>
      </c>
    </row>
    <row r="3402" spans="1:4" ht="17">
      <c r="A3402" s="5" t="s">
        <v>791</v>
      </c>
      <c r="B3402" s="5" t="s">
        <v>792</v>
      </c>
      <c r="C3402" s="5" t="s">
        <v>793</v>
      </c>
      <c r="D3402" s="2">
        <f>DATE(2020,5,13)+TIME(20,3,18)</f>
        <v>43964.835625</v>
      </c>
    </row>
    <row r="3403" spans="1:4" ht="17">
      <c r="A3403" s="5" t="s">
        <v>791</v>
      </c>
      <c r="B3403" s="5" t="s">
        <v>8739</v>
      </c>
      <c r="C3403" s="5" t="s">
        <v>8740</v>
      </c>
      <c r="D3403" s="2">
        <f>DATE(2020,6,29)+TIME(12,5,32)</f>
        <v>44011.503842592596</v>
      </c>
    </row>
    <row r="3404" spans="1:4" ht="17">
      <c r="A3404" s="5" t="s">
        <v>4819</v>
      </c>
      <c r="B3404" s="5" t="s">
        <v>4820</v>
      </c>
      <c r="C3404" s="5" t="s">
        <v>4821</v>
      </c>
      <c r="D3404" s="2">
        <f>DATE(2020,5,14)+TIME(12,57,55)</f>
        <v>43965.540219907409</v>
      </c>
    </row>
    <row r="3405" spans="1:4" ht="17">
      <c r="A3405" s="4" t="s">
        <v>227</v>
      </c>
      <c r="B3405" s="4" t="s">
        <v>228</v>
      </c>
      <c r="C3405" s="4" t="s">
        <v>229</v>
      </c>
      <c r="D3405" s="1">
        <f>DATE(2020,4,6)+TIME(18,54,19)</f>
        <v>43927.787719907406</v>
      </c>
    </row>
    <row r="3406" spans="1:4" ht="17">
      <c r="A3406" s="4" t="s">
        <v>4010</v>
      </c>
      <c r="B3406" s="4" t="s">
        <v>4010</v>
      </c>
      <c r="C3406" s="4" t="s">
        <v>4011</v>
      </c>
      <c r="D3406" s="1">
        <f>DATE(2020,6,13)+TIME(4,37,40)</f>
        <v>43995.192824074074</v>
      </c>
    </row>
    <row r="3407" spans="1:4" ht="17">
      <c r="A3407" s="4" t="s">
        <v>4071</v>
      </c>
      <c r="B3407" s="4" t="s">
        <v>5664</v>
      </c>
      <c r="C3407" s="4" t="s">
        <v>5665</v>
      </c>
      <c r="D3407" s="1">
        <f>DATE(2020,6,16)+TIME(17,52,35)</f>
        <v>43998.744849537034</v>
      </c>
    </row>
    <row r="3408" spans="1:4" ht="17">
      <c r="A3408" s="5" t="s">
        <v>3621</v>
      </c>
      <c r="B3408" s="5" t="s">
        <v>3622</v>
      </c>
      <c r="C3408" s="5" t="s">
        <v>3623</v>
      </c>
      <c r="D3408" s="2">
        <f>DATE(2020,6,24)+TIME(14,39,26)</f>
        <v>44006.610717592594</v>
      </c>
    </row>
    <row r="3409" spans="1:4" ht="17">
      <c r="A3409" s="5" t="s">
        <v>1891</v>
      </c>
      <c r="B3409" s="5" t="s">
        <v>1892</v>
      </c>
      <c r="C3409" s="5" t="s">
        <v>1893</v>
      </c>
      <c r="D3409" s="2">
        <f>DATE(2020,6,26)+TIME(12,27,52)</f>
        <v>44008.51935185185</v>
      </c>
    </row>
    <row r="3410" spans="1:4" ht="17">
      <c r="A3410" s="4" t="s">
        <v>6208</v>
      </c>
      <c r="B3410" s="4" t="s">
        <v>2286</v>
      </c>
      <c r="C3410" s="4" t="s">
        <v>6209</v>
      </c>
      <c r="D3410" s="1">
        <f>DATE(2020,5,5)+TIME(17,11,44)</f>
        <v>43956.716481481482</v>
      </c>
    </row>
    <row r="3411" spans="1:4" ht="17">
      <c r="A3411" s="4" t="s">
        <v>4806</v>
      </c>
      <c r="B3411" s="4" t="s">
        <v>4807</v>
      </c>
      <c r="C3411" s="4" t="s">
        <v>4808</v>
      </c>
      <c r="D3411" s="1">
        <f>DATE(2020,6,17)+TIME(12,42,22)</f>
        <v>43999.529421296298</v>
      </c>
    </row>
    <row r="3412" spans="1:4" ht="17">
      <c r="A3412" s="5" t="s">
        <v>7544</v>
      </c>
      <c r="B3412" s="5" t="s">
        <v>7545</v>
      </c>
      <c r="C3412" s="5" t="s">
        <v>7546</v>
      </c>
      <c r="D3412" s="2">
        <f>DATE(2020,6,29)+TIME(14,8,59)</f>
        <v>44011.589571759258</v>
      </c>
    </row>
    <row r="3413" spans="1:4" ht="17">
      <c r="A3413" s="5" t="s">
        <v>2122</v>
      </c>
      <c r="B3413" s="5" t="s">
        <v>2868</v>
      </c>
      <c r="C3413" s="5" t="s">
        <v>2869</v>
      </c>
      <c r="D3413" s="2">
        <f>DATE(2020,5,5)+TIME(16,38,27)</f>
        <v>43956.693368055552</v>
      </c>
    </row>
    <row r="3414" spans="1:4" ht="17">
      <c r="A3414" s="5" t="s">
        <v>2122</v>
      </c>
      <c r="B3414" s="5" t="s">
        <v>5509</v>
      </c>
      <c r="C3414" s="5" t="s">
        <v>5510</v>
      </c>
      <c r="D3414" s="2">
        <f>DATE(2020,5,8)+TIME(16,24,21)</f>
        <v>43959.683576388888</v>
      </c>
    </row>
    <row r="3415" spans="1:4" ht="17">
      <c r="A3415" s="4" t="s">
        <v>324</v>
      </c>
      <c r="B3415" s="4" t="s">
        <v>325</v>
      </c>
      <c r="C3415" s="4" t="s">
        <v>326</v>
      </c>
      <c r="D3415" s="1">
        <f>DATE(2020,5,24)+TIME(8,26,7)</f>
        <v>43975.351469907408</v>
      </c>
    </row>
    <row r="3416" spans="1:4" ht="17">
      <c r="A3416" s="4" t="s">
        <v>2122</v>
      </c>
      <c r="B3416" s="4" t="s">
        <v>3586</v>
      </c>
      <c r="C3416" s="4" t="s">
        <v>3587</v>
      </c>
      <c r="D3416" s="1">
        <f>DATE(2020,6,5)+TIME(4,12,48)</f>
        <v>43987.175555555557</v>
      </c>
    </row>
    <row r="3417" spans="1:4" ht="17">
      <c r="A3417" s="5" t="s">
        <v>2122</v>
      </c>
      <c r="B3417" s="5" t="s">
        <v>3312</v>
      </c>
      <c r="C3417" s="5" t="s">
        <v>6920</v>
      </c>
      <c r="D3417" s="2">
        <f>DATE(2020,6,24)+TIME(6,24,49)</f>
        <v>44006.267233796294</v>
      </c>
    </row>
    <row r="3418" spans="1:4" ht="17">
      <c r="A3418" s="4" t="s">
        <v>2122</v>
      </c>
      <c r="B3418" s="4" t="s">
        <v>8375</v>
      </c>
      <c r="C3418" s="4" t="s">
        <v>8376</v>
      </c>
      <c r="D3418" s="1">
        <f>DATE(2020,6,25)+TIME(13,31,50)</f>
        <v>44007.563773148147</v>
      </c>
    </row>
    <row r="3419" spans="1:4" ht="17">
      <c r="A3419" s="4" t="s">
        <v>2122</v>
      </c>
      <c r="B3419" s="4" t="s">
        <v>5303</v>
      </c>
      <c r="C3419" s="4" t="s">
        <v>5304</v>
      </c>
      <c r="D3419" s="1">
        <f>DATE(2020,6,26)+TIME(9,31,51)</f>
        <v>44008.397118055553</v>
      </c>
    </row>
    <row r="3420" spans="1:4" ht="17">
      <c r="A3420" s="4" t="s">
        <v>2122</v>
      </c>
      <c r="B3420" s="4" t="s">
        <v>2123</v>
      </c>
      <c r="C3420" s="4" t="s">
        <v>2124</v>
      </c>
      <c r="D3420" s="1">
        <f>DATE(2020,6,27)+TIME(8,31,5)</f>
        <v>44009.35491898148</v>
      </c>
    </row>
    <row r="3421" spans="1:4" ht="17">
      <c r="A3421" s="5" t="s">
        <v>2122</v>
      </c>
      <c r="B3421" s="5" t="s">
        <v>3001</v>
      </c>
      <c r="C3421" s="5" t="s">
        <v>6939</v>
      </c>
      <c r="D3421" s="2">
        <f>DATE(2020,6,28)+TIME(22,47,3)</f>
        <v>44010.949340277781</v>
      </c>
    </row>
    <row r="3422" spans="1:4" ht="17">
      <c r="A3422" s="5" t="s">
        <v>4897</v>
      </c>
      <c r="B3422" s="5" t="s">
        <v>4898</v>
      </c>
      <c r="C3422" s="5" t="s">
        <v>4899</v>
      </c>
      <c r="D3422" s="2">
        <f>DATE(2020,6,19)+TIME(14,16,59)</f>
        <v>44001.595127314817</v>
      </c>
    </row>
    <row r="3423" spans="1:4" ht="17">
      <c r="A3423" s="4" t="s">
        <v>570</v>
      </c>
      <c r="B3423" s="4" t="s">
        <v>571</v>
      </c>
      <c r="C3423" s="4" t="s">
        <v>572</v>
      </c>
      <c r="D3423" s="1">
        <f>DATE(2020,6,25)+TIME(0,52,10)</f>
        <v>44007.036226851851</v>
      </c>
    </row>
    <row r="3424" spans="1:4" ht="17">
      <c r="A3424" s="5" t="s">
        <v>972</v>
      </c>
      <c r="B3424" s="5" t="s">
        <v>973</v>
      </c>
      <c r="C3424" s="5" t="s">
        <v>974</v>
      </c>
      <c r="D3424" s="2">
        <f>DATE(2020,5,5)+TIME(17,51,37)</f>
        <v>43956.74417824074</v>
      </c>
    </row>
    <row r="3425" spans="1:4" ht="17">
      <c r="A3425" s="5" t="s">
        <v>5698</v>
      </c>
      <c r="B3425" s="5" t="s">
        <v>176</v>
      </c>
      <c r="C3425" s="5" t="s">
        <v>5699</v>
      </c>
      <c r="D3425" s="2">
        <f>DATE(2020,6,16)+TIME(15,56,10)</f>
        <v>43998.664004629631</v>
      </c>
    </row>
    <row r="3426" spans="1:4" ht="17">
      <c r="A3426" s="4" t="s">
        <v>2545</v>
      </c>
      <c r="B3426" s="4" t="s">
        <v>630</v>
      </c>
      <c r="C3426" s="4" t="s">
        <v>2546</v>
      </c>
      <c r="D3426" s="1">
        <f>DATE(2020,5,17)+TIME(21,48,4)</f>
        <v>43968.908379629633</v>
      </c>
    </row>
    <row r="3427" spans="1:4" ht="17">
      <c r="A3427" s="5" t="s">
        <v>9200</v>
      </c>
      <c r="B3427" s="5" t="s">
        <v>9201</v>
      </c>
      <c r="C3427" s="5" t="s">
        <v>9202</v>
      </c>
      <c r="D3427" s="2">
        <f>DATE(2020,6,24)+TIME(21,42,47)</f>
        <v>44006.904710648145</v>
      </c>
    </row>
    <row r="3428" spans="1:4" ht="17">
      <c r="A3428" s="4" t="s">
        <v>4316</v>
      </c>
      <c r="B3428" s="4" t="s">
        <v>4317</v>
      </c>
      <c r="C3428" s="4" t="s">
        <v>4318</v>
      </c>
      <c r="D3428" s="1">
        <f>DATE(2020,6,24)+TIME(10,10,6)</f>
        <v>44006.423680555556</v>
      </c>
    </row>
    <row r="3429" spans="1:4" ht="17">
      <c r="A3429" s="4" t="s">
        <v>975</v>
      </c>
      <c r="B3429" s="4" t="s">
        <v>976</v>
      </c>
      <c r="C3429" s="4" t="s">
        <v>977</v>
      </c>
      <c r="D3429" s="1">
        <f>DATE(2020,6,25)+TIME(7,19,44)</f>
        <v>44007.30537037037</v>
      </c>
    </row>
    <row r="3430" spans="1:4" ht="17">
      <c r="A3430" s="4" t="s">
        <v>154</v>
      </c>
      <c r="B3430" s="4" t="s">
        <v>155</v>
      </c>
      <c r="C3430" s="4" t="s">
        <v>156</v>
      </c>
      <c r="D3430" s="1">
        <f>DATE(2020,6,6)+TIME(14,4,4)</f>
        <v>43988.586157407408</v>
      </c>
    </row>
    <row r="3431" spans="1:4" ht="17">
      <c r="A3431" s="4" t="s">
        <v>2623</v>
      </c>
      <c r="B3431" s="4" t="s">
        <v>2624</v>
      </c>
      <c r="C3431" s="4" t="s">
        <v>2625</v>
      </c>
      <c r="D3431" s="1">
        <f>DATE(2020,6,20)+TIME(3,19,16)</f>
        <v>44002.138379629629</v>
      </c>
    </row>
    <row r="3432" spans="1:4" ht="17">
      <c r="A3432" s="5" t="s">
        <v>2623</v>
      </c>
      <c r="B3432" s="5" t="s">
        <v>5101</v>
      </c>
      <c r="C3432" s="5" t="s">
        <v>5102</v>
      </c>
      <c r="D3432" s="2">
        <f>DATE(2020,6,26)+TIME(19,31,33)</f>
        <v>44008.813576388886</v>
      </c>
    </row>
    <row r="3433" spans="1:4" ht="17">
      <c r="A3433" s="5" t="s">
        <v>3329</v>
      </c>
      <c r="B3433" s="5" t="s">
        <v>3330</v>
      </c>
      <c r="C3433" s="5" t="s">
        <v>3331</v>
      </c>
      <c r="D3433" s="2">
        <f>DATE(2020,6,24)+TIME(10,29,58)</f>
        <v>44006.437476851854</v>
      </c>
    </row>
    <row r="3434" spans="1:4" ht="17">
      <c r="A3434" s="5" t="s">
        <v>8603</v>
      </c>
      <c r="B3434" s="5" t="s">
        <v>8319</v>
      </c>
      <c r="C3434" s="5" t="s">
        <v>8604</v>
      </c>
      <c r="D3434" s="2">
        <f>DATE(2020,5,5)+TIME(16,5,42)</f>
        <v>43956.670624999999</v>
      </c>
    </row>
    <row r="3435" spans="1:4" ht="17">
      <c r="A3435" s="4" t="s">
        <v>5029</v>
      </c>
      <c r="B3435" s="4" t="s">
        <v>5030</v>
      </c>
      <c r="C3435" s="4" t="s">
        <v>5031</v>
      </c>
      <c r="D3435" s="1">
        <f>DATE(2020,4,9)+TIME(17,3,12)</f>
        <v>43930.710555555554</v>
      </c>
    </row>
    <row r="3436" spans="1:4" ht="17">
      <c r="A3436" s="5" t="s">
        <v>5029</v>
      </c>
      <c r="B3436" s="5" t="s">
        <v>1565</v>
      </c>
      <c r="C3436" s="5" t="s">
        <v>5375</v>
      </c>
      <c r="D3436" s="2">
        <f>DATE(2020,6,24)+TIME(14,37,3)</f>
        <v>44006.6090625</v>
      </c>
    </row>
    <row r="3437" spans="1:4" ht="17">
      <c r="A3437" s="4" t="s">
        <v>5029</v>
      </c>
      <c r="B3437" s="4" t="s">
        <v>2697</v>
      </c>
      <c r="C3437" s="4" t="s">
        <v>9292</v>
      </c>
      <c r="D3437" s="1">
        <f>DATE(2020,6,25)+TIME(21,3,46)</f>
        <v>44007.877615740741</v>
      </c>
    </row>
    <row r="3438" spans="1:4" ht="17">
      <c r="A3438" s="4" t="s">
        <v>525</v>
      </c>
      <c r="B3438" s="4" t="s">
        <v>526</v>
      </c>
      <c r="C3438" s="4" t="s">
        <v>527</v>
      </c>
      <c r="D3438" s="1">
        <f>DATE(2020,6,13)+TIME(19,50,19)</f>
        <v>43995.826608796298</v>
      </c>
    </row>
    <row r="3439" spans="1:4" ht="17">
      <c r="A3439" s="4" t="s">
        <v>6395</v>
      </c>
      <c r="B3439" s="4" t="s">
        <v>6396</v>
      </c>
      <c r="C3439" s="4" t="s">
        <v>6397</v>
      </c>
      <c r="D3439" s="1">
        <f>DATE(2020,6,24)+TIME(6,21,7)</f>
        <v>44006.264664351853</v>
      </c>
    </row>
    <row r="3440" spans="1:4" ht="17">
      <c r="A3440" s="5" t="s">
        <v>9297</v>
      </c>
      <c r="B3440" s="5" t="s">
        <v>9298</v>
      </c>
      <c r="C3440" s="5" t="s">
        <v>9299</v>
      </c>
      <c r="D3440" s="2">
        <f>DATE(2020,6,25)+TIME(5,22,18)</f>
        <v>44007.223819444444</v>
      </c>
    </row>
    <row r="3441" spans="1:4" ht="17">
      <c r="A3441" s="4" t="s">
        <v>1873</v>
      </c>
      <c r="B3441" s="4" t="s">
        <v>1874</v>
      </c>
      <c r="C3441" s="4" t="s">
        <v>1875</v>
      </c>
      <c r="D3441" s="1">
        <f>DATE(2020,5,6)+TIME(0,18,51)</f>
        <v>43957.013090277775</v>
      </c>
    </row>
    <row r="3442" spans="1:4" ht="17">
      <c r="A3442" s="5" t="s">
        <v>6942</v>
      </c>
      <c r="B3442" s="5" t="s">
        <v>6943</v>
      </c>
      <c r="C3442" s="5" t="s">
        <v>6944</v>
      </c>
      <c r="D3442" s="2">
        <f>DATE(2020,6,3)+TIME(18,38,41)</f>
        <v>43985.776863425926</v>
      </c>
    </row>
    <row r="3443" spans="1:4" ht="17">
      <c r="A3443" s="5" t="s">
        <v>944</v>
      </c>
      <c r="B3443" s="5" t="s">
        <v>2821</v>
      </c>
      <c r="C3443" s="5" t="s">
        <v>8582</v>
      </c>
      <c r="D3443" s="2">
        <f>DATE(2020,5,5)+TIME(15,58,45)</f>
        <v>43956.665798611109</v>
      </c>
    </row>
    <row r="3444" spans="1:4" ht="17">
      <c r="A3444" s="4" t="s">
        <v>1243</v>
      </c>
      <c r="B3444" s="4" t="s">
        <v>1244</v>
      </c>
      <c r="C3444" s="4" t="s">
        <v>1245</v>
      </c>
      <c r="D3444" s="1">
        <f>DATE(2020,6,19)+TIME(14,39,56)</f>
        <v>44001.611064814817</v>
      </c>
    </row>
    <row r="3445" spans="1:4" ht="17">
      <c r="A3445" s="4" t="s">
        <v>7519</v>
      </c>
      <c r="B3445" s="4" t="s">
        <v>5740</v>
      </c>
      <c r="C3445" s="4" t="s">
        <v>7520</v>
      </c>
      <c r="D3445" s="1">
        <f>DATE(2020,6,4)+TIME(12,10,34)</f>
        <v>43986.507337962961</v>
      </c>
    </row>
    <row r="3446" spans="1:4" ht="17">
      <c r="A3446" s="5" t="s">
        <v>7674</v>
      </c>
      <c r="B3446" s="5" t="s">
        <v>7675</v>
      </c>
      <c r="C3446" s="5" t="s">
        <v>7676</v>
      </c>
      <c r="D3446" s="2">
        <f>DATE(2020,6,24)+TIME(12,6,35)</f>
        <v>44006.504571759258</v>
      </c>
    </row>
    <row r="3447" spans="1:4" ht="17">
      <c r="A3447" s="5" t="s">
        <v>9568</v>
      </c>
      <c r="B3447" s="5" t="s">
        <v>553</v>
      </c>
      <c r="C3447" s="5" t="s">
        <v>9569</v>
      </c>
      <c r="D3447" s="2">
        <f>DATE(2020,6,13)+TIME(1,56,0)</f>
        <v>43995.080555555556</v>
      </c>
    </row>
    <row r="3448" spans="1:4" ht="17">
      <c r="A3448" s="4" t="s">
        <v>6423</v>
      </c>
      <c r="B3448" s="4" t="s">
        <v>1513</v>
      </c>
      <c r="C3448" s="4" t="s">
        <v>6424</v>
      </c>
      <c r="D3448" s="1">
        <f>DATE(2020,3,28)+TIME(13,13,31)</f>
        <v>43918.551053240742</v>
      </c>
    </row>
    <row r="3449" spans="1:4" ht="17">
      <c r="A3449" s="5" t="s">
        <v>1886</v>
      </c>
      <c r="B3449" s="5" t="s">
        <v>1887</v>
      </c>
      <c r="C3449" s="5" t="s">
        <v>1888</v>
      </c>
      <c r="D3449" s="2">
        <f>DATE(2020,6,18)+TIME(4,18,57)</f>
        <v>44000.179826388892</v>
      </c>
    </row>
    <row r="3450" spans="1:4" ht="17">
      <c r="A3450" s="4" t="s">
        <v>8489</v>
      </c>
      <c r="B3450" s="4" t="s">
        <v>588</v>
      </c>
      <c r="C3450" s="4" t="s">
        <v>8490</v>
      </c>
      <c r="D3450" s="1">
        <f>DATE(2020,6,19)+TIME(11,1,57)</f>
        <v>44001.459687499999</v>
      </c>
    </row>
    <row r="3451" spans="1:4" ht="17">
      <c r="A3451" s="5" t="s">
        <v>7552</v>
      </c>
      <c r="B3451" s="5" t="s">
        <v>7553</v>
      </c>
      <c r="C3451" s="5" t="s">
        <v>7554</v>
      </c>
      <c r="D3451" s="2">
        <f>DATE(2020,5,15)+TIME(17,15,36)</f>
        <v>43966.719166666669</v>
      </c>
    </row>
    <row r="3452" spans="1:4" ht="17">
      <c r="A3452" s="4" t="s">
        <v>1037</v>
      </c>
      <c r="B3452" s="4" t="s">
        <v>1038</v>
      </c>
      <c r="C3452" s="4" t="s">
        <v>1039</v>
      </c>
      <c r="D3452" s="1">
        <f>DATE(2020,5,21)+TIME(15,48,19)</f>
        <v>43972.658553240741</v>
      </c>
    </row>
    <row r="3453" spans="1:4" ht="17">
      <c r="A3453" s="4" t="s">
        <v>7959</v>
      </c>
      <c r="B3453" s="4" t="s">
        <v>7960</v>
      </c>
      <c r="C3453" s="4" t="s">
        <v>7961</v>
      </c>
      <c r="D3453" s="1">
        <f>DATE(2020,5,13)+TIME(13,35,27)</f>
        <v>43964.566284722219</v>
      </c>
    </row>
    <row r="3454" spans="1:4" ht="17">
      <c r="A3454" s="5" t="s">
        <v>385</v>
      </c>
      <c r="B3454" s="5" t="s">
        <v>386</v>
      </c>
      <c r="C3454" s="5" t="s">
        <v>387</v>
      </c>
      <c r="D3454" s="2">
        <f>DATE(2020,6,2)+TIME(11,14,3)</f>
        <v>43984.468090277776</v>
      </c>
    </row>
    <row r="3455" spans="1:4" ht="17">
      <c r="A3455" s="4" t="s">
        <v>1710</v>
      </c>
      <c r="B3455" s="4" t="s">
        <v>1711</v>
      </c>
      <c r="C3455" s="4" t="s">
        <v>1712</v>
      </c>
      <c r="D3455" s="1">
        <f>DATE(2020,1,29)+TIME(22,11,34)</f>
        <v>43859.924699074072</v>
      </c>
    </row>
    <row r="3456" spans="1:4" ht="17">
      <c r="A3456" s="5" t="s">
        <v>1710</v>
      </c>
      <c r="B3456" s="5" t="s">
        <v>5940</v>
      </c>
      <c r="C3456" s="5" t="s">
        <v>5941</v>
      </c>
      <c r="D3456" s="2">
        <f>DATE(2020,6,3)+TIME(13,48,55)</f>
        <v>43985.575636574074</v>
      </c>
    </row>
    <row r="3457" spans="1:4" ht="17">
      <c r="A3457" s="4" t="s">
        <v>1710</v>
      </c>
      <c r="B3457" s="4" t="s">
        <v>2699</v>
      </c>
      <c r="C3457" s="4" t="s">
        <v>2700</v>
      </c>
      <c r="D3457" s="1">
        <f>DATE(2020,6,15)+TIME(5,27,12)</f>
        <v>43997.227222222224</v>
      </c>
    </row>
    <row r="3458" spans="1:4" ht="17">
      <c r="A3458" s="4" t="s">
        <v>622</v>
      </c>
      <c r="B3458" s="4" t="s">
        <v>9364</v>
      </c>
      <c r="C3458" s="4" t="s">
        <v>9365</v>
      </c>
      <c r="D3458" s="1">
        <f>DATE(2020,5,26)+TIME(19,4,24)</f>
        <v>43977.794722222221</v>
      </c>
    </row>
    <row r="3459" spans="1:4" ht="17">
      <c r="A3459" s="5" t="s">
        <v>622</v>
      </c>
      <c r="B3459" s="5" t="s">
        <v>6156</v>
      </c>
      <c r="C3459" s="5" t="s">
        <v>6157</v>
      </c>
      <c r="D3459" s="2">
        <f>DATE(2020,6,11)+TIME(12,53,43)</f>
        <v>43993.537303240744</v>
      </c>
    </row>
    <row r="3460" spans="1:4" ht="17">
      <c r="A3460" s="4" t="s">
        <v>622</v>
      </c>
      <c r="B3460" s="4" t="s">
        <v>623</v>
      </c>
      <c r="C3460" s="4" t="s">
        <v>624</v>
      </c>
      <c r="D3460" s="1">
        <f>DATE(2020,6,12)+TIME(17,13,17)</f>
        <v>43994.717557870368</v>
      </c>
    </row>
    <row r="3461" spans="1:4" ht="17">
      <c r="A3461" s="4" t="s">
        <v>3376</v>
      </c>
      <c r="B3461" s="4" t="s">
        <v>3377</v>
      </c>
      <c r="C3461" s="4" t="s">
        <v>3378</v>
      </c>
      <c r="D3461" s="1">
        <f>DATE(2020,6,15)+TIME(0,45,15)</f>
        <v>43997.031423611108</v>
      </c>
    </row>
    <row r="3462" spans="1:4" ht="17">
      <c r="A3462" s="4" t="s">
        <v>622</v>
      </c>
      <c r="B3462" s="4" t="s">
        <v>6516</v>
      </c>
      <c r="C3462" s="4" t="s">
        <v>6517</v>
      </c>
      <c r="D3462" s="1">
        <f>DATE(2020,6,29)+TIME(11,25,12)</f>
        <v>44011.47583333333</v>
      </c>
    </row>
    <row r="3463" spans="1:4" ht="17">
      <c r="A3463" s="5" t="s">
        <v>1342</v>
      </c>
      <c r="B3463" s="5" t="s">
        <v>8862</v>
      </c>
      <c r="C3463" s="5" t="s">
        <v>8863</v>
      </c>
      <c r="D3463" s="2">
        <f>DATE(2020,6,18)+TIME(7,42,25)</f>
        <v>44000.321122685185</v>
      </c>
    </row>
    <row r="3464" spans="1:4" ht="17">
      <c r="A3464" s="5" t="s">
        <v>1181</v>
      </c>
      <c r="B3464" s="5" t="s">
        <v>6623</v>
      </c>
      <c r="C3464" s="5" t="s">
        <v>6624</v>
      </c>
      <c r="D3464" s="2">
        <f>DATE(2020,5,14)+TIME(1,49,45)</f>
        <v>43965.076215277775</v>
      </c>
    </row>
    <row r="3465" spans="1:4" ht="17">
      <c r="A3465" s="5" t="s">
        <v>1181</v>
      </c>
      <c r="B3465" s="5" t="s">
        <v>5822</v>
      </c>
      <c r="C3465" s="5" t="s">
        <v>5823</v>
      </c>
      <c r="D3465" s="2">
        <f>DATE(2020,6,12)+TIME(5,48,41)</f>
        <v>43994.2421412037</v>
      </c>
    </row>
    <row r="3466" spans="1:4" ht="17">
      <c r="A3466" s="5" t="s">
        <v>1181</v>
      </c>
      <c r="B3466" s="5" t="s">
        <v>1182</v>
      </c>
      <c r="C3466" s="5" t="s">
        <v>1183</v>
      </c>
      <c r="D3466" s="2">
        <f>DATE(2020,6,12)+TIME(12,3,27)</f>
        <v>43994.502395833333</v>
      </c>
    </row>
    <row r="3467" spans="1:4" ht="17">
      <c r="A3467" s="4" t="s">
        <v>1181</v>
      </c>
      <c r="B3467" s="4" t="s">
        <v>3727</v>
      </c>
      <c r="C3467" s="4" t="s">
        <v>3728</v>
      </c>
      <c r="D3467" s="1">
        <f>DATE(2020,6,29)+TIME(13,25,10)</f>
        <v>44011.55914351852</v>
      </c>
    </row>
    <row r="3468" spans="1:4" ht="17">
      <c r="A3468" s="5" t="s">
        <v>4511</v>
      </c>
      <c r="B3468" s="5" t="s">
        <v>4512</v>
      </c>
      <c r="C3468" s="5" t="s">
        <v>4513</v>
      </c>
      <c r="D3468" s="2">
        <f>DATE(2020,6,29)+TIME(13,59,42)</f>
        <v>44011.583124999997</v>
      </c>
    </row>
    <row r="3469" spans="1:4" ht="17">
      <c r="A3469" s="4" t="s">
        <v>5995</v>
      </c>
      <c r="B3469" s="4" t="s">
        <v>5995</v>
      </c>
      <c r="C3469" s="4" t="s">
        <v>5996</v>
      </c>
      <c r="D3469" s="1">
        <f>DATE(2020,6,26)+TIME(11,26,22)</f>
        <v>44008.476643518516</v>
      </c>
    </row>
    <row r="3470" spans="1:4" ht="17">
      <c r="A3470" s="4" t="s">
        <v>2714</v>
      </c>
      <c r="B3470" s="4" t="s">
        <v>879</v>
      </c>
      <c r="C3470" s="4" t="s">
        <v>2715</v>
      </c>
      <c r="D3470" s="1">
        <f>DATE(2020,6,16)+TIME(17,47,4)</f>
        <v>43998.741018518522</v>
      </c>
    </row>
    <row r="3471" spans="1:4" ht="17">
      <c r="A3471" s="4" t="s">
        <v>5066</v>
      </c>
      <c r="B3471" s="4" t="s">
        <v>5067</v>
      </c>
      <c r="C3471" s="4" t="s">
        <v>5068</v>
      </c>
      <c r="D3471" s="1">
        <f>DATE(2020,5,22)+TIME(18,26,44)</f>
        <v>43973.768564814818</v>
      </c>
    </row>
    <row r="3472" spans="1:4" ht="17">
      <c r="A3472" s="5" t="s">
        <v>6596</v>
      </c>
      <c r="B3472" s="5" t="s">
        <v>6597</v>
      </c>
      <c r="C3472" s="5" t="s">
        <v>6598</v>
      </c>
      <c r="D3472" s="2">
        <f>DATE(2020,6,25)+TIME(15,28,48)</f>
        <v>44007.644999999997</v>
      </c>
    </row>
    <row r="3473" spans="1:4" ht="17">
      <c r="A3473" s="5" t="s">
        <v>5179</v>
      </c>
      <c r="B3473" s="5" t="s">
        <v>5180</v>
      </c>
      <c r="C3473" s="5" t="s">
        <v>5181</v>
      </c>
      <c r="D3473" s="2">
        <f>DATE(2020,5,13)+TIME(3,54,28)</f>
        <v>43964.162824074076</v>
      </c>
    </row>
    <row r="3474" spans="1:4" ht="17">
      <c r="A3474" s="5" t="s">
        <v>5383</v>
      </c>
      <c r="B3474" s="5" t="s">
        <v>5384</v>
      </c>
      <c r="C3474" s="5" t="s">
        <v>5385</v>
      </c>
      <c r="D3474" s="2">
        <f>DATE(2020,5,13)+TIME(16,49,3)</f>
        <v>43964.700729166667</v>
      </c>
    </row>
    <row r="3475" spans="1:4" ht="17">
      <c r="A3475" s="4" t="s">
        <v>9125</v>
      </c>
      <c r="B3475" s="4" t="s">
        <v>9126</v>
      </c>
      <c r="C3475" s="4" t="s">
        <v>9127</v>
      </c>
      <c r="D3475" s="1">
        <f>DATE(2020,5,14)+TIME(11,14,4)</f>
        <v>43965.468101851853</v>
      </c>
    </row>
    <row r="3476" spans="1:4" ht="17">
      <c r="A3476" s="5" t="s">
        <v>1123</v>
      </c>
      <c r="B3476" s="5" t="s">
        <v>5578</v>
      </c>
      <c r="C3476" s="5" t="s">
        <v>5579</v>
      </c>
      <c r="D3476" s="2">
        <f>DATE(2020,5,6)+TIME(3,3,23)</f>
        <v>43957.127349537041</v>
      </c>
    </row>
    <row r="3477" spans="1:4" ht="17">
      <c r="A3477" s="5" t="s">
        <v>1123</v>
      </c>
      <c r="B3477" s="5" t="s">
        <v>5267</v>
      </c>
      <c r="C3477" s="5" t="s">
        <v>5985</v>
      </c>
      <c r="D3477" s="2">
        <f>DATE(2020,5,19)+TIME(10,5,36)</f>
        <v>43970.420555555553</v>
      </c>
    </row>
    <row r="3478" spans="1:4" ht="17">
      <c r="A3478" s="4" t="s">
        <v>1123</v>
      </c>
      <c r="B3478" s="4" t="s">
        <v>1124</v>
      </c>
      <c r="C3478" s="4" t="s">
        <v>1125</v>
      </c>
      <c r="D3478" s="1">
        <f>DATE(2020,6,5)+TIME(5,27,43)</f>
        <v>43987.227581018517</v>
      </c>
    </row>
    <row r="3479" spans="1:4" ht="17">
      <c r="A3479" s="5" t="s">
        <v>2547</v>
      </c>
      <c r="B3479" s="5" t="s">
        <v>2548</v>
      </c>
      <c r="C3479" s="5" t="s">
        <v>2549</v>
      </c>
      <c r="D3479" s="2">
        <f>DATE(2020,6,26)+TIME(8,29,17)</f>
        <v>44008.353668981479</v>
      </c>
    </row>
    <row r="3480" spans="1:4" ht="17">
      <c r="A3480" s="5" t="s">
        <v>1123</v>
      </c>
      <c r="B3480" s="5" t="s">
        <v>8092</v>
      </c>
      <c r="C3480" s="5" t="s">
        <v>8093</v>
      </c>
      <c r="D3480" s="2">
        <f>DATE(2020,6,29)+TIME(4,53,11)</f>
        <v>44011.203599537039</v>
      </c>
    </row>
    <row r="3481" spans="1:4" ht="17">
      <c r="A3481" s="5" t="s">
        <v>7122</v>
      </c>
      <c r="B3481" s="5" t="s">
        <v>7123</v>
      </c>
      <c r="C3481" s="5" t="s">
        <v>7124</v>
      </c>
      <c r="D3481" s="2">
        <f>DATE(2020,6,23)+TIME(6,53,2)</f>
        <v>44005.286828703705</v>
      </c>
    </row>
    <row r="3482" spans="1:4" ht="17">
      <c r="A3482" s="5" t="s">
        <v>649</v>
      </c>
      <c r="B3482" s="5" t="s">
        <v>2903</v>
      </c>
      <c r="C3482" s="5" t="s">
        <v>2904</v>
      </c>
      <c r="D3482" s="2">
        <f>DATE(2020,3,27)+TIME(15,40,30)</f>
        <v>43917.653124999997</v>
      </c>
    </row>
    <row r="3483" spans="1:4" ht="17">
      <c r="A3483" s="4" t="s">
        <v>649</v>
      </c>
      <c r="B3483" s="4" t="s">
        <v>650</v>
      </c>
      <c r="C3483" s="4" t="s">
        <v>651</v>
      </c>
      <c r="D3483" s="1">
        <f>DATE(2020,5,15)+TIME(12,26,44)</f>
        <v>43966.518564814818</v>
      </c>
    </row>
    <row r="3484" spans="1:4" ht="17">
      <c r="A3484" s="5" t="s">
        <v>649</v>
      </c>
      <c r="B3484" s="5" t="s">
        <v>3390</v>
      </c>
      <c r="C3484" s="5" t="s">
        <v>3805</v>
      </c>
      <c r="D3484" s="2">
        <f>DATE(2020,6,3)+TIME(12,45,13)</f>
        <v>43985.531400462962</v>
      </c>
    </row>
    <row r="3485" spans="1:4" ht="17">
      <c r="A3485" s="4" t="s">
        <v>649</v>
      </c>
      <c r="B3485" s="4" t="s">
        <v>2660</v>
      </c>
      <c r="C3485" s="4" t="s">
        <v>2661</v>
      </c>
      <c r="D3485" s="1">
        <f>DATE(2020,6,28)+TIME(11,2,37)</f>
        <v>44010.460150462961</v>
      </c>
    </row>
    <row r="3486" spans="1:4" ht="17">
      <c r="A3486" s="4" t="s">
        <v>649</v>
      </c>
      <c r="B3486" s="4" t="s">
        <v>3390</v>
      </c>
      <c r="C3486" s="4" t="s">
        <v>3391</v>
      </c>
      <c r="D3486" s="1">
        <f>DATE(2020,6,28)+TIME(21,19,12)</f>
        <v>44010.888333333336</v>
      </c>
    </row>
    <row r="3487" spans="1:4" ht="17">
      <c r="A3487" s="4" t="s">
        <v>2275</v>
      </c>
      <c r="B3487" s="4" t="s">
        <v>8118</v>
      </c>
      <c r="C3487" s="4" t="s">
        <v>8119</v>
      </c>
      <c r="D3487" s="1">
        <f>DATE(2020,5,6)+TIME(3,5,43)</f>
        <v>43957.128969907404</v>
      </c>
    </row>
    <row r="3488" spans="1:4" ht="17">
      <c r="A3488" s="4" t="s">
        <v>2275</v>
      </c>
      <c r="B3488" s="4" t="s">
        <v>5261</v>
      </c>
      <c r="C3488" s="4" t="s">
        <v>5262</v>
      </c>
      <c r="D3488" s="1">
        <f>DATE(2020,5,29)+TIME(10,51,58)</f>
        <v>43980.45275462963</v>
      </c>
    </row>
    <row r="3489" spans="1:4" ht="17">
      <c r="A3489" s="4" t="s">
        <v>2275</v>
      </c>
      <c r="B3489" s="4" t="s">
        <v>2276</v>
      </c>
      <c r="C3489" s="4" t="s">
        <v>2277</v>
      </c>
      <c r="D3489" s="1">
        <f>DATE(2020,6,29)+TIME(4,53,28)</f>
        <v>44011.203796296293</v>
      </c>
    </row>
    <row r="3490" spans="1:4" ht="17">
      <c r="A3490" s="5" t="s">
        <v>5901</v>
      </c>
      <c r="B3490" s="5" t="s">
        <v>5902</v>
      </c>
      <c r="C3490" s="5" t="s">
        <v>5903</v>
      </c>
      <c r="D3490" s="2">
        <f>DATE(2020,3,27)+TIME(18,18,6)</f>
        <v>43917.762569444443</v>
      </c>
    </row>
    <row r="3491" spans="1:4" ht="17">
      <c r="A3491" s="4" t="s">
        <v>364</v>
      </c>
      <c r="B3491" s="4" t="s">
        <v>9087</v>
      </c>
      <c r="C3491" s="4" t="s">
        <v>9088</v>
      </c>
      <c r="D3491" s="1">
        <f>DATE(2020,5,6)+TIME(18,18,37)</f>
        <v>43957.762928240743</v>
      </c>
    </row>
    <row r="3492" spans="1:4" ht="17">
      <c r="A3492" s="5" t="s">
        <v>364</v>
      </c>
      <c r="B3492" s="5" t="s">
        <v>365</v>
      </c>
      <c r="C3492" s="5" t="s">
        <v>366</v>
      </c>
      <c r="D3492" s="2">
        <f>DATE(2020,5,20)+TIME(22,19,24)</f>
        <v>43971.930138888885</v>
      </c>
    </row>
    <row r="3493" spans="1:4" ht="17">
      <c r="A3493" s="5" t="s">
        <v>364</v>
      </c>
      <c r="B3493" s="5" t="s">
        <v>204</v>
      </c>
      <c r="C3493" s="5" t="s">
        <v>5972</v>
      </c>
      <c r="D3493" s="2">
        <f>DATE(2020,6,4)+TIME(19,13,15)</f>
        <v>43986.800868055558</v>
      </c>
    </row>
    <row r="3494" spans="1:4" ht="17">
      <c r="A3494" s="4" t="s">
        <v>364</v>
      </c>
      <c r="B3494" s="4" t="s">
        <v>6241</v>
      </c>
      <c r="C3494" s="4" t="s">
        <v>6242</v>
      </c>
      <c r="D3494" s="1">
        <f>DATE(2020,6,19)+TIME(15,44,36)</f>
        <v>44001.655972222223</v>
      </c>
    </row>
    <row r="3495" spans="1:4" ht="17">
      <c r="A3495" s="5" t="s">
        <v>364</v>
      </c>
      <c r="B3495" s="5" t="s">
        <v>8961</v>
      </c>
      <c r="C3495" s="5" t="s">
        <v>8962</v>
      </c>
      <c r="D3495" s="2">
        <f>DATE(2020,6,29)+TIME(13,30,40)</f>
        <v>44011.562962962962</v>
      </c>
    </row>
    <row r="3496" spans="1:4" ht="17">
      <c r="A3496" s="4" t="s">
        <v>3516</v>
      </c>
      <c r="B3496" s="4" t="s">
        <v>3517</v>
      </c>
      <c r="C3496" s="4" t="s">
        <v>3518</v>
      </c>
      <c r="D3496" s="1">
        <f>DATE(2020,5,11)+TIME(17,10,41)</f>
        <v>43962.715752314813</v>
      </c>
    </row>
    <row r="3497" spans="1:4" ht="17">
      <c r="A3497" s="5" t="s">
        <v>157</v>
      </c>
      <c r="B3497" s="5" t="s">
        <v>1193</v>
      </c>
      <c r="C3497" s="5" t="s">
        <v>1194</v>
      </c>
      <c r="D3497" s="2">
        <f>DATE(2020,1,14)+TIME(21,20,39)</f>
        <v>43844.889340277776</v>
      </c>
    </row>
    <row r="3498" spans="1:4" ht="17">
      <c r="A3498" s="5" t="s">
        <v>157</v>
      </c>
      <c r="B3498" s="5" t="s">
        <v>4446</v>
      </c>
      <c r="C3498" s="5" t="s">
        <v>4447</v>
      </c>
      <c r="D3498" s="2">
        <f>DATE(2020,4,6)+TIME(1,16,57)</f>
        <v>43927.053437499999</v>
      </c>
    </row>
    <row r="3499" spans="1:4" ht="17">
      <c r="A3499" s="4" t="s">
        <v>157</v>
      </c>
      <c r="B3499" s="4" t="s">
        <v>6236</v>
      </c>
      <c r="C3499" s="4" t="s">
        <v>6237</v>
      </c>
      <c r="D3499" s="1">
        <f>DATE(2020,5,7)+TIME(4,40,8)</f>
        <v>43958.194537037038</v>
      </c>
    </row>
    <row r="3500" spans="1:4" ht="17">
      <c r="A3500" s="5" t="s">
        <v>157</v>
      </c>
      <c r="B3500" s="5" t="s">
        <v>5049</v>
      </c>
      <c r="C3500" s="5" t="s">
        <v>5050</v>
      </c>
      <c r="D3500" s="2">
        <f>DATE(2020,5,11)+TIME(9,13,25)</f>
        <v>43962.384317129632</v>
      </c>
    </row>
    <row r="3501" spans="1:4" ht="17">
      <c r="A3501" s="5" t="s">
        <v>157</v>
      </c>
      <c r="B3501" s="5" t="s">
        <v>8281</v>
      </c>
      <c r="C3501" s="5" t="s">
        <v>8282</v>
      </c>
      <c r="D3501" s="2">
        <f>DATE(2020,5,12)+TIME(12,31,34)</f>
        <v>43963.521921296298</v>
      </c>
    </row>
    <row r="3502" spans="1:4" ht="17">
      <c r="A3502" s="4" t="s">
        <v>157</v>
      </c>
      <c r="B3502" s="4" t="s">
        <v>9017</v>
      </c>
      <c r="C3502" s="4" t="s">
        <v>9018</v>
      </c>
      <c r="D3502" s="1">
        <f>DATE(2020,5,17)+TIME(3,57,41)</f>
        <v>43968.16505787037</v>
      </c>
    </row>
    <row r="3503" spans="1:4" ht="17">
      <c r="A3503" s="5" t="s">
        <v>157</v>
      </c>
      <c r="B3503" s="5" t="s">
        <v>7734</v>
      </c>
      <c r="C3503" s="5" t="s">
        <v>7735</v>
      </c>
      <c r="D3503" s="2">
        <f>DATE(2020,5,18)+TIME(10,21,29)</f>
        <v>43969.431585648148</v>
      </c>
    </row>
    <row r="3504" spans="1:4" ht="17">
      <c r="A3504" s="4" t="s">
        <v>157</v>
      </c>
      <c r="B3504" s="4" t="s">
        <v>5034</v>
      </c>
      <c r="C3504" s="4" t="s">
        <v>5035</v>
      </c>
      <c r="D3504" s="1">
        <f>DATE(2020,5,20)+TIME(19,46,25)</f>
        <v>43971.823900462965</v>
      </c>
    </row>
    <row r="3505" spans="1:4" ht="17">
      <c r="A3505" s="4" t="s">
        <v>157</v>
      </c>
      <c r="B3505" s="4" t="s">
        <v>8991</v>
      </c>
      <c r="C3505" s="4" t="s">
        <v>8992</v>
      </c>
      <c r="D3505" s="1">
        <f>DATE(2020,5,27)+TIME(11,56,32)</f>
        <v>43978.49759259259</v>
      </c>
    </row>
    <row r="3506" spans="1:4" ht="17">
      <c r="A3506" s="5" t="s">
        <v>157</v>
      </c>
      <c r="B3506" s="5" t="s">
        <v>3895</v>
      </c>
      <c r="C3506" s="5" t="s">
        <v>3896</v>
      </c>
      <c r="D3506" s="2">
        <f>DATE(2020,6,12)+TIME(8,59,7)</f>
        <v>43994.374386574076</v>
      </c>
    </row>
    <row r="3507" spans="1:4" ht="17">
      <c r="A3507" s="5" t="s">
        <v>157</v>
      </c>
      <c r="B3507" s="5" t="s">
        <v>4319</v>
      </c>
      <c r="C3507" s="5" t="s">
        <v>4320</v>
      </c>
      <c r="D3507" s="2">
        <f>DATE(2020,6,12)+TIME(11,58,47)</f>
        <v>43994.499155092592</v>
      </c>
    </row>
    <row r="3508" spans="1:4" ht="17">
      <c r="A3508" s="5" t="s">
        <v>157</v>
      </c>
      <c r="B3508" s="5" t="s">
        <v>158</v>
      </c>
      <c r="C3508" s="5" t="s">
        <v>159</v>
      </c>
      <c r="D3508" s="2">
        <f>DATE(2020,6,24)+TIME(10,49,25)</f>
        <v>44006.450983796298</v>
      </c>
    </row>
    <row r="3509" spans="1:4" ht="17">
      <c r="A3509" s="5" t="s">
        <v>157</v>
      </c>
      <c r="B3509" s="5" t="s">
        <v>6301</v>
      </c>
      <c r="C3509" s="5" t="s">
        <v>8026</v>
      </c>
      <c r="D3509" s="2">
        <f>DATE(2020,6,24)+TIME(16,26,22)</f>
        <v>44006.684976851851</v>
      </c>
    </row>
    <row r="3510" spans="1:4" ht="17">
      <c r="A3510" s="5" t="s">
        <v>157</v>
      </c>
      <c r="B3510" s="5" t="s">
        <v>1582</v>
      </c>
      <c r="C3510" s="5" t="s">
        <v>2939</v>
      </c>
      <c r="D3510" s="2">
        <f>DATE(2020,6,25)+TIME(13,14,53)</f>
        <v>44007.552002314813</v>
      </c>
    </row>
    <row r="3511" spans="1:4" ht="17">
      <c r="A3511" s="5" t="s">
        <v>157</v>
      </c>
      <c r="B3511" s="5" t="s">
        <v>5944</v>
      </c>
      <c r="C3511" s="5" t="s">
        <v>5945</v>
      </c>
      <c r="D3511" s="2">
        <f>DATE(2020,6,26)+TIME(9,59,6)</f>
        <v>44008.416041666664</v>
      </c>
    </row>
    <row r="3512" spans="1:4" ht="17">
      <c r="A3512" s="4" t="s">
        <v>157</v>
      </c>
      <c r="B3512" s="4" t="s">
        <v>4581</v>
      </c>
      <c r="C3512" s="4" t="s">
        <v>4582</v>
      </c>
      <c r="D3512" s="1">
        <f>DATE(2020,6,26)+TIME(11,53,24)</f>
        <v>44008.495416666665</v>
      </c>
    </row>
    <row r="3513" spans="1:4" ht="17">
      <c r="A3513" s="5" t="s">
        <v>7447</v>
      </c>
      <c r="B3513" s="5" t="s">
        <v>5067</v>
      </c>
      <c r="C3513" s="5" t="s">
        <v>7448</v>
      </c>
      <c r="D3513" s="2">
        <f>DATE(2020,5,29)+TIME(13,47,12)</f>
        <v>43980.574444444443</v>
      </c>
    </row>
    <row r="3514" spans="1:4" ht="17">
      <c r="A3514" s="5" t="s">
        <v>9257</v>
      </c>
      <c r="B3514" s="5" t="s">
        <v>9258</v>
      </c>
      <c r="C3514" s="5" t="s">
        <v>9259</v>
      </c>
      <c r="D3514" s="2">
        <f>DATE(2020,5,29)+TIME(14,18,16)</f>
        <v>43980.596018518518</v>
      </c>
    </row>
    <row r="3515" spans="1:4" ht="17">
      <c r="A3515" s="5" t="s">
        <v>456</v>
      </c>
      <c r="B3515" s="5" t="s">
        <v>8418</v>
      </c>
      <c r="C3515" s="5" t="s">
        <v>8419</v>
      </c>
      <c r="D3515" s="2">
        <f>DATE(2020,5,6)+TIME(4,17,15)</f>
        <v>43957.17864583333</v>
      </c>
    </row>
    <row r="3516" spans="1:4" ht="17">
      <c r="A3516" s="5" t="s">
        <v>456</v>
      </c>
      <c r="B3516" s="5" t="s">
        <v>3766</v>
      </c>
      <c r="C3516" s="5" t="s">
        <v>3767</v>
      </c>
      <c r="D3516" s="2">
        <f>DATE(2020,5,6)+TIME(18,49,35)</f>
        <v>43957.784432870372</v>
      </c>
    </row>
    <row r="3517" spans="1:4" ht="17">
      <c r="A3517" s="4" t="s">
        <v>456</v>
      </c>
      <c r="B3517" s="4" t="s">
        <v>457</v>
      </c>
      <c r="C3517" s="4" t="s">
        <v>458</v>
      </c>
      <c r="D3517" s="1">
        <f>DATE(2020,5,8)+TIME(15,52,17)</f>
        <v>43959.661307870374</v>
      </c>
    </row>
    <row r="3518" spans="1:4" ht="17">
      <c r="A3518" s="4" t="s">
        <v>456</v>
      </c>
      <c r="B3518" s="4" t="s">
        <v>4467</v>
      </c>
      <c r="C3518" s="4" t="s">
        <v>8160</v>
      </c>
      <c r="D3518" s="1">
        <f>DATE(2020,5,21)+TIME(17,17,28)</f>
        <v>43972.720462962963</v>
      </c>
    </row>
    <row r="3519" spans="1:4" ht="17">
      <c r="A3519" s="4" t="s">
        <v>456</v>
      </c>
      <c r="B3519" s="4" t="s">
        <v>7092</v>
      </c>
      <c r="C3519" s="4" t="s">
        <v>7093</v>
      </c>
      <c r="D3519" s="1">
        <f>DATE(2020,5,25)+TIME(16,47,30)</f>
        <v>43976.699652777781</v>
      </c>
    </row>
    <row r="3520" spans="1:4" ht="17">
      <c r="A3520" s="5" t="s">
        <v>456</v>
      </c>
      <c r="B3520" s="5" t="s">
        <v>7477</v>
      </c>
      <c r="C3520" s="5" t="s">
        <v>7478</v>
      </c>
      <c r="D3520" s="2">
        <f>DATE(2020,6,2)+TIME(11,20,47)</f>
        <v>43984.472766203704</v>
      </c>
    </row>
    <row r="3521" spans="1:4" ht="17">
      <c r="A3521" s="4" t="s">
        <v>456</v>
      </c>
      <c r="B3521" s="4" t="s">
        <v>5355</v>
      </c>
      <c r="C3521" s="4" t="s">
        <v>5356</v>
      </c>
      <c r="D3521" s="1">
        <f>DATE(2020,6,18)+TIME(18,24,37)</f>
        <v>44000.767094907409</v>
      </c>
    </row>
    <row r="3522" spans="1:4" ht="17">
      <c r="A3522" s="4" t="s">
        <v>456</v>
      </c>
      <c r="B3522" s="4" t="s">
        <v>5652</v>
      </c>
      <c r="C3522" s="4" t="s">
        <v>5653</v>
      </c>
      <c r="D3522" s="1">
        <f>DATE(2020,6,24)+TIME(12,23,43)</f>
        <v>44006.516469907408</v>
      </c>
    </row>
    <row r="3523" spans="1:4" ht="17">
      <c r="A3523" s="5" t="s">
        <v>456</v>
      </c>
      <c r="B3523" s="5" t="s">
        <v>9128</v>
      </c>
      <c r="C3523" s="5" t="s">
        <v>9129</v>
      </c>
      <c r="D3523" s="2">
        <f>DATE(2020,6,26)+TIME(10,41,2)</f>
        <v>44008.445162037038</v>
      </c>
    </row>
    <row r="3524" spans="1:4" ht="17">
      <c r="A3524" s="5" t="s">
        <v>456</v>
      </c>
      <c r="B3524" s="5" t="s">
        <v>7957</v>
      </c>
      <c r="C3524" s="5" t="s">
        <v>7958</v>
      </c>
      <c r="D3524" s="2">
        <f>DATE(2020,6,26)+TIME(12,35,5)</f>
        <v>44008.524363425924</v>
      </c>
    </row>
    <row r="3525" spans="1:4" ht="17">
      <c r="A3525" s="4" t="s">
        <v>456</v>
      </c>
      <c r="B3525" s="4" t="s">
        <v>6823</v>
      </c>
      <c r="C3525" s="4" t="s">
        <v>6824</v>
      </c>
      <c r="D3525" s="1">
        <f>DATE(2020,6,28)+TIME(19,49,36)</f>
        <v>44010.826111111113</v>
      </c>
    </row>
    <row r="3526" spans="1:4" ht="17">
      <c r="A3526" s="4" t="s">
        <v>767</v>
      </c>
      <c r="B3526" s="4" t="s">
        <v>3511</v>
      </c>
      <c r="C3526" s="4" t="s">
        <v>3512</v>
      </c>
      <c r="D3526" s="1">
        <f>DATE(2020,5,7)+TIME(21,23,38)</f>
        <v>43958.891412037039</v>
      </c>
    </row>
    <row r="3527" spans="1:4" ht="17">
      <c r="A3527" s="5" t="s">
        <v>767</v>
      </c>
      <c r="B3527" s="5" t="s">
        <v>5936</v>
      </c>
      <c r="C3527" s="5" t="s">
        <v>5937</v>
      </c>
      <c r="D3527" s="2">
        <f>DATE(2020,5,12)+TIME(12,5,41)</f>
        <v>43963.503946759258</v>
      </c>
    </row>
    <row r="3528" spans="1:4" ht="17">
      <c r="A3528" s="5" t="s">
        <v>767</v>
      </c>
      <c r="B3528" s="5" t="s">
        <v>3007</v>
      </c>
      <c r="C3528" s="5" t="s">
        <v>6339</v>
      </c>
      <c r="D3528" s="2">
        <f>DATE(2020,5,21)+TIME(18,2,10)</f>
        <v>43972.751504629632</v>
      </c>
    </row>
    <row r="3529" spans="1:4" ht="17">
      <c r="A3529" s="4" t="s">
        <v>767</v>
      </c>
      <c r="B3529" s="4" t="s">
        <v>7646</v>
      </c>
      <c r="C3529" s="4" t="s">
        <v>7647</v>
      </c>
      <c r="D3529" s="1">
        <f>DATE(2020,6,1)+TIME(15,53,15)</f>
        <v>43983.661979166667</v>
      </c>
    </row>
    <row r="3530" spans="1:4" ht="17">
      <c r="A3530" s="5" t="s">
        <v>767</v>
      </c>
      <c r="B3530" s="5" t="s">
        <v>4384</v>
      </c>
      <c r="C3530" s="5" t="s">
        <v>5597</v>
      </c>
      <c r="D3530" s="2">
        <f>DATE(2020,6,3)+TIME(23,37,13)</f>
        <v>43985.984178240738</v>
      </c>
    </row>
    <row r="3531" spans="1:4" ht="17">
      <c r="A3531" s="5" t="s">
        <v>767</v>
      </c>
      <c r="B3531" s="5" t="s">
        <v>441</v>
      </c>
      <c r="C3531" s="5" t="s">
        <v>6253</v>
      </c>
      <c r="D3531" s="2">
        <f>DATE(2020,6,8)+TIME(2,54,32)</f>
        <v>43990.121203703704</v>
      </c>
    </row>
    <row r="3532" spans="1:4" ht="17">
      <c r="A3532" s="5" t="s">
        <v>767</v>
      </c>
      <c r="B3532" s="5" t="s">
        <v>1448</v>
      </c>
      <c r="C3532" s="5" t="s">
        <v>1449</v>
      </c>
      <c r="D3532" s="2">
        <f>DATE(2020,6,14)+TIME(8,9,28)</f>
        <v>43996.339907407404</v>
      </c>
    </row>
    <row r="3533" spans="1:4" ht="17">
      <c r="A3533" s="5" t="s">
        <v>767</v>
      </c>
      <c r="B3533" s="5" t="s">
        <v>2236</v>
      </c>
      <c r="C3533" s="5" t="s">
        <v>2237</v>
      </c>
      <c r="D3533" s="2">
        <f>DATE(2020,6,14)+TIME(20,59,1)</f>
        <v>43996.87431712963</v>
      </c>
    </row>
    <row r="3534" spans="1:4" ht="17">
      <c r="A3534" s="5" t="s">
        <v>767</v>
      </c>
      <c r="B3534" s="5" t="s">
        <v>9501</v>
      </c>
      <c r="C3534" s="5" t="s">
        <v>9502</v>
      </c>
      <c r="D3534" s="2">
        <f>DATE(2020,6,15)+TIME(19,16,58)</f>
        <v>43997.803449074076</v>
      </c>
    </row>
    <row r="3535" spans="1:4" ht="17">
      <c r="A3535" s="5" t="s">
        <v>767</v>
      </c>
      <c r="B3535" s="5" t="s">
        <v>4087</v>
      </c>
      <c r="C3535" s="5" t="s">
        <v>4088</v>
      </c>
      <c r="D3535" s="2">
        <f>DATE(2020,6,15)+TIME(22,3,33)</f>
        <v>43997.919131944444</v>
      </c>
    </row>
    <row r="3536" spans="1:4" ht="17">
      <c r="A3536" s="5" t="s">
        <v>767</v>
      </c>
      <c r="B3536" s="5" t="s">
        <v>5646</v>
      </c>
      <c r="C3536" s="5" t="s">
        <v>5647</v>
      </c>
      <c r="D3536" s="2">
        <f>DATE(2020,6,16)+TIME(17,52,35)</f>
        <v>43998.744849537034</v>
      </c>
    </row>
    <row r="3537" spans="1:4" ht="17">
      <c r="A3537" s="5" t="s">
        <v>767</v>
      </c>
      <c r="B3537" s="5" t="s">
        <v>768</v>
      </c>
      <c r="C3537" s="5" t="s">
        <v>769</v>
      </c>
      <c r="D3537" s="2">
        <f>DATE(2020,6,24)+TIME(14,28,39)</f>
        <v>44006.603229166663</v>
      </c>
    </row>
    <row r="3538" spans="1:4" ht="17">
      <c r="A3538" s="4" t="s">
        <v>2674</v>
      </c>
      <c r="B3538" s="4" t="s">
        <v>2675</v>
      </c>
      <c r="C3538" s="4" t="s">
        <v>2676</v>
      </c>
      <c r="D3538" s="1">
        <f>DATE(2020,6,24)+TIME(12,33,17)</f>
        <v>44006.523113425923</v>
      </c>
    </row>
    <row r="3539" spans="1:4" ht="17">
      <c r="A3539" s="4" t="s">
        <v>3429</v>
      </c>
      <c r="B3539" s="4" t="s">
        <v>4136</v>
      </c>
      <c r="C3539" s="4" t="s">
        <v>4137</v>
      </c>
      <c r="D3539" s="1">
        <f>DATE(2020,6,25)+TIME(21,24,32)</f>
        <v>44007.89203703704</v>
      </c>
    </row>
    <row r="3540" spans="1:4" ht="17">
      <c r="A3540" s="4" t="s">
        <v>216</v>
      </c>
      <c r="B3540" s="4" t="s">
        <v>217</v>
      </c>
      <c r="C3540" s="4" t="s">
        <v>218</v>
      </c>
      <c r="D3540" s="1">
        <f>DATE(2020,5,29)+TIME(15,9,1)</f>
        <v>43980.631261574075</v>
      </c>
    </row>
    <row r="3541" spans="1:4" ht="17">
      <c r="A3541" s="4" t="s">
        <v>4389</v>
      </c>
      <c r="B3541" s="4" t="s">
        <v>4390</v>
      </c>
      <c r="C3541" s="4" t="s">
        <v>4391</v>
      </c>
      <c r="D3541" s="1">
        <f>DATE(2020,6,23)+TIME(14,17,29)</f>
        <v>44005.59547453704</v>
      </c>
    </row>
    <row r="3542" spans="1:4" ht="17">
      <c r="A3542" s="4" t="s">
        <v>7641</v>
      </c>
      <c r="B3542" s="4" t="s">
        <v>7642</v>
      </c>
      <c r="C3542" s="4" t="s">
        <v>7643</v>
      </c>
      <c r="D3542" s="1">
        <f>DATE(2020,5,18)+TIME(11,28,22)</f>
        <v>43969.478032407409</v>
      </c>
    </row>
    <row r="3543" spans="1:4" ht="17">
      <c r="A3543" s="4" t="s">
        <v>6083</v>
      </c>
      <c r="B3543" s="4" t="s">
        <v>6084</v>
      </c>
      <c r="C3543" s="4" t="s">
        <v>6085</v>
      </c>
      <c r="D3543" s="1">
        <f>DATE(2020,5,21)+TIME(16,24,49)</f>
        <v>43972.683900462966</v>
      </c>
    </row>
    <row r="3544" spans="1:4" ht="17">
      <c r="A3544" s="4" t="s">
        <v>6083</v>
      </c>
      <c r="B3544" s="4" t="s">
        <v>9305</v>
      </c>
      <c r="C3544" s="4" t="s">
        <v>9306</v>
      </c>
      <c r="D3544" s="1">
        <f>DATE(2020,6,25)+TIME(1,36,9)</f>
        <v>44007.066770833335</v>
      </c>
    </row>
    <row r="3545" spans="1:4" ht="17">
      <c r="A3545" s="5" t="s">
        <v>4626</v>
      </c>
      <c r="B3545" s="5" t="s">
        <v>6647</v>
      </c>
      <c r="C3545" s="5" t="s">
        <v>6648</v>
      </c>
      <c r="D3545" s="2">
        <f>DATE(2020,6,19)+TIME(2,8,52)</f>
        <v>44001.089490740742</v>
      </c>
    </row>
    <row r="3546" spans="1:4" ht="17">
      <c r="A3546" s="5" t="s">
        <v>4626</v>
      </c>
      <c r="B3546" s="5" t="s">
        <v>4627</v>
      </c>
      <c r="C3546" s="5" t="s">
        <v>4628</v>
      </c>
      <c r="D3546" s="2">
        <f>DATE(2020,6,26)+TIME(9,21,31)</f>
        <v>44008.38994212963</v>
      </c>
    </row>
    <row r="3547" spans="1:4" ht="17">
      <c r="A3547" s="4" t="s">
        <v>5399</v>
      </c>
      <c r="B3547" s="4" t="s">
        <v>5400</v>
      </c>
      <c r="C3547" s="4" t="s">
        <v>5401</v>
      </c>
      <c r="D3547" s="1">
        <f>DATE(2020,5,29)+TIME(16,27,21)</f>
        <v>43980.685659722221</v>
      </c>
    </row>
    <row r="3548" spans="1:4" ht="17">
      <c r="A3548" s="5" t="s">
        <v>2521</v>
      </c>
      <c r="B3548" s="5" t="s">
        <v>1342</v>
      </c>
      <c r="C3548" s="5" t="s">
        <v>2522</v>
      </c>
      <c r="D3548" s="2">
        <f>DATE(2020,6,12)+TIME(17,55,54)</f>
        <v>43994.747152777774</v>
      </c>
    </row>
    <row r="3549" spans="1:4" ht="17">
      <c r="A3549" s="5" t="s">
        <v>6882</v>
      </c>
      <c r="B3549" s="5" t="s">
        <v>6883</v>
      </c>
      <c r="C3549" s="5" t="s">
        <v>6884</v>
      </c>
      <c r="D3549" s="2">
        <f>DATE(2020,6,24)+TIME(5,7,9)</f>
        <v>44006.21329861111</v>
      </c>
    </row>
    <row r="3550" spans="1:4" ht="17">
      <c r="A3550" s="4" t="s">
        <v>5222</v>
      </c>
      <c r="B3550" s="4" t="s">
        <v>1402</v>
      </c>
      <c r="C3550" s="4" t="s">
        <v>5223</v>
      </c>
      <c r="D3550" s="1">
        <f>DATE(2020,6,27)+TIME(1,50,14)</f>
        <v>44009.076550925929</v>
      </c>
    </row>
    <row r="3551" spans="1:4" ht="17">
      <c r="A3551" s="4" t="s">
        <v>8649</v>
      </c>
      <c r="B3551" s="4" t="s">
        <v>8650</v>
      </c>
      <c r="C3551" s="4" t="s">
        <v>8651</v>
      </c>
      <c r="D3551" s="1">
        <f>DATE(2020,6,19)+TIME(8,38,58)</f>
        <v>44001.360393518517</v>
      </c>
    </row>
    <row r="3552" spans="1:4" ht="17">
      <c r="A3552" s="5" t="s">
        <v>1292</v>
      </c>
      <c r="B3552" s="5" t="s">
        <v>1293</v>
      </c>
      <c r="C3552" s="5" t="s">
        <v>1294</v>
      </c>
      <c r="D3552" s="2">
        <f>DATE(2020,6,23)+TIME(13,40,47)</f>
        <v>44005.569988425923</v>
      </c>
    </row>
    <row r="3553" spans="1:4" ht="17">
      <c r="A3553" s="5" t="s">
        <v>6138</v>
      </c>
      <c r="B3553" s="5" t="s">
        <v>6139</v>
      </c>
      <c r="C3553" s="5" t="s">
        <v>6140</v>
      </c>
      <c r="D3553" s="2">
        <f>DATE(2020,6,13)+TIME(12,13,16)</f>
        <v>43995.509212962963</v>
      </c>
    </row>
    <row r="3554" spans="1:4" ht="17">
      <c r="A3554" s="4" t="s">
        <v>4888</v>
      </c>
      <c r="B3554" s="4" t="s">
        <v>4889</v>
      </c>
      <c r="C3554" s="4" t="s">
        <v>4890</v>
      </c>
      <c r="D3554" s="1">
        <f>DATE(2020,6,11)+TIME(21,23,32)</f>
        <v>43993.891342592593</v>
      </c>
    </row>
    <row r="3555" spans="1:4" ht="17">
      <c r="A3555" s="5" t="s">
        <v>7738</v>
      </c>
      <c r="B3555" s="5" t="s">
        <v>7739</v>
      </c>
      <c r="C3555" s="5" t="s">
        <v>7740</v>
      </c>
      <c r="D3555" s="2">
        <f>DATE(2020,6,29)+TIME(7,32,18)</f>
        <v>44011.314097222225</v>
      </c>
    </row>
    <row r="3556" spans="1:4" ht="17">
      <c r="A3556" s="4" t="s">
        <v>484</v>
      </c>
      <c r="B3556" s="4" t="s">
        <v>485</v>
      </c>
      <c r="C3556" s="4" t="s">
        <v>486</v>
      </c>
      <c r="D3556" s="1">
        <f>DATE(2020,6,24)+TIME(11,58,35)</f>
        <v>44006.499016203707</v>
      </c>
    </row>
    <row r="3557" spans="1:4" ht="17">
      <c r="A3557" s="4" t="s">
        <v>6374</v>
      </c>
      <c r="B3557" s="4" t="s">
        <v>6375</v>
      </c>
      <c r="C3557" s="4" t="s">
        <v>6376</v>
      </c>
      <c r="D3557" s="1">
        <f>DATE(2020,6,28)+TIME(13,58,38)</f>
        <v>44010.582384259258</v>
      </c>
    </row>
    <row r="3558" spans="1:4" ht="17">
      <c r="A3558" s="5" t="s">
        <v>8318</v>
      </c>
      <c r="B3558" s="5" t="s">
        <v>8319</v>
      </c>
      <c r="C3558" s="5" t="s">
        <v>8320</v>
      </c>
      <c r="D3558" s="2">
        <f>DATE(2020,6,23)+TIME(13,25,0)</f>
        <v>44005.559027777781</v>
      </c>
    </row>
    <row r="3559" spans="1:4" ht="17">
      <c r="A3559" s="5" t="s">
        <v>3364</v>
      </c>
      <c r="B3559" s="5" t="s">
        <v>3365</v>
      </c>
      <c r="C3559" s="5" t="s">
        <v>3366</v>
      </c>
      <c r="D3559" s="2">
        <f>DATE(2020,6,11)+TIME(6,16,6)</f>
        <v>43993.261180555557</v>
      </c>
    </row>
    <row r="3560" spans="1:4" ht="17">
      <c r="A3560" s="5" t="s">
        <v>4361</v>
      </c>
      <c r="B3560" s="5" t="s">
        <v>4362</v>
      </c>
      <c r="C3560" s="5" t="s">
        <v>4363</v>
      </c>
      <c r="D3560" s="2">
        <f>DATE(2020,6,24)+TIME(11,0,10)</f>
        <v>44006.458449074074</v>
      </c>
    </row>
    <row r="3561" spans="1:4" ht="17">
      <c r="A3561" s="4" t="s">
        <v>963</v>
      </c>
      <c r="B3561" s="4" t="s">
        <v>109</v>
      </c>
      <c r="C3561" s="4" t="s">
        <v>9123</v>
      </c>
      <c r="D3561" s="1">
        <f>DATE(2020,6,25)+TIME(14,51,12)</f>
        <v>44007.618888888886</v>
      </c>
    </row>
    <row r="3562" spans="1:4" ht="17">
      <c r="A3562" s="5" t="s">
        <v>963</v>
      </c>
      <c r="B3562" s="5" t="s">
        <v>964</v>
      </c>
      <c r="C3562" s="5" t="s">
        <v>965</v>
      </c>
      <c r="D3562" s="2">
        <f>DATE(2020,6,26)+TIME(11,48,49)</f>
        <v>44008.4922337963</v>
      </c>
    </row>
    <row r="3563" spans="1:4" ht="17">
      <c r="A3563" s="4" t="s">
        <v>934</v>
      </c>
      <c r="B3563" s="4" t="s">
        <v>6860</v>
      </c>
      <c r="C3563" s="4" t="s">
        <v>6861</v>
      </c>
      <c r="D3563" s="1">
        <f>DATE(2020,6,15)+TIME(3,7,48)</f>
        <v>43997.130416666667</v>
      </c>
    </row>
    <row r="3564" spans="1:4" ht="17">
      <c r="A3564" s="4" t="s">
        <v>934</v>
      </c>
      <c r="B3564" s="4" t="s">
        <v>5390</v>
      </c>
      <c r="C3564" s="4" t="s">
        <v>5391</v>
      </c>
      <c r="D3564" s="1">
        <f>DATE(2020,6,15)+TIME(16,16,40)</f>
        <v>43997.678240740737</v>
      </c>
    </row>
    <row r="3565" spans="1:4" ht="17">
      <c r="A3565" s="4" t="s">
        <v>934</v>
      </c>
      <c r="B3565" s="4" t="s">
        <v>553</v>
      </c>
      <c r="C3565" s="4" t="s">
        <v>935</v>
      </c>
      <c r="D3565" s="1">
        <f>DATE(2020,6,28)+TIME(21,47,7)</f>
        <v>44010.907719907409</v>
      </c>
    </row>
    <row r="3566" spans="1:4" ht="17">
      <c r="A3566" s="4" t="s">
        <v>8365</v>
      </c>
      <c r="B3566" s="4" t="s">
        <v>8366</v>
      </c>
      <c r="C3566" s="4" t="s">
        <v>8367</v>
      </c>
      <c r="D3566" s="1">
        <f>DATE(2020,6,26)+TIME(14,30,30)</f>
        <v>44008.604513888888</v>
      </c>
    </row>
    <row r="3567" spans="1:4" ht="17">
      <c r="A3567" s="5" t="s">
        <v>304</v>
      </c>
      <c r="B3567" s="5" t="s">
        <v>9316</v>
      </c>
      <c r="C3567" s="5" t="s">
        <v>9317</v>
      </c>
      <c r="D3567" s="2">
        <f>DATE(2020,6,24)+TIME(0,19,1)</f>
        <v>44006.013206018521</v>
      </c>
    </row>
    <row r="3568" spans="1:4" ht="17">
      <c r="A3568" s="5" t="s">
        <v>304</v>
      </c>
      <c r="B3568" s="5" t="s">
        <v>305</v>
      </c>
      <c r="C3568" s="5" t="s">
        <v>306</v>
      </c>
      <c r="D3568" s="2">
        <f>DATE(2020,6,26)+TIME(19,56,35)</f>
        <v>44008.830960648149</v>
      </c>
    </row>
    <row r="3569" spans="1:4" ht="17">
      <c r="A3569" s="4" t="s">
        <v>5173</v>
      </c>
      <c r="B3569" s="4" t="s">
        <v>5174</v>
      </c>
      <c r="C3569" s="4" t="s">
        <v>5175</v>
      </c>
      <c r="D3569" s="1">
        <f>DATE(2020,6,13)+TIME(10,10,12)</f>
        <v>43995.423750000002</v>
      </c>
    </row>
    <row r="3570" spans="1:4" ht="17">
      <c r="A3570" s="5" t="s">
        <v>5795</v>
      </c>
      <c r="B3570" s="5" t="s">
        <v>5796</v>
      </c>
      <c r="C3570" s="5" t="s">
        <v>5797</v>
      </c>
      <c r="D3570" s="2">
        <f>DATE(2020,6,11)+TIME(17,17,26)</f>
        <v>43993.720439814817</v>
      </c>
    </row>
    <row r="3571" spans="1:4" ht="17">
      <c r="A3571" s="5" t="s">
        <v>5409</v>
      </c>
      <c r="B3571" s="5" t="s">
        <v>5410</v>
      </c>
      <c r="C3571" s="5" t="s">
        <v>5411</v>
      </c>
      <c r="D3571" s="2">
        <f>DATE(2020,5,7)+TIME(3,18,12)</f>
        <v>43958.137638888889</v>
      </c>
    </row>
    <row r="3572" spans="1:4" ht="17">
      <c r="A3572" s="5" t="s">
        <v>6857</v>
      </c>
      <c r="B3572" s="5" t="s">
        <v>6858</v>
      </c>
      <c r="C3572" s="5" t="s">
        <v>6859</v>
      </c>
      <c r="D3572" s="2">
        <f>DATE(2020,5,30)+TIME(2,20,18)</f>
        <v>43981.097430555557</v>
      </c>
    </row>
    <row r="3573" spans="1:4" ht="17">
      <c r="A3573" s="4" t="s">
        <v>2073</v>
      </c>
      <c r="B3573" s="4" t="s">
        <v>2074</v>
      </c>
      <c r="C3573" s="4" t="s">
        <v>2075</v>
      </c>
      <c r="D3573" s="1">
        <f>DATE(2020,6,27)+TIME(12,37,13)</f>
        <v>44009.52584490741</v>
      </c>
    </row>
    <row r="3574" spans="1:4" ht="17">
      <c r="A3574" s="4" t="s">
        <v>3732</v>
      </c>
      <c r="B3574" s="4" t="s">
        <v>3733</v>
      </c>
      <c r="C3574" s="4" t="s">
        <v>3734</v>
      </c>
      <c r="D3574" s="1">
        <f>DATE(2020,5,6)+TIME(11,50,3)</f>
        <v>43957.493090277778</v>
      </c>
    </row>
    <row r="3575" spans="1:4" ht="17">
      <c r="A3575" s="5" t="s">
        <v>1260</v>
      </c>
      <c r="B3575" s="5" t="s">
        <v>5609</v>
      </c>
      <c r="C3575" s="5" t="s">
        <v>5610</v>
      </c>
      <c r="D3575" s="2">
        <f>DATE(2020,6,17)+TIME(12,40,55)</f>
        <v>43999.528414351851</v>
      </c>
    </row>
    <row r="3576" spans="1:4" ht="17">
      <c r="A3576" s="4" t="s">
        <v>1260</v>
      </c>
      <c r="B3576" s="4" t="s">
        <v>1261</v>
      </c>
      <c r="C3576" s="4" t="s">
        <v>1262</v>
      </c>
      <c r="D3576" s="1">
        <f>DATE(2020,6,25)+TIME(16,59,50)</f>
        <v>44007.70821759259</v>
      </c>
    </row>
    <row r="3577" spans="1:4" ht="17">
      <c r="A3577" s="5" t="s">
        <v>2647</v>
      </c>
      <c r="B3577" s="5" t="s">
        <v>2648</v>
      </c>
      <c r="C3577" s="5" t="s">
        <v>2649</v>
      </c>
      <c r="D3577" s="2">
        <f>DATE(2020,6,25)+TIME(17,40,47)</f>
        <v>44007.736655092594</v>
      </c>
    </row>
    <row r="3578" spans="1:4" ht="17">
      <c r="A3578" s="4" t="s">
        <v>3367</v>
      </c>
      <c r="B3578" s="4" t="s">
        <v>3368</v>
      </c>
      <c r="C3578" s="4" t="s">
        <v>3369</v>
      </c>
      <c r="D3578" s="1">
        <f>DATE(2020,6,28)+TIME(4,3,23)</f>
        <v>44010.169016203705</v>
      </c>
    </row>
    <row r="3579" spans="1:4" ht="17">
      <c r="A3579" s="4" t="s">
        <v>6740</v>
      </c>
      <c r="B3579" s="4" t="s">
        <v>118</v>
      </c>
      <c r="C3579" s="4" t="s">
        <v>6741</v>
      </c>
      <c r="D3579" s="1">
        <f>DATE(2020,6,19)+TIME(1,2,18)</f>
        <v>44001.043263888889</v>
      </c>
    </row>
    <row r="3580" spans="1:4" ht="17">
      <c r="A3580" s="4" t="s">
        <v>6179</v>
      </c>
      <c r="B3580" s="4" t="s">
        <v>6180</v>
      </c>
      <c r="C3580" s="4" t="s">
        <v>6181</v>
      </c>
      <c r="D3580" s="1">
        <f>DATE(2020,6,24)+TIME(11,29,12)</f>
        <v>44006.47861111111</v>
      </c>
    </row>
    <row r="3581" spans="1:4" ht="17">
      <c r="A3581" s="5" t="s">
        <v>7010</v>
      </c>
      <c r="B3581" s="5" t="s">
        <v>6087</v>
      </c>
      <c r="C3581" s="5" t="s">
        <v>8781</v>
      </c>
      <c r="D3581" s="2">
        <f>DATE(2020,5,6)+TIME(4,27,49)</f>
        <v>43957.185983796298</v>
      </c>
    </row>
    <row r="3582" spans="1:4" ht="17">
      <c r="A3582" s="4" t="s">
        <v>7010</v>
      </c>
      <c r="B3582" s="4" t="s">
        <v>7011</v>
      </c>
      <c r="C3582" s="4" t="s">
        <v>7012</v>
      </c>
      <c r="D3582" s="1">
        <f>DATE(2020,6,2)+TIME(17,16,59)</f>
        <v>43984.720127314817</v>
      </c>
    </row>
    <row r="3583" spans="1:4" ht="17">
      <c r="A3583" s="4" t="s">
        <v>6675</v>
      </c>
      <c r="B3583" s="4" t="s">
        <v>6676</v>
      </c>
      <c r="C3583" s="4" t="s">
        <v>6677</v>
      </c>
      <c r="D3583" s="1">
        <f>DATE(2020,3,31)+TIME(21,42,56)</f>
        <v>43921.904814814814</v>
      </c>
    </row>
    <row r="3584" spans="1:4" ht="17">
      <c r="A3584" s="5" t="s">
        <v>8521</v>
      </c>
      <c r="B3584" s="5" t="s">
        <v>8522</v>
      </c>
      <c r="C3584" s="5" t="s">
        <v>8523</v>
      </c>
      <c r="D3584" s="2">
        <f>DATE(2020,6,18)+TIME(5,47,37)</f>
        <v>44000.241400462961</v>
      </c>
    </row>
    <row r="3585" spans="1:4" ht="17">
      <c r="A3585" s="5" t="s">
        <v>9054</v>
      </c>
      <c r="B3585" s="5" t="s">
        <v>9055</v>
      </c>
      <c r="C3585" s="5" t="s">
        <v>9056</v>
      </c>
      <c r="D3585" s="2">
        <f>DATE(2020,5,23)+TIME(10,23,10)</f>
        <v>43974.432754629626</v>
      </c>
    </row>
    <row r="3586" spans="1:4" ht="17">
      <c r="A3586" s="5" t="s">
        <v>3613</v>
      </c>
      <c r="B3586" s="5" t="s">
        <v>3614</v>
      </c>
      <c r="C3586" s="5" t="s">
        <v>3615</v>
      </c>
      <c r="D3586" s="2">
        <f>DATE(2020,6,27)+TIME(0,7,33)</f>
        <v>44009.005243055559</v>
      </c>
    </row>
    <row r="3587" spans="1:4" ht="17">
      <c r="A3587" s="5" t="s">
        <v>4396</v>
      </c>
      <c r="B3587" s="5" t="s">
        <v>4397</v>
      </c>
      <c r="C3587" s="5" t="s">
        <v>4398</v>
      </c>
      <c r="D3587" s="2">
        <f>DATE(2020,6,24)+TIME(5,56,9)</f>
        <v>44006.24732638889</v>
      </c>
    </row>
    <row r="3588" spans="1:4" ht="17">
      <c r="A3588" s="5" t="s">
        <v>6549</v>
      </c>
      <c r="B3588" s="5" t="s">
        <v>6550</v>
      </c>
      <c r="C3588" s="5" t="s">
        <v>6551</v>
      </c>
      <c r="D3588" s="2">
        <f>DATE(2020,6,9)+TIME(5,43,25)</f>
        <v>43991.238483796296</v>
      </c>
    </row>
    <row r="3589" spans="1:4" ht="17">
      <c r="A3589" s="4" t="s">
        <v>8838</v>
      </c>
      <c r="B3589" s="4" t="s">
        <v>946</v>
      </c>
      <c r="C3589" s="4" t="s">
        <v>8839</v>
      </c>
      <c r="D3589" s="1">
        <f>DATE(2020,6,25)+TIME(4,45,17)</f>
        <v>44007.198113425926</v>
      </c>
    </row>
    <row r="3590" spans="1:4" ht="17">
      <c r="A3590" s="5" t="s">
        <v>4544</v>
      </c>
      <c r="B3590" s="5" t="s">
        <v>4544</v>
      </c>
      <c r="C3590" s="5" t="s">
        <v>4545</v>
      </c>
      <c r="D3590" s="2">
        <f>DATE(2020,6,8)+TIME(12,0,47)</f>
        <v>43990.500543981485</v>
      </c>
    </row>
    <row r="3591" spans="1:4" ht="17">
      <c r="A3591" s="4" t="s">
        <v>1515</v>
      </c>
      <c r="B3591" s="4" t="s">
        <v>1516</v>
      </c>
      <c r="C3591" s="4" t="s">
        <v>1517</v>
      </c>
      <c r="D3591" s="1">
        <f>DATE(2020,6,24)+TIME(12,35,42)</f>
        <v>44006.524791666663</v>
      </c>
    </row>
    <row r="3592" spans="1:4" ht="17">
      <c r="A3592" s="4" t="s">
        <v>6936</v>
      </c>
      <c r="B3592" s="4" t="s">
        <v>6937</v>
      </c>
      <c r="C3592" s="4" t="s">
        <v>6938</v>
      </c>
      <c r="D3592" s="1">
        <f>DATE(2020,6,13)+TIME(1,39,41)</f>
        <v>43995.069224537037</v>
      </c>
    </row>
    <row r="3593" spans="1:4" ht="17">
      <c r="A3593" s="5" t="s">
        <v>7583</v>
      </c>
      <c r="B3593" s="5" t="s">
        <v>3874</v>
      </c>
      <c r="C3593" s="5" t="s">
        <v>7584</v>
      </c>
      <c r="D3593" s="2">
        <f>DATE(2020,3,29)+TIME(9,25,3)</f>
        <v>43919.392395833333</v>
      </c>
    </row>
    <row r="3594" spans="1:4" ht="17">
      <c r="A3594" s="4" t="s">
        <v>7074</v>
      </c>
      <c r="B3594" s="4" t="s">
        <v>7075</v>
      </c>
      <c r="C3594" s="4" t="s">
        <v>7076</v>
      </c>
      <c r="D3594" s="1">
        <f>DATE(2020,6,24)+TIME(3,40,23)</f>
        <v>44006.153043981481</v>
      </c>
    </row>
    <row r="3595" spans="1:4" ht="17">
      <c r="A3595" s="5" t="s">
        <v>6229</v>
      </c>
      <c r="B3595" s="5" t="s">
        <v>6230</v>
      </c>
      <c r="C3595" s="5" t="s">
        <v>6231</v>
      </c>
      <c r="D3595" s="2">
        <f>DATE(2020,6,25)+TIME(9,13,59)</f>
        <v>44007.384710648148</v>
      </c>
    </row>
    <row r="3596" spans="1:4" ht="17">
      <c r="A3596" s="5" t="s">
        <v>8913</v>
      </c>
      <c r="B3596" s="5" t="s">
        <v>2340</v>
      </c>
      <c r="C3596" s="5" t="s">
        <v>8914</v>
      </c>
      <c r="D3596" s="2">
        <f>DATE(2020,6,22)+TIME(15,13,14)</f>
        <v>44004.634189814817</v>
      </c>
    </row>
    <row r="3597" spans="1:4" ht="17">
      <c r="A3597" s="4" t="s">
        <v>5673</v>
      </c>
      <c r="B3597" s="4" t="s">
        <v>5674</v>
      </c>
      <c r="C3597" s="4" t="s">
        <v>5675</v>
      </c>
      <c r="D3597" s="1">
        <f>DATE(2020,6,29)+TIME(6,26,4)</f>
        <v>44011.268101851849</v>
      </c>
    </row>
    <row r="3598" spans="1:4" ht="17">
      <c r="A3598" s="4" t="s">
        <v>5746</v>
      </c>
      <c r="B3598" s="4" t="s">
        <v>1218</v>
      </c>
      <c r="C3598" s="4" t="s">
        <v>5747</v>
      </c>
      <c r="D3598" s="1">
        <f>DATE(2020,6,5)+TIME(19,19,58)</f>
        <v>43987.805532407408</v>
      </c>
    </row>
    <row r="3599" spans="1:4" ht="17">
      <c r="A3599" s="4" t="s">
        <v>4934</v>
      </c>
      <c r="B3599" s="4" t="s">
        <v>118</v>
      </c>
      <c r="C3599" s="4" t="s">
        <v>4935</v>
      </c>
      <c r="D3599" s="1">
        <f>DATE(2020,5,5)+TIME(18,4,2)</f>
        <v>43956.752800925926</v>
      </c>
    </row>
    <row r="3600" spans="1:4" ht="17">
      <c r="A3600" s="5" t="s">
        <v>677</v>
      </c>
      <c r="B3600" s="5" t="s">
        <v>912</v>
      </c>
      <c r="C3600" s="5" t="s">
        <v>913</v>
      </c>
      <c r="D3600" s="2">
        <f>DATE(2020,5,14)+TIME(1,12,24)</f>
        <v>43965.05027777778</v>
      </c>
    </row>
    <row r="3601" spans="1:4" ht="17">
      <c r="A3601" s="4" t="s">
        <v>677</v>
      </c>
      <c r="B3601" s="4" t="s">
        <v>678</v>
      </c>
      <c r="C3601" s="4" t="s">
        <v>679</v>
      </c>
      <c r="D3601" s="1">
        <f>DATE(2020,5,18)+TIME(3,20,42)</f>
        <v>43969.139374999999</v>
      </c>
    </row>
    <row r="3602" spans="1:4" ht="17">
      <c r="A3602" s="5" t="s">
        <v>5997</v>
      </c>
      <c r="B3602" s="5" t="s">
        <v>2732</v>
      </c>
      <c r="C3602" s="5" t="s">
        <v>5998</v>
      </c>
      <c r="D3602" s="2">
        <f>DATE(2020,6,27)+TIME(15,38,42)</f>
        <v>44009.651875000003</v>
      </c>
    </row>
    <row r="3603" spans="1:4" ht="17">
      <c r="A3603" s="4" t="s">
        <v>1455</v>
      </c>
      <c r="B3603" s="4" t="s">
        <v>1456</v>
      </c>
      <c r="C3603" s="4" t="s">
        <v>1457</v>
      </c>
      <c r="D3603" s="1">
        <f>DATE(2020,5,6)+TIME(12,11,8)</f>
        <v>43957.507731481484</v>
      </c>
    </row>
    <row r="3604" spans="1:4" ht="17">
      <c r="A3604" s="5" t="s">
        <v>1455</v>
      </c>
      <c r="B3604" s="5" t="s">
        <v>7316</v>
      </c>
      <c r="C3604" s="5" t="s">
        <v>7317</v>
      </c>
      <c r="D3604" s="2">
        <f>DATE(2020,5,29)+TIME(2,27,34)</f>
        <v>43980.102476851855</v>
      </c>
    </row>
    <row r="3605" spans="1:4" ht="17">
      <c r="A3605" s="5" t="s">
        <v>3642</v>
      </c>
      <c r="B3605" s="5" t="s">
        <v>3643</v>
      </c>
      <c r="C3605" s="5" t="s">
        <v>3644</v>
      </c>
      <c r="D3605" s="2">
        <f>DATE(2020,6,25)+TIME(20,13,54)</f>
        <v>44007.842986111114</v>
      </c>
    </row>
    <row r="3606" spans="1:4" ht="17">
      <c r="A3606" s="5" t="s">
        <v>1548</v>
      </c>
      <c r="B3606" s="5" t="s">
        <v>1549</v>
      </c>
      <c r="C3606" s="5" t="s">
        <v>1550</v>
      </c>
      <c r="D3606" s="2">
        <f>DATE(2020,5,21)+TIME(22,19,42)</f>
        <v>43972.930347222224</v>
      </c>
    </row>
    <row r="3607" spans="1:4" ht="17">
      <c r="A3607" s="4" t="s">
        <v>8155</v>
      </c>
      <c r="B3607" s="4" t="s">
        <v>8156</v>
      </c>
      <c r="C3607" s="4" t="s">
        <v>8157</v>
      </c>
      <c r="D3607" s="1">
        <f>DATE(2020,5,5)+TIME(20,5,10)</f>
        <v>43956.836921296293</v>
      </c>
    </row>
    <row r="3608" spans="1:4" ht="17">
      <c r="A3608" s="5" t="s">
        <v>1952</v>
      </c>
      <c r="B3608" s="5" t="s">
        <v>1953</v>
      </c>
      <c r="C3608" s="5" t="s">
        <v>1954</v>
      </c>
      <c r="D3608" s="2">
        <f>DATE(2020,6,16)+TIME(5,2,44)</f>
        <v>43998.210231481484</v>
      </c>
    </row>
    <row r="3609" spans="1:4" ht="17">
      <c r="A3609" s="5" t="s">
        <v>9446</v>
      </c>
      <c r="B3609" s="5" t="s">
        <v>9447</v>
      </c>
      <c r="C3609" s="5" t="s">
        <v>9448</v>
      </c>
      <c r="D3609" s="2">
        <f>DATE(2020,2,25)+TIME(20,3,21)</f>
        <v>43886.835659722223</v>
      </c>
    </row>
    <row r="3610" spans="1:4" ht="17">
      <c r="A3610" s="4" t="s">
        <v>4014</v>
      </c>
      <c r="B3610" s="4" t="s">
        <v>4015</v>
      </c>
      <c r="C3610" s="4" t="s">
        <v>4016</v>
      </c>
      <c r="D3610" s="1">
        <f>DATE(2020,6,24)+TIME(9,24,33)</f>
        <v>44006.392048611109</v>
      </c>
    </row>
    <row r="3611" spans="1:4" ht="17">
      <c r="A3611" s="5" t="s">
        <v>403</v>
      </c>
      <c r="B3611" s="5" t="s">
        <v>404</v>
      </c>
      <c r="C3611" s="5" t="s">
        <v>405</v>
      </c>
      <c r="D3611" s="2">
        <f>DATE(2020,6,25)+TIME(14,48,55)</f>
        <v>44007.617303240739</v>
      </c>
    </row>
    <row r="3612" spans="1:4" ht="17">
      <c r="A3612" s="4" t="s">
        <v>6218</v>
      </c>
      <c r="B3612" s="4" t="s">
        <v>6219</v>
      </c>
      <c r="C3612" s="4" t="s">
        <v>6220</v>
      </c>
      <c r="D3612" s="1">
        <f>DATE(2020,6,26)+TIME(21,7,30)</f>
        <v>44008.880208333336</v>
      </c>
    </row>
    <row r="3613" spans="1:4" ht="17">
      <c r="A3613" s="4" t="s">
        <v>3109</v>
      </c>
      <c r="B3613" s="4" t="s">
        <v>3110</v>
      </c>
      <c r="C3613" s="4" t="s">
        <v>3111</v>
      </c>
      <c r="D3613" s="1">
        <f>DATE(2020,6,25)+TIME(6,47,8)</f>
        <v>44007.282731481479</v>
      </c>
    </row>
    <row r="3614" spans="1:4" ht="17">
      <c r="A3614" s="5" t="s">
        <v>3109</v>
      </c>
      <c r="B3614" s="5" t="s">
        <v>5420</v>
      </c>
      <c r="C3614" s="5" t="s">
        <v>5421</v>
      </c>
      <c r="D3614" s="2">
        <f>DATE(2020,6,25)+TIME(6,47,8)</f>
        <v>44007.282731481479</v>
      </c>
    </row>
    <row r="3615" spans="1:4" ht="17">
      <c r="A3615" s="5" t="s">
        <v>1106</v>
      </c>
      <c r="B3615" s="5" t="s">
        <v>1106</v>
      </c>
      <c r="C3615" s="5" t="s">
        <v>1107</v>
      </c>
      <c r="D3615" s="2">
        <f>DATE(2020,6,24)+TIME(8,17,50)</f>
        <v>44006.345717592594</v>
      </c>
    </row>
    <row r="3616" spans="1:4" ht="17">
      <c r="A3616" s="5" t="s">
        <v>4138</v>
      </c>
      <c r="B3616" s="5" t="s">
        <v>4139</v>
      </c>
      <c r="C3616" s="5" t="s">
        <v>4140</v>
      </c>
      <c r="D3616" s="2">
        <f>DATE(2020,6,25)+TIME(16,7,32)</f>
        <v>44007.671898148146</v>
      </c>
    </row>
    <row r="3617" spans="1:4" ht="17">
      <c r="A3617" s="4" t="s">
        <v>1938</v>
      </c>
      <c r="B3617" s="4" t="s">
        <v>1939</v>
      </c>
      <c r="C3617" s="4" t="s">
        <v>1940</v>
      </c>
      <c r="D3617" s="1">
        <f>DATE(2020,6,27)+TIME(13,13,28)</f>
        <v>44009.551018518519</v>
      </c>
    </row>
    <row r="3618" spans="1:4" ht="17">
      <c r="A3618" s="4" t="s">
        <v>9179</v>
      </c>
      <c r="B3618" s="4" t="s">
        <v>9180</v>
      </c>
      <c r="C3618" s="4" t="s">
        <v>9181</v>
      </c>
      <c r="D3618" s="1">
        <f>DATE(2020,6,29)+TIME(2,22,3)</f>
        <v>44011.098645833335</v>
      </c>
    </row>
    <row r="3619" spans="1:4" ht="17">
      <c r="A3619" s="4" t="s">
        <v>1013</v>
      </c>
      <c r="B3619" s="4" t="s">
        <v>1014</v>
      </c>
      <c r="C3619" s="4" t="s">
        <v>1015</v>
      </c>
      <c r="D3619" s="1">
        <f>DATE(2020,6,27)+TIME(14,14,7)</f>
        <v>44009.593136574076</v>
      </c>
    </row>
    <row r="3620" spans="1:4" ht="17">
      <c r="A3620" s="4" t="s">
        <v>204</v>
      </c>
      <c r="B3620" s="4" t="s">
        <v>5381</v>
      </c>
      <c r="C3620" s="4" t="s">
        <v>5382</v>
      </c>
      <c r="D3620" s="1">
        <f>DATE(2020,3,30)+TIME(11,39,23)</f>
        <v>43920.485682870371</v>
      </c>
    </row>
    <row r="3621" spans="1:4" ht="17">
      <c r="A3621" s="4" t="s">
        <v>204</v>
      </c>
      <c r="B3621" s="4" t="s">
        <v>6476</v>
      </c>
      <c r="C3621" s="4" t="s">
        <v>6477</v>
      </c>
      <c r="D3621" s="1">
        <f>DATE(2020,5,6)+TIME(13,50,57)</f>
        <v>43957.577048611114</v>
      </c>
    </row>
    <row r="3622" spans="1:4" ht="17">
      <c r="A3622" s="5" t="s">
        <v>204</v>
      </c>
      <c r="B3622" s="5" t="s">
        <v>1138</v>
      </c>
      <c r="C3622" s="5" t="s">
        <v>1139</v>
      </c>
      <c r="D3622" s="2">
        <f>DATE(2020,6,29)+TIME(13,22,34)</f>
        <v>44011.557337962964</v>
      </c>
    </row>
    <row r="3623" spans="1:4" ht="17">
      <c r="A3623" s="4" t="s">
        <v>7429</v>
      </c>
      <c r="B3623" s="4" t="s">
        <v>7430</v>
      </c>
      <c r="C3623" s="4" t="s">
        <v>7431</v>
      </c>
      <c r="D3623" s="1">
        <f>DATE(2020,6,26)+TIME(22,6,30)</f>
        <v>44008.921180555553</v>
      </c>
    </row>
    <row r="3624" spans="1:4" ht="17">
      <c r="A3624" s="5" t="s">
        <v>5480</v>
      </c>
      <c r="B3624" s="5" t="s">
        <v>5481</v>
      </c>
      <c r="C3624" s="5" t="s">
        <v>5482</v>
      </c>
      <c r="D3624" s="2">
        <f>DATE(2020,6,23)+TIME(14,34,22)</f>
        <v>44005.607199074075</v>
      </c>
    </row>
    <row r="3625" spans="1:4" ht="17">
      <c r="A3625" s="4" t="s">
        <v>8446</v>
      </c>
      <c r="B3625" s="4" t="s">
        <v>8447</v>
      </c>
      <c r="C3625" s="4" t="s">
        <v>8448</v>
      </c>
      <c r="D3625" s="1">
        <f>DATE(2020,6,26)+TIME(16,49,48)</f>
        <v>44008.701249999998</v>
      </c>
    </row>
    <row r="3626" spans="1:4" ht="17">
      <c r="A3626" s="4" t="s">
        <v>6307</v>
      </c>
      <c r="B3626" s="4" t="s">
        <v>6308</v>
      </c>
      <c r="C3626" s="4" t="s">
        <v>6309</v>
      </c>
      <c r="D3626" s="1">
        <f>DATE(2020,5,26)+TIME(14,44,48)</f>
        <v>43977.614444444444</v>
      </c>
    </row>
    <row r="3627" spans="1:4" ht="17">
      <c r="A3627" s="5" t="s">
        <v>2553</v>
      </c>
      <c r="B3627" s="5" t="s">
        <v>2554</v>
      </c>
      <c r="C3627" s="5" t="s">
        <v>2555</v>
      </c>
      <c r="D3627" s="2">
        <f>DATE(2020,6,16)+TIME(1,12,54)</f>
        <v>43998.050625000003</v>
      </c>
    </row>
    <row r="3628" spans="1:4" ht="17">
      <c r="A3628" s="5" t="s">
        <v>87</v>
      </c>
      <c r="B3628" s="5" t="s">
        <v>88</v>
      </c>
      <c r="C3628" s="5" t="s">
        <v>89</v>
      </c>
      <c r="D3628" s="2">
        <f>DATE(2020,6,2)+TIME(18,59,34)</f>
        <v>43984.791365740741</v>
      </c>
    </row>
    <row r="3629" spans="1:4" ht="17">
      <c r="A3629" s="4" t="s">
        <v>1097</v>
      </c>
      <c r="B3629" s="4" t="s">
        <v>4730</v>
      </c>
      <c r="C3629" s="4" t="s">
        <v>6254</v>
      </c>
      <c r="D3629" s="1">
        <f>DATE(2020,5,12)+TIME(22,20,13)</f>
        <v>43963.930706018517</v>
      </c>
    </row>
    <row r="3630" spans="1:4" ht="17">
      <c r="A3630" s="4" t="s">
        <v>1097</v>
      </c>
      <c r="B3630" s="4" t="s">
        <v>1098</v>
      </c>
      <c r="C3630" s="4" t="s">
        <v>1099</v>
      </c>
      <c r="D3630" s="1">
        <f>DATE(2020,5,29)+TIME(13,47,11)</f>
        <v>43980.574432870373</v>
      </c>
    </row>
    <row r="3631" spans="1:4" ht="17">
      <c r="A3631" s="5" t="s">
        <v>4936</v>
      </c>
      <c r="B3631" s="5" t="s">
        <v>4937</v>
      </c>
      <c r="C3631" s="5" t="s">
        <v>4938</v>
      </c>
      <c r="D3631" s="2">
        <f>DATE(2020,6,24)+TIME(11,58,52)</f>
        <v>44006.499212962961</v>
      </c>
    </row>
    <row r="3632" spans="1:4" ht="17">
      <c r="A3632" s="5" t="s">
        <v>1269</v>
      </c>
      <c r="B3632" s="5" t="s">
        <v>1270</v>
      </c>
      <c r="C3632" s="5" t="s">
        <v>1271</v>
      </c>
      <c r="D3632" s="2">
        <f>DATE(2020,6,23)+TIME(15,38,1)</f>
        <v>44005.651400462964</v>
      </c>
    </row>
    <row r="3633" spans="1:4" ht="17">
      <c r="A3633" s="4" t="s">
        <v>66</v>
      </c>
      <c r="B3633" s="4" t="s">
        <v>67</v>
      </c>
      <c r="C3633" s="4" t="s">
        <v>68</v>
      </c>
      <c r="D3633" s="1">
        <f>DATE(2020,6,26)+TIME(4,19,30)</f>
        <v>44008.180208333331</v>
      </c>
    </row>
    <row r="3634" spans="1:4" ht="17">
      <c r="A3634" s="4" t="s">
        <v>4816</v>
      </c>
      <c r="B3634" s="4" t="s">
        <v>6569</v>
      </c>
      <c r="C3634" s="4" t="s">
        <v>6570</v>
      </c>
      <c r="D3634" s="1">
        <f>DATE(2020,5,14)+TIME(4,24,19)</f>
        <v>43965.183553240742</v>
      </c>
    </row>
    <row r="3635" spans="1:4" ht="17">
      <c r="A3635" s="4" t="s">
        <v>4816</v>
      </c>
      <c r="B3635" s="4" t="s">
        <v>4817</v>
      </c>
      <c r="C3635" s="4" t="s">
        <v>4818</v>
      </c>
      <c r="D3635" s="1">
        <f>DATE(2020,6,26)+TIME(4,13,46)</f>
        <v>44008.176226851851</v>
      </c>
    </row>
    <row r="3636" spans="1:4" ht="17">
      <c r="A3636" s="5" t="s">
        <v>6997</v>
      </c>
      <c r="B3636" s="5" t="s">
        <v>6998</v>
      </c>
      <c r="C3636" s="5" t="s">
        <v>6999</v>
      </c>
      <c r="D3636" s="2">
        <f>DATE(2020,5,20)+TIME(16,43,20)</f>
        <v>43971.696759259263</v>
      </c>
    </row>
    <row r="3637" spans="1:4" ht="17">
      <c r="A3637" s="4" t="s">
        <v>8131</v>
      </c>
      <c r="B3637" s="4" t="s">
        <v>8132</v>
      </c>
      <c r="C3637" s="4" t="s">
        <v>8133</v>
      </c>
      <c r="D3637" s="1">
        <f>DATE(2020,6,11)+TIME(12,6,51)</f>
        <v>43993.504756944443</v>
      </c>
    </row>
    <row r="3638" spans="1:4" ht="17">
      <c r="A3638" s="4" t="s">
        <v>4350</v>
      </c>
      <c r="B3638" s="4" t="s">
        <v>4350</v>
      </c>
      <c r="C3638" s="4" t="s">
        <v>4351</v>
      </c>
      <c r="D3638" s="1">
        <f>DATE(2020,6,26)+TIME(2,58,47)</f>
        <v>44008.124155092592</v>
      </c>
    </row>
    <row r="3639" spans="1:4" ht="17">
      <c r="A3639" s="5" t="s">
        <v>6323</v>
      </c>
      <c r="B3639" s="5" t="s">
        <v>6324</v>
      </c>
      <c r="C3639" s="5" t="s">
        <v>6325</v>
      </c>
      <c r="D3639" s="2">
        <f>DATE(2020,6,20)+TIME(20,14,55)</f>
        <v>44002.843692129631</v>
      </c>
    </row>
    <row r="3640" spans="1:4" ht="17">
      <c r="A3640" s="5" t="s">
        <v>3759</v>
      </c>
      <c r="B3640" s="5" t="s">
        <v>3760</v>
      </c>
      <c r="C3640" s="5" t="s">
        <v>3761</v>
      </c>
      <c r="D3640" s="2">
        <f>DATE(2020,6,29)+TIME(9,58,14)</f>
        <v>44011.415439814817</v>
      </c>
    </row>
    <row r="3641" spans="1:4" ht="17">
      <c r="A3641" s="4" t="s">
        <v>8773</v>
      </c>
      <c r="B3641" s="4" t="s">
        <v>8774</v>
      </c>
      <c r="C3641" s="4" t="s">
        <v>8775</v>
      </c>
      <c r="D3641" s="1">
        <f>DATE(2020,6,18)+TIME(17,46,25)</f>
        <v>44000.740567129629</v>
      </c>
    </row>
    <row r="3642" spans="1:4" ht="17">
      <c r="A3642" s="5" t="s">
        <v>236</v>
      </c>
      <c r="B3642" s="5" t="s">
        <v>237</v>
      </c>
      <c r="C3642" s="5" t="s">
        <v>239</v>
      </c>
      <c r="D3642" s="2">
        <f>DATE(2020,5,4)+TIME(12,46,32)</f>
        <v>43955.532314814816</v>
      </c>
    </row>
    <row r="3643" spans="1:4" ht="17">
      <c r="A3643" s="5" t="s">
        <v>5573</v>
      </c>
      <c r="B3643" s="5" t="s">
        <v>5574</v>
      </c>
      <c r="C3643" s="5" t="s">
        <v>5575</v>
      </c>
      <c r="D3643" s="2">
        <f>DATE(2020,5,29)+TIME(11,10,3)</f>
        <v>43980.465312499997</v>
      </c>
    </row>
    <row r="3644" spans="1:4" ht="17">
      <c r="A3644" s="4" t="s">
        <v>3537</v>
      </c>
      <c r="B3644" s="4" t="s">
        <v>3538</v>
      </c>
      <c r="C3644" s="4" t="s">
        <v>3539</v>
      </c>
      <c r="D3644" s="1">
        <f>DATE(2020,6,25)+TIME(3,31,24)</f>
        <v>44007.146805555552</v>
      </c>
    </row>
    <row r="3645" spans="1:4" ht="17">
      <c r="A3645" s="4" t="s">
        <v>3999</v>
      </c>
      <c r="B3645" s="4" t="s">
        <v>4000</v>
      </c>
      <c r="C3645" s="4" t="s">
        <v>4001</v>
      </c>
      <c r="D3645" s="1">
        <f>DATE(2020,5,14)+TIME(16,6,6)</f>
        <v>43965.670902777776</v>
      </c>
    </row>
    <row r="3646" spans="1:4" ht="17">
      <c r="A3646" s="4" t="s">
        <v>3999</v>
      </c>
      <c r="B3646" s="4" t="s">
        <v>4275</v>
      </c>
      <c r="C3646" s="4" t="s">
        <v>4276</v>
      </c>
      <c r="D3646" s="1">
        <f>DATE(2020,5,25)+TIME(9,54,16)</f>
        <v>43976.412685185183</v>
      </c>
    </row>
    <row r="3647" spans="1:4" ht="17">
      <c r="A3647" s="4" t="s">
        <v>9449</v>
      </c>
      <c r="B3647" s="4" t="s">
        <v>9450</v>
      </c>
      <c r="C3647" s="4" t="s">
        <v>9451</v>
      </c>
      <c r="D3647" s="1">
        <f>DATE(2020,6,25)+TIME(4,43,35)</f>
        <v>44007.196932870371</v>
      </c>
    </row>
    <row r="3648" spans="1:4" ht="17">
      <c r="A3648" s="5" t="s">
        <v>432</v>
      </c>
      <c r="B3648" s="5" t="s">
        <v>6363</v>
      </c>
      <c r="C3648" s="5" t="s">
        <v>6364</v>
      </c>
      <c r="D3648" s="2">
        <f>DATE(2020,1,29)+TIME(13,23,22)</f>
        <v>43859.557893518519</v>
      </c>
    </row>
    <row r="3649" spans="1:4" ht="17">
      <c r="A3649" s="4" t="s">
        <v>432</v>
      </c>
      <c r="B3649" s="4" t="s">
        <v>1959</v>
      </c>
      <c r="C3649" s="4" t="s">
        <v>1960</v>
      </c>
      <c r="D3649" s="1">
        <f>DATE(2020,5,5)+TIME(15,49,18)</f>
        <v>43956.659236111111</v>
      </c>
    </row>
    <row r="3650" spans="1:4" ht="17">
      <c r="A3650" s="5" t="s">
        <v>432</v>
      </c>
      <c r="B3650" s="5" t="s">
        <v>6500</v>
      </c>
      <c r="C3650" s="5" t="s">
        <v>6501</v>
      </c>
      <c r="D3650" s="2">
        <f>DATE(2020,5,5)+TIME(17,31,28)</f>
        <v>43956.730185185188</v>
      </c>
    </row>
    <row r="3651" spans="1:4" ht="17">
      <c r="A3651" s="5" t="s">
        <v>432</v>
      </c>
      <c r="B3651" s="5" t="s">
        <v>433</v>
      </c>
      <c r="C3651" s="5" t="s">
        <v>434</v>
      </c>
      <c r="D3651" s="2">
        <f>DATE(2020,5,5)+TIME(18,27,23)</f>
        <v>43956.769016203703</v>
      </c>
    </row>
    <row r="3652" spans="1:4" ht="17">
      <c r="A3652" s="5" t="s">
        <v>432</v>
      </c>
      <c r="B3652" s="5" t="s">
        <v>4996</v>
      </c>
      <c r="C3652" s="5" t="s">
        <v>4997</v>
      </c>
      <c r="D3652" s="2">
        <f>DATE(2020,5,13)+TIME(17,24,54)</f>
        <v>43964.725624999999</v>
      </c>
    </row>
    <row r="3653" spans="1:4" ht="17">
      <c r="A3653" s="5" t="s">
        <v>8976</v>
      </c>
      <c r="B3653" s="5" t="s">
        <v>8977</v>
      </c>
      <c r="C3653" s="5" t="s">
        <v>8978</v>
      </c>
      <c r="D3653" s="2">
        <f>DATE(2020,5,23)+TIME(0,57,21)</f>
        <v>43974.039826388886</v>
      </c>
    </row>
    <row r="3654" spans="1:4" ht="17">
      <c r="A3654" s="4" t="s">
        <v>432</v>
      </c>
      <c r="B3654" s="4" t="s">
        <v>7650</v>
      </c>
      <c r="C3654" s="4" t="s">
        <v>7651</v>
      </c>
      <c r="D3654" s="1">
        <f>DATE(2020,6,2)+TIME(11,14,3)</f>
        <v>43984.468090277776</v>
      </c>
    </row>
    <row r="3655" spans="1:4" ht="17">
      <c r="A3655" s="5" t="s">
        <v>432</v>
      </c>
      <c r="B3655" s="5" t="s">
        <v>8307</v>
      </c>
      <c r="C3655" s="5" t="s">
        <v>8308</v>
      </c>
      <c r="D3655" s="2">
        <f>DATE(2020,6,4)+TIME(1,26,44)</f>
        <v>43986.060231481482</v>
      </c>
    </row>
    <row r="3656" spans="1:4" ht="17">
      <c r="A3656" s="5" t="s">
        <v>432</v>
      </c>
      <c r="B3656" s="5" t="s">
        <v>488</v>
      </c>
      <c r="C3656" s="5" t="s">
        <v>3619</v>
      </c>
      <c r="D3656" s="2">
        <f>DATE(2020,6,5)+TIME(1,50,24)</f>
        <v>43987.076666666668</v>
      </c>
    </row>
    <row r="3657" spans="1:4" ht="17">
      <c r="A3657" s="4" t="s">
        <v>432</v>
      </c>
      <c r="B3657" s="4" t="s">
        <v>7693</v>
      </c>
      <c r="C3657" s="4" t="s">
        <v>7694</v>
      </c>
      <c r="D3657" s="1">
        <f>DATE(2020,6,12)+TIME(0,15,51)</f>
        <v>43994.011006944442</v>
      </c>
    </row>
    <row r="3658" spans="1:4" ht="17">
      <c r="A3658" s="4" t="s">
        <v>432</v>
      </c>
      <c r="B3658" s="4" t="s">
        <v>8946</v>
      </c>
      <c r="C3658" s="4" t="s">
        <v>8947</v>
      </c>
      <c r="D3658" s="1">
        <f>DATE(2020,6,17)+TIME(21,24,18)</f>
        <v>43999.891875000001</v>
      </c>
    </row>
    <row r="3659" spans="1:4" ht="17">
      <c r="A3659" s="4" t="s">
        <v>432</v>
      </c>
      <c r="B3659" s="4" t="s">
        <v>1223</v>
      </c>
      <c r="C3659" s="4" t="s">
        <v>1224</v>
      </c>
      <c r="D3659" s="1">
        <f>DATE(2020,6,18)+TIME(11,44,27)</f>
        <v>44000.489201388889</v>
      </c>
    </row>
    <row r="3660" spans="1:4" ht="17">
      <c r="A3660" s="5" t="s">
        <v>432</v>
      </c>
      <c r="B3660" s="5" t="s">
        <v>8232</v>
      </c>
      <c r="C3660" s="5" t="s">
        <v>8233</v>
      </c>
      <c r="D3660" s="2">
        <f>DATE(2020,6,24)+TIME(20,32,14)</f>
        <v>44006.855717592596</v>
      </c>
    </row>
    <row r="3661" spans="1:4" ht="17">
      <c r="A3661" s="5" t="s">
        <v>432</v>
      </c>
      <c r="B3661" s="5" t="s">
        <v>6715</v>
      </c>
      <c r="C3661" s="5" t="s">
        <v>6716</v>
      </c>
      <c r="D3661" s="2">
        <f>DATE(2020,6,25)+TIME(1,4,30)</f>
        <v>44007.044791666667</v>
      </c>
    </row>
    <row r="3662" spans="1:4" ht="17">
      <c r="A3662" s="4" t="s">
        <v>432</v>
      </c>
      <c r="B3662" s="4" t="s">
        <v>2609</v>
      </c>
      <c r="C3662" s="4" t="s">
        <v>2610</v>
      </c>
      <c r="D3662" s="1">
        <f>DATE(2020,6,25)+TIME(11,45,25)</f>
        <v>44007.489872685182</v>
      </c>
    </row>
    <row r="3663" spans="1:4" ht="17">
      <c r="A3663" s="4" t="s">
        <v>432</v>
      </c>
      <c r="B3663" s="4" t="s">
        <v>7291</v>
      </c>
      <c r="C3663" s="4" t="s">
        <v>7292</v>
      </c>
      <c r="D3663" s="1">
        <f>DATE(2020,6,26)+TIME(12,19,25)</f>
        <v>44008.513483796298</v>
      </c>
    </row>
    <row r="3664" spans="1:4" ht="17">
      <c r="A3664" s="5" t="s">
        <v>432</v>
      </c>
      <c r="B3664" s="5" t="s">
        <v>8577</v>
      </c>
      <c r="C3664" s="5" t="s">
        <v>8578</v>
      </c>
      <c r="D3664" s="2">
        <f>DATE(2020,6,27)+TIME(12,37,2)</f>
        <v>44009.525717592594</v>
      </c>
    </row>
    <row r="3665" spans="1:4" ht="17">
      <c r="A3665" s="5" t="s">
        <v>432</v>
      </c>
      <c r="B3665" s="5" t="s">
        <v>3647</v>
      </c>
      <c r="C3665" s="5" t="s">
        <v>3648</v>
      </c>
      <c r="D3665" s="2">
        <f>DATE(2020,6,29)+TIME(7,30,32)</f>
        <v>44011.31287037037</v>
      </c>
    </row>
    <row r="3666" spans="1:4" ht="17">
      <c r="A3666" s="5" t="s">
        <v>8879</v>
      </c>
      <c r="B3666" s="5" t="s">
        <v>8880</v>
      </c>
      <c r="C3666" s="5" t="s">
        <v>8881</v>
      </c>
      <c r="D3666" s="2">
        <f>DATE(2020,6,22)+TIME(6,34,13)</f>
        <v>44004.273761574077</v>
      </c>
    </row>
    <row r="3667" spans="1:4" ht="17">
      <c r="A3667" s="4" t="s">
        <v>3263</v>
      </c>
      <c r="B3667" s="4" t="s">
        <v>3264</v>
      </c>
      <c r="C3667" s="4" t="s">
        <v>3265</v>
      </c>
      <c r="D3667" s="1">
        <f>DATE(2020,6,4)+TIME(17,43,14)</f>
        <v>43986.738356481481</v>
      </c>
    </row>
    <row r="3668" spans="1:4" ht="17">
      <c r="A3668" s="4" t="s">
        <v>5244</v>
      </c>
      <c r="B3668" s="4" t="s">
        <v>5245</v>
      </c>
      <c r="C3668" s="4" t="s">
        <v>5246</v>
      </c>
      <c r="D3668" s="1">
        <f>DATE(2020,6,22)+TIME(13,47,16)</f>
        <v>44004.574490740742</v>
      </c>
    </row>
    <row r="3669" spans="1:4" ht="17">
      <c r="A3669" s="5" t="s">
        <v>510</v>
      </c>
      <c r="B3669" s="5" t="s">
        <v>511</v>
      </c>
      <c r="C3669" s="5" t="s">
        <v>512</v>
      </c>
      <c r="D3669" s="2">
        <f>DATE(2020,6,25)+TIME(5,15,43)</f>
        <v>44007.219247685185</v>
      </c>
    </row>
    <row r="3670" spans="1:4" ht="17">
      <c r="A3670" s="4" t="s">
        <v>4873</v>
      </c>
      <c r="B3670" s="4" t="s">
        <v>1781</v>
      </c>
      <c r="C3670" s="4" t="s">
        <v>4874</v>
      </c>
      <c r="D3670" s="1">
        <f>DATE(2020,6,17)+TIME(3,32,3)</f>
        <v>43999.147256944445</v>
      </c>
    </row>
    <row r="3671" spans="1:4" ht="17">
      <c r="A3671" s="4" t="s">
        <v>9480</v>
      </c>
      <c r="B3671" s="4" t="s">
        <v>322</v>
      </c>
      <c r="C3671" s="4" t="s">
        <v>9481</v>
      </c>
      <c r="D3671" s="1">
        <f>DATE(2020,5,6)+TIME(9,29,24)</f>
        <v>43957.395416666666</v>
      </c>
    </row>
    <row r="3672" spans="1:4" ht="17">
      <c r="A3672" s="5" t="s">
        <v>1266</v>
      </c>
      <c r="B3672" s="5" t="s">
        <v>6016</v>
      </c>
      <c r="C3672" s="5" t="s">
        <v>6017</v>
      </c>
      <c r="D3672" s="2">
        <f>DATE(2020,3,31)+TIME(19,17,1)</f>
        <v>43921.803483796299</v>
      </c>
    </row>
    <row r="3673" spans="1:4" ht="17">
      <c r="A3673" s="4" t="s">
        <v>1266</v>
      </c>
      <c r="B3673" s="4" t="s">
        <v>102</v>
      </c>
      <c r="C3673" s="4" t="s">
        <v>4325</v>
      </c>
      <c r="D3673" s="1">
        <f>DATE(2020,5,15)+TIME(14,47,31)</f>
        <v>43966.616331018522</v>
      </c>
    </row>
    <row r="3674" spans="1:4" ht="17">
      <c r="A3674" s="5" t="s">
        <v>1266</v>
      </c>
      <c r="B3674" s="5" t="s">
        <v>4267</v>
      </c>
      <c r="C3674" s="5" t="s">
        <v>4268</v>
      </c>
      <c r="D3674" s="2">
        <f>DATE(2020,6,5)+TIME(12,10,44)</f>
        <v>43987.507453703707</v>
      </c>
    </row>
    <row r="3675" spans="1:4" ht="17">
      <c r="A3675" s="4" t="s">
        <v>1266</v>
      </c>
      <c r="B3675" s="4" t="s">
        <v>3007</v>
      </c>
      <c r="C3675" s="4" t="s">
        <v>6894</v>
      </c>
      <c r="D3675" s="1">
        <f>DATE(2020,6,12)+TIME(0,30,11)</f>
        <v>43994.020960648151</v>
      </c>
    </row>
    <row r="3676" spans="1:4" ht="17">
      <c r="A3676" s="5" t="s">
        <v>1266</v>
      </c>
      <c r="B3676" s="5" t="s">
        <v>751</v>
      </c>
      <c r="C3676" s="5" t="s">
        <v>6182</v>
      </c>
      <c r="D3676" s="2">
        <f>DATE(2020,6,16)+TIME(14,4,46)</f>
        <v>43998.586643518516</v>
      </c>
    </row>
    <row r="3677" spans="1:4" ht="17">
      <c r="A3677" s="5" t="s">
        <v>1266</v>
      </c>
      <c r="B3677" s="5" t="s">
        <v>6129</v>
      </c>
      <c r="C3677" s="5" t="s">
        <v>6130</v>
      </c>
      <c r="D3677" s="2">
        <f>DATE(2020,6,17)+TIME(12,20,44)</f>
        <v>43999.514398148145</v>
      </c>
    </row>
    <row r="3678" spans="1:4" ht="17">
      <c r="A3678" s="4" t="s">
        <v>1266</v>
      </c>
      <c r="B3678" s="4" t="s">
        <v>2665</v>
      </c>
      <c r="C3678" s="4" t="s">
        <v>2666</v>
      </c>
      <c r="D3678" s="1">
        <f>DATE(2020,6,22)+TIME(17,5,4)</f>
        <v>44004.711851851855</v>
      </c>
    </row>
    <row r="3679" spans="1:4" ht="17">
      <c r="A3679" s="4" t="s">
        <v>1266</v>
      </c>
      <c r="B3679" s="4" t="s">
        <v>1267</v>
      </c>
      <c r="C3679" s="4" t="s">
        <v>1268</v>
      </c>
      <c r="D3679" s="1">
        <f>DATE(2020,6,23)+TIME(14,8,48)</f>
        <v>44005.589444444442</v>
      </c>
    </row>
    <row r="3680" spans="1:4" ht="17">
      <c r="A3680" s="5" t="s">
        <v>1266</v>
      </c>
      <c r="B3680" s="5" t="s">
        <v>3001</v>
      </c>
      <c r="C3680" s="5" t="s">
        <v>3002</v>
      </c>
      <c r="D3680" s="2">
        <f>DATE(2020,6,25)+TIME(9,28,15)</f>
        <v>44007.394618055558</v>
      </c>
    </row>
    <row r="3681" spans="1:4" ht="17">
      <c r="A3681" s="4" t="s">
        <v>1266</v>
      </c>
      <c r="B3681" s="4" t="s">
        <v>4288</v>
      </c>
      <c r="C3681" s="4" t="s">
        <v>4290</v>
      </c>
      <c r="D3681" s="1">
        <f>DATE(2020,6,26)+TIME(15,42,40)</f>
        <v>44008.654629629629</v>
      </c>
    </row>
    <row r="3682" spans="1:4" ht="17">
      <c r="A3682" s="4" t="s">
        <v>2921</v>
      </c>
      <c r="B3682" s="4" t="s">
        <v>4605</v>
      </c>
      <c r="C3682" s="4" t="s">
        <v>4606</v>
      </c>
      <c r="D3682" s="1">
        <f>DATE(2020,5,6)+TIME(2,29,8)</f>
        <v>43957.103564814817</v>
      </c>
    </row>
    <row r="3683" spans="1:4" ht="17">
      <c r="A3683" s="4" t="s">
        <v>2921</v>
      </c>
      <c r="B3683" s="4" t="s">
        <v>2922</v>
      </c>
      <c r="C3683" s="4" t="s">
        <v>2923</v>
      </c>
      <c r="D3683" s="1">
        <f>DATE(2020,6,5)+TIME(12,28,35)</f>
        <v>43987.519849537035</v>
      </c>
    </row>
    <row r="3684" spans="1:4" ht="17">
      <c r="A3684" s="4" t="s">
        <v>1048</v>
      </c>
      <c r="B3684" s="4" t="s">
        <v>1775</v>
      </c>
      <c r="C3684" s="4" t="s">
        <v>1776</v>
      </c>
      <c r="D3684" s="1">
        <f>DATE(2020,5,13)+TIME(15,41,29)</f>
        <v>43964.653807870367</v>
      </c>
    </row>
    <row r="3685" spans="1:4" ht="17">
      <c r="A3685" s="4" t="s">
        <v>1048</v>
      </c>
      <c r="B3685" s="4" t="s">
        <v>5598</v>
      </c>
      <c r="C3685" s="4" t="s">
        <v>5599</v>
      </c>
      <c r="D3685" s="1">
        <f>DATE(2020,5,22)+TIME(12,45,48)</f>
        <v>43973.531805555554</v>
      </c>
    </row>
    <row r="3686" spans="1:4" ht="17">
      <c r="A3686" s="4" t="s">
        <v>1048</v>
      </c>
      <c r="B3686" s="4" t="s">
        <v>9535</v>
      </c>
      <c r="C3686" s="4" t="s">
        <v>9536</v>
      </c>
      <c r="D3686" s="1">
        <f>DATE(2020,6,2)+TIME(14,56,40)</f>
        <v>43984.622685185182</v>
      </c>
    </row>
    <row r="3687" spans="1:4" ht="17">
      <c r="A3687" s="5" t="s">
        <v>1048</v>
      </c>
      <c r="B3687" s="5" t="s">
        <v>6488</v>
      </c>
      <c r="C3687" s="5" t="s">
        <v>6489</v>
      </c>
      <c r="D3687" s="2">
        <f>DATE(2020,6,14)+TIME(13,7,57)</f>
        <v>43996.5471875</v>
      </c>
    </row>
    <row r="3688" spans="1:4" ht="17">
      <c r="A3688" s="5" t="s">
        <v>1048</v>
      </c>
      <c r="B3688" s="5" t="s">
        <v>4073</v>
      </c>
      <c r="C3688" s="5" t="s">
        <v>4074</v>
      </c>
      <c r="D3688" s="2">
        <f>DATE(2020,6,14)+TIME(19,0,43)</f>
        <v>43996.792164351849</v>
      </c>
    </row>
    <row r="3689" spans="1:4" ht="17">
      <c r="A3689" s="4" t="s">
        <v>1048</v>
      </c>
      <c r="B3689" s="4" t="s">
        <v>1049</v>
      </c>
      <c r="C3689" s="4" t="s">
        <v>1050</v>
      </c>
      <c r="D3689" s="1">
        <f>DATE(2020,6,25)+TIME(17,20,5)</f>
        <v>44007.722280092596</v>
      </c>
    </row>
    <row r="3690" spans="1:4" ht="17">
      <c r="A3690" s="5" t="s">
        <v>1048</v>
      </c>
      <c r="B3690" s="5" t="s">
        <v>4222</v>
      </c>
      <c r="C3690" s="5" t="s">
        <v>4223</v>
      </c>
      <c r="D3690" s="2">
        <f>DATE(2020,6,26)+TIME(10,18,49)</f>
        <v>44008.4297337963</v>
      </c>
    </row>
    <row r="3691" spans="1:4" ht="17">
      <c r="A3691" s="5" t="s">
        <v>1048</v>
      </c>
      <c r="B3691" s="5" t="s">
        <v>1090</v>
      </c>
      <c r="C3691" s="5" t="s">
        <v>1091</v>
      </c>
      <c r="D3691" s="2">
        <f>DATE(2020,6,26)+TIME(15,56,23)</f>
        <v>44008.664155092592</v>
      </c>
    </row>
    <row r="3692" spans="1:4" ht="17">
      <c r="A3692" s="5" t="s">
        <v>6650</v>
      </c>
      <c r="B3692" s="5" t="s">
        <v>6651</v>
      </c>
      <c r="C3692" s="5" t="s">
        <v>6652</v>
      </c>
      <c r="D3692" s="2">
        <f>DATE(2020,6,28)+TIME(7,19,1)</f>
        <v>44010.304872685185</v>
      </c>
    </row>
    <row r="3693" spans="1:4" ht="17">
      <c r="A3693" s="5" t="s">
        <v>3508</v>
      </c>
      <c r="B3693" s="5" t="s">
        <v>3509</v>
      </c>
      <c r="C3693" s="5" t="s">
        <v>3510</v>
      </c>
      <c r="D3693" s="2">
        <f>DATE(2020,6,24)+TIME(14,38,25)</f>
        <v>44006.610011574077</v>
      </c>
    </row>
    <row r="3694" spans="1:4" ht="17">
      <c r="A3694" s="4" t="s">
        <v>6511</v>
      </c>
      <c r="B3694" s="4" t="s">
        <v>6512</v>
      </c>
      <c r="C3694" s="4" t="s">
        <v>6513</v>
      </c>
      <c r="D3694" s="1">
        <f>DATE(2020,6,24)+TIME(20,33,0)</f>
        <v>44006.856249999997</v>
      </c>
    </row>
    <row r="3695" spans="1:4" ht="17">
      <c r="A3695" s="4" t="s">
        <v>4644</v>
      </c>
      <c r="B3695" s="4" t="s">
        <v>7905</v>
      </c>
      <c r="C3695" s="4" t="s">
        <v>7906</v>
      </c>
      <c r="D3695" s="1">
        <f>DATE(2020,6,23)+TIME(2,58,41)</f>
        <v>44005.124085648145</v>
      </c>
    </row>
    <row r="3696" spans="1:4" ht="17">
      <c r="A3696" s="5" t="s">
        <v>122</v>
      </c>
      <c r="B3696" s="5" t="s">
        <v>1491</v>
      </c>
      <c r="C3696" s="5" t="s">
        <v>3985</v>
      </c>
      <c r="D3696" s="2">
        <f>DATE(2020,5,5)+TIME(15,21,16)</f>
        <v>43956.639768518522</v>
      </c>
    </row>
    <row r="3697" spans="1:4" ht="17">
      <c r="A3697" s="4" t="s">
        <v>122</v>
      </c>
      <c r="B3697" s="4" t="s">
        <v>4232</v>
      </c>
      <c r="C3697" s="4" t="s">
        <v>4233</v>
      </c>
      <c r="D3697" s="1">
        <f>DATE(2020,5,12)+TIME(8,55,16)</f>
        <v>43963.371712962966</v>
      </c>
    </row>
    <row r="3698" spans="1:4" ht="17">
      <c r="A3698" s="4" t="s">
        <v>122</v>
      </c>
      <c r="B3698" s="4" t="s">
        <v>4433</v>
      </c>
      <c r="C3698" s="4" t="s">
        <v>9353</v>
      </c>
      <c r="D3698" s="1">
        <f>DATE(2020,6,2)+TIME(10,43,57)</f>
        <v>43984.447187500002</v>
      </c>
    </row>
    <row r="3699" spans="1:4" ht="17">
      <c r="A3699" s="5" t="s">
        <v>122</v>
      </c>
      <c r="B3699" s="5" t="s">
        <v>8225</v>
      </c>
      <c r="C3699" s="5" t="s">
        <v>8226</v>
      </c>
      <c r="D3699" s="2">
        <f>DATE(2020,6,2)+TIME(11,14,3)</f>
        <v>43984.468090277776</v>
      </c>
    </row>
    <row r="3700" spans="1:4" ht="17">
      <c r="A3700" s="5" t="s">
        <v>122</v>
      </c>
      <c r="B3700" s="5" t="s">
        <v>2998</v>
      </c>
      <c r="C3700" s="5" t="s">
        <v>2999</v>
      </c>
      <c r="D3700" s="2">
        <f>DATE(2020,6,24)+TIME(17,3,27)</f>
        <v>44006.710729166669</v>
      </c>
    </row>
    <row r="3701" spans="1:4" ht="17">
      <c r="A3701" s="5" t="s">
        <v>122</v>
      </c>
      <c r="B3701" s="5" t="s">
        <v>123</v>
      </c>
      <c r="C3701" s="5" t="s">
        <v>124</v>
      </c>
      <c r="D3701" s="2">
        <f>DATE(2020,6,26)+TIME(22,57,40)</f>
        <v>44008.956712962965</v>
      </c>
    </row>
    <row r="3702" spans="1:4" ht="17">
      <c r="A3702" s="5" t="s">
        <v>122</v>
      </c>
      <c r="B3702" s="5" t="s">
        <v>4720</v>
      </c>
      <c r="C3702" s="5" t="s">
        <v>4721</v>
      </c>
      <c r="D3702" s="2">
        <f>DATE(2020,6,29)+TIME(11,12,36)</f>
        <v>44011.467083333337</v>
      </c>
    </row>
    <row r="3703" spans="1:4" ht="17">
      <c r="A3703" s="5" t="s">
        <v>2935</v>
      </c>
      <c r="B3703" s="5" t="s">
        <v>2936</v>
      </c>
      <c r="C3703" s="5" t="s">
        <v>2937</v>
      </c>
      <c r="D3703" s="2">
        <f>DATE(2020,6,23)+TIME(14,44,56)</f>
        <v>44005.614537037036</v>
      </c>
    </row>
    <row r="3704" spans="1:4" ht="17">
      <c r="A3704" s="5" t="s">
        <v>1733</v>
      </c>
      <c r="B3704" s="5" t="s">
        <v>1734</v>
      </c>
      <c r="C3704" s="5" t="s">
        <v>1735</v>
      </c>
      <c r="D3704" s="2">
        <f>DATE(2020,6,24)+TIME(5,17,18)</f>
        <v>44006.220347222225</v>
      </c>
    </row>
    <row r="3705" spans="1:4" ht="17">
      <c r="A3705" s="5" t="s">
        <v>8211</v>
      </c>
      <c r="B3705" s="5" t="s">
        <v>8212</v>
      </c>
      <c r="C3705" s="5" t="s">
        <v>8213</v>
      </c>
      <c r="D3705" s="2">
        <f>DATE(2020,6,15)+TIME(10,46,54)</f>
        <v>43997.449236111112</v>
      </c>
    </row>
    <row r="3706" spans="1:4" ht="17">
      <c r="A3706" s="4" t="s">
        <v>169</v>
      </c>
      <c r="B3706" s="4" t="s">
        <v>246</v>
      </c>
      <c r="C3706" s="4" t="s">
        <v>247</v>
      </c>
      <c r="D3706" s="1">
        <f>DATE(2020,6,2)+TIME(11,14,4)</f>
        <v>43984.468101851853</v>
      </c>
    </row>
    <row r="3707" spans="1:4" ht="17">
      <c r="A3707" s="5" t="s">
        <v>169</v>
      </c>
      <c r="B3707" s="5" t="s">
        <v>170</v>
      </c>
      <c r="C3707" s="5" t="s">
        <v>171</v>
      </c>
      <c r="D3707" s="2">
        <f>DATE(2020,6,4)+TIME(17,15,58)</f>
        <v>43986.719421296293</v>
      </c>
    </row>
    <row r="3708" spans="1:4" ht="17">
      <c r="A3708" s="5" t="s">
        <v>169</v>
      </c>
      <c r="B3708" s="5" t="s">
        <v>3356</v>
      </c>
      <c r="C3708" s="5" t="s">
        <v>3357</v>
      </c>
      <c r="D3708" s="2">
        <f>DATE(2020,6,12)+TIME(17,55,57)</f>
        <v>43994.747187499997</v>
      </c>
    </row>
    <row r="3709" spans="1:4" ht="17">
      <c r="A3709" s="5" t="s">
        <v>169</v>
      </c>
      <c r="B3709" s="5" t="s">
        <v>4230</v>
      </c>
      <c r="C3709" s="5" t="s">
        <v>4231</v>
      </c>
      <c r="D3709" s="2">
        <f>DATE(2020,6,22)+TIME(19,10,1)</f>
        <v>44004.798622685186</v>
      </c>
    </row>
    <row r="3710" spans="1:4" ht="17">
      <c r="A3710" s="5" t="s">
        <v>169</v>
      </c>
      <c r="B3710" s="5" t="s">
        <v>2203</v>
      </c>
      <c r="C3710" s="5" t="s">
        <v>2204</v>
      </c>
      <c r="D3710" s="2">
        <f>DATE(2020,6,23)+TIME(16,52,20)</f>
        <v>44005.703009259261</v>
      </c>
    </row>
    <row r="3711" spans="1:4" ht="17">
      <c r="A3711" s="5" t="s">
        <v>459</v>
      </c>
      <c r="B3711" s="5" t="s">
        <v>7868</v>
      </c>
      <c r="C3711" s="5" t="s">
        <v>7869</v>
      </c>
      <c r="D3711" s="2">
        <f>DATE(2020,5,21)+TIME(17,21,52)</f>
        <v>43972.72351851852</v>
      </c>
    </row>
    <row r="3712" spans="1:4" ht="17">
      <c r="A3712" s="5" t="s">
        <v>459</v>
      </c>
      <c r="B3712" s="5" t="s">
        <v>460</v>
      </c>
      <c r="C3712" s="5" t="s">
        <v>461</v>
      </c>
      <c r="D3712" s="2">
        <f>DATE(2020,6,15)+TIME(3,8,8)</f>
        <v>43997.130648148152</v>
      </c>
    </row>
    <row r="3713" spans="1:4" ht="17">
      <c r="A3713" s="4" t="s">
        <v>459</v>
      </c>
      <c r="B3713" s="4" t="s">
        <v>7434</v>
      </c>
      <c r="C3713" s="4" t="s">
        <v>7435</v>
      </c>
      <c r="D3713" s="1">
        <f>DATE(2020,6,22)+TIME(4,53,29)</f>
        <v>44004.20380787037</v>
      </c>
    </row>
    <row r="3714" spans="1:4" ht="17">
      <c r="A3714" s="4" t="s">
        <v>382</v>
      </c>
      <c r="B3714" s="4" t="s">
        <v>383</v>
      </c>
      <c r="C3714" s="4" t="s">
        <v>384</v>
      </c>
      <c r="D3714" s="1">
        <f>DATE(2020,6,29)+TIME(12,23,53)</f>
        <v>44011.516585648147</v>
      </c>
    </row>
    <row r="3715" spans="1:4" ht="17">
      <c r="A3715" s="5" t="s">
        <v>926</v>
      </c>
      <c r="B3715" s="5" t="s">
        <v>927</v>
      </c>
      <c r="C3715" s="5" t="s">
        <v>928</v>
      </c>
      <c r="D3715" s="2">
        <f>DATE(2020,6,3)+TIME(8,53,44)</f>
        <v>43985.370648148149</v>
      </c>
    </row>
    <row r="3716" spans="1:4" ht="17">
      <c r="A3716" s="5" t="s">
        <v>7834</v>
      </c>
      <c r="B3716" s="5" t="s">
        <v>7835</v>
      </c>
      <c r="C3716" s="5" t="s">
        <v>7836</v>
      </c>
      <c r="D3716" s="2">
        <f>DATE(2020,6,24)+TIME(15,50,35)</f>
        <v>44006.660127314812</v>
      </c>
    </row>
    <row r="3717" spans="1:4" ht="17">
      <c r="A3717" s="5" t="s">
        <v>5768</v>
      </c>
      <c r="B3717" s="5" t="s">
        <v>5769</v>
      </c>
      <c r="C3717" s="5" t="s">
        <v>5770</v>
      </c>
      <c r="D3717" s="2">
        <f>DATE(2020,5,19)+TIME(13,26,47)</f>
        <v>43970.560266203705</v>
      </c>
    </row>
    <row r="3718" spans="1:4" ht="17">
      <c r="A3718" s="4" t="s">
        <v>375</v>
      </c>
      <c r="B3718" s="4" t="s">
        <v>7781</v>
      </c>
      <c r="C3718" s="4" t="s">
        <v>7782</v>
      </c>
      <c r="D3718" s="1">
        <f>DATE(2020,6,4)+TIME(15,59,14)</f>
        <v>43986.666134259256</v>
      </c>
    </row>
    <row r="3719" spans="1:4" ht="17">
      <c r="A3719" s="5" t="s">
        <v>375</v>
      </c>
      <c r="B3719" s="5" t="s">
        <v>376</v>
      </c>
      <c r="C3719" s="5" t="s">
        <v>377</v>
      </c>
      <c r="D3719" s="2">
        <f>DATE(2020,6,14)+TIME(0,1,41)</f>
        <v>43996.001168981478</v>
      </c>
    </row>
    <row r="3720" spans="1:4" ht="17">
      <c r="A3720" s="5" t="s">
        <v>375</v>
      </c>
      <c r="B3720" s="5" t="s">
        <v>3861</v>
      </c>
      <c r="C3720" s="5" t="s">
        <v>4958</v>
      </c>
      <c r="D3720" s="2">
        <f>DATE(2020,6,15)+TIME(18,41,16)</f>
        <v>43997.778657407405</v>
      </c>
    </row>
    <row r="3721" spans="1:4" ht="17">
      <c r="A3721" s="4" t="s">
        <v>375</v>
      </c>
      <c r="B3721" s="4" t="s">
        <v>8598</v>
      </c>
      <c r="C3721" s="4" t="s">
        <v>8599</v>
      </c>
      <c r="D3721" s="1">
        <f>DATE(2020,6,22)+TIME(10,20,46)</f>
        <v>44004.431087962963</v>
      </c>
    </row>
    <row r="3722" spans="1:4" ht="17">
      <c r="A3722" s="4" t="s">
        <v>375</v>
      </c>
      <c r="B3722" s="4" t="s">
        <v>9113</v>
      </c>
      <c r="C3722" s="4" t="s">
        <v>9114</v>
      </c>
      <c r="D3722" s="1">
        <f>DATE(2020,6,23)+TIME(15,48,37)</f>
        <v>44005.658761574072</v>
      </c>
    </row>
    <row r="3723" spans="1:4" ht="17">
      <c r="A3723" s="4" t="s">
        <v>375</v>
      </c>
      <c r="B3723" s="4" t="s">
        <v>6498</v>
      </c>
      <c r="C3723" s="4" t="s">
        <v>6499</v>
      </c>
      <c r="D3723" s="1">
        <f>DATE(2020,6,26)+TIME(21,36,15)</f>
        <v>44008.900173611109</v>
      </c>
    </row>
    <row r="3724" spans="1:4" ht="17">
      <c r="A3724" s="5" t="s">
        <v>6392</v>
      </c>
      <c r="B3724" s="5" t="s">
        <v>6393</v>
      </c>
      <c r="C3724" s="5" t="s">
        <v>6394</v>
      </c>
      <c r="D3724" s="2">
        <f>DATE(2020,6,26)+TIME(3,1,12)</f>
        <v>44008.125833333332</v>
      </c>
    </row>
    <row r="3725" spans="1:4" ht="17">
      <c r="A3725" s="4" t="s">
        <v>2865</v>
      </c>
      <c r="B3725" s="4" t="s">
        <v>2866</v>
      </c>
      <c r="C3725" s="4" t="s">
        <v>2867</v>
      </c>
      <c r="D3725" s="1">
        <f>DATE(2020,5,29)+TIME(4,50,22)</f>
        <v>43980.201643518521</v>
      </c>
    </row>
    <row r="3726" spans="1:4" ht="17">
      <c r="A3726" s="4" t="s">
        <v>3668</v>
      </c>
      <c r="B3726" s="4" t="s">
        <v>3669</v>
      </c>
      <c r="C3726" s="4" t="s">
        <v>3670</v>
      </c>
      <c r="D3726" s="1">
        <f>DATE(2020,5,26)+TIME(2,58,13)</f>
        <v>43977.123761574076</v>
      </c>
    </row>
    <row r="3727" spans="1:4" ht="17">
      <c r="A3727" s="5" t="s">
        <v>2765</v>
      </c>
      <c r="B3727" s="5" t="s">
        <v>2766</v>
      </c>
      <c r="C3727" s="5" t="s">
        <v>2767</v>
      </c>
      <c r="D3727" s="2">
        <f>DATE(2020,6,26)+TIME(21,1,18)</f>
        <v>44008.875902777778</v>
      </c>
    </row>
    <row r="3728" spans="1:4" ht="17">
      <c r="A3728" s="5" t="s">
        <v>8527</v>
      </c>
      <c r="B3728" s="5" t="s">
        <v>8528</v>
      </c>
      <c r="C3728" s="5" t="s">
        <v>8529</v>
      </c>
      <c r="D3728" s="2">
        <f>DATE(2020,5,21)+TIME(22,37,53)</f>
        <v>43972.942974537036</v>
      </c>
    </row>
    <row r="3729" spans="1:4" ht="17">
      <c r="A3729" s="4" t="s">
        <v>6340</v>
      </c>
      <c r="B3729" s="4" t="s">
        <v>6341</v>
      </c>
      <c r="C3729" s="4" t="s">
        <v>6342</v>
      </c>
      <c r="D3729" s="1">
        <f>DATE(2020,6,29)+TIME(9,50,27)</f>
        <v>44011.410034722219</v>
      </c>
    </row>
    <row r="3730" spans="1:4" ht="17">
      <c r="A3730" s="4" t="s">
        <v>8907</v>
      </c>
      <c r="B3730" s="4" t="s">
        <v>8908</v>
      </c>
      <c r="C3730" s="4" t="s">
        <v>8909</v>
      </c>
      <c r="D3730" s="1">
        <f>DATE(2020,5,7)+TIME(11,45,45)</f>
        <v>43958.490104166667</v>
      </c>
    </row>
    <row r="3731" spans="1:4" ht="17">
      <c r="A3731" s="4" t="s">
        <v>3115</v>
      </c>
      <c r="B3731" s="4" t="s">
        <v>5557</v>
      </c>
      <c r="C3731" s="4" t="s">
        <v>5558</v>
      </c>
      <c r="D3731" s="1">
        <f>DATE(2020,6,16)+TIME(23,13,30)</f>
        <v>43998.96770833333</v>
      </c>
    </row>
    <row r="3732" spans="1:4" ht="17">
      <c r="A3732" s="5" t="s">
        <v>3115</v>
      </c>
      <c r="B3732" s="5" t="s">
        <v>8884</v>
      </c>
      <c r="C3732" s="5" t="s">
        <v>8885</v>
      </c>
      <c r="D3732" s="2">
        <f>DATE(2020,6,17)+TIME(4,55,36)</f>
        <v>43999.205277777779</v>
      </c>
    </row>
    <row r="3733" spans="1:4" ht="17">
      <c r="A3733" s="5" t="s">
        <v>2815</v>
      </c>
      <c r="B3733" s="5" t="s">
        <v>2816</v>
      </c>
      <c r="C3733" s="5" t="s">
        <v>2817</v>
      </c>
      <c r="D3733" s="2">
        <f>DATE(2020,2,26)+TIME(15,3,56)</f>
        <v>43887.62773148148</v>
      </c>
    </row>
    <row r="3734" spans="1:4" ht="17">
      <c r="A3734" s="4" t="s">
        <v>2815</v>
      </c>
      <c r="B3734" s="4" t="s">
        <v>7360</v>
      </c>
      <c r="C3734" s="4" t="s">
        <v>7361</v>
      </c>
      <c r="D3734" s="1">
        <f>DATE(2020,3,31)+TIME(16,6,28)</f>
        <v>43921.671157407407</v>
      </c>
    </row>
    <row r="3735" spans="1:4" ht="17">
      <c r="A3735" s="5" t="s">
        <v>2815</v>
      </c>
      <c r="B3735" s="5" t="s">
        <v>7043</v>
      </c>
      <c r="C3735" s="5" t="s">
        <v>7044</v>
      </c>
      <c r="D3735" s="2">
        <f>DATE(2020,6,12)+TIME(11,21,43)</f>
        <v>43994.473414351851</v>
      </c>
    </row>
    <row r="3736" spans="1:4" ht="17">
      <c r="A3736" s="5" t="s">
        <v>2815</v>
      </c>
      <c r="B3736" s="5" t="s">
        <v>7276</v>
      </c>
      <c r="C3736" s="5" t="s">
        <v>7277</v>
      </c>
      <c r="D3736" s="2">
        <f>DATE(2020,6,26)+TIME(11,24,26)</f>
        <v>44008.475300925929</v>
      </c>
    </row>
    <row r="3737" spans="1:4" ht="17">
      <c r="A3737" s="4" t="s">
        <v>5924</v>
      </c>
      <c r="B3737" s="4" t="s">
        <v>3980</v>
      </c>
      <c r="C3737" s="4" t="s">
        <v>5925</v>
      </c>
      <c r="D3737" s="1">
        <f>DATE(2020,6,27)+TIME(23,4,30)</f>
        <v>44009.961458333331</v>
      </c>
    </row>
    <row r="3738" spans="1:4" ht="17">
      <c r="A3738" s="5" t="s">
        <v>1100</v>
      </c>
      <c r="B3738" s="5" t="s">
        <v>1101</v>
      </c>
      <c r="C3738" s="5" t="s">
        <v>1102</v>
      </c>
      <c r="D3738" s="2">
        <f>DATE(2020,6,18)+TIME(12,41,32)</f>
        <v>44000.52884259259</v>
      </c>
    </row>
    <row r="3739" spans="1:4" ht="17">
      <c r="A3739" s="4" t="s">
        <v>600</v>
      </c>
      <c r="B3739" s="4" t="s">
        <v>601</v>
      </c>
      <c r="C3739" s="4" t="s">
        <v>602</v>
      </c>
      <c r="D3739" s="1">
        <f>DATE(2020,5,25)+TIME(9,31,45)</f>
        <v>43976.397048611114</v>
      </c>
    </row>
    <row r="3740" spans="1:4" ht="17">
      <c r="A3740" s="4" t="s">
        <v>600</v>
      </c>
      <c r="B3740" s="4" t="s">
        <v>5660</v>
      </c>
      <c r="C3740" s="4" t="s">
        <v>5661</v>
      </c>
      <c r="D3740" s="1">
        <f>DATE(2020,6,1)+TIME(10,13,21)</f>
        <v>43983.425937499997</v>
      </c>
    </row>
    <row r="3741" spans="1:4" ht="17">
      <c r="A3741" s="5" t="s">
        <v>600</v>
      </c>
      <c r="B3741" s="5" t="s">
        <v>1876</v>
      </c>
      <c r="C3741" s="5" t="s">
        <v>1877</v>
      </c>
      <c r="D3741" s="2">
        <f>DATE(2020,6,10)+TIME(10,27,59)</f>
        <v>43992.436099537037</v>
      </c>
    </row>
    <row r="3742" spans="1:4" ht="17">
      <c r="A3742" s="4" t="s">
        <v>600</v>
      </c>
      <c r="B3742" s="4" t="s">
        <v>9117</v>
      </c>
      <c r="C3742" s="4" t="s">
        <v>9118</v>
      </c>
      <c r="D3742" s="1">
        <f>DATE(2020,6,19)+TIME(14,59,4)</f>
        <v>44001.624351851853</v>
      </c>
    </row>
    <row r="3743" spans="1:4" ht="17">
      <c r="A3743" s="4" t="s">
        <v>1190</v>
      </c>
      <c r="B3743" s="4" t="s">
        <v>1191</v>
      </c>
      <c r="C3743" s="4" t="s">
        <v>1192</v>
      </c>
      <c r="D3743" s="1">
        <f>DATE(2020,5,5)+TIME(13,29,59)</f>
        <v>43956.562488425923</v>
      </c>
    </row>
    <row r="3744" spans="1:4" ht="17">
      <c r="A3744" s="5" t="s">
        <v>1190</v>
      </c>
      <c r="B3744" s="5" t="s">
        <v>699</v>
      </c>
      <c r="C3744" s="5" t="s">
        <v>6221</v>
      </c>
      <c r="D3744" s="2">
        <f>DATE(2020,6,24)+TIME(20,32,2)</f>
        <v>44006.855578703704</v>
      </c>
    </row>
    <row r="3745" spans="1:4" ht="17">
      <c r="A3745" s="5" t="s">
        <v>3850</v>
      </c>
      <c r="B3745" s="5" t="s">
        <v>3851</v>
      </c>
      <c r="C3745" s="5" t="s">
        <v>3852</v>
      </c>
      <c r="D3745" s="2">
        <f>DATE(2020,6,18)+TIME(13,56,45)</f>
        <v>44000.581076388888</v>
      </c>
    </row>
    <row r="3746" spans="1:4" ht="17">
      <c r="A3746" s="4" t="s">
        <v>8687</v>
      </c>
      <c r="B3746" s="4" t="s">
        <v>8688</v>
      </c>
      <c r="C3746" s="4" t="s">
        <v>8689</v>
      </c>
      <c r="D3746" s="1">
        <f>DATE(2020,6,8)+TIME(13,41,47)</f>
        <v>43990.57068287037</v>
      </c>
    </row>
    <row r="3747" spans="1:4" ht="17">
      <c r="A3747" s="5" t="s">
        <v>5789</v>
      </c>
      <c r="B3747" s="5" t="s">
        <v>5790</v>
      </c>
      <c r="C3747" s="5" t="s">
        <v>5791</v>
      </c>
      <c r="D3747" s="2">
        <f>DATE(2020,6,25)+TIME(16,49,3)</f>
        <v>44007.700729166667</v>
      </c>
    </row>
    <row r="3748" spans="1:4" ht="17">
      <c r="A3748" s="4" t="s">
        <v>2205</v>
      </c>
      <c r="B3748" s="4" t="s">
        <v>2206</v>
      </c>
      <c r="C3748" s="4" t="s">
        <v>2207</v>
      </c>
      <c r="D3748" s="1">
        <f>DATE(2020,5,13)+TIME(11,48,17)</f>
        <v>43964.491863425923</v>
      </c>
    </row>
    <row r="3749" spans="1:4" ht="17">
      <c r="A3749" s="5" t="s">
        <v>2205</v>
      </c>
      <c r="B3749" s="5" t="s">
        <v>4709</v>
      </c>
      <c r="C3749" s="5" t="s">
        <v>4710</v>
      </c>
      <c r="D3749" s="2">
        <f>DATE(2020,6,17)+TIME(10,29,37)</f>
        <v>43999.4372337963</v>
      </c>
    </row>
    <row r="3750" spans="1:4" ht="17">
      <c r="A3750" s="5" t="s">
        <v>2205</v>
      </c>
      <c r="B3750" s="5" t="s">
        <v>7248</v>
      </c>
      <c r="C3750" s="5" t="s">
        <v>8268</v>
      </c>
      <c r="D3750" s="2">
        <f>DATE(2020,6,22)+TIME(12,28,43)</f>
        <v>44004.519942129627</v>
      </c>
    </row>
    <row r="3751" spans="1:4" ht="17">
      <c r="A3751" s="5" t="s">
        <v>2205</v>
      </c>
      <c r="B3751" s="5" t="s">
        <v>2575</v>
      </c>
      <c r="C3751" s="5" t="s">
        <v>2576</v>
      </c>
      <c r="D3751" s="2">
        <f>DATE(2020,6,26)+TIME(14,39,23)</f>
        <v>44008.610682870371</v>
      </c>
    </row>
    <row r="3752" spans="1:4" ht="17">
      <c r="A3752" s="5" t="s">
        <v>2205</v>
      </c>
      <c r="B3752" s="5" t="s">
        <v>8554</v>
      </c>
      <c r="C3752" s="5" t="s">
        <v>8555</v>
      </c>
      <c r="D3752" s="2">
        <f>DATE(2020,6,26)+TIME(17,13,11)</f>
        <v>44008.717488425929</v>
      </c>
    </row>
    <row r="3753" spans="1:4" ht="17">
      <c r="A3753" s="4" t="s">
        <v>5339</v>
      </c>
      <c r="B3753" s="4" t="s">
        <v>5340</v>
      </c>
      <c r="C3753" s="4" t="s">
        <v>5341</v>
      </c>
      <c r="D3753" s="1">
        <f>DATE(2020,5,29)+TIME(9,59,8)</f>
        <v>43980.416064814817</v>
      </c>
    </row>
    <row r="3754" spans="1:4" ht="17">
      <c r="A3754" s="5" t="s">
        <v>6765</v>
      </c>
      <c r="B3754" s="5" t="s">
        <v>6766</v>
      </c>
      <c r="C3754" s="5" t="s">
        <v>6767</v>
      </c>
      <c r="D3754" s="2">
        <f>DATE(2020,6,27)+TIME(4,42,11)</f>
        <v>44009.195960648147</v>
      </c>
    </row>
    <row r="3755" spans="1:4" ht="17">
      <c r="A3755" s="5" t="s">
        <v>1197</v>
      </c>
      <c r="B3755" s="5" t="s">
        <v>1198</v>
      </c>
      <c r="C3755" s="5" t="s">
        <v>1199</v>
      </c>
      <c r="D3755" s="2">
        <f>DATE(2020,6,27)+TIME(10,27,19)</f>
        <v>44009.435636574075</v>
      </c>
    </row>
    <row r="3756" spans="1:4" ht="17">
      <c r="A3756" s="5" t="s">
        <v>8776</v>
      </c>
      <c r="B3756" s="5" t="s">
        <v>8777</v>
      </c>
      <c r="C3756" s="5" t="s">
        <v>8778</v>
      </c>
      <c r="D3756" s="2">
        <f>DATE(2020,5,13)+TIME(8,41,44)</f>
        <v>43964.362314814818</v>
      </c>
    </row>
    <row r="3757" spans="1:4" ht="17">
      <c r="A3757" s="4" t="s">
        <v>7760</v>
      </c>
      <c r="B3757" s="4" t="s">
        <v>7761</v>
      </c>
      <c r="C3757" s="4" t="s">
        <v>7762</v>
      </c>
      <c r="D3757" s="1">
        <f>DATE(2020,6,28)+TIME(10,11,21)</f>
        <v>44010.42454861111</v>
      </c>
    </row>
    <row r="3758" spans="1:4" ht="17">
      <c r="A3758" s="4" t="s">
        <v>7131</v>
      </c>
      <c r="B3758" s="4" t="s">
        <v>7132</v>
      </c>
      <c r="C3758" s="4" t="s">
        <v>7133</v>
      </c>
      <c r="D3758" s="1">
        <f>DATE(2020,5,20)+TIME(8,11,55)</f>
        <v>43971.341608796298</v>
      </c>
    </row>
    <row r="3759" spans="1:4" ht="17">
      <c r="A3759" s="4" t="s">
        <v>5133</v>
      </c>
      <c r="B3759" s="4" t="s">
        <v>5134</v>
      </c>
      <c r="C3759" s="4" t="s">
        <v>5135</v>
      </c>
      <c r="D3759" s="1">
        <f>DATE(2020,6,18)+TIME(8,50,13)</f>
        <v>44000.368206018517</v>
      </c>
    </row>
    <row r="3760" spans="1:4" ht="17">
      <c r="A3760" s="5" t="s">
        <v>5284</v>
      </c>
      <c r="B3760" s="5" t="s">
        <v>5285</v>
      </c>
      <c r="C3760" s="5" t="s">
        <v>5286</v>
      </c>
      <c r="D3760" s="2">
        <f>DATE(2020,5,18)+TIME(12,6,29)</f>
        <v>43969.504502314812</v>
      </c>
    </row>
    <row r="3761" spans="1:4" ht="17">
      <c r="A3761" s="5" t="s">
        <v>6872</v>
      </c>
      <c r="B3761" s="5" t="s">
        <v>6873</v>
      </c>
      <c r="C3761" s="5" t="s">
        <v>6874</v>
      </c>
      <c r="D3761" s="2">
        <f>DATE(2020,5,30)+TIME(12,43,22)</f>
        <v>43981.530115740738</v>
      </c>
    </row>
    <row r="3762" spans="1:4" ht="17">
      <c r="A3762" s="5" t="s">
        <v>1610</v>
      </c>
      <c r="B3762" s="5" t="s">
        <v>1666</v>
      </c>
      <c r="C3762" s="5" t="s">
        <v>1667</v>
      </c>
      <c r="D3762" s="2">
        <f>DATE(2020,2,25)+TIME(12,24,46)</f>
        <v>43886.517199074071</v>
      </c>
    </row>
    <row r="3763" spans="1:4" ht="17">
      <c r="A3763" s="5" t="s">
        <v>1610</v>
      </c>
      <c r="B3763" s="5" t="s">
        <v>1253</v>
      </c>
      <c r="C3763" s="5" t="s">
        <v>7416</v>
      </c>
      <c r="D3763" s="2">
        <f>DATE(2020,3,3)+TIME(11,9,47)</f>
        <v>43893.465127314812</v>
      </c>
    </row>
    <row r="3764" spans="1:4" ht="17">
      <c r="A3764" s="4" t="s">
        <v>1610</v>
      </c>
      <c r="B3764" s="4" t="s">
        <v>3826</v>
      </c>
      <c r="C3764" s="4" t="s">
        <v>3827</v>
      </c>
      <c r="D3764" s="1">
        <f>DATE(2020,3,31)+TIME(10,48,25)</f>
        <v>43921.450289351851</v>
      </c>
    </row>
    <row r="3765" spans="1:4" ht="17">
      <c r="A3765" s="4" t="s">
        <v>1610</v>
      </c>
      <c r="B3765" s="4" t="s">
        <v>1611</v>
      </c>
      <c r="C3765" s="4" t="s">
        <v>1612</v>
      </c>
      <c r="D3765" s="1">
        <f>DATE(2020,5,5)+TIME(16,49,57)</f>
        <v>43956.701354166667</v>
      </c>
    </row>
    <row r="3766" spans="1:4" ht="17">
      <c r="A3766" s="5" t="s">
        <v>1610</v>
      </c>
      <c r="B3766" s="5" t="s">
        <v>6816</v>
      </c>
      <c r="C3766" s="5" t="s">
        <v>6817</v>
      </c>
      <c r="D3766" s="2">
        <f>DATE(2020,6,1)+TIME(10,13,21)</f>
        <v>43983.425937499997</v>
      </c>
    </row>
    <row r="3767" spans="1:4" ht="17">
      <c r="A3767" s="5" t="s">
        <v>1610</v>
      </c>
      <c r="B3767" s="5" t="s">
        <v>3140</v>
      </c>
      <c r="C3767" s="5" t="s">
        <v>3141</v>
      </c>
      <c r="D3767" s="2">
        <f>DATE(2020,6,4)+TIME(14,41,22)</f>
        <v>43986.612060185187</v>
      </c>
    </row>
    <row r="3768" spans="1:4" ht="17">
      <c r="A3768" s="5" t="s">
        <v>4831</v>
      </c>
      <c r="B3768" s="5" t="s">
        <v>311</v>
      </c>
      <c r="C3768" s="5" t="s">
        <v>6035</v>
      </c>
      <c r="D3768" s="2">
        <f>DATE(2020,6,2)+TIME(21,55,44)</f>
        <v>43984.913703703707</v>
      </c>
    </row>
    <row r="3769" spans="1:4" ht="17">
      <c r="A3769" s="5" t="s">
        <v>4831</v>
      </c>
      <c r="B3769" s="5" t="s">
        <v>2046</v>
      </c>
      <c r="C3769" s="5" t="s">
        <v>4832</v>
      </c>
      <c r="D3769" s="2">
        <f>DATE(2020,6,27)+TIME(1,56,24)</f>
        <v>44009.080833333333</v>
      </c>
    </row>
    <row r="3770" spans="1:4" ht="17">
      <c r="A3770" s="5" t="s">
        <v>2288</v>
      </c>
      <c r="B3770" s="5" t="s">
        <v>2289</v>
      </c>
      <c r="C3770" s="5" t="s">
        <v>2290</v>
      </c>
      <c r="D3770" s="2">
        <f>DATE(2020,6,1)+TIME(12,41,10)</f>
        <v>43983.528587962966</v>
      </c>
    </row>
    <row r="3771" spans="1:4" ht="17">
      <c r="A3771" s="4" t="s">
        <v>8643</v>
      </c>
      <c r="B3771" s="4" t="s">
        <v>8644</v>
      </c>
      <c r="C3771" s="4" t="s">
        <v>8645</v>
      </c>
      <c r="D3771" s="1">
        <f>DATE(2020,6,25)+TIME(2,37,9)</f>
        <v>44007.109131944446</v>
      </c>
    </row>
    <row r="3772" spans="1:4" ht="17">
      <c r="A3772" s="5" t="s">
        <v>3929</v>
      </c>
      <c r="B3772" s="5" t="s">
        <v>2046</v>
      </c>
      <c r="C3772" s="5" t="s">
        <v>3930</v>
      </c>
      <c r="D3772" s="2">
        <f>DATE(2020,6,4)+TIME(19,13,45)</f>
        <v>43986.801215277781</v>
      </c>
    </row>
    <row r="3773" spans="1:4" ht="17">
      <c r="A3773" s="4" t="s">
        <v>3751</v>
      </c>
      <c r="B3773" s="4" t="s">
        <v>3752</v>
      </c>
      <c r="C3773" s="4" t="s">
        <v>3753</v>
      </c>
      <c r="D3773" s="1">
        <f>DATE(2020,5,5)+TIME(14,44,54)</f>
        <v>43956.61451388889</v>
      </c>
    </row>
    <row r="3774" spans="1:4" ht="17">
      <c r="A3774" s="4" t="s">
        <v>2055</v>
      </c>
      <c r="B3774" s="4" t="s">
        <v>2056</v>
      </c>
      <c r="C3774" s="4" t="s">
        <v>2057</v>
      </c>
      <c r="D3774" s="1">
        <f>DATE(2020,6,14)+TIME(17,33,58)</f>
        <v>43996.731921296298</v>
      </c>
    </row>
    <row r="3775" spans="1:4" ht="17">
      <c r="A3775" s="4" t="s">
        <v>8440</v>
      </c>
      <c r="B3775" s="4" t="s">
        <v>8441</v>
      </c>
      <c r="C3775" s="4" t="s">
        <v>8442</v>
      </c>
      <c r="D3775" s="1">
        <f>DATE(2020,5,19)+TIME(7,45,38)</f>
        <v>43970.32335648148</v>
      </c>
    </row>
    <row r="3776" spans="1:4" ht="17">
      <c r="A3776" s="5" t="s">
        <v>1551</v>
      </c>
      <c r="B3776" s="5" t="s">
        <v>8150</v>
      </c>
      <c r="C3776" s="5" t="s">
        <v>8151</v>
      </c>
      <c r="D3776" s="2">
        <f>DATE(2020,6,17)+TIME(9,7,23)</f>
        <v>43999.380127314813</v>
      </c>
    </row>
    <row r="3777" spans="1:4" ht="17">
      <c r="A3777" s="4" t="s">
        <v>1551</v>
      </c>
      <c r="B3777" s="4" t="s">
        <v>1552</v>
      </c>
      <c r="C3777" s="4" t="s">
        <v>1553</v>
      </c>
      <c r="D3777" s="1">
        <f>DATE(2020,6,17)+TIME(15,32,43)</f>
        <v>43999.647719907407</v>
      </c>
    </row>
    <row r="3778" spans="1:4" ht="17">
      <c r="A3778" s="5" t="s">
        <v>2856</v>
      </c>
      <c r="B3778" s="5" t="s">
        <v>2857</v>
      </c>
      <c r="C3778" s="5" t="s">
        <v>2858</v>
      </c>
      <c r="D3778" s="2">
        <f>DATE(2020,6,24)+TIME(15,26,44)</f>
        <v>44006.643564814818</v>
      </c>
    </row>
    <row r="3779" spans="1:4" ht="17">
      <c r="A3779" s="5" t="s">
        <v>3296</v>
      </c>
      <c r="B3779" s="5" t="s">
        <v>3297</v>
      </c>
      <c r="C3779" s="5" t="s">
        <v>3298</v>
      </c>
      <c r="D3779" s="2">
        <f>DATE(2020,6,13)+TIME(0,54,4)</f>
        <v>43995.037546296298</v>
      </c>
    </row>
    <row r="3780" spans="1:4" ht="17">
      <c r="A3780" s="5" t="s">
        <v>3833</v>
      </c>
      <c r="B3780" s="5" t="s">
        <v>75</v>
      </c>
      <c r="C3780" s="5" t="s">
        <v>3834</v>
      </c>
      <c r="D3780" s="2">
        <f>DATE(2020,5,6)+TIME(8,45,41)</f>
        <v>43957.365057870367</v>
      </c>
    </row>
    <row r="3781" spans="1:4" ht="17">
      <c r="A3781" s="4" t="s">
        <v>4093</v>
      </c>
      <c r="B3781" s="4" t="s">
        <v>4094</v>
      </c>
      <c r="C3781" s="4" t="s">
        <v>4095</v>
      </c>
      <c r="D3781" s="1">
        <f>DATE(2020,5,20)+TIME(13,46,23)</f>
        <v>43971.573877314811</v>
      </c>
    </row>
    <row r="3782" spans="1:4" ht="17">
      <c r="A3782" s="4" t="s">
        <v>8304</v>
      </c>
      <c r="B3782" s="4" t="s">
        <v>8305</v>
      </c>
      <c r="C3782" s="4" t="s">
        <v>8306</v>
      </c>
      <c r="D3782" s="1">
        <f>DATE(2020,6,4)+TIME(9,30,11)</f>
        <v>43986.395960648151</v>
      </c>
    </row>
    <row r="3783" spans="1:4" ht="17">
      <c r="A3783" s="5" t="s">
        <v>1304</v>
      </c>
      <c r="B3783" s="5" t="s">
        <v>1305</v>
      </c>
      <c r="C3783" s="5" t="s">
        <v>1306</v>
      </c>
      <c r="D3783" s="2">
        <f>DATE(2020,6,20)+TIME(12,39,7)</f>
        <v>44002.52716435185</v>
      </c>
    </row>
    <row r="3784" spans="1:4" ht="17">
      <c r="A3784" s="5" t="s">
        <v>6751</v>
      </c>
      <c r="B3784" s="5" t="s">
        <v>6752</v>
      </c>
      <c r="C3784" s="5" t="s">
        <v>6753</v>
      </c>
      <c r="D3784" s="2">
        <f>DATE(2020,6,28)+TIME(10,54,16)</f>
        <v>44010.454351851855</v>
      </c>
    </row>
    <row r="3785" spans="1:4" ht="34">
      <c r="A3785" s="5" t="s">
        <v>1578</v>
      </c>
      <c r="B3785" s="5" t="s">
        <v>1579</v>
      </c>
      <c r="C3785" s="5" t="s">
        <v>1580</v>
      </c>
      <c r="D3785" s="2">
        <f>DATE(2020,6,24)+TIME(10,10,28)</f>
        <v>44006.423935185187</v>
      </c>
    </row>
    <row r="3786" spans="1:4" ht="17">
      <c r="A3786" s="4" t="s">
        <v>7704</v>
      </c>
      <c r="B3786" s="4" t="s">
        <v>7705</v>
      </c>
      <c r="C3786" s="4" t="s">
        <v>7706</v>
      </c>
      <c r="D3786" s="1">
        <f>DATE(2020,6,4)+TIME(10,19,23)</f>
        <v>43986.430127314816</v>
      </c>
    </row>
    <row r="3787" spans="1:4" ht="17">
      <c r="A3787" s="5" t="s">
        <v>7704</v>
      </c>
      <c r="B3787" s="5" t="s">
        <v>8844</v>
      </c>
      <c r="C3787" s="5" t="s">
        <v>8845</v>
      </c>
      <c r="D3787" s="2">
        <f>DATE(2020,6,25)+TIME(21,3,45)</f>
        <v>44007.877604166664</v>
      </c>
    </row>
    <row r="3788" spans="1:4" ht="17">
      <c r="A3788" s="4" t="s">
        <v>7340</v>
      </c>
      <c r="B3788" s="4" t="s">
        <v>7341</v>
      </c>
      <c r="C3788" s="4" t="s">
        <v>7342</v>
      </c>
      <c r="D3788" s="1">
        <f>DATE(2020,6,26)+TIME(12,21,3)</f>
        <v>44008.514618055553</v>
      </c>
    </row>
    <row r="3789" spans="1:4" ht="17">
      <c r="A3789" s="5" t="s">
        <v>8539</v>
      </c>
      <c r="B3789" s="5" t="s">
        <v>8540</v>
      </c>
      <c r="C3789" s="5" t="s">
        <v>8541</v>
      </c>
      <c r="D3789" s="2">
        <f>DATE(2020,6,25)+TIME(4,9,59)</f>
        <v>44007.17359953704</v>
      </c>
    </row>
    <row r="3790" spans="1:4" ht="17">
      <c r="A3790" s="5" t="s">
        <v>8396</v>
      </c>
      <c r="B3790" s="5" t="s">
        <v>8397</v>
      </c>
      <c r="C3790" s="5" t="s">
        <v>8398</v>
      </c>
      <c r="D3790" s="2">
        <f>DATE(2020,6,29)+TIME(11,52,12)</f>
        <v>44011.494583333333</v>
      </c>
    </row>
    <row r="3791" spans="1:4" ht="17">
      <c r="A3791" s="4" t="s">
        <v>4905</v>
      </c>
      <c r="B3791" s="4" t="s">
        <v>4906</v>
      </c>
      <c r="C3791" s="4" t="s">
        <v>4907</v>
      </c>
      <c r="D3791" s="1">
        <f>DATE(2020,6,24)+TIME(21,33,43)</f>
        <v>44006.898414351854</v>
      </c>
    </row>
    <row r="3792" spans="1:4" ht="17">
      <c r="A3792" s="5" t="s">
        <v>5722</v>
      </c>
      <c r="B3792" s="5" t="s">
        <v>5723</v>
      </c>
      <c r="C3792" s="5" t="s">
        <v>5724</v>
      </c>
      <c r="D3792" s="2">
        <f>DATE(2020,6,23)+TIME(14,15,22)</f>
        <v>44005.594004629631</v>
      </c>
    </row>
    <row r="3793" spans="1:4" ht="17">
      <c r="A3793" s="4" t="s">
        <v>3599</v>
      </c>
      <c r="B3793" s="4" t="s">
        <v>1725</v>
      </c>
      <c r="C3793" s="4" t="s">
        <v>3600</v>
      </c>
      <c r="D3793" s="1">
        <f>DATE(2020,3,28)+TIME(12,27,35)</f>
        <v>43918.519155092596</v>
      </c>
    </row>
    <row r="3794" spans="1:4" ht="17">
      <c r="A3794" s="5" t="s">
        <v>4216</v>
      </c>
      <c r="B3794" s="5" t="s">
        <v>5140</v>
      </c>
      <c r="C3794" s="5" t="s">
        <v>5141</v>
      </c>
      <c r="D3794" s="2">
        <f>DATE(2020,5,4)+TIME(13,43,48)</f>
        <v>43955.572083333333</v>
      </c>
    </row>
    <row r="3795" spans="1:4" ht="17">
      <c r="A3795" s="4" t="s">
        <v>4216</v>
      </c>
      <c r="B3795" s="4" t="s">
        <v>4217</v>
      </c>
      <c r="C3795" s="4" t="s">
        <v>4218</v>
      </c>
      <c r="D3795" s="1">
        <f>DATE(2020,5,15)+TIME(21,9,28)</f>
        <v>43966.881574074076</v>
      </c>
    </row>
    <row r="3796" spans="1:4" ht="17">
      <c r="A3796" s="4" t="s">
        <v>4040</v>
      </c>
      <c r="B3796" s="4" t="s">
        <v>4041</v>
      </c>
      <c r="C3796" s="4" t="s">
        <v>4042</v>
      </c>
      <c r="D3796" s="1">
        <f>DATE(2020,6,28)+TIME(22,48,26)</f>
        <v>44010.950300925928</v>
      </c>
    </row>
    <row r="3797" spans="1:4" ht="17">
      <c r="A3797" s="4" t="s">
        <v>582</v>
      </c>
      <c r="B3797" s="4" t="s">
        <v>583</v>
      </c>
      <c r="C3797" s="4" t="s">
        <v>584</v>
      </c>
      <c r="D3797" s="1">
        <f>DATE(2020,5,11)+TIME(14,49,17)</f>
        <v>43962.61755787037</v>
      </c>
    </row>
    <row r="3798" spans="1:4" ht="17">
      <c r="A3798" s="4" t="s">
        <v>9443</v>
      </c>
      <c r="B3798" s="4" t="s">
        <v>9444</v>
      </c>
      <c r="C3798" s="4" t="s">
        <v>9445</v>
      </c>
      <c r="D3798" s="1">
        <f>DATE(2020,6,22)+TIME(14,49,21)</f>
        <v>44004.617604166669</v>
      </c>
    </row>
    <row r="3799" spans="1:4" ht="17">
      <c r="A3799" s="5" t="s">
        <v>2342</v>
      </c>
      <c r="B3799" s="5" t="s">
        <v>1680</v>
      </c>
      <c r="C3799" s="5" t="s">
        <v>2343</v>
      </c>
      <c r="D3799" s="2">
        <f>DATE(2020,5,28)+TIME(14,9,20)</f>
        <v>43979.589814814812</v>
      </c>
    </row>
    <row r="3800" spans="1:4" ht="17">
      <c r="A3800" s="5" t="s">
        <v>6825</v>
      </c>
      <c r="B3800" s="5" t="s">
        <v>6826</v>
      </c>
      <c r="C3800" s="5" t="s">
        <v>6827</v>
      </c>
      <c r="D3800" s="2">
        <f>DATE(2020,6,24)+TIME(17,3,27)</f>
        <v>44006.710729166669</v>
      </c>
    </row>
    <row r="3801" spans="1:4" ht="17">
      <c r="A3801" s="5" t="s">
        <v>3608</v>
      </c>
      <c r="B3801" s="5" t="s">
        <v>4560</v>
      </c>
      <c r="C3801" s="5" t="s">
        <v>4561</v>
      </c>
      <c r="D3801" s="2">
        <f>DATE(2020,6,25)+TIME(14,42,42)</f>
        <v>44007.612986111111</v>
      </c>
    </row>
    <row r="3802" spans="1:4" ht="17">
      <c r="A3802" s="5" t="s">
        <v>5810</v>
      </c>
      <c r="B3802" s="5" t="s">
        <v>5811</v>
      </c>
      <c r="C3802" s="5" t="s">
        <v>5812</v>
      </c>
      <c r="D3802" s="2">
        <f>DATE(2020,5,19)+TIME(14,7,40)</f>
        <v>43970.58865740741</v>
      </c>
    </row>
    <row r="3803" spans="1:4" ht="17">
      <c r="A3803" s="4" t="s">
        <v>1161</v>
      </c>
      <c r="B3803" s="4" t="s">
        <v>1162</v>
      </c>
      <c r="C3803" s="4" t="s">
        <v>1163</v>
      </c>
      <c r="D3803" s="1">
        <f>DATE(2020,5,21)+TIME(11,11,40)</f>
        <v>43972.466435185182</v>
      </c>
    </row>
    <row r="3804" spans="1:4" ht="17">
      <c r="A3804" s="5" t="s">
        <v>2272</v>
      </c>
      <c r="B3804" s="5" t="s">
        <v>2273</v>
      </c>
      <c r="C3804" s="5" t="s">
        <v>2274</v>
      </c>
      <c r="D3804" s="2">
        <f>DATE(2020,6,23)+TIME(17,18,26)</f>
        <v>44005.721134259256</v>
      </c>
    </row>
    <row r="3805" spans="1:4" ht="17">
      <c r="A3805" s="4" t="s">
        <v>8556</v>
      </c>
      <c r="B3805" s="4" t="s">
        <v>8557</v>
      </c>
      <c r="C3805" s="4" t="s">
        <v>8558</v>
      </c>
      <c r="D3805" s="1">
        <f>DATE(2020,5,8)+TIME(13,50,29)</f>
        <v>43959.576724537037</v>
      </c>
    </row>
    <row r="3806" spans="1:4" ht="17">
      <c r="A3806" s="5" t="s">
        <v>6432</v>
      </c>
      <c r="B3806" s="5" t="s">
        <v>6433</v>
      </c>
      <c r="C3806" s="5" t="s">
        <v>6434</v>
      </c>
      <c r="D3806" s="2">
        <f>DATE(2020,5,28)+TIME(14,2,56)</f>
        <v>43979.585370370369</v>
      </c>
    </row>
    <row r="3807" spans="1:4" ht="17">
      <c r="A3807" s="5" t="s">
        <v>4616</v>
      </c>
      <c r="B3807" s="5" t="s">
        <v>4617</v>
      </c>
      <c r="C3807" s="5" t="s">
        <v>4618</v>
      </c>
      <c r="D3807" s="2">
        <f>DATE(2020,6,18)+TIME(10,25,57)</f>
        <v>44000.434687499997</v>
      </c>
    </row>
    <row r="3808" spans="1:4" ht="17">
      <c r="A3808" s="5" t="s">
        <v>1500</v>
      </c>
      <c r="B3808" s="5" t="s">
        <v>1501</v>
      </c>
      <c r="C3808" s="5" t="s">
        <v>1502</v>
      </c>
      <c r="D3808" s="2">
        <f>DATE(2020,3,30)+TIME(7,15,44)</f>
        <v>43920.30259259259</v>
      </c>
    </row>
    <row r="3809" spans="1:4" ht="17">
      <c r="A3809" s="5" t="s">
        <v>1961</v>
      </c>
      <c r="B3809" s="5" t="s">
        <v>1962</v>
      </c>
      <c r="C3809" s="5" t="s">
        <v>1963</v>
      </c>
      <c r="D3809" s="2">
        <f>DATE(2020,5,15)+TIME(12,42,54)</f>
        <v>43966.529791666668</v>
      </c>
    </row>
    <row r="3810" spans="1:4" ht="17">
      <c r="A3810" s="4" t="s">
        <v>4293</v>
      </c>
      <c r="B3810" s="4" t="s">
        <v>4294</v>
      </c>
      <c r="C3810" s="4" t="s">
        <v>4295</v>
      </c>
      <c r="D3810" s="1">
        <f>DATE(2020,6,17)+TIME(14,20,46)</f>
        <v>43999.597754629627</v>
      </c>
    </row>
    <row r="3811" spans="1:4" ht="17">
      <c r="A3811" s="5" t="s">
        <v>2682</v>
      </c>
      <c r="B3811" s="5" t="s">
        <v>2683</v>
      </c>
      <c r="C3811" s="5" t="s">
        <v>2684</v>
      </c>
      <c r="D3811" s="2">
        <f>DATE(2020,6,22)+TIME(18,3,46)</f>
        <v>44004.752615740741</v>
      </c>
    </row>
    <row r="3812" spans="1:4" ht="17">
      <c r="A3812" s="4" t="s">
        <v>3195</v>
      </c>
      <c r="B3812" s="4" t="s">
        <v>3196</v>
      </c>
      <c r="C3812" s="4" t="s">
        <v>3197</v>
      </c>
      <c r="D3812" s="1">
        <f>DATE(2020,5,13)+TIME(15,53,35)</f>
        <v>43964.662210648145</v>
      </c>
    </row>
    <row r="3813" spans="1:4" ht="17">
      <c r="A3813" s="5" t="s">
        <v>3182</v>
      </c>
      <c r="B3813" s="5" t="s">
        <v>3183</v>
      </c>
      <c r="C3813" s="5" t="s">
        <v>3184</v>
      </c>
      <c r="D3813" s="2">
        <f>DATE(2020,5,15)+TIME(8,52,10)</f>
        <v>43966.369560185187</v>
      </c>
    </row>
    <row r="3814" spans="1:4" ht="17">
      <c r="A3814" s="4" t="s">
        <v>1832</v>
      </c>
      <c r="B3814" s="4" t="s">
        <v>1833</v>
      </c>
      <c r="C3814" s="4" t="s">
        <v>1834</v>
      </c>
      <c r="D3814" s="1">
        <f>DATE(2020,6,26)+TIME(13,15,38)</f>
        <v>44008.552523148152</v>
      </c>
    </row>
    <row r="3815" spans="1:4" ht="17">
      <c r="A3815" s="5" t="s">
        <v>680</v>
      </c>
      <c r="B3815" s="5" t="s">
        <v>681</v>
      </c>
      <c r="C3815" s="5" t="s">
        <v>682</v>
      </c>
      <c r="D3815" s="2">
        <f>DATE(2020,3,27)+TIME(17,48,5)</f>
        <v>43917.741724537038</v>
      </c>
    </row>
    <row r="3816" spans="1:4" ht="17">
      <c r="A3816" s="5" t="s">
        <v>680</v>
      </c>
      <c r="B3816" s="5" t="s">
        <v>4164</v>
      </c>
      <c r="C3816" s="5" t="s">
        <v>4165</v>
      </c>
      <c r="D3816" s="2">
        <f>DATE(2020,6,19)+TIME(10,27,29)</f>
        <v>44001.435752314814</v>
      </c>
    </row>
    <row r="3817" spans="1:4" ht="17">
      <c r="A3817" s="4" t="s">
        <v>680</v>
      </c>
      <c r="B3817" s="4" t="s">
        <v>938</v>
      </c>
      <c r="C3817" s="4" t="s">
        <v>939</v>
      </c>
      <c r="D3817" s="1">
        <f>DATE(2020,6,20)+TIME(20,34,49)</f>
        <v>44002.857511574075</v>
      </c>
    </row>
    <row r="3818" spans="1:4" ht="17">
      <c r="A3818" s="4" t="s">
        <v>680</v>
      </c>
      <c r="B3818" s="4" t="s">
        <v>5272</v>
      </c>
      <c r="C3818" s="4" t="s">
        <v>5273</v>
      </c>
      <c r="D3818" s="1">
        <f>DATE(2020,6,22)+TIME(4,17,21)</f>
        <v>44004.178715277776</v>
      </c>
    </row>
    <row r="3819" spans="1:4" ht="17">
      <c r="A3819" s="4" t="s">
        <v>680</v>
      </c>
      <c r="B3819" s="4" t="s">
        <v>3583</v>
      </c>
      <c r="C3819" s="4" t="s">
        <v>3584</v>
      </c>
      <c r="D3819" s="1">
        <f>DATE(2020,6,26)+TIME(13,27,48)</f>
        <v>44008.560972222222</v>
      </c>
    </row>
    <row r="3820" spans="1:4" ht="17">
      <c r="A3820" s="4" t="s">
        <v>680</v>
      </c>
      <c r="B3820" s="4" t="s">
        <v>4853</v>
      </c>
      <c r="C3820" s="4" t="s">
        <v>4854</v>
      </c>
      <c r="D3820" s="1">
        <f>DATE(2020,6,26)+TIME(23,23,25)</f>
        <v>44008.974594907406</v>
      </c>
    </row>
    <row r="3821" spans="1:4" ht="17">
      <c r="A3821" s="4" t="s">
        <v>655</v>
      </c>
      <c r="B3821" s="4" t="s">
        <v>656</v>
      </c>
      <c r="C3821" s="4" t="s">
        <v>657</v>
      </c>
      <c r="D3821" s="1">
        <f>DATE(2020,6,27)+TIME(18,37,35)</f>
        <v>44009.776099537034</v>
      </c>
    </row>
    <row r="3822" spans="1:4" ht="17">
      <c r="A3822" s="5" t="s">
        <v>680</v>
      </c>
      <c r="B3822" s="5" t="s">
        <v>1296</v>
      </c>
      <c r="C3822" s="5" t="s">
        <v>9182</v>
      </c>
      <c r="D3822" s="2">
        <f>DATE(2020,6,29)+TIME(11,16,42)</f>
        <v>44011.469930555555</v>
      </c>
    </row>
    <row r="3823" spans="1:4" ht="17">
      <c r="A3823" s="4" t="s">
        <v>8711</v>
      </c>
      <c r="B3823" s="4" t="s">
        <v>8712</v>
      </c>
      <c r="C3823" s="4" t="s">
        <v>8713</v>
      </c>
      <c r="D3823" s="1">
        <f>DATE(2020,6,5)+TIME(14,45,54)</f>
        <v>43987.615208333336</v>
      </c>
    </row>
    <row r="3824" spans="1:4" ht="17">
      <c r="A3824" s="5" t="s">
        <v>5840</v>
      </c>
      <c r="B3824" s="5" t="s">
        <v>109</v>
      </c>
      <c r="C3824" s="5" t="s">
        <v>5841</v>
      </c>
      <c r="D3824" s="2">
        <f>DATE(2020,6,13)+TIME(7,23,7)</f>
        <v>43995.307719907411</v>
      </c>
    </row>
    <row r="3825" spans="1:4" ht="17">
      <c r="A3825" s="5" t="s">
        <v>2834</v>
      </c>
      <c r="B3825" s="5" t="s">
        <v>2835</v>
      </c>
      <c r="C3825" s="5" t="s">
        <v>2836</v>
      </c>
      <c r="D3825" s="2">
        <f>DATE(2020,6,17)+TIME(18,36,21)</f>
        <v>43999.775243055556</v>
      </c>
    </row>
    <row r="3826" spans="1:4" ht="17">
      <c r="A3826" s="4" t="s">
        <v>2045</v>
      </c>
      <c r="B3826" s="4" t="s">
        <v>2046</v>
      </c>
      <c r="C3826" s="4" t="s">
        <v>2047</v>
      </c>
      <c r="D3826" s="1">
        <f>DATE(2020,6,27)+TIME(7,18,31)</f>
        <v>44009.304525462961</v>
      </c>
    </row>
    <row r="3827" spans="1:4" ht="17">
      <c r="A3827" s="5" t="s">
        <v>6092</v>
      </c>
      <c r="B3827" s="5" t="s">
        <v>6093</v>
      </c>
      <c r="C3827" s="5" t="s">
        <v>6094</v>
      </c>
      <c r="D3827" s="2">
        <f>DATE(2020,5,13)+TIME(20,8,36)</f>
        <v>43964.839305555557</v>
      </c>
    </row>
    <row r="3828" spans="1:4" ht="17">
      <c r="A3828" s="5" t="s">
        <v>5758</v>
      </c>
      <c r="B3828" s="5" t="s">
        <v>5759</v>
      </c>
      <c r="C3828" s="5" t="s">
        <v>5760</v>
      </c>
      <c r="D3828" s="2">
        <f>DATE(2020,6,29)+TIME(13,19,29)</f>
        <v>44011.555196759262</v>
      </c>
    </row>
    <row r="3829" spans="1:4" ht="17">
      <c r="A3829" s="4" t="s">
        <v>1488</v>
      </c>
      <c r="B3829" s="4" t="s">
        <v>1489</v>
      </c>
      <c r="C3829" s="4" t="s">
        <v>1490</v>
      </c>
      <c r="D3829" s="1">
        <f>DATE(2020,6,8)+TIME(20,30,13)</f>
        <v>43990.854317129626</v>
      </c>
    </row>
    <row r="3830" spans="1:4" ht="17">
      <c r="A3830" s="5" t="s">
        <v>7690</v>
      </c>
      <c r="B3830" s="5" t="s">
        <v>7691</v>
      </c>
      <c r="C3830" s="5" t="s">
        <v>7692</v>
      </c>
      <c r="D3830" s="2">
        <f>DATE(2020,5,7)+TIME(6,35,37)</f>
        <v>43958.274733796294</v>
      </c>
    </row>
    <row r="3831" spans="1:4" ht="17">
      <c r="A3831" s="5" t="s">
        <v>7690</v>
      </c>
      <c r="B3831" s="5" t="s">
        <v>8802</v>
      </c>
      <c r="C3831" s="5" t="s">
        <v>8803</v>
      </c>
      <c r="D3831" s="2">
        <f>DATE(2020,6,5)+TIME(10,24,26)</f>
        <v>43987.433634259258</v>
      </c>
    </row>
    <row r="3832" spans="1:4" ht="17">
      <c r="A3832" s="4" t="s">
        <v>5889</v>
      </c>
      <c r="B3832" s="4" t="s">
        <v>2648</v>
      </c>
      <c r="C3832" s="4" t="s">
        <v>5890</v>
      </c>
      <c r="D3832" s="1">
        <f>DATE(2020,6,23)+TIME(14,35,15)</f>
        <v>44005.607812499999</v>
      </c>
    </row>
    <row r="3833" spans="1:4" ht="17">
      <c r="A3833" s="4" t="s">
        <v>1450</v>
      </c>
      <c r="B3833" s="4" t="s">
        <v>1451</v>
      </c>
      <c r="C3833" s="4" t="s">
        <v>1452</v>
      </c>
      <c r="D3833" s="1">
        <f>DATE(2020,5,13)+TIME(13,14,18)</f>
        <v>43964.55159722222</v>
      </c>
    </row>
    <row r="3834" spans="1:4" ht="17">
      <c r="A3834" s="4" t="s">
        <v>1249</v>
      </c>
      <c r="B3834" s="4" t="s">
        <v>8109</v>
      </c>
      <c r="C3834" s="4" t="s">
        <v>8110</v>
      </c>
      <c r="D3834" s="1">
        <f>DATE(2020,6,24)+TIME(9,2,7)</f>
        <v>44006.376469907409</v>
      </c>
    </row>
    <row r="3835" spans="1:4" ht="17">
      <c r="A3835" s="4" t="s">
        <v>1249</v>
      </c>
      <c r="B3835" s="4" t="s">
        <v>1250</v>
      </c>
      <c r="C3835" s="4" t="s">
        <v>1251</v>
      </c>
      <c r="D3835" s="1">
        <f>DATE(2020,6,26)+TIME(14,51,12)</f>
        <v>44008.618888888886</v>
      </c>
    </row>
    <row r="3836" spans="1:4" ht="17">
      <c r="A3836" s="4" t="s">
        <v>1249</v>
      </c>
      <c r="B3836" s="4" t="s">
        <v>6763</v>
      </c>
      <c r="C3836" s="4" t="s">
        <v>6764</v>
      </c>
      <c r="D3836" s="1">
        <f>DATE(2020,6,27)+TIME(18,52,6)</f>
        <v>44009.786180555559</v>
      </c>
    </row>
    <row r="3837" spans="1:4" ht="17">
      <c r="A3837" s="5" t="s">
        <v>2846</v>
      </c>
      <c r="B3837" s="5" t="s">
        <v>2847</v>
      </c>
      <c r="C3837" s="5" t="s">
        <v>2848</v>
      </c>
      <c r="D3837" s="2">
        <f>DATE(2020,6,19)+TIME(8,54,20)</f>
        <v>44001.371064814812</v>
      </c>
    </row>
    <row r="3838" spans="1:4" ht="17">
      <c r="A3838" s="5" t="s">
        <v>1618</v>
      </c>
      <c r="B3838" s="5" t="s">
        <v>1619</v>
      </c>
      <c r="C3838" s="5" t="s">
        <v>1620</v>
      </c>
      <c r="D3838" s="2">
        <f>DATE(2020,6,2)+TIME(11,14,3)</f>
        <v>43984.468090277776</v>
      </c>
    </row>
    <row r="3839" spans="1:4" ht="17">
      <c r="A3839" s="4" t="s">
        <v>5711</v>
      </c>
      <c r="B3839" s="4" t="s">
        <v>571</v>
      </c>
      <c r="C3839" s="4" t="s">
        <v>5712</v>
      </c>
      <c r="D3839" s="1">
        <f>DATE(2020,4,1)+TIME(1,13,9)</f>
        <v>43922.050798611112</v>
      </c>
    </row>
    <row r="3840" spans="1:4" ht="17">
      <c r="A3840" s="4" t="s">
        <v>4070</v>
      </c>
      <c r="B3840" s="4" t="s">
        <v>4071</v>
      </c>
      <c r="C3840" s="4" t="s">
        <v>4072</v>
      </c>
      <c r="D3840" s="1">
        <f>DATE(2020,6,2)+TIME(16,4,4)</f>
        <v>43984.669490740744</v>
      </c>
    </row>
    <row r="3841" spans="1:4" ht="17">
      <c r="A3841" s="4" t="s">
        <v>3858</v>
      </c>
      <c r="B3841" s="4" t="s">
        <v>3859</v>
      </c>
      <c r="C3841" s="4" t="s">
        <v>3860</v>
      </c>
      <c r="D3841" s="1">
        <f>DATE(2020,3,5)+TIME(11,52,45)</f>
        <v>43895.49496527778</v>
      </c>
    </row>
    <row r="3842" spans="1:4" ht="17">
      <c r="A3842" s="4" t="s">
        <v>108</v>
      </c>
      <c r="B3842" s="4" t="s">
        <v>109</v>
      </c>
      <c r="C3842" s="4" t="s">
        <v>110</v>
      </c>
      <c r="D3842" s="1">
        <f>DATE(2020,6,27)+TIME(18,49,45)</f>
        <v>44009.784548611111</v>
      </c>
    </row>
    <row r="3843" spans="1:4" ht="17">
      <c r="A3843" s="5" t="s">
        <v>8807</v>
      </c>
      <c r="B3843" s="5" t="s">
        <v>8808</v>
      </c>
      <c r="C3843" s="5" t="s">
        <v>8809</v>
      </c>
      <c r="D3843" s="2">
        <f>DATE(2020,6,18)+TIME(23,39,14)</f>
        <v>44000.985578703701</v>
      </c>
    </row>
    <row r="3844" spans="1:4" ht="17">
      <c r="A3844" s="4" t="s">
        <v>6389</v>
      </c>
      <c r="B3844" s="4" t="s">
        <v>6390</v>
      </c>
      <c r="C3844" s="4" t="s">
        <v>6391</v>
      </c>
      <c r="D3844" s="1">
        <f>DATE(2020,6,24)+TIME(1,56,26)</f>
        <v>44006.08085648148</v>
      </c>
    </row>
    <row r="3845" spans="1:4" ht="17">
      <c r="A3845" s="5" t="s">
        <v>7591</v>
      </c>
      <c r="B3845" s="5" t="s">
        <v>7592</v>
      </c>
      <c r="C3845" s="5" t="s">
        <v>7593</v>
      </c>
      <c r="D3845" s="2">
        <f>DATE(2020,6,29)+TIME(12,30,24)</f>
        <v>44011.521111111113</v>
      </c>
    </row>
    <row r="3846" spans="1:4" ht="17">
      <c r="A3846" s="5" t="s">
        <v>8984</v>
      </c>
      <c r="B3846" s="5" t="s">
        <v>8985</v>
      </c>
      <c r="C3846" s="5" t="s">
        <v>8986</v>
      </c>
      <c r="D3846" s="2">
        <f>DATE(2020,6,28)+TIME(22,22,7)</f>
        <v>44010.932025462964</v>
      </c>
    </row>
    <row r="3847" spans="1:4" ht="17">
      <c r="A3847" s="4" t="s">
        <v>2200</v>
      </c>
      <c r="B3847" s="4" t="s">
        <v>2201</v>
      </c>
      <c r="C3847" s="4" t="s">
        <v>2202</v>
      </c>
      <c r="D3847" s="1">
        <f>DATE(2020,6,4)+TIME(3,41,32)</f>
        <v>43986.15384259259</v>
      </c>
    </row>
    <row r="3848" spans="1:4" ht="17">
      <c r="A3848" s="4" t="s">
        <v>6458</v>
      </c>
      <c r="B3848" s="4" t="s">
        <v>6459</v>
      </c>
      <c r="C3848" s="4" t="s">
        <v>6460</v>
      </c>
      <c r="D3848" s="1">
        <f>DATE(2020,6,19)+TIME(12,20,56)</f>
        <v>44001.514537037037</v>
      </c>
    </row>
    <row r="3849" spans="1:4" ht="17">
      <c r="A3849" s="4" t="s">
        <v>8187</v>
      </c>
      <c r="B3849" s="4" t="s">
        <v>8188</v>
      </c>
      <c r="C3849" s="4" t="s">
        <v>8189</v>
      </c>
      <c r="D3849" s="1">
        <f>DATE(2020,6,29)+TIME(2,41,45)</f>
        <v>44011.112326388888</v>
      </c>
    </row>
    <row r="3850" spans="1:4" ht="17">
      <c r="A3850" s="4" t="s">
        <v>3358</v>
      </c>
      <c r="B3850" s="4" t="s">
        <v>2758</v>
      </c>
      <c r="C3850" s="4" t="s">
        <v>3359</v>
      </c>
      <c r="D3850" s="1">
        <f>DATE(2020,6,10)+TIME(21,40,19)</f>
        <v>43992.902997685182</v>
      </c>
    </row>
    <row r="3851" spans="1:4" ht="17">
      <c r="A3851" s="5" t="s">
        <v>7632</v>
      </c>
      <c r="B3851" s="5" t="s">
        <v>7633</v>
      </c>
      <c r="C3851" s="5" t="s">
        <v>7634</v>
      </c>
      <c r="D3851" s="2">
        <f>DATE(2020,6,24)+TIME(13,48,52)</f>
        <v>44006.575601851851</v>
      </c>
    </row>
    <row r="3852" spans="1:4" ht="17">
      <c r="A3852" s="5" t="s">
        <v>764</v>
      </c>
      <c r="B3852" s="5" t="s">
        <v>2760</v>
      </c>
      <c r="C3852" s="5" t="s">
        <v>2761</v>
      </c>
      <c r="D3852" s="2">
        <f>DATE(2020,5,22)+TIME(4,6,19)</f>
        <v>43973.171053240738</v>
      </c>
    </row>
    <row r="3853" spans="1:4" ht="17">
      <c r="A3853" s="5" t="s">
        <v>764</v>
      </c>
      <c r="B3853" s="5" t="s">
        <v>3666</v>
      </c>
      <c r="C3853" s="5" t="s">
        <v>3667</v>
      </c>
      <c r="D3853" s="2">
        <f>DATE(2020,5,22)+TIME(15,22,18)</f>
        <v>43973.640486111108</v>
      </c>
    </row>
    <row r="3854" spans="1:4" ht="17">
      <c r="A3854" s="5" t="s">
        <v>764</v>
      </c>
      <c r="B3854" s="5" t="s">
        <v>5458</v>
      </c>
      <c r="C3854" s="5" t="s">
        <v>5459</v>
      </c>
      <c r="D3854" s="2">
        <f>DATE(2020,6,8)+TIME(11,5,13)</f>
        <v>43990.461956018517</v>
      </c>
    </row>
    <row r="3855" spans="1:4" ht="17">
      <c r="A3855" s="5" t="s">
        <v>764</v>
      </c>
      <c r="B3855" s="5" t="s">
        <v>5962</v>
      </c>
      <c r="C3855" s="5" t="s">
        <v>5963</v>
      </c>
      <c r="D3855" s="2">
        <f>DATE(2020,6,18)+TIME(7,41,24)</f>
        <v>44000.320416666669</v>
      </c>
    </row>
    <row r="3856" spans="1:4" ht="17">
      <c r="A3856" s="4" t="s">
        <v>764</v>
      </c>
      <c r="B3856" s="4" t="s">
        <v>765</v>
      </c>
      <c r="C3856" s="4" t="s">
        <v>766</v>
      </c>
      <c r="D3856" s="1">
        <f>DATE(2020,6,24)+TIME(17,3,27)</f>
        <v>44006.710729166669</v>
      </c>
    </row>
    <row r="3857" spans="1:4" ht="17">
      <c r="A3857" s="5" t="s">
        <v>4803</v>
      </c>
      <c r="B3857" s="5" t="s">
        <v>4804</v>
      </c>
      <c r="C3857" s="5" t="s">
        <v>4805</v>
      </c>
      <c r="D3857" s="2">
        <f>DATE(2020,6,26)+TIME(9,24,45)</f>
        <v>44008.392187500001</v>
      </c>
    </row>
    <row r="3858" spans="1:4" ht="17">
      <c r="A3858" s="4" t="s">
        <v>6552</v>
      </c>
      <c r="B3858" s="4" t="s">
        <v>6553</v>
      </c>
      <c r="C3858" s="4" t="s">
        <v>6554</v>
      </c>
      <c r="D3858" s="1">
        <f>DATE(2020,6,25)+TIME(7,8,2)</f>
        <v>44007.29724537037</v>
      </c>
    </row>
    <row r="3859" spans="1:4" ht="17">
      <c r="A3859" s="4" t="s">
        <v>3916</v>
      </c>
      <c r="B3859" s="4" t="s">
        <v>3917</v>
      </c>
      <c r="C3859" s="4" t="s">
        <v>3918</v>
      </c>
      <c r="D3859" s="1">
        <f>DATE(2020,6,26)+TIME(14,45,20)</f>
        <v>44008.614814814813</v>
      </c>
    </row>
    <row r="3860" spans="1:4" ht="17">
      <c r="A3860" s="5" t="s">
        <v>3823</v>
      </c>
      <c r="B3860" s="5" t="s">
        <v>3824</v>
      </c>
      <c r="C3860" s="5" t="s">
        <v>3825</v>
      </c>
      <c r="D3860" s="2">
        <f>DATE(2020,5,7)+TIME(11,32,59)</f>
        <v>43958.481238425928</v>
      </c>
    </row>
    <row r="3861" spans="1:4" ht="17">
      <c r="A3861" s="5" t="s">
        <v>2511</v>
      </c>
      <c r="B3861" s="5" t="s">
        <v>2512</v>
      </c>
      <c r="C3861" s="5" t="s">
        <v>2513</v>
      </c>
      <c r="D3861" s="2">
        <f>DATE(2020,3,27)+TIME(15,10,8)</f>
        <v>43917.632037037038</v>
      </c>
    </row>
    <row r="3862" spans="1:4" ht="17">
      <c r="A3862" s="5" t="s">
        <v>3221</v>
      </c>
      <c r="B3862" s="5" t="s">
        <v>944</v>
      </c>
      <c r="C3862" s="5" t="s">
        <v>3222</v>
      </c>
      <c r="D3862" s="2">
        <f>DATE(2020,6,5)+TIME(12,6,21)</f>
        <v>43987.50440972222</v>
      </c>
    </row>
    <row r="3863" spans="1:4" ht="17">
      <c r="A3863" s="5" t="s">
        <v>3540</v>
      </c>
      <c r="B3863" s="5" t="s">
        <v>3541</v>
      </c>
      <c r="C3863" s="5" t="s">
        <v>3542</v>
      </c>
      <c r="D3863" s="2">
        <f>DATE(2020,6,16)+TIME(11,53,16)</f>
        <v>43998.495324074072</v>
      </c>
    </row>
    <row r="3864" spans="1:4" ht="17">
      <c r="A3864" s="5" t="s">
        <v>6660</v>
      </c>
      <c r="B3864" s="5" t="s">
        <v>6661</v>
      </c>
      <c r="C3864" s="5" t="s">
        <v>6662</v>
      </c>
      <c r="D3864" s="2">
        <f>DATE(2020,6,25)+TIME(4,23,48)</f>
        <v>44007.183194444442</v>
      </c>
    </row>
    <row r="3865" spans="1:4" ht="17">
      <c r="A3865" s="4" t="s">
        <v>704</v>
      </c>
      <c r="B3865" s="4" t="s">
        <v>8234</v>
      </c>
      <c r="C3865" s="4" t="s">
        <v>8235</v>
      </c>
      <c r="D3865" s="1">
        <f>DATE(2020,5,28)+TIME(15,1,2)</f>
        <v>43979.625717592593</v>
      </c>
    </row>
    <row r="3866" spans="1:4" ht="17">
      <c r="A3866" s="5" t="s">
        <v>3980</v>
      </c>
      <c r="B3866" s="5" t="s">
        <v>3981</v>
      </c>
      <c r="C3866" s="5" t="s">
        <v>3982</v>
      </c>
      <c r="D3866" s="2">
        <f>DATE(2020,6,29)+TIME(9,38,31)</f>
        <v>44011.401747685188</v>
      </c>
    </row>
    <row r="3867" spans="1:4" ht="17">
      <c r="A3867" s="5" t="s">
        <v>5199</v>
      </c>
      <c r="B3867" s="5" t="s">
        <v>2328</v>
      </c>
      <c r="C3867" s="5" t="s">
        <v>5200</v>
      </c>
      <c r="D3867" s="2">
        <f>DATE(2020,5,27)+TIME(5,57,56)</f>
        <v>43978.248564814814</v>
      </c>
    </row>
    <row r="3868" spans="1:4" ht="17">
      <c r="A3868" s="4" t="s">
        <v>5199</v>
      </c>
      <c r="B3868" s="4" t="s">
        <v>5199</v>
      </c>
      <c r="C3868" s="4" t="s">
        <v>7543</v>
      </c>
      <c r="D3868" s="1">
        <f>DATE(2020,5,28)+TIME(17,21,5)</f>
        <v>43979.722974537035</v>
      </c>
    </row>
    <row r="3869" spans="1:4" ht="17">
      <c r="A3869" s="5" t="s">
        <v>7245</v>
      </c>
      <c r="B3869" s="5" t="s">
        <v>7246</v>
      </c>
      <c r="C3869" s="5" t="s">
        <v>7247</v>
      </c>
      <c r="D3869" s="2">
        <f>DATE(2020,6,24)+TIME(11,47,1)</f>
        <v>44006.490983796299</v>
      </c>
    </row>
    <row r="3870" spans="1:4" ht="17">
      <c r="A3870" s="5" t="s">
        <v>3774</v>
      </c>
      <c r="B3870" s="5" t="s">
        <v>3775</v>
      </c>
      <c r="C3870" s="5" t="s">
        <v>3776</v>
      </c>
      <c r="D3870" s="2">
        <f>DATE(2020,6,25)+TIME(13,1,16)</f>
        <v>44007.542546296296</v>
      </c>
    </row>
    <row r="3871" spans="1:4" ht="17">
      <c r="A3871" s="5" t="s">
        <v>321</v>
      </c>
      <c r="B3871" s="5" t="s">
        <v>322</v>
      </c>
      <c r="C3871" s="5" t="s">
        <v>323</v>
      </c>
      <c r="D3871" s="2">
        <f>DATE(2020,5,6)+TIME(2,52,50)</f>
        <v>43957.120023148149</v>
      </c>
    </row>
    <row r="3872" spans="1:4" ht="17">
      <c r="A3872" s="4" t="s">
        <v>5363</v>
      </c>
      <c r="B3872" s="4" t="s">
        <v>5364</v>
      </c>
      <c r="C3872" s="4" t="s">
        <v>5365</v>
      </c>
      <c r="D3872" s="1">
        <f>DATE(2020,6,25)+TIME(15,16,37)</f>
        <v>44007.63653935185</v>
      </c>
    </row>
    <row r="3873" spans="1:4" ht="17">
      <c r="A3873" s="4" t="s">
        <v>1324</v>
      </c>
      <c r="B3873" s="4" t="s">
        <v>1008</v>
      </c>
      <c r="C3873" s="4" t="s">
        <v>1325</v>
      </c>
      <c r="D3873" s="1">
        <f>DATE(2020,5,6)+TIME(0,23,6)</f>
        <v>43957.016041666669</v>
      </c>
    </row>
    <row r="3874" spans="1:4" ht="17">
      <c r="A3874" s="5" t="s">
        <v>9115</v>
      </c>
      <c r="B3874" s="5" t="s">
        <v>4583</v>
      </c>
      <c r="C3874" s="5" t="s">
        <v>9116</v>
      </c>
      <c r="D3874" s="2">
        <f>DATE(2020,6,24)+TIME(17,53,38)</f>
        <v>44006.745578703703</v>
      </c>
    </row>
    <row r="3875" spans="1:4" ht="17">
      <c r="A3875" s="5" t="s">
        <v>7872</v>
      </c>
      <c r="B3875" s="5" t="s">
        <v>404</v>
      </c>
      <c r="C3875" s="5" t="s">
        <v>7873</v>
      </c>
      <c r="D3875" s="2">
        <f>DATE(2020,6,28)+TIME(8,42,20)</f>
        <v>44010.36273148148</v>
      </c>
    </row>
    <row r="3876" spans="1:4" ht="17">
      <c r="A3876" s="4" t="s">
        <v>9368</v>
      </c>
      <c r="B3876" s="4" t="s">
        <v>2787</v>
      </c>
      <c r="C3876" s="4" t="s">
        <v>9369</v>
      </c>
      <c r="D3876" s="1">
        <f>DATE(2020,6,25)+TIME(13,56,26)</f>
        <v>44007.58085648148</v>
      </c>
    </row>
    <row r="3877" spans="1:4" ht="17">
      <c r="A3877" s="4" t="s">
        <v>3218</v>
      </c>
      <c r="B3877" s="4" t="s">
        <v>3219</v>
      </c>
      <c r="C3877" s="4" t="s">
        <v>3220</v>
      </c>
      <c r="D3877" s="1">
        <f>DATE(2020,6,25)+TIME(10,27,36)</f>
        <v>44007.435833333337</v>
      </c>
    </row>
    <row r="3878" spans="1:4" ht="17">
      <c r="A3878" s="5" t="s">
        <v>5004</v>
      </c>
      <c r="B3878" s="5" t="s">
        <v>5005</v>
      </c>
      <c r="C3878" s="5" t="s">
        <v>5006</v>
      </c>
      <c r="D3878" s="2">
        <f>DATE(2020,5,7)+TIME(12,18,52)</f>
        <v>43958.513101851851</v>
      </c>
    </row>
    <row r="3879" spans="1:4" ht="17">
      <c r="A3879" s="4" t="s">
        <v>4700</v>
      </c>
      <c r="B3879" s="4" t="s">
        <v>4701</v>
      </c>
      <c r="C3879" s="4" t="s">
        <v>4702</v>
      </c>
      <c r="D3879" s="1">
        <f>DATE(2020,6,25)+TIME(15,51,43)</f>
        <v>44007.660914351851</v>
      </c>
    </row>
    <row r="3880" spans="1:4" ht="17">
      <c r="A3880" s="4" t="s">
        <v>4700</v>
      </c>
      <c r="B3880" s="4" t="s">
        <v>4909</v>
      </c>
      <c r="C3880" s="4" t="s">
        <v>4910</v>
      </c>
      <c r="D3880" s="1">
        <f>DATE(2020,6,27)+TIME(11,10,13)</f>
        <v>44009.465428240743</v>
      </c>
    </row>
    <row r="3881" spans="1:4" ht="17">
      <c r="A3881" s="5" t="s">
        <v>5152</v>
      </c>
      <c r="B3881" s="5" t="s">
        <v>5153</v>
      </c>
      <c r="C3881" s="5" t="s">
        <v>5154</v>
      </c>
      <c r="D3881" s="2">
        <f>DATE(2020,5,5)+TIME(15,29,47)</f>
        <v>43956.645682870374</v>
      </c>
    </row>
    <row r="3882" spans="1:4" ht="17">
      <c r="A3882" s="5" t="s">
        <v>5322</v>
      </c>
      <c r="B3882" s="5" t="s">
        <v>5323</v>
      </c>
      <c r="C3882" s="5" t="s">
        <v>5324</v>
      </c>
      <c r="D3882" s="2">
        <f>DATE(2020,6,26)+TIME(19,4,34)</f>
        <v>44008.79483796296</v>
      </c>
    </row>
    <row r="3883" spans="1:4" ht="17">
      <c r="A3883" s="5" t="s">
        <v>2407</v>
      </c>
      <c r="B3883" s="5" t="s">
        <v>2408</v>
      </c>
      <c r="C3883" s="5" t="s">
        <v>2409</v>
      </c>
      <c r="D3883" s="2">
        <f>DATE(2020,6,27)+TIME(5,59,18)</f>
        <v>44009.249513888892</v>
      </c>
    </row>
    <row r="3884" spans="1:4" ht="17">
      <c r="A3884" s="5" t="s">
        <v>4534</v>
      </c>
      <c r="B3884" s="5" t="s">
        <v>4535</v>
      </c>
      <c r="C3884" s="5" t="s">
        <v>4536</v>
      </c>
      <c r="D3884" s="2">
        <f>DATE(2020,6,3)+TIME(14,28,27)</f>
        <v>43985.603090277778</v>
      </c>
    </row>
    <row r="3885" spans="1:4" ht="17">
      <c r="A3885" s="4" t="s">
        <v>4534</v>
      </c>
      <c r="B3885" s="4" t="s">
        <v>9543</v>
      </c>
      <c r="C3885" s="4" t="s">
        <v>9544</v>
      </c>
      <c r="D3885" s="1">
        <f>DATE(2020,6,11)+TIME(23,55,51)</f>
        <v>43993.997118055559</v>
      </c>
    </row>
    <row r="3886" spans="1:4" ht="17">
      <c r="A3886" s="5" t="s">
        <v>4534</v>
      </c>
      <c r="B3886" s="5" t="s">
        <v>8596</v>
      </c>
      <c r="C3886" s="5" t="s">
        <v>8597</v>
      </c>
      <c r="D3886" s="2">
        <f>DATE(2020,6,24)+TIME(11,38,21)</f>
        <v>44006.484965277778</v>
      </c>
    </row>
    <row r="3887" spans="1:4" ht="17">
      <c r="A3887" s="5" t="s">
        <v>418</v>
      </c>
      <c r="B3887" s="5" t="s">
        <v>2208</v>
      </c>
      <c r="C3887" s="5" t="s">
        <v>2209</v>
      </c>
      <c r="D3887" s="2">
        <f>DATE(2020,5,5)+TIME(16,0,39)</f>
        <v>43956.667118055557</v>
      </c>
    </row>
    <row r="3888" spans="1:4" ht="17">
      <c r="A3888" s="5" t="s">
        <v>418</v>
      </c>
      <c r="B3888" s="5" t="s">
        <v>7529</v>
      </c>
      <c r="C3888" s="5" t="s">
        <v>7530</v>
      </c>
      <c r="D3888" s="2">
        <f>DATE(2020,5,15)+TIME(11,48,10)</f>
        <v>43966.491782407407</v>
      </c>
    </row>
    <row r="3889" spans="1:4" ht="17">
      <c r="A3889" s="5" t="s">
        <v>418</v>
      </c>
      <c r="B3889" s="5" t="s">
        <v>5623</v>
      </c>
      <c r="C3889" s="5" t="s">
        <v>5624</v>
      </c>
      <c r="D3889" s="2">
        <f>DATE(2020,5,19)+TIME(14,20,40)</f>
        <v>43970.597685185188</v>
      </c>
    </row>
    <row r="3890" spans="1:4" ht="17">
      <c r="A3890" s="4" t="s">
        <v>418</v>
      </c>
      <c r="B3890" s="4" t="s">
        <v>2366</v>
      </c>
      <c r="C3890" s="4" t="s">
        <v>2367</v>
      </c>
      <c r="D3890" s="1">
        <f>DATE(2020,5,21)+TIME(19,46,15)</f>
        <v>43972.823784722219</v>
      </c>
    </row>
    <row r="3891" spans="1:4" ht="17">
      <c r="A3891" s="5" t="s">
        <v>418</v>
      </c>
      <c r="B3891" s="5" t="s">
        <v>9366</v>
      </c>
      <c r="C3891" s="5" t="s">
        <v>9367</v>
      </c>
      <c r="D3891" s="2">
        <f>DATE(2020,5,28)+TIME(13,59,58)</f>
        <v>43979.583310185182</v>
      </c>
    </row>
    <row r="3892" spans="1:4" ht="17">
      <c r="A3892" s="4" t="s">
        <v>418</v>
      </c>
      <c r="B3892" s="4" t="s">
        <v>2328</v>
      </c>
      <c r="C3892" s="4" t="s">
        <v>2329</v>
      </c>
      <c r="D3892" s="1">
        <f>DATE(2020,6,4)+TIME(17,42,28)</f>
        <v>43986.737824074073</v>
      </c>
    </row>
    <row r="3893" spans="1:4" ht="17">
      <c r="A3893" s="4" t="s">
        <v>418</v>
      </c>
      <c r="B3893" s="4" t="s">
        <v>981</v>
      </c>
      <c r="C3893" s="4" t="s">
        <v>982</v>
      </c>
      <c r="D3893" s="1">
        <f>DATE(2020,6,16)+TIME(14,4,46)</f>
        <v>43998.586643518516</v>
      </c>
    </row>
    <row r="3894" spans="1:4" ht="17">
      <c r="A3894" s="5" t="s">
        <v>418</v>
      </c>
      <c r="B3894" s="5" t="s">
        <v>2120</v>
      </c>
      <c r="C3894" s="5" t="s">
        <v>6353</v>
      </c>
      <c r="D3894" s="2">
        <f>DATE(2020,6,18)+TIME(15,55,39)</f>
        <v>44000.663645833331</v>
      </c>
    </row>
    <row r="3895" spans="1:4" ht="17">
      <c r="A3895" s="4" t="s">
        <v>418</v>
      </c>
      <c r="B3895" s="4" t="s">
        <v>2169</v>
      </c>
      <c r="C3895" s="4" t="s">
        <v>2170</v>
      </c>
      <c r="D3895" s="1">
        <f>DATE(2020,6,18)+TIME(23,33,32)</f>
        <v>44000.981620370374</v>
      </c>
    </row>
    <row r="3896" spans="1:4" ht="17">
      <c r="A3896" s="5" t="s">
        <v>418</v>
      </c>
      <c r="B3896" s="5" t="s">
        <v>7513</v>
      </c>
      <c r="C3896" s="5" t="s">
        <v>7514</v>
      </c>
      <c r="D3896" s="2">
        <f>DATE(2020,6,23)+TIME(15,54,33)</f>
        <v>44005.662881944445</v>
      </c>
    </row>
    <row r="3897" spans="1:4" ht="17">
      <c r="A3897" s="5" t="s">
        <v>418</v>
      </c>
      <c r="B3897" s="5" t="s">
        <v>7283</v>
      </c>
      <c r="C3897" s="5" t="s">
        <v>8019</v>
      </c>
      <c r="D3897" s="2">
        <f>DATE(2020,6,25)+TIME(11,9,58)</f>
        <v>44007.465254629627</v>
      </c>
    </row>
    <row r="3898" spans="1:4" ht="17">
      <c r="A3898" s="4" t="s">
        <v>418</v>
      </c>
      <c r="B3898" s="4" t="s">
        <v>419</v>
      </c>
      <c r="C3898" s="4" t="s">
        <v>420</v>
      </c>
      <c r="D3898" s="1">
        <f>DATE(2020,6,26)+TIME(16,12,33)</f>
        <v>44008.675381944442</v>
      </c>
    </row>
    <row r="3899" spans="1:4" ht="17">
      <c r="A3899" s="4" t="s">
        <v>7568</v>
      </c>
      <c r="B3899" s="4" t="s">
        <v>7569</v>
      </c>
      <c r="C3899" s="4" t="s">
        <v>7570</v>
      </c>
      <c r="D3899" s="1">
        <f>DATE(2020,6,27)+TIME(15,37,0)</f>
        <v>44009.650694444441</v>
      </c>
    </row>
    <row r="3900" spans="1:4" ht="17">
      <c r="A3900" s="5" t="s">
        <v>254</v>
      </c>
      <c r="B3900" s="5" t="s">
        <v>255</v>
      </c>
      <c r="C3900" s="5" t="s">
        <v>256</v>
      </c>
      <c r="D3900" s="2">
        <f>DATE(2020,5,6)+TIME(15,0,54)</f>
        <v>43957.625625000001</v>
      </c>
    </row>
    <row r="3901" spans="1:4" ht="17">
      <c r="A3901" s="5" t="s">
        <v>8471</v>
      </c>
      <c r="B3901" s="5" t="s">
        <v>8472</v>
      </c>
      <c r="C3901" s="5" t="s">
        <v>8473</v>
      </c>
      <c r="D3901" s="2">
        <f>DATE(2020,3,31)+TIME(9,53,57)</f>
        <v>43921.412465277775</v>
      </c>
    </row>
    <row r="3902" spans="1:4" ht="17">
      <c r="A3902" s="5" t="s">
        <v>8334</v>
      </c>
      <c r="B3902" s="5" t="s">
        <v>8335</v>
      </c>
      <c r="C3902" s="5" t="s">
        <v>8336</v>
      </c>
      <c r="D3902" s="2">
        <f>DATE(2020,5,28)+TIME(14,25,28)</f>
        <v>43979.601018518515</v>
      </c>
    </row>
    <row r="3903" spans="1:4" ht="17">
      <c r="A3903" s="5" t="s">
        <v>9211</v>
      </c>
      <c r="B3903" s="5" t="s">
        <v>9212</v>
      </c>
      <c r="C3903" s="5" t="s">
        <v>9213</v>
      </c>
      <c r="D3903" s="2">
        <f>DATE(2020,6,9)+TIME(12,11,46)</f>
        <v>43991.508171296293</v>
      </c>
    </row>
    <row r="3904" spans="1:4" ht="17">
      <c r="A3904" s="5" t="s">
        <v>4272</v>
      </c>
      <c r="B3904" s="5" t="s">
        <v>4273</v>
      </c>
      <c r="C3904" s="5" t="s">
        <v>4274</v>
      </c>
      <c r="D3904" s="2">
        <f>DATE(2020,6,23)+TIME(2,35,14)</f>
        <v>44005.107800925929</v>
      </c>
    </row>
    <row r="3905" spans="1:4" ht="17">
      <c r="A3905" s="4" t="s">
        <v>4272</v>
      </c>
      <c r="B3905" s="4" t="s">
        <v>4671</v>
      </c>
      <c r="C3905" s="4" t="s">
        <v>4672</v>
      </c>
      <c r="D3905" s="1">
        <f>DATE(2020,6,24)+TIME(16,29,51)</f>
        <v>44006.687395833331</v>
      </c>
    </row>
    <row r="3906" spans="1:4" ht="17">
      <c r="A3906" s="5" t="s">
        <v>5728</v>
      </c>
      <c r="B3906" s="5" t="s">
        <v>1095</v>
      </c>
      <c r="C3906" s="5" t="s">
        <v>5729</v>
      </c>
      <c r="D3906" s="2">
        <f>DATE(2020,6,26)+TIME(14,41,50)</f>
        <v>44008.612384259257</v>
      </c>
    </row>
    <row r="3907" spans="1:4" ht="17">
      <c r="A3907" s="4" t="s">
        <v>1019</v>
      </c>
      <c r="B3907" s="4" t="s">
        <v>5020</v>
      </c>
      <c r="C3907" s="4" t="s">
        <v>5021</v>
      </c>
      <c r="D3907" s="1">
        <f>DATE(2020,6,3)+TIME(21,57,51)</f>
        <v>43985.915173611109</v>
      </c>
    </row>
    <row r="3908" spans="1:4" ht="17">
      <c r="A3908" s="4" t="s">
        <v>1019</v>
      </c>
      <c r="B3908" s="4" t="s">
        <v>1020</v>
      </c>
      <c r="C3908" s="4" t="s">
        <v>1021</v>
      </c>
      <c r="D3908" s="1">
        <f>DATE(2020,6,26)+TIME(11,19,12)</f>
        <v>44008.471666666665</v>
      </c>
    </row>
    <row r="3909" spans="1:4" ht="17">
      <c r="A3909" s="4" t="s">
        <v>4344</v>
      </c>
      <c r="B3909" s="4" t="s">
        <v>4345</v>
      </c>
      <c r="C3909" s="4" t="s">
        <v>4346</v>
      </c>
      <c r="D3909" s="1">
        <f>DATE(2020,5,14)+TIME(4,38,45)</f>
        <v>43965.193576388891</v>
      </c>
    </row>
    <row r="3910" spans="1:4" ht="17">
      <c r="A3910" s="5" t="s">
        <v>9354</v>
      </c>
      <c r="B3910" s="5" t="s">
        <v>3219</v>
      </c>
      <c r="C3910" s="5" t="s">
        <v>9355</v>
      </c>
      <c r="D3910" s="2">
        <f>DATE(2020,5,21)+TIME(21,52,59)</f>
        <v>43972.911793981482</v>
      </c>
    </row>
    <row r="3911" spans="1:4" ht="17">
      <c r="A3911" s="5" t="s">
        <v>7240</v>
      </c>
      <c r="B3911" s="5" t="s">
        <v>7241</v>
      </c>
      <c r="C3911" s="5" t="s">
        <v>7242</v>
      </c>
      <c r="D3911" s="2">
        <f>DATE(2020,5,22)+TIME(12,23,58)</f>
        <v>43973.516643518517</v>
      </c>
    </row>
    <row r="3912" spans="1:4" ht="17">
      <c r="A3912" s="4" t="s">
        <v>7594</v>
      </c>
      <c r="B3912" s="4" t="s">
        <v>568</v>
      </c>
      <c r="C3912" s="4" t="s">
        <v>7595</v>
      </c>
      <c r="D3912" s="1">
        <f>DATE(2020,6,25)+TIME(12,41,7)</f>
        <v>44007.528553240743</v>
      </c>
    </row>
    <row r="3913" spans="1:4" ht="17">
      <c r="A3913" s="4" t="s">
        <v>6032</v>
      </c>
      <c r="B3913" s="4" t="s">
        <v>6033</v>
      </c>
      <c r="C3913" s="4" t="s">
        <v>6034</v>
      </c>
      <c r="D3913" s="1">
        <f>DATE(2020,5,14)+TIME(4,53,22)</f>
        <v>43965.203726851854</v>
      </c>
    </row>
    <row r="3914" spans="1:4" ht="17">
      <c r="A3914" s="4" t="s">
        <v>6032</v>
      </c>
      <c r="B3914" s="4" t="s">
        <v>8362</v>
      </c>
      <c r="C3914" s="4" t="s">
        <v>8363</v>
      </c>
      <c r="D3914" s="1">
        <f>DATE(2020,6,29)+TIME(13,47,30)</f>
        <v>44011.574652777781</v>
      </c>
    </row>
    <row r="3915" spans="1:4" ht="17">
      <c r="A3915" s="5" t="s">
        <v>2820</v>
      </c>
      <c r="B3915" s="5" t="s">
        <v>2821</v>
      </c>
      <c r="C3915" s="5" t="s">
        <v>2822</v>
      </c>
      <c r="D3915" s="2">
        <f>DATE(2020,6,13)+TIME(10,34,31)</f>
        <v>43995.440636574072</v>
      </c>
    </row>
    <row r="3916" spans="1:4" ht="17">
      <c r="A3916" s="4" t="s">
        <v>2986</v>
      </c>
      <c r="B3916" s="4" t="s">
        <v>2821</v>
      </c>
      <c r="C3916" s="4" t="s">
        <v>3958</v>
      </c>
      <c r="D3916" s="1">
        <f>DATE(2020,6,24)+TIME(17,3,38)</f>
        <v>44006.710856481484</v>
      </c>
    </row>
    <row r="3917" spans="1:4" ht="17">
      <c r="A3917" s="5" t="s">
        <v>7857</v>
      </c>
      <c r="B3917" s="5" t="s">
        <v>7858</v>
      </c>
      <c r="C3917" s="5" t="s">
        <v>7859</v>
      </c>
      <c r="D3917" s="2">
        <f>DATE(2020,5,28)+TIME(17,51,40)</f>
        <v>43979.744212962964</v>
      </c>
    </row>
    <row r="3918" spans="1:4" ht="17">
      <c r="A3918" s="4" t="s">
        <v>2967</v>
      </c>
      <c r="B3918" s="4" t="s">
        <v>2968</v>
      </c>
      <c r="C3918" s="4" t="s">
        <v>2969</v>
      </c>
      <c r="D3918" s="1">
        <f>DATE(2020,6,29)+TIME(6,53,4)</f>
        <v>44011.286851851852</v>
      </c>
    </row>
    <row r="3919" spans="1:4" ht="17">
      <c r="A3919" s="4" t="s">
        <v>5287</v>
      </c>
      <c r="B3919" s="4" t="s">
        <v>5288</v>
      </c>
      <c r="C3919" s="4" t="s">
        <v>5289</v>
      </c>
      <c r="D3919" s="1">
        <f>DATE(2020,6,5)+TIME(15,50,18)</f>
        <v>43987.659930555557</v>
      </c>
    </row>
    <row r="3920" spans="1:4" ht="17">
      <c r="A3920" s="4" t="s">
        <v>7269</v>
      </c>
      <c r="B3920" s="4" t="s">
        <v>7241</v>
      </c>
      <c r="C3920" s="4" t="s">
        <v>7270</v>
      </c>
      <c r="D3920" s="1">
        <f>DATE(2020,5,7)+TIME(20,58,56)</f>
        <v>43958.874259259261</v>
      </c>
    </row>
    <row r="3921" spans="1:4" ht="17">
      <c r="A3921" s="5" t="s">
        <v>6223</v>
      </c>
      <c r="B3921" s="5" t="s">
        <v>1095</v>
      </c>
      <c r="C3921" s="5" t="s">
        <v>6224</v>
      </c>
      <c r="D3921" s="2">
        <f>DATE(2020,6,24)+TIME(12,56,39)</f>
        <v>44006.539340277777</v>
      </c>
    </row>
    <row r="3922" spans="1:4" ht="17">
      <c r="A3922" s="5" t="s">
        <v>2565</v>
      </c>
      <c r="B3922" s="5" t="s">
        <v>2566</v>
      </c>
      <c r="C3922" s="5" t="s">
        <v>2567</v>
      </c>
      <c r="D3922" s="2">
        <f>DATE(2020,5,5)+TIME(23,33,48)</f>
        <v>43956.981805555559</v>
      </c>
    </row>
    <row r="3923" spans="1:4" ht="17">
      <c r="A3923" s="5" t="s">
        <v>5477</v>
      </c>
      <c r="B3923" s="5" t="s">
        <v>8387</v>
      </c>
      <c r="C3923" s="5" t="s">
        <v>8388</v>
      </c>
      <c r="D3923" s="2">
        <f>DATE(2020,5,5)+TIME(18,17,1)</f>
        <v>43956.761817129627</v>
      </c>
    </row>
    <row r="3924" spans="1:4" ht="17">
      <c r="A3924" s="4" t="s">
        <v>794</v>
      </c>
      <c r="B3924" s="4" t="s">
        <v>795</v>
      </c>
      <c r="C3924" s="4" t="s">
        <v>796</v>
      </c>
      <c r="D3924" s="1">
        <f>DATE(2020,5,30)+TIME(1,25,16)</f>
        <v>43981.059212962966</v>
      </c>
    </row>
    <row r="3925" spans="1:4" ht="17">
      <c r="A3925" s="4" t="s">
        <v>5477</v>
      </c>
      <c r="B3925" s="4" t="s">
        <v>5478</v>
      </c>
      <c r="C3925" s="4" t="s">
        <v>5479</v>
      </c>
      <c r="D3925" s="1">
        <f>DATE(2020,6,26)+TIME(15,2,5)</f>
        <v>44008.626446759263</v>
      </c>
    </row>
    <row r="3926" spans="1:4" ht="17">
      <c r="A3926" s="5" t="s">
        <v>2970</v>
      </c>
      <c r="B3926" s="5" t="s">
        <v>2971</v>
      </c>
      <c r="C3926" s="5" t="s">
        <v>2972</v>
      </c>
      <c r="D3926" s="2">
        <f>DATE(2020,6,25)+TIME(6,36,47)</f>
        <v>44007.275543981479</v>
      </c>
    </row>
    <row r="3927" spans="1:4" ht="17">
      <c r="A3927" s="5" t="s">
        <v>1946</v>
      </c>
      <c r="B3927" s="5" t="s">
        <v>1947</v>
      </c>
      <c r="C3927" s="5" t="s">
        <v>1948</v>
      </c>
      <c r="D3927" s="2">
        <f>DATE(2020,6,18)+TIME(4,16,46)</f>
        <v>44000.178310185183</v>
      </c>
    </row>
    <row r="3928" spans="1:4" ht="17">
      <c r="A3928" s="5" t="s">
        <v>5012</v>
      </c>
      <c r="B3928" s="5" t="s">
        <v>5013</v>
      </c>
      <c r="C3928" s="5" t="s">
        <v>5014</v>
      </c>
      <c r="D3928" s="2">
        <f>DATE(2020,6,10)+TIME(19,49,10)</f>
        <v>43992.825810185182</v>
      </c>
    </row>
    <row r="3929" spans="1:4" ht="17">
      <c r="A3929" s="5" t="s">
        <v>2803</v>
      </c>
      <c r="B3929" s="5" t="s">
        <v>2804</v>
      </c>
      <c r="C3929" s="5" t="s">
        <v>2805</v>
      </c>
      <c r="D3929" s="2">
        <f>DATE(2020,5,5)+TIME(21,36,42)</f>
        <v>43956.90048611111</v>
      </c>
    </row>
    <row r="3930" spans="1:4" ht="17">
      <c r="A3930" s="4" t="s">
        <v>274</v>
      </c>
      <c r="B3930" s="4" t="s">
        <v>275</v>
      </c>
      <c r="C3930" s="4" t="s">
        <v>276</v>
      </c>
      <c r="D3930" s="1">
        <f>DATE(2020,6,24)+TIME(15,40,58)</f>
        <v>44006.653449074074</v>
      </c>
    </row>
    <row r="3931" spans="1:4" ht="17">
      <c r="A3931" s="5" t="s">
        <v>8203</v>
      </c>
      <c r="B3931" s="5" t="s">
        <v>3219</v>
      </c>
      <c r="C3931" s="5" t="s">
        <v>8204</v>
      </c>
      <c r="D3931" s="2">
        <f>DATE(2020,5,5)+TIME(16,34,48)</f>
        <v>43956.690833333334</v>
      </c>
    </row>
    <row r="3932" spans="1:4" ht="17">
      <c r="A3932" s="5" t="s">
        <v>1992</v>
      </c>
      <c r="B3932" s="5" t="s">
        <v>1241</v>
      </c>
      <c r="C3932" s="5" t="s">
        <v>1993</v>
      </c>
      <c r="D3932" s="2">
        <f>DATE(2020,5,8)+TIME(19,24,0)</f>
        <v>43959.808333333334</v>
      </c>
    </row>
    <row r="3933" spans="1:4" ht="17">
      <c r="A3933" s="4" t="s">
        <v>8299</v>
      </c>
      <c r="B3933" s="4" t="s">
        <v>8300</v>
      </c>
      <c r="C3933" s="4" t="s">
        <v>8301</v>
      </c>
      <c r="D3933" s="1">
        <f>DATE(2020,5,22)+TIME(16,43,6)</f>
        <v>43973.696597222224</v>
      </c>
    </row>
    <row r="3934" spans="1:4" ht="17">
      <c r="A3934" s="4" t="s">
        <v>5907</v>
      </c>
      <c r="B3934" s="4" t="s">
        <v>322</v>
      </c>
      <c r="C3934" s="4" t="s">
        <v>5908</v>
      </c>
      <c r="D3934" s="1">
        <f>DATE(2020,3,27)+TIME(17,38,24)</f>
        <v>43917.735000000001</v>
      </c>
    </row>
    <row r="3935" spans="1:4" ht="17">
      <c r="A3935" s="5" t="s">
        <v>2346</v>
      </c>
      <c r="B3935" s="5" t="s">
        <v>2347</v>
      </c>
      <c r="C3935" s="5" t="s">
        <v>2348</v>
      </c>
      <c r="D3935" s="2">
        <f>DATE(2020,6,27)+TIME(23,2,59)</f>
        <v>44009.960405092592</v>
      </c>
    </row>
    <row r="3936" spans="1:4" ht="17">
      <c r="A3936" s="4" t="s">
        <v>3428</v>
      </c>
      <c r="B3936" s="4" t="s">
        <v>3429</v>
      </c>
      <c r="C3936" s="4" t="s">
        <v>3430</v>
      </c>
      <c r="D3936" s="1">
        <f>DATE(2020,6,26)+TIME(8,43,12)</f>
        <v>44008.363333333335</v>
      </c>
    </row>
    <row r="3937" spans="1:4" ht="17">
      <c r="A3937" s="5" t="s">
        <v>7137</v>
      </c>
      <c r="B3937" s="5" t="s">
        <v>7138</v>
      </c>
      <c r="C3937" s="5" t="s">
        <v>7139</v>
      </c>
      <c r="D3937" s="2">
        <f>DATE(2020,5,6)+TIME(23,46,52)</f>
        <v>43957.990879629629</v>
      </c>
    </row>
    <row r="3938" spans="1:4" ht="17">
      <c r="A3938" s="5" t="s">
        <v>1788</v>
      </c>
      <c r="B3938" s="5" t="s">
        <v>1789</v>
      </c>
      <c r="C3938" s="5" t="s">
        <v>1790</v>
      </c>
      <c r="D3938" s="2">
        <f>DATE(2020,6,25)+TIME(16,30,12)</f>
        <v>44007.687638888892</v>
      </c>
    </row>
    <row r="3939" spans="1:4" ht="17">
      <c r="A3939" s="4" t="s">
        <v>5089</v>
      </c>
      <c r="B3939" s="4" t="s">
        <v>1218</v>
      </c>
      <c r="C3939" s="4" t="s">
        <v>5090</v>
      </c>
      <c r="D3939" s="1">
        <f>DATE(2020,6,16)+TIME(15,6,17)</f>
        <v>43998.629363425927</v>
      </c>
    </row>
    <row r="3940" spans="1:4" ht="17">
      <c r="A3940" s="5" t="s">
        <v>6562</v>
      </c>
      <c r="B3940" s="5" t="s">
        <v>6563</v>
      </c>
      <c r="C3940" s="5" t="s">
        <v>6564</v>
      </c>
      <c r="D3940" s="2">
        <f>DATE(2020,5,21)+TIME(19,20,49)</f>
        <v>43972.806122685186</v>
      </c>
    </row>
    <row r="3941" spans="1:4" ht="17">
      <c r="A3941" s="5" t="s">
        <v>5592</v>
      </c>
      <c r="B3941" s="5" t="s">
        <v>5593</v>
      </c>
      <c r="C3941" s="5" t="s">
        <v>5594</v>
      </c>
      <c r="D3941" s="2">
        <f>DATE(2020,5,6)+TIME(23,13,26)</f>
        <v>43957.967662037037</v>
      </c>
    </row>
    <row r="3942" spans="1:4" ht="17">
      <c r="A3942" s="5" t="s">
        <v>4153</v>
      </c>
      <c r="B3942" s="5" t="s">
        <v>4154</v>
      </c>
      <c r="C3942" s="5" t="s">
        <v>4155</v>
      </c>
      <c r="D3942" s="2">
        <f>DATE(2020,6,26)+TIME(10,8,19)</f>
        <v>44008.422442129631</v>
      </c>
    </row>
    <row r="3943" spans="1:4" ht="17">
      <c r="A3943" s="4" t="s">
        <v>7318</v>
      </c>
      <c r="B3943" s="4" t="s">
        <v>2551</v>
      </c>
      <c r="C3943" s="4" t="s">
        <v>7319</v>
      </c>
      <c r="D3943" s="1">
        <f>DATE(2020,6,29)+TIME(8,37,58)</f>
        <v>44011.359699074077</v>
      </c>
    </row>
    <row r="3944" spans="1:4" ht="17">
      <c r="A3944" s="4" t="s">
        <v>4570</v>
      </c>
      <c r="B3944" s="4" t="s">
        <v>4571</v>
      </c>
      <c r="C3944" s="4" t="s">
        <v>4572</v>
      </c>
      <c r="D3944" s="1">
        <f>DATE(2020,6,17)+TIME(10,23,58)</f>
        <v>43999.433310185188</v>
      </c>
    </row>
    <row r="3945" spans="1:4" ht="17">
      <c r="A3945" s="5" t="s">
        <v>2736</v>
      </c>
      <c r="B3945" s="5" t="s">
        <v>2492</v>
      </c>
      <c r="C3945" s="5" t="s">
        <v>3165</v>
      </c>
      <c r="D3945" s="2">
        <f>DATE(2020,5,28)+TIME(13,50,26)</f>
        <v>43979.576689814814</v>
      </c>
    </row>
    <row r="3946" spans="1:4" ht="17">
      <c r="A3946" s="5" t="s">
        <v>4335</v>
      </c>
      <c r="B3946" s="5" t="s">
        <v>4336</v>
      </c>
      <c r="C3946" s="5" t="s">
        <v>4337</v>
      </c>
      <c r="D3946" s="2">
        <f>DATE(2020,6,17)+TIME(1,51,56)</f>
        <v>43999.077731481484</v>
      </c>
    </row>
    <row r="3947" spans="1:4" ht="17">
      <c r="A3947" s="4" t="s">
        <v>2736</v>
      </c>
      <c r="B3947" s="4" t="s">
        <v>2737</v>
      </c>
      <c r="C3947" s="4" t="s">
        <v>2738</v>
      </c>
      <c r="D3947" s="1">
        <f>DATE(2020,6,28)+TIME(10,44,39)</f>
        <v>44010.44767361111</v>
      </c>
    </row>
    <row r="3948" spans="1:4" ht="17">
      <c r="A3948" s="5" t="s">
        <v>7407</v>
      </c>
      <c r="B3948" s="5" t="s">
        <v>7408</v>
      </c>
      <c r="C3948" s="5" t="s">
        <v>7409</v>
      </c>
      <c r="D3948" s="2">
        <f>DATE(2020,6,26)+TIME(17,12,49)</f>
        <v>44008.717233796298</v>
      </c>
    </row>
    <row r="3949" spans="1:4" ht="17">
      <c r="A3949" s="4" t="s">
        <v>2550</v>
      </c>
      <c r="B3949" s="4" t="s">
        <v>2551</v>
      </c>
      <c r="C3949" s="4" t="s">
        <v>2552</v>
      </c>
      <c r="D3949" s="1">
        <f>DATE(2020,6,16)+TIME(5,52,59)</f>
        <v>43998.245127314818</v>
      </c>
    </row>
    <row r="3950" spans="1:4" ht="17">
      <c r="A3950" s="4" t="s">
        <v>519</v>
      </c>
      <c r="B3950" s="4" t="s">
        <v>520</v>
      </c>
      <c r="C3950" s="4" t="s">
        <v>521</v>
      </c>
      <c r="D3950" s="1">
        <f>DATE(2020,6,8)+TIME(19,30,28)</f>
        <v>43990.812824074077</v>
      </c>
    </row>
    <row r="3951" spans="1:4" ht="17">
      <c r="A3951" s="4" t="s">
        <v>7729</v>
      </c>
      <c r="B3951" s="4" t="s">
        <v>7001</v>
      </c>
      <c r="C3951" s="4" t="s">
        <v>7730</v>
      </c>
      <c r="D3951" s="1">
        <f>DATE(2020,6,18)+TIME(2,51,47)</f>
        <v>44000.119293981479</v>
      </c>
    </row>
    <row r="3952" spans="1:4" ht="17">
      <c r="A3952" s="5" t="s">
        <v>674</v>
      </c>
      <c r="B3952" s="5" t="s">
        <v>675</v>
      </c>
      <c r="C3952" s="5" t="s">
        <v>676</v>
      </c>
      <c r="D3952" s="2">
        <f>DATE(2020,6,16)+TIME(6,11,20)</f>
        <v>43998.257870370369</v>
      </c>
    </row>
    <row r="3953" spans="1:4" ht="17">
      <c r="A3953" s="4" t="s">
        <v>2291</v>
      </c>
      <c r="B3953" s="4" t="s">
        <v>2292</v>
      </c>
      <c r="C3953" s="4" t="s">
        <v>2293</v>
      </c>
      <c r="D3953" s="1">
        <f>DATE(2020,6,27)+TIME(15,37,16)</f>
        <v>44009.650879629633</v>
      </c>
    </row>
    <row r="3954" spans="1:4" ht="17">
      <c r="A3954" s="5" t="s">
        <v>6123</v>
      </c>
      <c r="B3954" s="5" t="s">
        <v>6928</v>
      </c>
      <c r="C3954" s="5" t="s">
        <v>6929</v>
      </c>
      <c r="D3954" s="2">
        <f>DATE(2020,6,23)+TIME(4,34,56)</f>
        <v>44005.190925925926</v>
      </c>
    </row>
    <row r="3955" spans="1:4" ht="17">
      <c r="A3955" s="5" t="s">
        <v>6123</v>
      </c>
      <c r="B3955" s="5" t="s">
        <v>6124</v>
      </c>
      <c r="C3955" s="5" t="s">
        <v>6125</v>
      </c>
      <c r="D3955" s="2">
        <f>DATE(2020,6,24)+TIME(13,44,31)</f>
        <v>44006.572581018518</v>
      </c>
    </row>
    <row r="3956" spans="1:4" ht="17">
      <c r="A3956" s="5" t="s">
        <v>2015</v>
      </c>
      <c r="B3956" s="5" t="s">
        <v>7156</v>
      </c>
      <c r="C3956" s="5" t="s">
        <v>7157</v>
      </c>
      <c r="D3956" s="2">
        <f>DATE(2020,6,24)+TIME(15,40,58)</f>
        <v>44006.653449074074</v>
      </c>
    </row>
    <row r="3957" spans="1:4" ht="17">
      <c r="A3957" s="5" t="s">
        <v>2015</v>
      </c>
      <c r="B3957" s="5" t="s">
        <v>2016</v>
      </c>
      <c r="C3957" s="5" t="s">
        <v>2017</v>
      </c>
      <c r="D3957" s="2">
        <f>DATE(2020,6,26)+TIME(11,56,25)</f>
        <v>44008.497511574074</v>
      </c>
    </row>
    <row r="3958" spans="1:4" ht="17">
      <c r="A3958" s="5" t="s">
        <v>4860</v>
      </c>
      <c r="B3958" s="5" t="s">
        <v>4861</v>
      </c>
      <c r="C3958" s="5" t="s">
        <v>4862</v>
      </c>
      <c r="D3958" s="2">
        <f>DATE(2020,6,28)+TIME(20,42,31)</f>
        <v>44010.862858796296</v>
      </c>
    </row>
    <row r="3959" spans="1:4" ht="17">
      <c r="A3959" s="5" t="s">
        <v>5506</v>
      </c>
      <c r="B3959" s="5" t="s">
        <v>1773</v>
      </c>
      <c r="C3959" s="5" t="s">
        <v>5507</v>
      </c>
      <c r="D3959" s="2">
        <f>DATE(2020,6,26)+TIME(9,44,42)</f>
        <v>44008.406041666669</v>
      </c>
    </row>
    <row r="3960" spans="1:4" ht="17">
      <c r="A3960" s="4" t="s">
        <v>4117</v>
      </c>
      <c r="B3960" s="4" t="s">
        <v>4118</v>
      </c>
      <c r="C3960" s="4" t="s">
        <v>4119</v>
      </c>
      <c r="D3960" s="1">
        <f>DATE(2020,6,23)+TIME(11,32,50)</f>
        <v>44005.481134259258</v>
      </c>
    </row>
    <row r="3961" spans="1:4" ht="17">
      <c r="A3961" s="5" t="s">
        <v>1817</v>
      </c>
      <c r="B3961" s="5" t="s">
        <v>6593</v>
      </c>
      <c r="C3961" s="5" t="s">
        <v>6594</v>
      </c>
      <c r="D3961" s="2">
        <f>DATE(2020,6,28)+TIME(0,19,40)</f>
        <v>44010.013657407406</v>
      </c>
    </row>
    <row r="3962" spans="1:4" ht="17">
      <c r="A3962" s="4" t="s">
        <v>2314</v>
      </c>
      <c r="B3962" s="4" t="s">
        <v>2476</v>
      </c>
      <c r="C3962" s="4" t="s">
        <v>2477</v>
      </c>
      <c r="D3962" s="1">
        <f>DATE(2020,5,27)+TIME(12,33,55)</f>
        <v>43978.523553240739</v>
      </c>
    </row>
    <row r="3963" spans="1:4" ht="17">
      <c r="A3963" s="5" t="s">
        <v>2314</v>
      </c>
      <c r="B3963" s="5" t="s">
        <v>2315</v>
      </c>
      <c r="C3963" s="5" t="s">
        <v>2316</v>
      </c>
      <c r="D3963" s="2">
        <f>DATE(2020,6,26)+TIME(8,58,45)</f>
        <v>44008.374131944445</v>
      </c>
    </row>
    <row r="3964" spans="1:4" ht="17">
      <c r="A3964" s="5" t="s">
        <v>2314</v>
      </c>
      <c r="B3964" s="5" t="s">
        <v>8166</v>
      </c>
      <c r="C3964" s="5" t="s">
        <v>8167</v>
      </c>
      <c r="D3964" s="2">
        <f>DATE(2020,6,26)+TIME(17,28,32)</f>
        <v>44008.728148148148</v>
      </c>
    </row>
    <row r="3965" spans="1:4" ht="17">
      <c r="A3965" s="4" t="s">
        <v>2314</v>
      </c>
      <c r="B3965" s="4" t="s">
        <v>4467</v>
      </c>
      <c r="C3965" s="4" t="s">
        <v>4468</v>
      </c>
      <c r="D3965" s="1">
        <f>DATE(2020,6,26)+TIME(23,21,57)</f>
        <v>44008.973576388889</v>
      </c>
    </row>
    <row r="3966" spans="1:4" ht="17">
      <c r="A3966" s="4" t="s">
        <v>175</v>
      </c>
      <c r="B3966" s="4" t="s">
        <v>5150</v>
      </c>
      <c r="C3966" s="4" t="s">
        <v>5151</v>
      </c>
      <c r="D3966" s="1">
        <f>DATE(2020,5,7)+TIME(1,10,25)</f>
        <v>43958.048900462964</v>
      </c>
    </row>
    <row r="3967" spans="1:4" ht="17">
      <c r="A3967" s="5" t="s">
        <v>175</v>
      </c>
      <c r="B3967" s="5" t="s">
        <v>176</v>
      </c>
      <c r="C3967" s="5" t="s">
        <v>177</v>
      </c>
      <c r="D3967" s="2">
        <f>DATE(2020,6,8)+TIME(21,14,12)</f>
        <v>43990.88486111111</v>
      </c>
    </row>
    <row r="3968" spans="1:4" ht="17">
      <c r="A3968" s="5" t="s">
        <v>175</v>
      </c>
      <c r="B3968" s="5" t="s">
        <v>1127</v>
      </c>
      <c r="C3968" s="5" t="s">
        <v>7060</v>
      </c>
      <c r="D3968" s="2">
        <f>DATE(2020,6,26)+TIME(9,49,47)</f>
        <v>44008.409571759257</v>
      </c>
    </row>
    <row r="3969" spans="1:4" ht="17">
      <c r="A3969" s="5" t="s">
        <v>8161</v>
      </c>
      <c r="B3969" s="5" t="s">
        <v>8162</v>
      </c>
      <c r="C3969" s="5" t="s">
        <v>8163</v>
      </c>
      <c r="D3969" s="2">
        <f>DATE(2020,6,23)+TIME(23,52,58)</f>
        <v>44005.995115740741</v>
      </c>
    </row>
    <row r="3970" spans="1:4" ht="17">
      <c r="A3970" s="5" t="s">
        <v>7017</v>
      </c>
      <c r="B3970" s="5" t="s">
        <v>7018</v>
      </c>
      <c r="C3970" s="5" t="s">
        <v>7019</v>
      </c>
      <c r="D3970" s="2">
        <f>DATE(2020,6,15)+TIME(7,51,34)</f>
        <v>43997.327476851853</v>
      </c>
    </row>
    <row r="3971" spans="1:4" ht="17">
      <c r="A3971" s="5" t="s">
        <v>4239</v>
      </c>
      <c r="B3971" s="5" t="s">
        <v>4240</v>
      </c>
      <c r="C3971" s="5" t="s">
        <v>4241</v>
      </c>
      <c r="D3971" s="2">
        <f>DATE(2020,6,29)+TIME(13,24,32)</f>
        <v>44011.558703703704</v>
      </c>
    </row>
    <row r="3972" spans="1:4" ht="17">
      <c r="A3972" s="5" t="s">
        <v>4209</v>
      </c>
      <c r="B3972" s="5" t="s">
        <v>4210</v>
      </c>
      <c r="C3972" s="5" t="s">
        <v>4211</v>
      </c>
      <c r="D3972" s="2">
        <f>DATE(2020,5,24)+TIME(23,21,59)</f>
        <v>43975.973599537036</v>
      </c>
    </row>
    <row r="3973" spans="1:4" ht="17">
      <c r="A3973" s="4" t="s">
        <v>3820</v>
      </c>
      <c r="B3973" s="4" t="s">
        <v>3821</v>
      </c>
      <c r="C3973" s="4" t="s">
        <v>3822</v>
      </c>
      <c r="D3973" s="1">
        <f>DATE(2020,3,30)+TIME(13,15,20)</f>
        <v>43920.552314814813</v>
      </c>
    </row>
    <row r="3974" spans="1:4" ht="17">
      <c r="A3974" s="5" t="s">
        <v>1739</v>
      </c>
      <c r="B3974" s="5" t="s">
        <v>1740</v>
      </c>
      <c r="C3974" s="5" t="s">
        <v>1741</v>
      </c>
      <c r="D3974" s="2">
        <f>DATE(2020,6,26)+TIME(11,11,35)</f>
        <v>44008.466377314813</v>
      </c>
    </row>
    <row r="3975" spans="1:4" ht="17">
      <c r="A3975" s="5" t="s">
        <v>5327</v>
      </c>
      <c r="B3975" s="5" t="s">
        <v>4300</v>
      </c>
      <c r="C3975" s="5" t="s">
        <v>5328</v>
      </c>
      <c r="D3975" s="2">
        <f>DATE(2020,6,11)+TIME(23,26,45)</f>
        <v>43993.976909722223</v>
      </c>
    </row>
    <row r="3976" spans="1:4" ht="17">
      <c r="A3976" s="4" t="s">
        <v>8071</v>
      </c>
      <c r="B3976" s="4" t="s">
        <v>4730</v>
      </c>
      <c r="C3976" s="4" t="s">
        <v>8072</v>
      </c>
      <c r="D3976" s="1">
        <f>DATE(2020,6,15)+TIME(20,0,14)</f>
        <v>43997.833495370367</v>
      </c>
    </row>
    <row r="3977" spans="1:4" ht="17">
      <c r="A3977" s="5" t="s">
        <v>8592</v>
      </c>
      <c r="B3977" s="5" t="s">
        <v>6329</v>
      </c>
      <c r="C3977" s="5" t="s">
        <v>8593</v>
      </c>
      <c r="D3977" s="2">
        <f>DATE(2020,5,13)+TIME(3,54,28)</f>
        <v>43964.162824074076</v>
      </c>
    </row>
    <row r="3978" spans="1:4" ht="17">
      <c r="A3978" s="4" t="s">
        <v>4284</v>
      </c>
      <c r="B3978" s="4" t="s">
        <v>2308</v>
      </c>
      <c r="C3978" s="4" t="s">
        <v>4285</v>
      </c>
      <c r="D3978" s="1">
        <f>DATE(2020,6,25)+TIME(13,3,7)</f>
        <v>44007.54383101852</v>
      </c>
    </row>
    <row r="3979" spans="1:4" ht="17">
      <c r="A3979" s="5" t="s">
        <v>8170</v>
      </c>
      <c r="B3979" s="5" t="s">
        <v>8171</v>
      </c>
      <c r="C3979" s="5" t="s">
        <v>8172</v>
      </c>
      <c r="D3979" s="2">
        <f>DATE(2020,6,24)+TIME(3,2,19)</f>
        <v>44006.126608796294</v>
      </c>
    </row>
    <row r="3980" spans="1:4" ht="17">
      <c r="A3980" s="4" t="s">
        <v>5503</v>
      </c>
      <c r="B3980" s="4" t="s">
        <v>5504</v>
      </c>
      <c r="C3980" s="4" t="s">
        <v>5505</v>
      </c>
      <c r="D3980" s="1">
        <f>DATE(2020,6,24)+TIME(18,37,24)</f>
        <v>44006.775972222225</v>
      </c>
    </row>
    <row r="3981" spans="1:4" ht="17">
      <c r="A3981" s="5" t="s">
        <v>6700</v>
      </c>
      <c r="B3981" s="5" t="s">
        <v>6701</v>
      </c>
      <c r="C3981" s="5" t="s">
        <v>6702</v>
      </c>
      <c r="D3981" s="2">
        <f>DATE(2020,6,18)+TIME(9,23,44)</f>
        <v>44000.391481481478</v>
      </c>
    </row>
    <row r="3982" spans="1:4" ht="17">
      <c r="A3982" s="4" t="s">
        <v>2039</v>
      </c>
      <c r="B3982" s="4" t="s">
        <v>2040</v>
      </c>
      <c r="C3982" s="4" t="s">
        <v>2041</v>
      </c>
      <c r="D3982" s="1">
        <f>DATE(2020,5,21)+TIME(15,54,46)</f>
        <v>43972.663032407407</v>
      </c>
    </row>
    <row r="3983" spans="1:4" ht="17">
      <c r="A3983" s="4" t="s">
        <v>666</v>
      </c>
      <c r="B3983" s="4" t="s">
        <v>667</v>
      </c>
      <c r="C3983" s="4" t="s">
        <v>668</v>
      </c>
      <c r="D3983" s="1">
        <f>DATE(2020,6,19)+TIME(12,9,3)</f>
        <v>44001.506284722222</v>
      </c>
    </row>
    <row r="3984" spans="1:4" ht="17">
      <c r="A3984" s="4" t="s">
        <v>7149</v>
      </c>
      <c r="B3984" s="4" t="s">
        <v>7150</v>
      </c>
      <c r="C3984" s="4" t="s">
        <v>7151</v>
      </c>
      <c r="D3984" s="1">
        <f>DATE(2020,6,29)+TIME(10,24,56)</f>
        <v>44011.433981481481</v>
      </c>
    </row>
    <row r="3985" spans="1:4" ht="17">
      <c r="A3985" s="4" t="s">
        <v>195</v>
      </c>
      <c r="B3985" s="4" t="s">
        <v>196</v>
      </c>
      <c r="C3985" s="4" t="s">
        <v>197</v>
      </c>
      <c r="D3985" s="1">
        <f>DATE(2020,6,24)+TIME(9,11,12)</f>
        <v>44006.382777777777</v>
      </c>
    </row>
    <row r="3986" spans="1:4" ht="17">
      <c r="A3986" s="4" t="s">
        <v>788</v>
      </c>
      <c r="B3986" s="4" t="s">
        <v>789</v>
      </c>
      <c r="C3986" s="4" t="s">
        <v>790</v>
      </c>
      <c r="D3986" s="1">
        <f>DATE(2020,5,6)+TIME(0,8,0)</f>
        <v>43957.005555555559</v>
      </c>
    </row>
  </sheetData>
  <pageMargins left="0.75" right="0.75" top="1" bottom="1" header="0.5" footer="0.5"/>
  <pageSetup orientation="portrait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Registrants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Shannon Jessee</cp:lastModifiedBy>
  <dcterms:created xsi:type="dcterms:W3CDTF">2020-06-29T18:43:31Z</dcterms:created>
  <dcterms:modified xsi:type="dcterms:W3CDTF">2020-06-29T18:43:32Z</dcterms:modified>
  <cp:category/>
  <cp:contentStatus/>
</cp:coreProperties>
</file>