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lach\OneDrive\Escritorio\"/>
    </mc:Choice>
  </mc:AlternateContent>
  <xr:revisionPtr revIDLastSave="0" documentId="13_ncr:1_{77F6BCC3-01B0-490E-BDD8-3A12301CFE10}" xr6:coauthVersionLast="47" xr6:coauthVersionMax="47" xr10:uidLastSave="{00000000-0000-0000-0000-000000000000}"/>
  <bookViews>
    <workbookView xWindow="-28920" yWindow="-2160" windowWidth="29040" windowHeight="15840" xr2:uid="{00000000-000D-0000-FFFF-FFFF00000000}"/>
  </bookViews>
  <sheets>
    <sheet name="Data" sheetId="7" r:id="rId1"/>
    <sheet name="Procesamiento" sheetId="12" r:id="rId2"/>
    <sheet name="Fallos" sheetId="13" r:id="rId3"/>
    <sheet name="Sangres y Aceites" sheetId="1" r:id="rId4"/>
    <sheet name="Esencias" sheetId="4" r:id="rId5"/>
    <sheet name="Manos" sheetId="10" state="hidden" r:id="rId6"/>
    <sheet name="Elixires" sheetId="2" r:id="rId7"/>
    <sheet name="Varios Alquimia" sheetId="5" r:id="rId8"/>
    <sheet name="Frascos y piedras" sheetId="3" r:id="rId9"/>
    <sheet name="Paquetes Imperiales" sheetId="6" r:id="rId10"/>
    <sheet name="Cristales" sheetId="9" state="hidden" r:id="rId11"/>
    <sheet name="Platos Cocina" sheetId="11" state="hidden" r:id="rId12"/>
  </sheets>
  <definedNames>
    <definedName name="_xlnm._FilterDatabase" localSheetId="0" hidden="1">Data!$A$3:$E$345</definedName>
    <definedName name="_xlnm._FilterDatabase" localSheetId="6" hidden="1">Elixires!$A$4:$I$146</definedName>
    <definedName name="_xlnm._FilterDatabase" localSheetId="4" hidden="1">Esencias!$A$4:$H$36</definedName>
    <definedName name="_xlnm._FilterDatabase" localSheetId="2" hidden="1">Fallos!$B$4:$Q$188</definedName>
    <definedName name="_xlnm._FilterDatabase" localSheetId="9" hidden="1">'Paquetes Imperiales'!$A$5:$L$101</definedName>
    <definedName name="_xlnm._FilterDatabase" localSheetId="1" hidden="1">Procesamiento!$C$4:$L$61</definedName>
    <definedName name="_xlnm._FilterDatabase" localSheetId="3" hidden="1">'Sangres y Aceites'!$A$4:$I$52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2" l="1"/>
  <c r="F17" i="12"/>
  <c r="F16" i="12"/>
  <c r="H46" i="12"/>
  <c r="O6" i="12"/>
  <c r="F36" i="12"/>
  <c r="F29" i="12"/>
  <c r="H28" i="12"/>
  <c r="F5" i="12"/>
  <c r="F7" i="12"/>
  <c r="F30" i="12"/>
  <c r="G30" i="12" s="1"/>
  <c r="H30" i="12"/>
  <c r="H14" i="12"/>
  <c r="J7" i="12"/>
  <c r="J13" i="12"/>
  <c r="J15" i="12"/>
  <c r="J31" i="12"/>
  <c r="F32" i="12"/>
  <c r="F33" i="12"/>
  <c r="H36" i="12"/>
  <c r="F35" i="12"/>
  <c r="L69" i="12"/>
  <c r="E8" i="6"/>
  <c r="H6" i="12"/>
  <c r="G29" i="1"/>
  <c r="B18" i="13"/>
  <c r="B19" i="13" s="1"/>
  <c r="B20" i="13" s="1"/>
  <c r="B21" i="13" s="1"/>
  <c r="B22" i="13" s="1"/>
  <c r="B23" i="13" s="1"/>
  <c r="B24" i="13" s="1"/>
  <c r="B25" i="13" s="1"/>
  <c r="O24" i="13"/>
  <c r="F24" i="13"/>
  <c r="J24" i="13" s="1"/>
  <c r="L24" i="13" s="1"/>
  <c r="C24" i="13"/>
  <c r="O23" i="13"/>
  <c r="K23" i="13"/>
  <c r="F23" i="13"/>
  <c r="J23" i="13" s="1"/>
  <c r="C23" i="13"/>
  <c r="O22" i="13"/>
  <c r="K22" i="13"/>
  <c r="F22" i="13"/>
  <c r="J22" i="13" s="1"/>
  <c r="C22" i="13"/>
  <c r="O21" i="13"/>
  <c r="K21" i="13"/>
  <c r="J21" i="13"/>
  <c r="I21" i="13"/>
  <c r="I22" i="13" s="1"/>
  <c r="F21" i="13"/>
  <c r="O20" i="13"/>
  <c r="F20" i="13"/>
  <c r="J20" i="13" s="1"/>
  <c r="L20" i="13" s="1"/>
  <c r="C20" i="13"/>
  <c r="O19" i="13"/>
  <c r="K19" i="13"/>
  <c r="F19" i="13"/>
  <c r="J19" i="13" s="1"/>
  <c r="C19" i="13"/>
  <c r="O18" i="13"/>
  <c r="K18" i="13"/>
  <c r="F18" i="13"/>
  <c r="J18" i="13" s="1"/>
  <c r="C18" i="13"/>
  <c r="O17" i="13"/>
  <c r="K17" i="13"/>
  <c r="F17" i="13"/>
  <c r="J17" i="13" s="1"/>
  <c r="M17" i="13" s="1"/>
  <c r="P17" i="13" s="1"/>
  <c r="G45" i="1"/>
  <c r="J30" i="12" l="1"/>
  <c r="I30" i="12"/>
  <c r="K30" i="12" s="1"/>
  <c r="I17" i="13"/>
  <c r="I18" i="13" s="1"/>
  <c r="I19" i="13" s="1"/>
  <c r="I20" i="13" s="1"/>
  <c r="N20" i="13" s="1"/>
  <c r="Q20" i="13" s="1"/>
  <c r="I23" i="13"/>
  <c r="I24" i="13" s="1"/>
  <c r="N24" i="13" s="1"/>
  <c r="Q24" i="13" s="1"/>
  <c r="M21" i="13"/>
  <c r="P21" i="13"/>
  <c r="M24" i="13"/>
  <c r="P24" i="13" s="1"/>
  <c r="M22" i="13"/>
  <c r="N22" i="13" s="1"/>
  <c r="Q22" i="13" s="1"/>
  <c r="L21" i="13"/>
  <c r="M18" i="13"/>
  <c r="P18" i="13" s="1"/>
  <c r="M20" i="13"/>
  <c r="P20" i="13" s="1"/>
  <c r="L17" i="13"/>
  <c r="N19" i="13"/>
  <c r="Q19" i="13" s="1"/>
  <c r="N23" i="13"/>
  <c r="Q23" i="13" s="1"/>
  <c r="N17" i="13"/>
  <c r="Q17" i="13" s="1"/>
  <c r="N21" i="13"/>
  <c r="Q21" i="13" s="1"/>
  <c r="L19" i="13"/>
  <c r="L23" i="13"/>
  <c r="L18" i="13"/>
  <c r="M19" i="13"/>
  <c r="P19" i="13" s="1"/>
  <c r="L22" i="13"/>
  <c r="M23" i="13"/>
  <c r="P23" i="13" s="1"/>
  <c r="G17" i="1"/>
  <c r="G41" i="1"/>
  <c r="G37" i="1"/>
  <c r="F43" i="12"/>
  <c r="G49" i="1"/>
  <c r="G14" i="6"/>
  <c r="E14" i="6"/>
  <c r="F14" i="6" s="1"/>
  <c r="G13" i="6"/>
  <c r="E13" i="6"/>
  <c r="F13" i="6" s="1"/>
  <c r="G12" i="6"/>
  <c r="E12" i="6"/>
  <c r="F12" i="6" s="1"/>
  <c r="G11" i="6"/>
  <c r="E11" i="6"/>
  <c r="F11" i="6" s="1"/>
  <c r="G10" i="6"/>
  <c r="E10" i="6"/>
  <c r="F10" i="6" s="1"/>
  <c r="G9" i="6"/>
  <c r="E9" i="6"/>
  <c r="F9" i="6" s="1"/>
  <c r="G8" i="6"/>
  <c r="F8" i="6"/>
  <c r="G7" i="6"/>
  <c r="E7" i="6"/>
  <c r="F7" i="6" s="1"/>
  <c r="G6" i="6"/>
  <c r="E6" i="6"/>
  <c r="F6" i="6" s="1"/>
  <c r="G30" i="6"/>
  <c r="E100" i="2"/>
  <c r="O72" i="13"/>
  <c r="H8" i="12"/>
  <c r="H61" i="12"/>
  <c r="G13" i="4"/>
  <c r="I6" i="6" l="1"/>
  <c r="H11" i="6"/>
  <c r="J11" i="6" s="1"/>
  <c r="N18" i="13"/>
  <c r="Q18" i="13" s="1"/>
  <c r="P22" i="13"/>
  <c r="H13" i="6"/>
  <c r="J13" i="6" s="1"/>
  <c r="H8" i="6"/>
  <c r="J8" i="6" s="1"/>
  <c r="H10" i="6"/>
  <c r="J10" i="6" s="1"/>
  <c r="H12" i="6"/>
  <c r="J12" i="6" s="1"/>
  <c r="H14" i="6"/>
  <c r="J14" i="6" s="1"/>
  <c r="H6" i="6"/>
  <c r="J6" i="6" s="1"/>
  <c r="H7" i="6"/>
  <c r="J7" i="6" s="1"/>
  <c r="H9" i="6"/>
  <c r="J9" i="6" s="1"/>
  <c r="I7" i="12"/>
  <c r="I13" i="12"/>
  <c r="I15" i="12"/>
  <c r="K13" i="3" l="1"/>
  <c r="K12" i="3"/>
  <c r="K11" i="3"/>
  <c r="K18" i="3"/>
  <c r="K75" i="13"/>
  <c r="K59" i="13"/>
  <c r="E26" i="1"/>
  <c r="E101" i="2"/>
  <c r="F6" i="13"/>
  <c r="F7" i="13"/>
  <c r="F8" i="13"/>
  <c r="F9" i="13"/>
  <c r="F10" i="13"/>
  <c r="F11" i="13"/>
  <c r="F12" i="13"/>
  <c r="F13" i="13"/>
  <c r="F14" i="13"/>
  <c r="F15" i="13"/>
  <c r="F16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J61" i="13" s="1"/>
  <c r="F62" i="13"/>
  <c r="J62" i="13" s="1"/>
  <c r="F63" i="13"/>
  <c r="J63" i="13" s="1"/>
  <c r="F64" i="13"/>
  <c r="J64" i="13" s="1"/>
  <c r="F65" i="13"/>
  <c r="J65" i="13" s="1"/>
  <c r="F66" i="13"/>
  <c r="J66" i="13" s="1"/>
  <c r="F67" i="13"/>
  <c r="J67" i="13" s="1"/>
  <c r="F68" i="13"/>
  <c r="J68" i="13" s="1"/>
  <c r="F69" i="13"/>
  <c r="I69" i="13" s="1"/>
  <c r="F70" i="13"/>
  <c r="J70" i="13" s="1"/>
  <c r="F71" i="13"/>
  <c r="J71" i="13" s="1"/>
  <c r="F72" i="13"/>
  <c r="J72" i="13" s="1"/>
  <c r="M72" i="13" s="1"/>
  <c r="F73" i="13"/>
  <c r="J73" i="13" s="1"/>
  <c r="F74" i="13"/>
  <c r="J74" i="13" s="1"/>
  <c r="F75" i="13"/>
  <c r="J75" i="13" s="1"/>
  <c r="F76" i="13"/>
  <c r="J76" i="13" s="1"/>
  <c r="F5" i="13"/>
  <c r="B78" i="13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K87" i="13"/>
  <c r="K86" i="13"/>
  <c r="K85" i="13"/>
  <c r="J92" i="13"/>
  <c r="J91" i="13"/>
  <c r="J90" i="13"/>
  <c r="J89" i="13"/>
  <c r="I89" i="13"/>
  <c r="I90" i="13" s="1"/>
  <c r="I91" i="13" s="1"/>
  <c r="I92" i="13" s="1"/>
  <c r="J88" i="13"/>
  <c r="J87" i="13"/>
  <c r="J86" i="13"/>
  <c r="J85" i="13"/>
  <c r="I85" i="13"/>
  <c r="I86" i="13" s="1"/>
  <c r="I87" i="13" s="1"/>
  <c r="I88" i="13" s="1"/>
  <c r="J84" i="13"/>
  <c r="J83" i="13"/>
  <c r="J82" i="13"/>
  <c r="J81" i="13"/>
  <c r="I81" i="13"/>
  <c r="I82" i="13" s="1"/>
  <c r="I83" i="13" s="1"/>
  <c r="I84" i="13" s="1"/>
  <c r="J80" i="13"/>
  <c r="J79" i="13"/>
  <c r="J78" i="13"/>
  <c r="J77" i="13"/>
  <c r="I77" i="13"/>
  <c r="I78" i="13" s="1"/>
  <c r="I79" i="13" s="1"/>
  <c r="I80" i="13" s="1"/>
  <c r="O76" i="13"/>
  <c r="C76" i="13"/>
  <c r="O75" i="13"/>
  <c r="C75" i="13"/>
  <c r="O74" i="13"/>
  <c r="K74" i="13"/>
  <c r="O73" i="13"/>
  <c r="K73" i="13"/>
  <c r="O71" i="13"/>
  <c r="K71" i="13"/>
  <c r="C71" i="13"/>
  <c r="O70" i="13"/>
  <c r="K70" i="13"/>
  <c r="C70" i="13"/>
  <c r="O69" i="13"/>
  <c r="K69" i="13"/>
  <c r="O68" i="13"/>
  <c r="O67" i="13"/>
  <c r="K67" i="13"/>
  <c r="C67" i="13"/>
  <c r="O66" i="13"/>
  <c r="K66" i="13"/>
  <c r="C66" i="13"/>
  <c r="O65" i="13"/>
  <c r="K65" i="13"/>
  <c r="O64" i="13"/>
  <c r="C64" i="13"/>
  <c r="O63" i="13"/>
  <c r="K63" i="13"/>
  <c r="C63" i="13"/>
  <c r="O62" i="13"/>
  <c r="K62" i="13"/>
  <c r="C62" i="13"/>
  <c r="B62" i="13"/>
  <c r="B63" i="13" s="1"/>
  <c r="B64" i="13" s="1"/>
  <c r="B65" i="13" s="1"/>
  <c r="O61" i="13"/>
  <c r="K61" i="13"/>
  <c r="J69" i="13" l="1"/>
  <c r="L69" i="13" s="1"/>
  <c r="P72" i="13"/>
  <c r="M71" i="13"/>
  <c r="P71" i="13" s="1"/>
  <c r="M65" i="13"/>
  <c r="P65" i="13" s="1"/>
  <c r="M70" i="13"/>
  <c r="P70" i="13" s="1"/>
  <c r="M66" i="13"/>
  <c r="P66" i="13" s="1"/>
  <c r="L66" i="13"/>
  <c r="N69" i="13"/>
  <c r="Q69" i="13" s="1"/>
  <c r="M67" i="13"/>
  <c r="P67" i="13" s="1"/>
  <c r="M68" i="13"/>
  <c r="P68" i="13" s="1"/>
  <c r="L68" i="13"/>
  <c r="L65" i="13"/>
  <c r="L76" i="13"/>
  <c r="M76" i="13"/>
  <c r="P76" i="13" s="1"/>
  <c r="L67" i="13"/>
  <c r="M64" i="13"/>
  <c r="P64" i="13" s="1"/>
  <c r="L64" i="13"/>
  <c r="L61" i="13"/>
  <c r="L63" i="13"/>
  <c r="L73" i="13"/>
  <c r="L74" i="13"/>
  <c r="L75" i="13"/>
  <c r="M61" i="13"/>
  <c r="P61" i="13" s="1"/>
  <c r="M62" i="13"/>
  <c r="P62" i="13" s="1"/>
  <c r="M63" i="13"/>
  <c r="P63" i="13" s="1"/>
  <c r="I65" i="13"/>
  <c r="L72" i="13"/>
  <c r="M73" i="13"/>
  <c r="P73" i="13" s="1"/>
  <c r="M74" i="13"/>
  <c r="P74" i="13" s="1"/>
  <c r="M75" i="13"/>
  <c r="P75" i="13" s="1"/>
  <c r="L62" i="13"/>
  <c r="L70" i="13"/>
  <c r="L71" i="13"/>
  <c r="I61" i="13"/>
  <c r="I62" i="13" s="1"/>
  <c r="I63" i="13" s="1"/>
  <c r="I64" i="13" s="1"/>
  <c r="N64" i="13" s="1"/>
  <c r="Q64" i="13" s="1"/>
  <c r="I73" i="13"/>
  <c r="M69" i="13" l="1"/>
  <c r="P69" i="13" s="1"/>
  <c r="N61" i="13"/>
  <c r="Q61" i="13" s="1"/>
  <c r="N62" i="13"/>
  <c r="Q62" i="13" s="1"/>
  <c r="N63" i="13"/>
  <c r="Q63" i="13" s="1"/>
  <c r="N73" i="13"/>
  <c r="Q73" i="13" s="1"/>
  <c r="N65" i="13"/>
  <c r="Q65" i="13" s="1"/>
  <c r="I66" i="13"/>
  <c r="N66" i="13" l="1"/>
  <c r="Q66" i="13" s="1"/>
  <c r="E5" i="1" l="1"/>
  <c r="F25" i="12"/>
  <c r="H25" i="12"/>
  <c r="F34" i="12"/>
  <c r="H34" i="12"/>
  <c r="G33" i="1" l="1"/>
  <c r="H13" i="3" l="1"/>
  <c r="H43" i="12"/>
  <c r="E28" i="1"/>
  <c r="G21" i="1"/>
  <c r="G5" i="2" l="1"/>
  <c r="E52" i="2"/>
  <c r="E6" i="2"/>
  <c r="E31" i="2"/>
  <c r="H32" i="3"/>
  <c r="E16" i="1"/>
  <c r="G5" i="5"/>
  <c r="E15" i="2"/>
  <c r="E53" i="2"/>
  <c r="F6" i="12"/>
  <c r="E24" i="5" l="1"/>
  <c r="E25" i="5"/>
  <c r="B292" i="7"/>
  <c r="E32" i="3" s="1"/>
  <c r="E73" i="2"/>
  <c r="E155" i="2"/>
  <c r="E154" i="2"/>
  <c r="E153" i="2"/>
  <c r="E152" i="2"/>
  <c r="G151" i="2"/>
  <c r="E151" i="2"/>
  <c r="E150" i="2"/>
  <c r="E149" i="2"/>
  <c r="E148" i="2"/>
  <c r="G147" i="2"/>
  <c r="E147" i="2"/>
  <c r="E36" i="3"/>
  <c r="E31" i="3"/>
  <c r="E30" i="3"/>
  <c r="G5" i="1"/>
  <c r="E7" i="2"/>
  <c r="F147" i="2" l="1"/>
  <c r="H147" i="2" s="1"/>
  <c r="I147" i="2"/>
  <c r="F151" i="2"/>
  <c r="F10" i="3" s="1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K121" i="13"/>
  <c r="K120" i="13"/>
  <c r="K119" i="13"/>
  <c r="K118" i="13"/>
  <c r="K117" i="13"/>
  <c r="K93" i="13"/>
  <c r="F140" i="13"/>
  <c r="J140" i="13" s="1"/>
  <c r="F139" i="13"/>
  <c r="J139" i="13" s="1"/>
  <c r="F138" i="13"/>
  <c r="J138" i="13" s="1"/>
  <c r="F137" i="13"/>
  <c r="I137" i="13" s="1"/>
  <c r="F136" i="13"/>
  <c r="J136" i="13" s="1"/>
  <c r="F135" i="13"/>
  <c r="J135" i="13" s="1"/>
  <c r="F95" i="13"/>
  <c r="J95" i="13" s="1"/>
  <c r="F107" i="13"/>
  <c r="J107" i="13" s="1"/>
  <c r="B178" i="13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66" i="13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54" i="13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36" i="13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30" i="13"/>
  <c r="B131" i="13" s="1"/>
  <c r="B132" i="13" s="1"/>
  <c r="B133" i="13" s="1"/>
  <c r="B134" i="13" s="1"/>
  <c r="B118" i="13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94" i="13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42" i="13"/>
  <c r="B43" i="13" s="1"/>
  <c r="B44" i="13" s="1"/>
  <c r="B45" i="13" s="1"/>
  <c r="B26" i="13"/>
  <c r="B27" i="13" s="1"/>
  <c r="B28" i="13" s="1"/>
  <c r="B29" i="13" s="1"/>
  <c r="B30" i="13" s="1"/>
  <c r="B31" i="13" s="1"/>
  <c r="B32" i="13" s="1"/>
  <c r="B33" i="13" s="1"/>
  <c r="B34" i="13" s="1"/>
  <c r="B35" i="13" s="1"/>
  <c r="B6" i="13"/>
  <c r="B7" i="13" s="1"/>
  <c r="F98" i="13"/>
  <c r="J98" i="13" s="1"/>
  <c r="M98" i="13" s="1"/>
  <c r="K97" i="13"/>
  <c r="F97" i="13"/>
  <c r="J97" i="13" s="1"/>
  <c r="K96" i="13"/>
  <c r="F96" i="13"/>
  <c r="K95" i="13"/>
  <c r="K94" i="13"/>
  <c r="F94" i="13"/>
  <c r="I94" i="13" s="1"/>
  <c r="F93" i="13"/>
  <c r="J93" i="13" s="1"/>
  <c r="F99" i="13"/>
  <c r="J99" i="13" s="1"/>
  <c r="K99" i="13"/>
  <c r="F188" i="13"/>
  <c r="J188" i="13" s="1"/>
  <c r="K187" i="13"/>
  <c r="F187" i="13"/>
  <c r="J187" i="13" s="1"/>
  <c r="K186" i="13"/>
  <c r="F186" i="13"/>
  <c r="J186" i="13" s="1"/>
  <c r="K185" i="13"/>
  <c r="F185" i="13"/>
  <c r="J185" i="13" s="1"/>
  <c r="K184" i="13"/>
  <c r="F184" i="13"/>
  <c r="J184" i="13" s="1"/>
  <c r="K183" i="13"/>
  <c r="F183" i="13"/>
  <c r="J183" i="13" s="1"/>
  <c r="F182" i="13"/>
  <c r="J182" i="13" s="1"/>
  <c r="K181" i="13"/>
  <c r="F181" i="13"/>
  <c r="J181" i="13" s="1"/>
  <c r="K180" i="13"/>
  <c r="F180" i="13"/>
  <c r="J180" i="13" s="1"/>
  <c r="K179" i="13"/>
  <c r="F179" i="13"/>
  <c r="J179" i="13" s="1"/>
  <c r="K178" i="13"/>
  <c r="F178" i="13"/>
  <c r="J178" i="13" s="1"/>
  <c r="K177" i="13"/>
  <c r="F177" i="13"/>
  <c r="J177" i="13" s="1"/>
  <c r="F176" i="13"/>
  <c r="J176" i="13" s="1"/>
  <c r="K175" i="13"/>
  <c r="F175" i="13"/>
  <c r="J175" i="13" s="1"/>
  <c r="K174" i="13"/>
  <c r="F174" i="13"/>
  <c r="J174" i="13" s="1"/>
  <c r="K173" i="13"/>
  <c r="F173" i="13"/>
  <c r="J173" i="13" s="1"/>
  <c r="K172" i="13"/>
  <c r="F172" i="13"/>
  <c r="J172" i="13" s="1"/>
  <c r="K171" i="13"/>
  <c r="F171" i="13"/>
  <c r="J171" i="13" s="1"/>
  <c r="F170" i="13"/>
  <c r="J170" i="13" s="1"/>
  <c r="K169" i="13"/>
  <c r="F169" i="13"/>
  <c r="J169" i="13" s="1"/>
  <c r="K168" i="13"/>
  <c r="F168" i="13"/>
  <c r="J168" i="13" s="1"/>
  <c r="K167" i="13"/>
  <c r="F167" i="13"/>
  <c r="I167" i="13" s="1"/>
  <c r="K166" i="13"/>
  <c r="F166" i="13"/>
  <c r="J166" i="13" s="1"/>
  <c r="K165" i="13"/>
  <c r="F165" i="13"/>
  <c r="J165" i="13" s="1"/>
  <c r="F164" i="13"/>
  <c r="J164" i="13" s="1"/>
  <c r="K163" i="13"/>
  <c r="F163" i="13"/>
  <c r="J163" i="13" s="1"/>
  <c r="K162" i="13"/>
  <c r="F162" i="13"/>
  <c r="J162" i="13" s="1"/>
  <c r="K161" i="13"/>
  <c r="F161" i="13"/>
  <c r="J161" i="13" s="1"/>
  <c r="K160" i="13"/>
  <c r="F160" i="13"/>
  <c r="J160" i="13" s="1"/>
  <c r="K159" i="13"/>
  <c r="F159" i="13"/>
  <c r="J159" i="13" s="1"/>
  <c r="F158" i="13"/>
  <c r="J158" i="13" s="1"/>
  <c r="K157" i="13"/>
  <c r="F157" i="13"/>
  <c r="J157" i="13" s="1"/>
  <c r="K156" i="13"/>
  <c r="F156" i="13"/>
  <c r="J156" i="13" s="1"/>
  <c r="K155" i="13"/>
  <c r="F155" i="13"/>
  <c r="J155" i="13" s="1"/>
  <c r="K154" i="13"/>
  <c r="F154" i="13"/>
  <c r="J154" i="13" s="1"/>
  <c r="K153" i="13"/>
  <c r="F153" i="13"/>
  <c r="J153" i="13" s="1"/>
  <c r="F152" i="13"/>
  <c r="J152" i="13" s="1"/>
  <c r="K151" i="13"/>
  <c r="F151" i="13"/>
  <c r="J151" i="13" s="1"/>
  <c r="K150" i="13"/>
  <c r="F150" i="13"/>
  <c r="J150" i="13" s="1"/>
  <c r="K149" i="13"/>
  <c r="F149" i="13"/>
  <c r="J149" i="13" s="1"/>
  <c r="K148" i="13"/>
  <c r="F148" i="13"/>
  <c r="J148" i="13" s="1"/>
  <c r="K147" i="13"/>
  <c r="F147" i="13"/>
  <c r="J147" i="13" s="1"/>
  <c r="F146" i="13"/>
  <c r="J146" i="13" s="1"/>
  <c r="K145" i="13"/>
  <c r="F145" i="13"/>
  <c r="J145" i="13" s="1"/>
  <c r="K144" i="13"/>
  <c r="F144" i="13"/>
  <c r="J144" i="13" s="1"/>
  <c r="K143" i="13"/>
  <c r="F143" i="13"/>
  <c r="I143" i="13" s="1"/>
  <c r="K142" i="13"/>
  <c r="F142" i="13"/>
  <c r="J142" i="13" s="1"/>
  <c r="K141" i="13"/>
  <c r="F141" i="13"/>
  <c r="J141" i="13" s="1"/>
  <c r="K139" i="13"/>
  <c r="K138" i="13"/>
  <c r="K137" i="13"/>
  <c r="K136" i="13"/>
  <c r="K135" i="13"/>
  <c r="F134" i="13"/>
  <c r="J134" i="13" s="1"/>
  <c r="K133" i="13"/>
  <c r="F133" i="13"/>
  <c r="J133" i="13" s="1"/>
  <c r="K132" i="13"/>
  <c r="F132" i="13"/>
  <c r="J132" i="13" s="1"/>
  <c r="K131" i="13"/>
  <c r="F131" i="13"/>
  <c r="J131" i="13" s="1"/>
  <c r="K130" i="13"/>
  <c r="F130" i="13"/>
  <c r="I130" i="13" s="1"/>
  <c r="K129" i="13"/>
  <c r="F129" i="13"/>
  <c r="J129" i="13" s="1"/>
  <c r="F128" i="13"/>
  <c r="J128" i="13" s="1"/>
  <c r="K127" i="13"/>
  <c r="F127" i="13"/>
  <c r="J127" i="13" s="1"/>
  <c r="K126" i="13"/>
  <c r="F126" i="13"/>
  <c r="J126" i="13" s="1"/>
  <c r="K125" i="13"/>
  <c r="F125" i="13"/>
  <c r="J125" i="13" s="1"/>
  <c r="K124" i="13"/>
  <c r="F124" i="13"/>
  <c r="J124" i="13" s="1"/>
  <c r="K123" i="13"/>
  <c r="F123" i="13"/>
  <c r="J123" i="13" s="1"/>
  <c r="F122" i="13"/>
  <c r="J122" i="13" s="1"/>
  <c r="F121" i="13"/>
  <c r="J121" i="13" s="1"/>
  <c r="F120" i="13"/>
  <c r="J120" i="13" s="1"/>
  <c r="F119" i="13"/>
  <c r="J119" i="13" s="1"/>
  <c r="F118" i="13"/>
  <c r="J118" i="13" s="1"/>
  <c r="F117" i="13"/>
  <c r="J117" i="13" s="1"/>
  <c r="F116" i="13"/>
  <c r="J116" i="13" s="1"/>
  <c r="K115" i="13"/>
  <c r="F115" i="13"/>
  <c r="J115" i="13" s="1"/>
  <c r="K114" i="13"/>
  <c r="F114" i="13"/>
  <c r="J114" i="13" s="1"/>
  <c r="K113" i="13"/>
  <c r="F113" i="13"/>
  <c r="J113" i="13" s="1"/>
  <c r="K112" i="13"/>
  <c r="F112" i="13"/>
  <c r="J112" i="13" s="1"/>
  <c r="K111" i="13"/>
  <c r="F111" i="13"/>
  <c r="I111" i="13" s="1"/>
  <c r="F110" i="13"/>
  <c r="J110" i="13" s="1"/>
  <c r="K109" i="13"/>
  <c r="F109" i="13"/>
  <c r="J109" i="13" s="1"/>
  <c r="K108" i="13"/>
  <c r="F108" i="13"/>
  <c r="J108" i="13" s="1"/>
  <c r="K107" i="13"/>
  <c r="K106" i="13"/>
  <c r="F106" i="13"/>
  <c r="J106" i="13" s="1"/>
  <c r="K105" i="13"/>
  <c r="F105" i="13"/>
  <c r="J105" i="13" s="1"/>
  <c r="K100" i="13"/>
  <c r="K101" i="13"/>
  <c r="K102" i="13"/>
  <c r="K103" i="13"/>
  <c r="F100" i="13"/>
  <c r="J100" i="13" s="1"/>
  <c r="F101" i="13"/>
  <c r="I101" i="13" s="1"/>
  <c r="C92" i="13"/>
  <c r="C91" i="13"/>
  <c r="C90" i="13"/>
  <c r="C84" i="13"/>
  <c r="C83" i="13"/>
  <c r="C82" i="13"/>
  <c r="C59" i="13"/>
  <c r="C44" i="13"/>
  <c r="C43" i="13"/>
  <c r="C42" i="13"/>
  <c r="C36" i="13"/>
  <c r="C35" i="13"/>
  <c r="C34" i="13"/>
  <c r="C28" i="13"/>
  <c r="C27" i="13"/>
  <c r="C26" i="13"/>
  <c r="C8" i="13"/>
  <c r="C7" i="13"/>
  <c r="C6" i="13"/>
  <c r="C16" i="13"/>
  <c r="C14" i="13" s="1"/>
  <c r="C15" i="13"/>
  <c r="C74" i="13" s="1"/>
  <c r="C32" i="13"/>
  <c r="C31" i="13"/>
  <c r="C30" i="13"/>
  <c r="C39" i="13"/>
  <c r="C38" i="13"/>
  <c r="C56" i="13"/>
  <c r="C55" i="13"/>
  <c r="C40" i="13" s="1"/>
  <c r="C54" i="13"/>
  <c r="C184" i="13"/>
  <c r="C185" i="13" s="1"/>
  <c r="C186" i="13" s="1"/>
  <c r="C187" i="13" s="1"/>
  <c r="C188" i="13" s="1"/>
  <c r="C172" i="13"/>
  <c r="C173" i="13" s="1"/>
  <c r="C174" i="13" s="1"/>
  <c r="C175" i="13" s="1"/>
  <c r="C176" i="13" s="1"/>
  <c r="C160" i="13"/>
  <c r="C161" i="13" s="1"/>
  <c r="C162" i="13" s="1"/>
  <c r="C163" i="13" s="1"/>
  <c r="C164" i="13" s="1"/>
  <c r="C148" i="13"/>
  <c r="C149" i="13" s="1"/>
  <c r="C150" i="13" s="1"/>
  <c r="C151" i="13" s="1"/>
  <c r="C152" i="13" s="1"/>
  <c r="C136" i="13"/>
  <c r="C137" i="13" s="1"/>
  <c r="C138" i="13" s="1"/>
  <c r="C139" i="13" s="1"/>
  <c r="C140" i="13" s="1"/>
  <c r="C124" i="13"/>
  <c r="C125" i="13" s="1"/>
  <c r="C126" i="13" s="1"/>
  <c r="C127" i="13" s="1"/>
  <c r="C128" i="13" s="1"/>
  <c r="C112" i="13"/>
  <c r="C113" i="13" s="1"/>
  <c r="C114" i="13" s="1"/>
  <c r="C115" i="13" s="1"/>
  <c r="C116" i="13" s="1"/>
  <c r="C100" i="13"/>
  <c r="C101" i="13" s="1"/>
  <c r="C102" i="13" s="1"/>
  <c r="C103" i="13" s="1"/>
  <c r="C104" i="13" s="1"/>
  <c r="C178" i="13"/>
  <c r="C179" i="13" s="1"/>
  <c r="C180" i="13" s="1"/>
  <c r="C181" i="13" s="1"/>
  <c r="C182" i="13" s="1"/>
  <c r="C166" i="13"/>
  <c r="C167" i="13" s="1"/>
  <c r="C168" i="13" s="1"/>
  <c r="C169" i="13" s="1"/>
  <c r="C170" i="13" s="1"/>
  <c r="C154" i="13"/>
  <c r="C155" i="13" s="1"/>
  <c r="C156" i="13" s="1"/>
  <c r="C157" i="13" s="1"/>
  <c r="C158" i="13" s="1"/>
  <c r="C142" i="13"/>
  <c r="C143" i="13" s="1"/>
  <c r="C144" i="13" s="1"/>
  <c r="C145" i="13" s="1"/>
  <c r="C146" i="13" s="1"/>
  <c r="C130" i="13"/>
  <c r="C131" i="13" s="1"/>
  <c r="C132" i="13" s="1"/>
  <c r="C133" i="13" s="1"/>
  <c r="C134" i="13" s="1"/>
  <c r="C118" i="13"/>
  <c r="C119" i="13" s="1"/>
  <c r="C120" i="13" s="1"/>
  <c r="C121" i="13" s="1"/>
  <c r="C122" i="13" s="1"/>
  <c r="C106" i="13"/>
  <c r="C107" i="13" s="1"/>
  <c r="C108" i="13" s="1"/>
  <c r="C109" i="13" s="1"/>
  <c r="C110" i="13" s="1"/>
  <c r="C94" i="13"/>
  <c r="C95" i="13" s="1"/>
  <c r="C96" i="13" s="1"/>
  <c r="C97" i="13" s="1"/>
  <c r="C98" i="13" s="1"/>
  <c r="O92" i="13"/>
  <c r="O91" i="13"/>
  <c r="K91" i="13"/>
  <c r="O90" i="13"/>
  <c r="K90" i="13"/>
  <c r="O89" i="13"/>
  <c r="K89" i="13"/>
  <c r="L89" i="13" s="1"/>
  <c r="O88" i="13"/>
  <c r="C88" i="13"/>
  <c r="O87" i="13"/>
  <c r="C87" i="13"/>
  <c r="O86" i="13"/>
  <c r="C86" i="13"/>
  <c r="O85" i="13"/>
  <c r="O84" i="13"/>
  <c r="O83" i="13"/>
  <c r="K83" i="13"/>
  <c r="O82" i="13"/>
  <c r="K82" i="13"/>
  <c r="O81" i="13"/>
  <c r="K81" i="13"/>
  <c r="O80" i="13"/>
  <c r="C80" i="13"/>
  <c r="O79" i="13"/>
  <c r="K79" i="13"/>
  <c r="C79" i="13"/>
  <c r="O78" i="13"/>
  <c r="K78" i="13"/>
  <c r="C78" i="13"/>
  <c r="O77" i="13"/>
  <c r="K77" i="13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5" i="6"/>
  <c r="E71" i="2"/>
  <c r="G25" i="1"/>
  <c r="E58" i="2"/>
  <c r="G17" i="2"/>
  <c r="E17" i="2"/>
  <c r="E19" i="2"/>
  <c r="E90" i="2"/>
  <c r="E45" i="2"/>
  <c r="E135" i="2"/>
  <c r="E50" i="1"/>
  <c r="G25" i="4"/>
  <c r="O40" i="13"/>
  <c r="J40" i="13"/>
  <c r="O39" i="13"/>
  <c r="K39" i="13"/>
  <c r="J39" i="13"/>
  <c r="O38" i="13"/>
  <c r="K38" i="13"/>
  <c r="J38" i="13"/>
  <c r="O37" i="13"/>
  <c r="K37" i="13"/>
  <c r="I37" i="13"/>
  <c r="F102" i="13"/>
  <c r="J102" i="13" s="1"/>
  <c r="F103" i="13"/>
  <c r="J103" i="13" s="1"/>
  <c r="F104" i="13"/>
  <c r="J104" i="13" s="1"/>
  <c r="H151" i="2" l="1"/>
  <c r="I138" i="13"/>
  <c r="I139" i="13" s="1"/>
  <c r="I140" i="13" s="1"/>
  <c r="N140" i="13" s="1"/>
  <c r="Q140" i="13" s="1"/>
  <c r="I105" i="13"/>
  <c r="N105" i="13" s="1"/>
  <c r="Q105" i="13" s="1"/>
  <c r="J137" i="13"/>
  <c r="L137" i="13" s="1"/>
  <c r="I171" i="13"/>
  <c r="I185" i="13"/>
  <c r="I186" i="13" s="1"/>
  <c r="N186" i="13" s="1"/>
  <c r="Q186" i="13" s="1"/>
  <c r="I119" i="13"/>
  <c r="I120" i="13" s="1"/>
  <c r="I121" i="13" s="1"/>
  <c r="I122" i="13" s="1"/>
  <c r="N122" i="13" s="1"/>
  <c r="Q122" i="13" s="1"/>
  <c r="I112" i="13"/>
  <c r="N112" i="13" s="1"/>
  <c r="Q112" i="13" s="1"/>
  <c r="I144" i="13"/>
  <c r="I145" i="13" s="1"/>
  <c r="I146" i="13" s="1"/>
  <c r="N146" i="13" s="1"/>
  <c r="Q146" i="13" s="1"/>
  <c r="I93" i="13"/>
  <c r="N93" i="13" s="1"/>
  <c r="Q93" i="13" s="1"/>
  <c r="I147" i="13"/>
  <c r="N147" i="13" s="1"/>
  <c r="Q147" i="13" s="1"/>
  <c r="I113" i="13"/>
  <c r="I114" i="13" s="1"/>
  <c r="I115" i="13" s="1"/>
  <c r="I116" i="13" s="1"/>
  <c r="N116" i="13" s="1"/>
  <c r="Q116" i="13" s="1"/>
  <c r="I178" i="13"/>
  <c r="I123" i="13"/>
  <c r="I154" i="13"/>
  <c r="J111" i="13"/>
  <c r="M111" i="13" s="1"/>
  <c r="P111" i="13" s="1"/>
  <c r="I102" i="13"/>
  <c r="I103" i="13" s="1"/>
  <c r="I104" i="13" s="1"/>
  <c r="N104" i="13" s="1"/>
  <c r="Q104" i="13" s="1"/>
  <c r="I168" i="13"/>
  <c r="I169" i="13" s="1"/>
  <c r="I170" i="13" s="1"/>
  <c r="N170" i="13" s="1"/>
  <c r="Q170" i="13" s="1"/>
  <c r="I95" i="13"/>
  <c r="I96" i="13" s="1"/>
  <c r="I97" i="13" s="1"/>
  <c r="I98" i="13" s="1"/>
  <c r="I161" i="13"/>
  <c r="I162" i="13" s="1"/>
  <c r="I163" i="13" s="1"/>
  <c r="I164" i="13" s="1"/>
  <c r="N164" i="13" s="1"/>
  <c r="Q164" i="13" s="1"/>
  <c r="I100" i="13"/>
  <c r="J167" i="13"/>
  <c r="M167" i="13" s="1"/>
  <c r="P167" i="13" s="1"/>
  <c r="F9" i="3"/>
  <c r="I151" i="2"/>
  <c r="J143" i="13"/>
  <c r="L143" i="13" s="1"/>
  <c r="J96" i="13"/>
  <c r="M96" i="13" s="1"/>
  <c r="P96" i="13" s="1"/>
  <c r="I99" i="13"/>
  <c r="J130" i="13"/>
  <c r="M130" i="13" s="1"/>
  <c r="P130" i="13" s="1"/>
  <c r="I141" i="13"/>
  <c r="I165" i="13"/>
  <c r="I106" i="13"/>
  <c r="N106" i="13" s="1"/>
  <c r="Q106" i="13" s="1"/>
  <c r="I117" i="13"/>
  <c r="N117" i="13" s="1"/>
  <c r="Q117" i="13" s="1"/>
  <c r="I124" i="13"/>
  <c r="I131" i="13"/>
  <c r="I132" i="13" s="1"/>
  <c r="I133" i="13" s="1"/>
  <c r="I134" i="13" s="1"/>
  <c r="N134" i="13" s="1"/>
  <c r="Q134" i="13" s="1"/>
  <c r="I135" i="13"/>
  <c r="I148" i="13"/>
  <c r="I155" i="13"/>
  <c r="I156" i="13" s="1"/>
  <c r="I157" i="13" s="1"/>
  <c r="I158" i="13" s="1"/>
  <c r="N158" i="13" s="1"/>
  <c r="Q158" i="13" s="1"/>
  <c r="I159" i="13"/>
  <c r="I172" i="13"/>
  <c r="I179" i="13"/>
  <c r="I180" i="13" s="1"/>
  <c r="I181" i="13" s="1"/>
  <c r="I182" i="13" s="1"/>
  <c r="I183" i="13"/>
  <c r="N183" i="13" s="1"/>
  <c r="Q183" i="13" s="1"/>
  <c r="J101" i="13"/>
  <c r="M101" i="13" s="1"/>
  <c r="P101" i="13" s="1"/>
  <c r="I142" i="13"/>
  <c r="I166" i="13"/>
  <c r="J94" i="13"/>
  <c r="L94" i="13" s="1"/>
  <c r="I107" i="13"/>
  <c r="I108" i="13" s="1"/>
  <c r="I109" i="13" s="1"/>
  <c r="I110" i="13" s="1"/>
  <c r="N110" i="13" s="1"/>
  <c r="Q110" i="13" s="1"/>
  <c r="N111" i="13"/>
  <c r="Q111" i="13" s="1"/>
  <c r="I118" i="13"/>
  <c r="I125" i="13"/>
  <c r="I126" i="13" s="1"/>
  <c r="I127" i="13" s="1"/>
  <c r="I128" i="13" s="1"/>
  <c r="I129" i="13"/>
  <c r="I136" i="13"/>
  <c r="I149" i="13"/>
  <c r="I150" i="13" s="1"/>
  <c r="I151" i="13" s="1"/>
  <c r="I152" i="13" s="1"/>
  <c r="I153" i="13"/>
  <c r="N153" i="13" s="1"/>
  <c r="Q153" i="13" s="1"/>
  <c r="I160" i="13"/>
  <c r="I173" i="13"/>
  <c r="I174" i="13" s="1"/>
  <c r="I175" i="13" s="1"/>
  <c r="I176" i="13" s="1"/>
  <c r="N176" i="13" s="1"/>
  <c r="Q176" i="13" s="1"/>
  <c r="I177" i="13"/>
  <c r="N177" i="13" s="1"/>
  <c r="Q177" i="13" s="1"/>
  <c r="I184" i="13"/>
  <c r="L81" i="13"/>
  <c r="L95" i="13"/>
  <c r="L93" i="13"/>
  <c r="N94" i="13"/>
  <c r="Q94" i="13" s="1"/>
  <c r="M183" i="13"/>
  <c r="P183" i="13" s="1"/>
  <c r="L153" i="13"/>
  <c r="M93" i="13"/>
  <c r="P93" i="13" s="1"/>
  <c r="M166" i="13"/>
  <c r="P166" i="13" s="1"/>
  <c r="L123" i="13"/>
  <c r="L100" i="13"/>
  <c r="L99" i="13"/>
  <c r="M142" i="13"/>
  <c r="P142" i="13" s="1"/>
  <c r="L160" i="13"/>
  <c r="M99" i="13"/>
  <c r="P99" i="13" s="1"/>
  <c r="L141" i="13"/>
  <c r="M100" i="13"/>
  <c r="P100" i="13" s="1"/>
  <c r="M148" i="13"/>
  <c r="P148" i="13" s="1"/>
  <c r="L165" i="13"/>
  <c r="M95" i="13"/>
  <c r="P95" i="13" s="1"/>
  <c r="M102" i="13"/>
  <c r="P102" i="13" s="1"/>
  <c r="L144" i="13"/>
  <c r="L102" i="13"/>
  <c r="N88" i="13"/>
  <c r="Q88" i="13" s="1"/>
  <c r="M114" i="13"/>
  <c r="P114" i="13" s="1"/>
  <c r="L124" i="13"/>
  <c r="L138" i="13"/>
  <c r="M141" i="13"/>
  <c r="P141" i="13" s="1"/>
  <c r="L142" i="13"/>
  <c r="M135" i="13"/>
  <c r="P135" i="13" s="1"/>
  <c r="L168" i="13"/>
  <c r="M184" i="13"/>
  <c r="P184" i="13" s="1"/>
  <c r="L135" i="13"/>
  <c r="L133" i="13"/>
  <c r="M160" i="13"/>
  <c r="P160" i="13" s="1"/>
  <c r="L186" i="13"/>
  <c r="L185" i="13"/>
  <c r="L184" i="13"/>
  <c r="L180" i="13"/>
  <c r="M180" i="13"/>
  <c r="P180" i="13" s="1"/>
  <c r="M172" i="13"/>
  <c r="P172" i="13" s="1"/>
  <c r="L172" i="13"/>
  <c r="L171" i="13"/>
  <c r="M171" i="13"/>
  <c r="P171" i="13" s="1"/>
  <c r="L177" i="13"/>
  <c r="M177" i="13"/>
  <c r="P177" i="13" s="1"/>
  <c r="M174" i="13"/>
  <c r="P174" i="13" s="1"/>
  <c r="L174" i="13"/>
  <c r="L179" i="13"/>
  <c r="L173" i="13"/>
  <c r="M179" i="13"/>
  <c r="P179" i="13" s="1"/>
  <c r="M173" i="13"/>
  <c r="P173" i="13" s="1"/>
  <c r="L178" i="13"/>
  <c r="L181" i="13"/>
  <c r="M178" i="13"/>
  <c r="P178" i="13" s="1"/>
  <c r="M169" i="13"/>
  <c r="P169" i="13" s="1"/>
  <c r="L169" i="13"/>
  <c r="M165" i="13"/>
  <c r="P165" i="13" s="1"/>
  <c r="M168" i="13"/>
  <c r="P168" i="13" s="1"/>
  <c r="L159" i="13"/>
  <c r="M159" i="13"/>
  <c r="P159" i="13" s="1"/>
  <c r="M150" i="13"/>
  <c r="P150" i="13" s="1"/>
  <c r="L150" i="13"/>
  <c r="M155" i="13"/>
  <c r="P155" i="13" s="1"/>
  <c r="L155" i="13"/>
  <c r="M151" i="13"/>
  <c r="P151" i="13" s="1"/>
  <c r="M147" i="13"/>
  <c r="P147" i="13" s="1"/>
  <c r="L147" i="13"/>
  <c r="L149" i="13"/>
  <c r="L154" i="13"/>
  <c r="M149" i="13"/>
  <c r="P149" i="13" s="1"/>
  <c r="L148" i="13"/>
  <c r="M154" i="13"/>
  <c r="P154" i="13" s="1"/>
  <c r="M136" i="13"/>
  <c r="P136" i="13" s="1"/>
  <c r="L136" i="13"/>
  <c r="L145" i="13"/>
  <c r="M138" i="13"/>
  <c r="P138" i="13" s="1"/>
  <c r="M124" i="13"/>
  <c r="P124" i="13" s="1"/>
  <c r="L129" i="13"/>
  <c r="L132" i="13"/>
  <c r="M129" i="13"/>
  <c r="P129" i="13" s="1"/>
  <c r="M123" i="13"/>
  <c r="P123" i="13" s="1"/>
  <c r="L131" i="13"/>
  <c r="M131" i="13"/>
  <c r="P131" i="13" s="1"/>
  <c r="M132" i="13"/>
  <c r="P132" i="13" s="1"/>
  <c r="L119" i="13"/>
  <c r="L117" i="13"/>
  <c r="M117" i="13"/>
  <c r="P117" i="13" s="1"/>
  <c r="M112" i="13"/>
  <c r="P112" i="13" s="1"/>
  <c r="L112" i="13"/>
  <c r="M119" i="13"/>
  <c r="P119" i="13" s="1"/>
  <c r="L118" i="13"/>
  <c r="M118" i="13"/>
  <c r="P118" i="13" s="1"/>
  <c r="L107" i="13"/>
  <c r="M105" i="13"/>
  <c r="P105" i="13" s="1"/>
  <c r="L106" i="13"/>
  <c r="M107" i="13"/>
  <c r="P107" i="13" s="1"/>
  <c r="M106" i="13"/>
  <c r="P106" i="13" s="1"/>
  <c r="M77" i="13"/>
  <c r="P77" i="13" s="1"/>
  <c r="L91" i="13"/>
  <c r="N92" i="13"/>
  <c r="Q92" i="13" s="1"/>
  <c r="L87" i="13"/>
  <c r="L83" i="13"/>
  <c r="L77" i="13"/>
  <c r="N84" i="13"/>
  <c r="Q84" i="13" s="1"/>
  <c r="N80" i="13"/>
  <c r="Q80" i="13" s="1"/>
  <c r="M80" i="13"/>
  <c r="P80" i="13" s="1"/>
  <c r="L80" i="13"/>
  <c r="M84" i="13"/>
  <c r="P84" i="13" s="1"/>
  <c r="L84" i="13"/>
  <c r="M89" i="13"/>
  <c r="P89" i="13" s="1"/>
  <c r="M85" i="13"/>
  <c r="P85" i="13" s="1"/>
  <c r="M92" i="13"/>
  <c r="P92" i="13" s="1"/>
  <c r="L92" i="13"/>
  <c r="M81" i="13"/>
  <c r="P81" i="13" s="1"/>
  <c r="M88" i="13"/>
  <c r="P88" i="13" s="1"/>
  <c r="L88" i="13"/>
  <c r="L79" i="13"/>
  <c r="L78" i="13"/>
  <c r="M79" i="13"/>
  <c r="P79" i="13" s="1"/>
  <c r="L82" i="13"/>
  <c r="M83" i="13"/>
  <c r="P83" i="13" s="1"/>
  <c r="L86" i="13"/>
  <c r="M87" i="13"/>
  <c r="P87" i="13" s="1"/>
  <c r="L90" i="13"/>
  <c r="M91" i="13"/>
  <c r="P91" i="13" s="1"/>
  <c r="M78" i="13"/>
  <c r="P78" i="13" s="1"/>
  <c r="M82" i="13"/>
  <c r="P82" i="13" s="1"/>
  <c r="L85" i="13"/>
  <c r="M86" i="13"/>
  <c r="P86" i="13" s="1"/>
  <c r="M90" i="13"/>
  <c r="P90" i="13" s="1"/>
  <c r="I38" i="13"/>
  <c r="N37" i="13"/>
  <c r="Q37" i="13" s="1"/>
  <c r="M40" i="13"/>
  <c r="P40" i="13" s="1"/>
  <c r="L40" i="13"/>
  <c r="L38" i="13"/>
  <c r="M39" i="13"/>
  <c r="P39" i="13" s="1"/>
  <c r="J37" i="13"/>
  <c r="L37" i="13" s="1"/>
  <c r="L39" i="13"/>
  <c r="M38" i="13"/>
  <c r="P38" i="13" s="1"/>
  <c r="J9" i="13"/>
  <c r="J10" i="13"/>
  <c r="J13" i="13"/>
  <c r="J15" i="13"/>
  <c r="J16" i="13"/>
  <c r="J25" i="13"/>
  <c r="J27" i="13"/>
  <c r="J30" i="13"/>
  <c r="J31" i="13"/>
  <c r="J33" i="13"/>
  <c r="J36" i="13"/>
  <c r="J41" i="13"/>
  <c r="J42" i="13"/>
  <c r="J43" i="13"/>
  <c r="J45" i="13"/>
  <c r="J46" i="13"/>
  <c r="J47" i="13"/>
  <c r="J49" i="13"/>
  <c r="J52" i="13"/>
  <c r="L52" i="13" s="1"/>
  <c r="J53" i="13"/>
  <c r="J57" i="13"/>
  <c r="J58" i="13"/>
  <c r="J59" i="13"/>
  <c r="J60" i="13"/>
  <c r="J14" i="13"/>
  <c r="J26" i="13"/>
  <c r="J28" i="13"/>
  <c r="J34" i="13"/>
  <c r="J44" i="13"/>
  <c r="J56" i="13"/>
  <c r="J11" i="13"/>
  <c r="I5" i="13"/>
  <c r="O6" i="13"/>
  <c r="E6" i="1"/>
  <c r="K5" i="13"/>
  <c r="J6" i="13"/>
  <c r="J7" i="13"/>
  <c r="J8" i="13"/>
  <c r="M8" i="13" s="1"/>
  <c r="J12" i="13"/>
  <c r="J29" i="13"/>
  <c r="J32" i="13"/>
  <c r="J35" i="13"/>
  <c r="J48" i="13"/>
  <c r="J50" i="13"/>
  <c r="J51" i="13"/>
  <c r="J54" i="13"/>
  <c r="J55" i="13"/>
  <c r="K7" i="13"/>
  <c r="K6" i="13"/>
  <c r="K11" i="13"/>
  <c r="K10" i="13"/>
  <c r="K9" i="13"/>
  <c r="K15" i="13"/>
  <c r="K14" i="13"/>
  <c r="K13" i="13"/>
  <c r="K27" i="13"/>
  <c r="K26" i="13"/>
  <c r="K25" i="13"/>
  <c r="K31" i="13"/>
  <c r="K30" i="13"/>
  <c r="K29" i="13"/>
  <c r="K58" i="13"/>
  <c r="K57" i="13"/>
  <c r="C48" i="13"/>
  <c r="C47" i="13"/>
  <c r="C46" i="13"/>
  <c r="C68" i="13" s="1"/>
  <c r="C58" i="13" s="1"/>
  <c r="C52" i="13"/>
  <c r="C51" i="13"/>
  <c r="C50" i="13"/>
  <c r="C12" i="13"/>
  <c r="C72" i="13" s="1"/>
  <c r="C11" i="13"/>
  <c r="C60" i="13" s="1"/>
  <c r="C10" i="13"/>
  <c r="K45" i="13"/>
  <c r="O60" i="13"/>
  <c r="O59" i="13"/>
  <c r="O58" i="13"/>
  <c r="O57" i="13"/>
  <c r="K55" i="13"/>
  <c r="K54" i="13"/>
  <c r="K53" i="13"/>
  <c r="K51" i="13"/>
  <c r="K50" i="13"/>
  <c r="K49" i="13"/>
  <c r="K47" i="13"/>
  <c r="K46" i="13"/>
  <c r="K42" i="13"/>
  <c r="K35" i="13"/>
  <c r="K34" i="13"/>
  <c r="K33" i="13"/>
  <c r="O29" i="13"/>
  <c r="O49" i="13"/>
  <c r="O25" i="13"/>
  <c r="O33" i="13"/>
  <c r="O53" i="13"/>
  <c r="F45" i="12"/>
  <c r="M137" i="13" l="1"/>
  <c r="P137" i="13" s="1"/>
  <c r="I39" i="13"/>
  <c r="N185" i="13"/>
  <c r="Q185" i="13" s="1"/>
  <c r="I187" i="13"/>
  <c r="I188" i="13" s="1"/>
  <c r="N188" i="13" s="1"/>
  <c r="Q188" i="13" s="1"/>
  <c r="L130" i="13"/>
  <c r="L111" i="13"/>
  <c r="N107" i="13"/>
  <c r="Q107" i="13" s="1"/>
  <c r="N95" i="13"/>
  <c r="Q95" i="13" s="1"/>
  <c r="N113" i="13"/>
  <c r="Q113" i="13" s="1"/>
  <c r="M143" i="13"/>
  <c r="P143" i="13" s="1"/>
  <c r="L167" i="13"/>
  <c r="N114" i="13"/>
  <c r="Q114" i="13" s="1"/>
  <c r="L96" i="13"/>
  <c r="N108" i="13"/>
  <c r="Q108" i="13" s="1"/>
  <c r="N173" i="13"/>
  <c r="Q173" i="13" s="1"/>
  <c r="N175" i="13"/>
  <c r="Q175" i="13" s="1"/>
  <c r="L101" i="13"/>
  <c r="N109" i="13"/>
  <c r="Q109" i="13" s="1"/>
  <c r="N160" i="13"/>
  <c r="Q160" i="13" s="1"/>
  <c r="N161" i="13"/>
  <c r="Q161" i="13" s="1"/>
  <c r="N97" i="13"/>
  <c r="Q97" i="13" s="1"/>
  <c r="N119" i="13"/>
  <c r="Q119" i="13" s="1"/>
  <c r="N159" i="13"/>
  <c r="Q159" i="13" s="1"/>
  <c r="N162" i="13"/>
  <c r="Q162" i="13" s="1"/>
  <c r="N121" i="13"/>
  <c r="Q121" i="13" s="1"/>
  <c r="N142" i="13"/>
  <c r="Q142" i="13" s="1"/>
  <c r="N102" i="13"/>
  <c r="Q102" i="13" s="1"/>
  <c r="M94" i="13"/>
  <c r="P94" i="13" s="1"/>
  <c r="N141" i="13"/>
  <c r="Q141" i="13" s="1"/>
  <c r="N155" i="13"/>
  <c r="Q155" i="13" s="1"/>
  <c r="N165" i="13"/>
  <c r="Q165" i="13" s="1"/>
  <c r="L183" i="13"/>
  <c r="N167" i="13"/>
  <c r="Q167" i="13" s="1"/>
  <c r="N166" i="13"/>
  <c r="Q166" i="13" s="1"/>
  <c r="N115" i="13"/>
  <c r="Q115" i="13" s="1"/>
  <c r="N103" i="13"/>
  <c r="Q103" i="13" s="1"/>
  <c r="N131" i="13"/>
  <c r="Q131" i="13" s="1"/>
  <c r="N132" i="13"/>
  <c r="Q132" i="13" s="1"/>
  <c r="N143" i="13"/>
  <c r="Q143" i="13" s="1"/>
  <c r="N144" i="13"/>
  <c r="Q144" i="13" s="1"/>
  <c r="N157" i="13"/>
  <c r="Q157" i="13" s="1"/>
  <c r="N145" i="13"/>
  <c r="Q145" i="13" s="1"/>
  <c r="N156" i="13"/>
  <c r="Q156" i="13" s="1"/>
  <c r="N129" i="13"/>
  <c r="Q129" i="13" s="1"/>
  <c r="N133" i="13"/>
  <c r="Q133" i="13" s="1"/>
  <c r="N124" i="13"/>
  <c r="Q124" i="13" s="1"/>
  <c r="N138" i="13"/>
  <c r="Q138" i="13" s="1"/>
  <c r="N184" i="13"/>
  <c r="Q184" i="13" s="1"/>
  <c r="N154" i="13"/>
  <c r="Q154" i="13" s="1"/>
  <c r="N130" i="13"/>
  <c r="Q130" i="13" s="1"/>
  <c r="N171" i="13"/>
  <c r="Q171" i="13" s="1"/>
  <c r="N139" i="13"/>
  <c r="Q139" i="13" s="1"/>
  <c r="N123" i="13"/>
  <c r="Q123" i="13" s="1"/>
  <c r="N120" i="13"/>
  <c r="Q120" i="13" s="1"/>
  <c r="N118" i="13"/>
  <c r="Q118" i="13" s="1"/>
  <c r="N163" i="13"/>
  <c r="Q163" i="13" s="1"/>
  <c r="N172" i="13"/>
  <c r="Q172" i="13" s="1"/>
  <c r="N174" i="13"/>
  <c r="Q174" i="13" s="1"/>
  <c r="L166" i="13"/>
  <c r="N168" i="13"/>
  <c r="Q168" i="13" s="1"/>
  <c r="N169" i="13"/>
  <c r="Q169" i="13" s="1"/>
  <c r="N178" i="13"/>
  <c r="Q178" i="13" s="1"/>
  <c r="N135" i="13"/>
  <c r="Q135" i="13" s="1"/>
  <c r="N136" i="13"/>
  <c r="Q136" i="13" s="1"/>
  <c r="N101" i="13"/>
  <c r="Q101" i="13" s="1"/>
  <c r="N99" i="13"/>
  <c r="Q99" i="13" s="1"/>
  <c r="N100" i="13"/>
  <c r="Q100" i="13" s="1"/>
  <c r="N137" i="13"/>
  <c r="Q137" i="13" s="1"/>
  <c r="M97" i="13"/>
  <c r="P97" i="13" s="1"/>
  <c r="L114" i="13"/>
  <c r="L113" i="13"/>
  <c r="M133" i="13"/>
  <c r="P133" i="13" s="1"/>
  <c r="M113" i="13"/>
  <c r="P113" i="13" s="1"/>
  <c r="L125" i="13"/>
  <c r="M103" i="13"/>
  <c r="P103" i="13" s="1"/>
  <c r="L103" i="13"/>
  <c r="L108" i="13"/>
  <c r="M108" i="13"/>
  <c r="P108" i="13" s="1"/>
  <c r="L97" i="13"/>
  <c r="L98" i="13"/>
  <c r="P98" i="13"/>
  <c r="L109" i="13"/>
  <c r="M109" i="13"/>
  <c r="P109" i="13" s="1"/>
  <c r="M161" i="13"/>
  <c r="P161" i="13" s="1"/>
  <c r="M144" i="13"/>
  <c r="P144" i="13" s="1"/>
  <c r="L175" i="13"/>
  <c r="M153" i="13"/>
  <c r="P153" i="13" s="1"/>
  <c r="L105" i="13"/>
  <c r="L151" i="13"/>
  <c r="M185" i="13"/>
  <c r="P185" i="13" s="1"/>
  <c r="M104" i="13"/>
  <c r="P104" i="13" s="1"/>
  <c r="L104" i="13"/>
  <c r="M186" i="13"/>
  <c r="P186" i="13" s="1"/>
  <c r="M176" i="13"/>
  <c r="P176" i="13" s="1"/>
  <c r="L176" i="13"/>
  <c r="M182" i="13"/>
  <c r="P182" i="13" s="1"/>
  <c r="L182" i="13"/>
  <c r="M181" i="13"/>
  <c r="P181" i="13" s="1"/>
  <c r="M175" i="13"/>
  <c r="P175" i="13" s="1"/>
  <c r="M170" i="13"/>
  <c r="P170" i="13" s="1"/>
  <c r="L170" i="13"/>
  <c r="M162" i="13"/>
  <c r="P162" i="13" s="1"/>
  <c r="L162" i="13"/>
  <c r="L161" i="13"/>
  <c r="L156" i="13"/>
  <c r="M156" i="13"/>
  <c r="P156" i="13" s="1"/>
  <c r="M152" i="13"/>
  <c r="P152" i="13" s="1"/>
  <c r="L152" i="13"/>
  <c r="M139" i="13"/>
  <c r="P139" i="13" s="1"/>
  <c r="L139" i="13"/>
  <c r="M145" i="13"/>
  <c r="P145" i="13" s="1"/>
  <c r="L134" i="13"/>
  <c r="M134" i="13"/>
  <c r="P134" i="13" s="1"/>
  <c r="L126" i="13"/>
  <c r="M126" i="13"/>
  <c r="P126" i="13" s="1"/>
  <c r="M125" i="13"/>
  <c r="P125" i="13" s="1"/>
  <c r="L120" i="13"/>
  <c r="M120" i="13"/>
  <c r="P120" i="13" s="1"/>
  <c r="M110" i="13"/>
  <c r="P110" i="13" s="1"/>
  <c r="L110" i="13"/>
  <c r="N85" i="13"/>
  <c r="Q85" i="13" s="1"/>
  <c r="N83" i="13"/>
  <c r="Q83" i="13" s="1"/>
  <c r="N87" i="13"/>
  <c r="Q87" i="13" s="1"/>
  <c r="N78" i="13"/>
  <c r="Q78" i="13" s="1"/>
  <c r="N89" i="13"/>
  <c r="Q89" i="13" s="1"/>
  <c r="N86" i="13"/>
  <c r="Q86" i="13" s="1"/>
  <c r="N91" i="13"/>
  <c r="Q91" i="13" s="1"/>
  <c r="N81" i="13"/>
  <c r="Q81" i="13" s="1"/>
  <c r="N82" i="13"/>
  <c r="Q82" i="13" s="1"/>
  <c r="N79" i="13"/>
  <c r="Q79" i="13" s="1"/>
  <c r="N90" i="13"/>
  <c r="Q90" i="13" s="1"/>
  <c r="N77" i="13"/>
  <c r="Q77" i="13" s="1"/>
  <c r="M37" i="13"/>
  <c r="P37" i="13" s="1"/>
  <c r="N39" i="13"/>
  <c r="Q39" i="13" s="1"/>
  <c r="N38" i="13"/>
  <c r="Q38" i="13" s="1"/>
  <c r="I6" i="13"/>
  <c r="N6" i="13" s="1"/>
  <c r="Q6" i="13" s="1"/>
  <c r="N5" i="13"/>
  <c r="M34" i="13"/>
  <c r="J5" i="13"/>
  <c r="M5" i="13" s="1"/>
  <c r="I33" i="13"/>
  <c r="I34" i="13" s="1"/>
  <c r="N34" i="13" s="1"/>
  <c r="I41" i="13"/>
  <c r="I9" i="13"/>
  <c r="I70" i="13" s="1"/>
  <c r="N70" i="13" s="1"/>
  <c r="Q70" i="13" s="1"/>
  <c r="I45" i="13"/>
  <c r="I13" i="13"/>
  <c r="I49" i="13"/>
  <c r="I50" i="13" s="1"/>
  <c r="I51" i="13" s="1"/>
  <c r="I52" i="13" s="1"/>
  <c r="N52" i="13" s="1"/>
  <c r="I25" i="13"/>
  <c r="I26" i="13" s="1"/>
  <c r="I27" i="13" s="1"/>
  <c r="I53" i="13"/>
  <c r="I54" i="13" s="1"/>
  <c r="I55" i="13" s="1"/>
  <c r="I29" i="13"/>
  <c r="I30" i="13" s="1"/>
  <c r="I31" i="13" s="1"/>
  <c r="N31" i="13" s="1"/>
  <c r="I57" i="13"/>
  <c r="L32" i="13"/>
  <c r="M7" i="13"/>
  <c r="M6" i="13"/>
  <c r="L7" i="13"/>
  <c r="L6" i="13"/>
  <c r="O5" i="13"/>
  <c r="O41" i="13"/>
  <c r="O13" i="13"/>
  <c r="O14" i="13"/>
  <c r="O7" i="13"/>
  <c r="O35" i="13"/>
  <c r="O26" i="13"/>
  <c r="O47" i="13"/>
  <c r="O45" i="13"/>
  <c r="O9" i="13"/>
  <c r="O32" i="13"/>
  <c r="O46" i="13"/>
  <c r="O55" i="13"/>
  <c r="O28" i="13"/>
  <c r="O34" i="13"/>
  <c r="O42" i="13"/>
  <c r="O51" i="13"/>
  <c r="O15" i="13"/>
  <c r="O43" i="13"/>
  <c r="O52" i="13"/>
  <c r="O27" i="13"/>
  <c r="O50" i="13"/>
  <c r="O56" i="13"/>
  <c r="O16" i="13"/>
  <c r="O30" i="13"/>
  <c r="O36" i="13"/>
  <c r="O44" i="13"/>
  <c r="O48" i="13"/>
  <c r="O31" i="13"/>
  <c r="O54" i="13"/>
  <c r="F11" i="12"/>
  <c r="K7" i="12"/>
  <c r="K13" i="12"/>
  <c r="K15" i="12"/>
  <c r="I71" i="13" l="1"/>
  <c r="N71" i="13" s="1"/>
  <c r="Q71" i="13" s="1"/>
  <c r="I72" i="13"/>
  <c r="N72" i="13" s="1"/>
  <c r="Q72" i="13" s="1"/>
  <c r="I40" i="13"/>
  <c r="N40" i="13" s="1"/>
  <c r="Q40" i="13" s="1"/>
  <c r="N187" i="13"/>
  <c r="Q187" i="13" s="1"/>
  <c r="N98" i="13"/>
  <c r="Q98" i="13" s="1"/>
  <c r="N96" i="13"/>
  <c r="Q96" i="13" s="1"/>
  <c r="N125" i="13"/>
  <c r="Q125" i="13" s="1"/>
  <c r="N148" i="13"/>
  <c r="Q148" i="13" s="1"/>
  <c r="N179" i="13"/>
  <c r="Q179" i="13" s="1"/>
  <c r="M115" i="13"/>
  <c r="P115" i="13" s="1"/>
  <c r="L115" i="13"/>
  <c r="L187" i="13"/>
  <c r="M187" i="13"/>
  <c r="P187" i="13" s="1"/>
  <c r="L163" i="13"/>
  <c r="M163" i="13"/>
  <c r="P163" i="13" s="1"/>
  <c r="L157" i="13"/>
  <c r="M157" i="13"/>
  <c r="P157" i="13" s="1"/>
  <c r="M146" i="13"/>
  <c r="P146" i="13" s="1"/>
  <c r="L146" i="13"/>
  <c r="L140" i="13"/>
  <c r="M140" i="13"/>
  <c r="P140" i="13" s="1"/>
  <c r="L127" i="13"/>
  <c r="M127" i="13"/>
  <c r="P127" i="13" s="1"/>
  <c r="M121" i="13"/>
  <c r="P121" i="13" s="1"/>
  <c r="L121" i="13"/>
  <c r="I7" i="13"/>
  <c r="I8" i="13" s="1"/>
  <c r="N8" i="13" s="1"/>
  <c r="Q52" i="13"/>
  <c r="Q34" i="13"/>
  <c r="Q5" i="13"/>
  <c r="L5" i="13"/>
  <c r="N49" i="13"/>
  <c r="Q49" i="13" s="1"/>
  <c r="N9" i="13"/>
  <c r="Q9" i="13" s="1"/>
  <c r="I35" i="13"/>
  <c r="I46" i="13" s="1"/>
  <c r="N25" i="13"/>
  <c r="Q25" i="13" s="1"/>
  <c r="N33" i="13"/>
  <c r="Q33" i="13" s="1"/>
  <c r="N13" i="13"/>
  <c r="Q13" i="13" s="1"/>
  <c r="N45" i="13"/>
  <c r="Q45" i="13" s="1"/>
  <c r="N50" i="13"/>
  <c r="Q50" i="13" s="1"/>
  <c r="I42" i="13"/>
  <c r="N41" i="13"/>
  <c r="Q41" i="13" s="1"/>
  <c r="I32" i="13"/>
  <c r="N32" i="13" s="1"/>
  <c r="Q32" i="13" s="1"/>
  <c r="Q31" i="13"/>
  <c r="N29" i="13"/>
  <c r="Q29" i="13" s="1"/>
  <c r="N54" i="13"/>
  <c r="Q54" i="13" s="1"/>
  <c r="I56" i="13"/>
  <c r="N56" i="13" s="1"/>
  <c r="Q56" i="13" s="1"/>
  <c r="N55" i="13"/>
  <c r="Q55" i="13" s="1"/>
  <c r="N51" i="13"/>
  <c r="Q51" i="13" s="1"/>
  <c r="I28" i="13"/>
  <c r="N28" i="13" s="1"/>
  <c r="Q28" i="13" s="1"/>
  <c r="N27" i="13"/>
  <c r="Q27" i="13" s="1"/>
  <c r="N53" i="13"/>
  <c r="Q53" i="13" s="1"/>
  <c r="N26" i="13"/>
  <c r="Q26" i="13" s="1"/>
  <c r="N57" i="13"/>
  <c r="Q57" i="13" s="1"/>
  <c r="P5" i="13"/>
  <c r="O8" i="13"/>
  <c r="F42" i="12"/>
  <c r="H5" i="12"/>
  <c r="H45" i="12"/>
  <c r="E10" i="1"/>
  <c r="E12" i="1"/>
  <c r="E11" i="1"/>
  <c r="G9" i="1"/>
  <c r="E9" i="1"/>
  <c r="E8" i="1"/>
  <c r="E7" i="1"/>
  <c r="F14" i="12"/>
  <c r="F13" i="12"/>
  <c r="F12" i="12"/>
  <c r="H12" i="12"/>
  <c r="N46" i="13" l="1"/>
  <c r="Q46" i="13" s="1"/>
  <c r="N126" i="13"/>
  <c r="Q126" i="13" s="1"/>
  <c r="N180" i="13"/>
  <c r="Q180" i="13" s="1"/>
  <c r="N149" i="13"/>
  <c r="Q149" i="13" s="1"/>
  <c r="L116" i="13"/>
  <c r="M116" i="13"/>
  <c r="P116" i="13" s="1"/>
  <c r="M188" i="13"/>
  <c r="P188" i="13" s="1"/>
  <c r="L188" i="13"/>
  <c r="M164" i="13"/>
  <c r="P164" i="13" s="1"/>
  <c r="L164" i="13"/>
  <c r="M158" i="13"/>
  <c r="P158" i="13" s="1"/>
  <c r="L158" i="13"/>
  <c r="M128" i="13"/>
  <c r="P128" i="13" s="1"/>
  <c r="L128" i="13"/>
  <c r="M122" i="13"/>
  <c r="P122" i="13" s="1"/>
  <c r="L122" i="13"/>
  <c r="N35" i="13"/>
  <c r="Q35" i="13" s="1"/>
  <c r="Q8" i="13"/>
  <c r="N7" i="13"/>
  <c r="Q7" i="13" s="1"/>
  <c r="I43" i="13"/>
  <c r="N42" i="13"/>
  <c r="Q42" i="13" s="1"/>
  <c r="L8" i="13"/>
  <c r="P7" i="13"/>
  <c r="F5" i="1"/>
  <c r="F9" i="1"/>
  <c r="I9" i="1" s="1"/>
  <c r="J9" i="1" s="1"/>
  <c r="H10" i="12"/>
  <c r="F59" i="12"/>
  <c r="G59" i="12" s="1"/>
  <c r="H59" i="12"/>
  <c r="H23" i="12"/>
  <c r="H24" i="12"/>
  <c r="H26" i="12"/>
  <c r="H27" i="12"/>
  <c r="H33" i="12"/>
  <c r="H35" i="12"/>
  <c r="H37" i="12"/>
  <c r="H38" i="12"/>
  <c r="H39" i="12"/>
  <c r="H40" i="12"/>
  <c r="H41" i="12"/>
  <c r="H42" i="12"/>
  <c r="H44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60" i="12"/>
  <c r="H22" i="12"/>
  <c r="H21" i="12"/>
  <c r="F21" i="12"/>
  <c r="G21" i="12" s="1"/>
  <c r="H20" i="12"/>
  <c r="F20" i="12"/>
  <c r="G20" i="12" s="1"/>
  <c r="F37" i="12"/>
  <c r="F58" i="12"/>
  <c r="G58" i="12" s="1"/>
  <c r="F53" i="12"/>
  <c r="J59" i="12" l="1"/>
  <c r="J58" i="12"/>
  <c r="J20" i="12"/>
  <c r="J21" i="12"/>
  <c r="I74" i="13"/>
  <c r="I59" i="12"/>
  <c r="K59" i="12" s="1"/>
  <c r="I58" i="12"/>
  <c r="K58" i="12" s="1"/>
  <c r="I20" i="12"/>
  <c r="K20" i="12" s="1"/>
  <c r="I21" i="12"/>
  <c r="K21" i="12" s="1"/>
  <c r="H9" i="1"/>
  <c r="K9" i="1" s="1"/>
  <c r="H5" i="1"/>
  <c r="K5" i="1" s="1"/>
  <c r="I5" i="1"/>
  <c r="J5" i="1" s="1"/>
  <c r="N128" i="13"/>
  <c r="Q128" i="13" s="1"/>
  <c r="N127" i="13"/>
  <c r="Q127" i="13" s="1"/>
  <c r="N182" i="13"/>
  <c r="Q182" i="13" s="1"/>
  <c r="N181" i="13"/>
  <c r="Q181" i="13" s="1"/>
  <c r="N150" i="13"/>
  <c r="Q150" i="13" s="1"/>
  <c r="I44" i="13"/>
  <c r="N44" i="13" s="1"/>
  <c r="Q44" i="13" s="1"/>
  <c r="N43" i="13"/>
  <c r="Q43" i="13" s="1"/>
  <c r="L10" i="13"/>
  <c r="P8" i="13"/>
  <c r="N74" i="13" l="1"/>
  <c r="Q74" i="13" s="1"/>
  <c r="I75" i="13"/>
  <c r="I67" i="13"/>
  <c r="I68" i="13" s="1"/>
  <c r="N68" i="13" s="1"/>
  <c r="Q68" i="13" s="1"/>
  <c r="I58" i="13"/>
  <c r="N152" i="13"/>
  <c r="Q152" i="13" s="1"/>
  <c r="N151" i="13"/>
  <c r="Q151" i="13" s="1"/>
  <c r="G54" i="11"/>
  <c r="G50" i="11"/>
  <c r="G46" i="11"/>
  <c r="G42" i="11"/>
  <c r="G38" i="11"/>
  <c r="G34" i="11"/>
  <c r="G30" i="11"/>
  <c r="G26" i="11"/>
  <c r="G22" i="11"/>
  <c r="G18" i="11"/>
  <c r="G14" i="11"/>
  <c r="G9" i="11"/>
  <c r="G5" i="11"/>
  <c r="H11" i="12"/>
  <c r="H9" i="12"/>
  <c r="F61" i="12"/>
  <c r="F60" i="12"/>
  <c r="F57" i="12"/>
  <c r="F56" i="12"/>
  <c r="F55" i="12"/>
  <c r="F54" i="12"/>
  <c r="F52" i="12"/>
  <c r="F51" i="12"/>
  <c r="F50" i="12"/>
  <c r="F49" i="12"/>
  <c r="F48" i="12"/>
  <c r="F47" i="12"/>
  <c r="F46" i="12"/>
  <c r="F44" i="12"/>
  <c r="F41" i="12"/>
  <c r="F40" i="12"/>
  <c r="F39" i="12"/>
  <c r="F38" i="12"/>
  <c r="F27" i="12"/>
  <c r="F26" i="12"/>
  <c r="F23" i="12"/>
  <c r="F22" i="12"/>
  <c r="F15" i="12"/>
  <c r="F10" i="12"/>
  <c r="F9" i="12"/>
  <c r="F8" i="12"/>
  <c r="E49" i="11"/>
  <c r="E48" i="11"/>
  <c r="E47" i="11"/>
  <c r="E46" i="11"/>
  <c r="E45" i="11"/>
  <c r="E44" i="11"/>
  <c r="E43" i="11"/>
  <c r="E42" i="11"/>
  <c r="E57" i="11"/>
  <c r="E56" i="11"/>
  <c r="E55" i="11"/>
  <c r="E54" i="11"/>
  <c r="E53" i="11"/>
  <c r="E52" i="11"/>
  <c r="E51" i="11"/>
  <c r="E50" i="11"/>
  <c r="E22" i="11"/>
  <c r="I76" i="13" l="1"/>
  <c r="N76" i="13" s="1"/>
  <c r="Q76" i="13" s="1"/>
  <c r="N75" i="13"/>
  <c r="Q75" i="13" s="1"/>
  <c r="N58" i="13"/>
  <c r="Q58" i="13" s="1"/>
  <c r="I59" i="13"/>
  <c r="I14" i="13"/>
  <c r="I15" i="13" s="1"/>
  <c r="N67" i="13"/>
  <c r="Q67" i="13" s="1"/>
  <c r="I36" i="13"/>
  <c r="N36" i="13" s="1"/>
  <c r="Q36" i="13" s="1"/>
  <c r="F46" i="11"/>
  <c r="H46" i="11" s="1"/>
  <c r="F42" i="11"/>
  <c r="H42" i="11" s="1"/>
  <c r="F54" i="11"/>
  <c r="H54" i="11" s="1"/>
  <c r="F50" i="11"/>
  <c r="H50" i="11" s="1"/>
  <c r="G61" i="12"/>
  <c r="J61" i="12" l="1"/>
  <c r="I61" i="12"/>
  <c r="K61" i="12" s="1"/>
  <c r="N15" i="13"/>
  <c r="Q15" i="13" s="1"/>
  <c r="I16" i="13"/>
  <c r="N16" i="13" s="1"/>
  <c r="Q16" i="13" s="1"/>
  <c r="I60" i="13"/>
  <c r="N60" i="13" s="1"/>
  <c r="Q60" i="13" s="1"/>
  <c r="N59" i="13"/>
  <c r="Q59" i="13" s="1"/>
  <c r="N14" i="13"/>
  <c r="Q14" i="13" s="1"/>
  <c r="I47" i="13"/>
  <c r="G12" i="12"/>
  <c r="J12" i="12" s="1"/>
  <c r="G14" i="12"/>
  <c r="J14" i="12" s="1"/>
  <c r="G60" i="12"/>
  <c r="J60" i="12" s="1"/>
  <c r="G55" i="12"/>
  <c r="G57" i="12"/>
  <c r="G56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17" i="12"/>
  <c r="J17" i="12" s="1"/>
  <c r="G35" i="12"/>
  <c r="G34" i="12"/>
  <c r="G33" i="12"/>
  <c r="G32" i="12"/>
  <c r="G29" i="12"/>
  <c r="G28" i="12"/>
  <c r="G27" i="12"/>
  <c r="G26" i="12"/>
  <c r="G25" i="12"/>
  <c r="G24" i="12"/>
  <c r="G23" i="12"/>
  <c r="G22" i="12"/>
  <c r="G19" i="12"/>
  <c r="G18" i="12"/>
  <c r="G16" i="12"/>
  <c r="G11" i="12"/>
  <c r="G10" i="12"/>
  <c r="G9" i="12"/>
  <c r="G8" i="12"/>
  <c r="G5" i="12"/>
  <c r="I19" i="12" l="1"/>
  <c r="J19" i="12"/>
  <c r="J37" i="12"/>
  <c r="I37" i="12"/>
  <c r="K37" i="12" s="1"/>
  <c r="J43" i="12"/>
  <c r="I43" i="12"/>
  <c r="K43" i="12" s="1"/>
  <c r="J56" i="12"/>
  <c r="I56" i="12"/>
  <c r="K56" i="12" s="1"/>
  <c r="J44" i="12"/>
  <c r="I44" i="12"/>
  <c r="K44" i="12" s="1"/>
  <c r="J57" i="12"/>
  <c r="I57" i="12"/>
  <c r="I34" i="12"/>
  <c r="K34" i="12" s="1"/>
  <c r="J34" i="12"/>
  <c r="I45" i="12"/>
  <c r="J45" i="12"/>
  <c r="I55" i="12"/>
  <c r="K55" i="12" s="1"/>
  <c r="J55" i="12"/>
  <c r="J40" i="12"/>
  <c r="I40" i="12"/>
  <c r="K40" i="12" s="1"/>
  <c r="J46" i="12"/>
  <c r="I46" i="12"/>
  <c r="I52" i="12"/>
  <c r="K52" i="12" s="1"/>
  <c r="J52" i="12"/>
  <c r="J47" i="12"/>
  <c r="I47" i="12"/>
  <c r="K47" i="12" s="1"/>
  <c r="I53" i="12"/>
  <c r="K53" i="12" s="1"/>
  <c r="J53" i="12"/>
  <c r="I49" i="12"/>
  <c r="K49" i="12" s="1"/>
  <c r="J49" i="12"/>
  <c r="J38" i="12"/>
  <c r="I38" i="12"/>
  <c r="K38" i="12" s="1"/>
  <c r="J50" i="12"/>
  <c r="I50" i="12"/>
  <c r="K50" i="12" s="1"/>
  <c r="I39" i="12"/>
  <c r="K39" i="12" s="1"/>
  <c r="J39" i="12"/>
  <c r="I51" i="12"/>
  <c r="K51" i="12" s="1"/>
  <c r="J51" i="12"/>
  <c r="I35" i="12"/>
  <c r="J35" i="12"/>
  <c r="I41" i="12"/>
  <c r="K41" i="12" s="1"/>
  <c r="J41" i="12"/>
  <c r="I36" i="12"/>
  <c r="K36" i="12" s="1"/>
  <c r="J36" i="12"/>
  <c r="I42" i="12"/>
  <c r="K42" i="12" s="1"/>
  <c r="J42" i="12"/>
  <c r="I48" i="12"/>
  <c r="K48" i="12" s="1"/>
  <c r="J48" i="12"/>
  <c r="J54" i="12"/>
  <c r="I54" i="12"/>
  <c r="K54" i="12" s="1"/>
  <c r="I18" i="12"/>
  <c r="K18" i="12" s="1"/>
  <c r="J18" i="12"/>
  <c r="I9" i="12"/>
  <c r="K9" i="12" s="1"/>
  <c r="J9" i="12"/>
  <c r="I28" i="12"/>
  <c r="K28" i="12" s="1"/>
  <c r="J28" i="12"/>
  <c r="K35" i="12"/>
  <c r="K46" i="12"/>
  <c r="I10" i="12"/>
  <c r="K10" i="12" s="1"/>
  <c r="J10" i="12"/>
  <c r="I29" i="12"/>
  <c r="K29" i="12" s="1"/>
  <c r="J29" i="12"/>
  <c r="I24" i="12"/>
  <c r="K24" i="12" s="1"/>
  <c r="J24" i="12"/>
  <c r="I8" i="12"/>
  <c r="K8" i="12" s="1"/>
  <c r="J8" i="12"/>
  <c r="I27" i="12"/>
  <c r="K27" i="12" s="1"/>
  <c r="J27" i="12"/>
  <c r="I22" i="12"/>
  <c r="K22" i="12" s="1"/>
  <c r="J22" i="12"/>
  <c r="I23" i="12"/>
  <c r="K23" i="12" s="1"/>
  <c r="J23" i="12"/>
  <c r="I11" i="12"/>
  <c r="K11" i="12" s="1"/>
  <c r="J11" i="12"/>
  <c r="I32" i="12"/>
  <c r="K32" i="12" s="1"/>
  <c r="J32" i="12"/>
  <c r="I16" i="12"/>
  <c r="K16" i="12" s="1"/>
  <c r="J16" i="12"/>
  <c r="I25" i="12"/>
  <c r="K25" i="12" s="1"/>
  <c r="J25" i="12"/>
  <c r="I33" i="12"/>
  <c r="K33" i="12" s="1"/>
  <c r="J33" i="12"/>
  <c r="K57" i="12"/>
  <c r="J5" i="12"/>
  <c r="I5" i="12"/>
  <c r="K5" i="12" s="1"/>
  <c r="I26" i="12"/>
  <c r="K26" i="12" s="1"/>
  <c r="J26" i="12"/>
  <c r="N47" i="13"/>
  <c r="Q47" i="13" s="1"/>
  <c r="I48" i="13"/>
  <c r="N48" i="13" s="1"/>
  <c r="Q48" i="13" s="1"/>
  <c r="K45" i="12"/>
  <c r="I60" i="12"/>
  <c r="K60" i="12" s="1"/>
  <c r="I17" i="12"/>
  <c r="K17" i="12" s="1"/>
  <c r="I14" i="12"/>
  <c r="K14" i="12" s="1"/>
  <c r="I12" i="12"/>
  <c r="K12" i="12" s="1"/>
  <c r="K19" i="12"/>
  <c r="G6" i="12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F79" i="6" s="1"/>
  <c r="E80" i="6"/>
  <c r="F80" i="6" s="1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F95" i="6" s="1"/>
  <c r="E96" i="6"/>
  <c r="F96" i="6" s="1"/>
  <c r="H96" i="6" s="1"/>
  <c r="J96" i="6" s="1"/>
  <c r="E97" i="6"/>
  <c r="F97" i="6" s="1"/>
  <c r="E98" i="6"/>
  <c r="F98" i="6" s="1"/>
  <c r="E99" i="6"/>
  <c r="F99" i="6" s="1"/>
  <c r="E100" i="6"/>
  <c r="F100" i="6" s="1"/>
  <c r="E101" i="6"/>
  <c r="F101" i="6" s="1"/>
  <c r="E40" i="6"/>
  <c r="E17" i="11"/>
  <c r="E1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1" i="11"/>
  <c r="E20" i="11"/>
  <c r="E19" i="11"/>
  <c r="E18" i="11"/>
  <c r="E16" i="11"/>
  <c r="E15" i="11"/>
  <c r="E14" i="11"/>
  <c r="E13" i="11"/>
  <c r="E11" i="11"/>
  <c r="E10" i="11"/>
  <c r="E9" i="11"/>
  <c r="E8" i="11"/>
  <c r="E7" i="11"/>
  <c r="E6" i="11"/>
  <c r="E5" i="11"/>
  <c r="I6" i="12" l="1"/>
  <c r="K6" i="12" s="1"/>
  <c r="J6" i="12"/>
  <c r="F9" i="11"/>
  <c r="H9" i="11" s="1"/>
  <c r="F26" i="11"/>
  <c r="H26" i="11" s="1"/>
  <c r="F34" i="11"/>
  <c r="H34" i="11" s="1"/>
  <c r="F18" i="11"/>
  <c r="H18" i="11" s="1"/>
  <c r="F22" i="11"/>
  <c r="H22" i="11" s="1"/>
  <c r="F30" i="11"/>
  <c r="H30" i="11" s="1"/>
  <c r="F38" i="11"/>
  <c r="H38" i="11" s="1"/>
  <c r="F5" i="11"/>
  <c r="H5" i="11" s="1"/>
  <c r="F14" i="11"/>
  <c r="H14" i="11" s="1"/>
  <c r="E24" i="9"/>
  <c r="E23" i="9"/>
  <c r="E22" i="9"/>
  <c r="E21" i="9"/>
  <c r="G20" i="9"/>
  <c r="E20" i="9"/>
  <c r="E19" i="9"/>
  <c r="E18" i="9"/>
  <c r="E17" i="9"/>
  <c r="E16" i="9"/>
  <c r="G15" i="9"/>
  <c r="E15" i="9"/>
  <c r="F20" i="9" l="1"/>
  <c r="H20" i="9" s="1"/>
  <c r="F15" i="9"/>
  <c r="H15" i="9" s="1"/>
  <c r="E52" i="10"/>
  <c r="E51" i="10"/>
  <c r="E50" i="10"/>
  <c r="G49" i="10"/>
  <c r="E49" i="10"/>
  <c r="E48" i="10"/>
  <c r="E47" i="10"/>
  <c r="E46" i="10"/>
  <c r="G45" i="10"/>
  <c r="E45" i="10"/>
  <c r="E44" i="10"/>
  <c r="E43" i="10"/>
  <c r="E42" i="10"/>
  <c r="G41" i="10"/>
  <c r="E41" i="10"/>
  <c r="E40" i="10"/>
  <c r="E39" i="10"/>
  <c r="E38" i="10"/>
  <c r="G37" i="10"/>
  <c r="E37" i="10"/>
  <c r="E36" i="10"/>
  <c r="E35" i="10"/>
  <c r="E34" i="10"/>
  <c r="G33" i="10"/>
  <c r="E33" i="10"/>
  <c r="E32" i="10"/>
  <c r="E31" i="10"/>
  <c r="E30" i="10"/>
  <c r="G29" i="10"/>
  <c r="E29" i="10"/>
  <c r="E28" i="10"/>
  <c r="E27" i="10"/>
  <c r="E26" i="10"/>
  <c r="G25" i="10"/>
  <c r="E25" i="10"/>
  <c r="E24" i="10"/>
  <c r="E23" i="10"/>
  <c r="E22" i="10"/>
  <c r="G21" i="10"/>
  <c r="E21" i="10"/>
  <c r="E20" i="10"/>
  <c r="E19" i="10"/>
  <c r="E18" i="10"/>
  <c r="G17" i="10"/>
  <c r="E17" i="10"/>
  <c r="E16" i="10"/>
  <c r="E15" i="10"/>
  <c r="E14" i="10"/>
  <c r="G13" i="10"/>
  <c r="E13" i="10"/>
  <c r="E12" i="10"/>
  <c r="E11" i="10"/>
  <c r="E10" i="10"/>
  <c r="G9" i="10"/>
  <c r="E9" i="10"/>
  <c r="E8" i="10"/>
  <c r="E7" i="10"/>
  <c r="E6" i="10"/>
  <c r="G5" i="10"/>
  <c r="E5" i="10"/>
  <c r="F41" i="10" l="1"/>
  <c r="H41" i="10" s="1"/>
  <c r="F49" i="10"/>
  <c r="H49" i="10" s="1"/>
  <c r="F45" i="10"/>
  <c r="H45" i="10" s="1"/>
  <c r="F37" i="10"/>
  <c r="H37" i="10" s="1"/>
  <c r="F21" i="10"/>
  <c r="H21" i="10" s="1"/>
  <c r="F9" i="10"/>
  <c r="H9" i="10" s="1"/>
  <c r="F29" i="10"/>
  <c r="H29" i="10" s="1"/>
  <c r="F5" i="10"/>
  <c r="H5" i="10" s="1"/>
  <c r="F17" i="10"/>
  <c r="H17" i="10" s="1"/>
  <c r="F25" i="10"/>
  <c r="H25" i="10" s="1"/>
  <c r="F13" i="10"/>
  <c r="H13" i="10" s="1"/>
  <c r="F33" i="10"/>
  <c r="H33" i="10" s="1"/>
  <c r="E69" i="2" l="1"/>
  <c r="G10" i="9" l="1"/>
  <c r="E31" i="9"/>
  <c r="E26" i="9"/>
  <c r="E11" i="9"/>
  <c r="E12" i="9"/>
  <c r="E13" i="9"/>
  <c r="E14" i="9"/>
  <c r="E8" i="9"/>
  <c r="E7" i="9"/>
  <c r="E34" i="9"/>
  <c r="E33" i="9"/>
  <c r="E32" i="9"/>
  <c r="G30" i="9"/>
  <c r="E30" i="9"/>
  <c r="E29" i="9"/>
  <c r="E28" i="9"/>
  <c r="E27" i="9"/>
  <c r="G25" i="9"/>
  <c r="E25" i="9"/>
  <c r="E10" i="9"/>
  <c r="E9" i="9"/>
  <c r="E6" i="9"/>
  <c r="G5" i="9"/>
  <c r="E5" i="9"/>
  <c r="B170" i="7"/>
  <c r="E114" i="2" s="1"/>
  <c r="F94" i="6"/>
  <c r="F93" i="6"/>
  <c r="H93" i="6" s="1"/>
  <c r="F92" i="6"/>
  <c r="F91" i="6"/>
  <c r="F90" i="6"/>
  <c r="F89" i="6"/>
  <c r="F88" i="6"/>
  <c r="F87" i="6"/>
  <c r="F86" i="6"/>
  <c r="F85" i="6"/>
  <c r="H85" i="6" s="1"/>
  <c r="J85" i="6" s="1"/>
  <c r="F84" i="6"/>
  <c r="F83" i="6"/>
  <c r="F82" i="6"/>
  <c r="F81" i="6"/>
  <c r="F78" i="6"/>
  <c r="F77" i="6"/>
  <c r="F76" i="6"/>
  <c r="H76" i="6" s="1"/>
  <c r="J76" i="6" s="1"/>
  <c r="F75" i="6"/>
  <c r="F74" i="6"/>
  <c r="F73" i="6"/>
  <c r="F72" i="6"/>
  <c r="H72" i="6" s="1"/>
  <c r="F71" i="6"/>
  <c r="F70" i="6"/>
  <c r="F69" i="6"/>
  <c r="F68" i="6"/>
  <c r="F67" i="6"/>
  <c r="F66" i="6"/>
  <c r="F65" i="6"/>
  <c r="F64" i="6"/>
  <c r="F63" i="6"/>
  <c r="F62" i="6"/>
  <c r="F61" i="6"/>
  <c r="H61" i="6" s="1"/>
  <c r="J61" i="6" s="1"/>
  <c r="F60" i="6"/>
  <c r="F59" i="6"/>
  <c r="F58" i="6"/>
  <c r="F57" i="6"/>
  <c r="F56" i="6"/>
  <c r="H56" i="6" s="1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H40" i="6" s="1"/>
  <c r="E39" i="6"/>
  <c r="F39" i="6" s="1"/>
  <c r="E38" i="6"/>
  <c r="F38" i="6" s="1"/>
  <c r="E37" i="6"/>
  <c r="F37" i="6" s="1"/>
  <c r="H37" i="6" s="1"/>
  <c r="J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H30" i="6" s="1"/>
  <c r="J30" i="6" s="1"/>
  <c r="E29" i="6"/>
  <c r="F29" i="6" s="1"/>
  <c r="E28" i="6"/>
  <c r="F28" i="6" s="1"/>
  <c r="E27" i="6"/>
  <c r="F27" i="6" s="1"/>
  <c r="I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23" i="5"/>
  <c r="E22" i="5"/>
  <c r="G21" i="5"/>
  <c r="E21" i="5"/>
  <c r="E20" i="5"/>
  <c r="E19" i="5"/>
  <c r="E18" i="5"/>
  <c r="G17" i="5"/>
  <c r="E17" i="5"/>
  <c r="E16" i="5"/>
  <c r="E15" i="5"/>
  <c r="E14" i="5"/>
  <c r="G13" i="5"/>
  <c r="E13" i="5"/>
  <c r="E12" i="5"/>
  <c r="E11" i="5"/>
  <c r="E10" i="5"/>
  <c r="G9" i="5"/>
  <c r="E9" i="5"/>
  <c r="E8" i="5"/>
  <c r="E7" i="5"/>
  <c r="E6" i="5"/>
  <c r="E5" i="5"/>
  <c r="E36" i="4"/>
  <c r="E35" i="4"/>
  <c r="E34" i="4"/>
  <c r="G33" i="4"/>
  <c r="E33" i="4"/>
  <c r="E32" i="4"/>
  <c r="E31" i="4"/>
  <c r="E30" i="4"/>
  <c r="G29" i="4"/>
  <c r="E29" i="4"/>
  <c r="E28" i="4"/>
  <c r="E27" i="4"/>
  <c r="E26" i="4"/>
  <c r="E25" i="4"/>
  <c r="E24" i="4"/>
  <c r="E23" i="4"/>
  <c r="E22" i="4"/>
  <c r="G21" i="4"/>
  <c r="E21" i="4"/>
  <c r="E20" i="4"/>
  <c r="E19" i="4"/>
  <c r="E18" i="4"/>
  <c r="G17" i="4"/>
  <c r="E17" i="4"/>
  <c r="E16" i="4"/>
  <c r="E15" i="4"/>
  <c r="E14" i="4"/>
  <c r="E13" i="4"/>
  <c r="E12" i="4"/>
  <c r="E11" i="4"/>
  <c r="E10" i="4"/>
  <c r="G9" i="4"/>
  <c r="E9" i="4"/>
  <c r="E8" i="4"/>
  <c r="E7" i="4"/>
  <c r="E6" i="4"/>
  <c r="G5" i="4"/>
  <c r="E5" i="4"/>
  <c r="E28" i="3"/>
  <c r="E27" i="3"/>
  <c r="G27" i="3" s="1"/>
  <c r="E26" i="3"/>
  <c r="G26" i="3" s="1"/>
  <c r="H25" i="3"/>
  <c r="E25" i="3"/>
  <c r="G25" i="3" s="1"/>
  <c r="E24" i="3"/>
  <c r="E23" i="3"/>
  <c r="G23" i="3" s="1"/>
  <c r="E22" i="3"/>
  <c r="G22" i="3" s="1"/>
  <c r="H21" i="3"/>
  <c r="E21" i="3"/>
  <c r="E20" i="3"/>
  <c r="E19" i="3"/>
  <c r="G19" i="3" s="1"/>
  <c r="E18" i="3"/>
  <c r="G18" i="3" s="1"/>
  <c r="H17" i="3"/>
  <c r="E17" i="3"/>
  <c r="G17" i="3" s="1"/>
  <c r="E16" i="3"/>
  <c r="E15" i="3"/>
  <c r="G15" i="3" s="1"/>
  <c r="E14" i="3"/>
  <c r="G14" i="3" s="1"/>
  <c r="E13" i="3"/>
  <c r="E12" i="3"/>
  <c r="E11" i="3"/>
  <c r="G11" i="3" s="1"/>
  <c r="E10" i="3"/>
  <c r="G10" i="3" s="1"/>
  <c r="H9" i="3"/>
  <c r="E9" i="3"/>
  <c r="G9" i="3" s="1"/>
  <c r="E8" i="3"/>
  <c r="E7" i="3"/>
  <c r="G7" i="3" s="1"/>
  <c r="E6" i="3"/>
  <c r="G6" i="3" s="1"/>
  <c r="H5" i="3"/>
  <c r="E5" i="3"/>
  <c r="G5" i="3" s="1"/>
  <c r="E146" i="2"/>
  <c r="E145" i="2"/>
  <c r="E144" i="2"/>
  <c r="E143" i="2"/>
  <c r="G142" i="2"/>
  <c r="E142" i="2"/>
  <c r="E141" i="2"/>
  <c r="E140" i="2"/>
  <c r="E139" i="2"/>
  <c r="E138" i="2"/>
  <c r="G137" i="2"/>
  <c r="E137" i="2"/>
  <c r="E136" i="2"/>
  <c r="E134" i="2"/>
  <c r="E133" i="2"/>
  <c r="G132" i="2"/>
  <c r="E132" i="2"/>
  <c r="E131" i="2"/>
  <c r="E130" i="2"/>
  <c r="E129" i="2"/>
  <c r="E128" i="2"/>
  <c r="G127" i="2"/>
  <c r="E127" i="2"/>
  <c r="E126" i="2"/>
  <c r="E125" i="2"/>
  <c r="E124" i="2"/>
  <c r="E123" i="2"/>
  <c r="G122" i="2"/>
  <c r="E122" i="2"/>
  <c r="E121" i="2"/>
  <c r="E120" i="2"/>
  <c r="E119" i="2"/>
  <c r="E118" i="2"/>
  <c r="G117" i="2"/>
  <c r="E117" i="2"/>
  <c r="E116" i="2"/>
  <c r="E115" i="2"/>
  <c r="E113" i="2"/>
  <c r="G112" i="2"/>
  <c r="E112" i="2"/>
  <c r="E111" i="2"/>
  <c r="E110" i="2"/>
  <c r="E109" i="2"/>
  <c r="E108" i="2"/>
  <c r="G107" i="2"/>
  <c r="E107" i="2"/>
  <c r="E106" i="2"/>
  <c r="E105" i="2"/>
  <c r="E104" i="2"/>
  <c r="E103" i="2"/>
  <c r="G102" i="2"/>
  <c r="E102" i="2"/>
  <c r="E99" i="2"/>
  <c r="E98" i="2"/>
  <c r="G97" i="2"/>
  <c r="E97" i="2"/>
  <c r="E96" i="2"/>
  <c r="E95" i="2"/>
  <c r="E94" i="2"/>
  <c r="E93" i="2"/>
  <c r="G92" i="2"/>
  <c r="E92" i="2"/>
  <c r="E91" i="2"/>
  <c r="E89" i="2"/>
  <c r="G88" i="2"/>
  <c r="E88" i="2"/>
  <c r="E87" i="2"/>
  <c r="E86" i="2"/>
  <c r="E85" i="2"/>
  <c r="E84" i="2"/>
  <c r="G83" i="2"/>
  <c r="E83" i="2"/>
  <c r="E82" i="2"/>
  <c r="E81" i="2"/>
  <c r="E80" i="2"/>
  <c r="G79" i="2"/>
  <c r="E79" i="2"/>
  <c r="E78" i="2"/>
  <c r="E77" i="2"/>
  <c r="E76" i="2"/>
  <c r="G75" i="2"/>
  <c r="E75" i="2"/>
  <c r="E74" i="2"/>
  <c r="E72" i="2"/>
  <c r="G71" i="2"/>
  <c r="E70" i="2"/>
  <c r="E68" i="2"/>
  <c r="E67" i="2"/>
  <c r="G66" i="2"/>
  <c r="E66" i="2"/>
  <c r="E65" i="2"/>
  <c r="E64" i="2"/>
  <c r="E63" i="2"/>
  <c r="G62" i="2"/>
  <c r="E62" i="2"/>
  <c r="E61" i="2"/>
  <c r="E60" i="2"/>
  <c r="E59" i="2"/>
  <c r="G58" i="2"/>
  <c r="E57" i="2"/>
  <c r="E56" i="2"/>
  <c r="E55" i="2"/>
  <c r="E54" i="2"/>
  <c r="G53" i="2"/>
  <c r="E51" i="2"/>
  <c r="E50" i="2"/>
  <c r="G49" i="2"/>
  <c r="E49" i="2"/>
  <c r="E48" i="2"/>
  <c r="E47" i="2"/>
  <c r="E46" i="2"/>
  <c r="G45" i="2"/>
  <c r="E44" i="2"/>
  <c r="E43" i="2"/>
  <c r="E42" i="2"/>
  <c r="G41" i="2"/>
  <c r="E41" i="2"/>
  <c r="E40" i="2"/>
  <c r="E39" i="2"/>
  <c r="E38" i="2"/>
  <c r="G37" i="2"/>
  <c r="E37" i="2"/>
  <c r="E36" i="2"/>
  <c r="E35" i="2"/>
  <c r="E34" i="2"/>
  <c r="G33" i="2"/>
  <c r="E33" i="2"/>
  <c r="E32" i="2"/>
  <c r="E30" i="2"/>
  <c r="G29" i="2"/>
  <c r="E29" i="2"/>
  <c r="E28" i="2"/>
  <c r="E27" i="2"/>
  <c r="E26" i="2"/>
  <c r="G25" i="2"/>
  <c r="E25" i="2"/>
  <c r="E24" i="2"/>
  <c r="E23" i="2"/>
  <c r="E22" i="2"/>
  <c r="G21" i="2"/>
  <c r="E21" i="2"/>
  <c r="E20" i="2"/>
  <c r="E18" i="2"/>
  <c r="E16" i="2"/>
  <c r="E14" i="2"/>
  <c r="G13" i="2"/>
  <c r="E13" i="2"/>
  <c r="E12" i="2"/>
  <c r="E11" i="2"/>
  <c r="E10" i="2"/>
  <c r="G9" i="2"/>
  <c r="E9" i="2"/>
  <c r="E8" i="2"/>
  <c r="E5" i="2"/>
  <c r="E52" i="1"/>
  <c r="E51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7" i="1"/>
  <c r="E25" i="1"/>
  <c r="E24" i="1"/>
  <c r="E23" i="1"/>
  <c r="E22" i="1"/>
  <c r="E21" i="1"/>
  <c r="E20" i="1"/>
  <c r="E19" i="1"/>
  <c r="E18" i="1"/>
  <c r="E17" i="1"/>
  <c r="E15" i="1"/>
  <c r="E14" i="1"/>
  <c r="G13" i="1"/>
  <c r="E13" i="1"/>
  <c r="I72" i="6" l="1"/>
  <c r="J72" i="6"/>
  <c r="I93" i="6"/>
  <c r="J93" i="6"/>
  <c r="I56" i="6"/>
  <c r="J56" i="6"/>
  <c r="I40" i="6"/>
  <c r="J40" i="6"/>
  <c r="I13" i="3"/>
  <c r="F37" i="1"/>
  <c r="I37" i="1" s="1"/>
  <c r="J37" i="1" s="1"/>
  <c r="G13" i="3"/>
  <c r="G21" i="3"/>
  <c r="F21" i="3"/>
  <c r="F5" i="2"/>
  <c r="F11" i="3" s="1"/>
  <c r="I5" i="3"/>
  <c r="I17" i="3"/>
  <c r="F12" i="3"/>
  <c r="G12" i="3"/>
  <c r="I21" i="3"/>
  <c r="G16" i="3"/>
  <c r="F16" i="3"/>
  <c r="I25" i="3"/>
  <c r="F8" i="3"/>
  <c r="G8" i="3"/>
  <c r="F28" i="3"/>
  <c r="G28" i="3"/>
  <c r="G20" i="3"/>
  <c r="F20" i="3"/>
  <c r="I9" i="3"/>
  <c r="F24" i="3"/>
  <c r="G24" i="3"/>
  <c r="H89" i="6"/>
  <c r="H35" i="6"/>
  <c r="J35" i="6" s="1"/>
  <c r="H15" i="6"/>
  <c r="J15" i="6" s="1"/>
  <c r="H22" i="6"/>
  <c r="J22" i="6" s="1"/>
  <c r="H28" i="6"/>
  <c r="J28" i="6" s="1"/>
  <c r="F30" i="9"/>
  <c r="H30" i="9" s="1"/>
  <c r="F25" i="9"/>
  <c r="H25" i="9" s="1"/>
  <c r="F10" i="9"/>
  <c r="H10" i="9" s="1"/>
  <c r="F5" i="9"/>
  <c r="H5" i="9" s="1"/>
  <c r="F25" i="1"/>
  <c r="F17" i="1"/>
  <c r="H17" i="1" s="1"/>
  <c r="K17" i="1" s="1"/>
  <c r="F21" i="1"/>
  <c r="F9" i="4"/>
  <c r="H9" i="4" s="1"/>
  <c r="F9" i="5"/>
  <c r="H9" i="5" s="1"/>
  <c r="F29" i="1"/>
  <c r="I29" i="1" s="1"/>
  <c r="J29" i="1" s="1"/>
  <c r="F49" i="1"/>
  <c r="F13" i="5"/>
  <c r="E34" i="3" s="1"/>
  <c r="F17" i="5"/>
  <c r="H17" i="5" s="1"/>
  <c r="F33" i="1"/>
  <c r="F21" i="4"/>
  <c r="H21" i="4" s="1"/>
  <c r="F25" i="4"/>
  <c r="H25" i="4" s="1"/>
  <c r="F29" i="4"/>
  <c r="H29" i="4" s="1"/>
  <c r="F13" i="1"/>
  <c r="I13" i="1" s="1"/>
  <c r="J13" i="1" s="1"/>
  <c r="F33" i="4"/>
  <c r="H33" i="4" s="1"/>
  <c r="F21" i="5"/>
  <c r="H21" i="5" s="1"/>
  <c r="F41" i="1"/>
  <c r="I41" i="1" s="1"/>
  <c r="J41" i="1" s="1"/>
  <c r="F45" i="1"/>
  <c r="F5" i="4"/>
  <c r="H5" i="4" s="1"/>
  <c r="F5" i="5"/>
  <c r="H5" i="5" s="1"/>
  <c r="F13" i="4"/>
  <c r="H13" i="4" s="1"/>
  <c r="F17" i="4"/>
  <c r="H17" i="4" s="1"/>
  <c r="F41" i="2"/>
  <c r="I41" i="2" s="1"/>
  <c r="F97" i="2"/>
  <c r="I97" i="2" s="1"/>
  <c r="F117" i="2"/>
  <c r="I117" i="2" s="1"/>
  <c r="F137" i="2"/>
  <c r="H137" i="2" s="1"/>
  <c r="F33" i="2"/>
  <c r="I33" i="2" s="1"/>
  <c r="F83" i="2"/>
  <c r="I83" i="2" s="1"/>
  <c r="F79" i="2"/>
  <c r="I79" i="2" s="1"/>
  <c r="F9" i="2"/>
  <c r="F75" i="2"/>
  <c r="I75" i="2" s="1"/>
  <c r="F88" i="2"/>
  <c r="F37" i="2"/>
  <c r="I37" i="2" s="1"/>
  <c r="I137" i="2"/>
  <c r="F17" i="2"/>
  <c r="F92" i="2"/>
  <c r="H92" i="2" s="1"/>
  <c r="F112" i="2"/>
  <c r="F132" i="2"/>
  <c r="F13" i="2"/>
  <c r="I92" i="2"/>
  <c r="I112" i="2"/>
  <c r="F21" i="2"/>
  <c r="I21" i="2" s="1"/>
  <c r="F49" i="2"/>
  <c r="F62" i="2"/>
  <c r="I62" i="2" s="1"/>
  <c r="F107" i="2"/>
  <c r="I107" i="2" s="1"/>
  <c r="F127" i="2"/>
  <c r="I127" i="2" s="1"/>
  <c r="F25" i="2"/>
  <c r="I25" i="2" s="1"/>
  <c r="F45" i="2"/>
  <c r="F71" i="2"/>
  <c r="I71" i="2" s="1"/>
  <c r="F58" i="2"/>
  <c r="F29" i="2"/>
  <c r="F53" i="2"/>
  <c r="F5" i="3" s="1"/>
  <c r="F66" i="2"/>
  <c r="F102" i="2"/>
  <c r="F122" i="2"/>
  <c r="I122" i="2" s="1"/>
  <c r="F142" i="2"/>
  <c r="I142" i="2" s="1"/>
  <c r="I102" i="2"/>
  <c r="P6" i="13"/>
  <c r="O10" i="13"/>
  <c r="M10" i="13"/>
  <c r="O11" i="13"/>
  <c r="O12" i="13"/>
  <c r="I89" i="6" l="1"/>
  <c r="J89" i="6"/>
  <c r="I45" i="1"/>
  <c r="J45" i="1" s="1"/>
  <c r="H45" i="1"/>
  <c r="K45" i="1" s="1"/>
  <c r="H13" i="5"/>
  <c r="I132" i="2"/>
  <c r="F23" i="3"/>
  <c r="I45" i="2"/>
  <c r="F25" i="3"/>
  <c r="I9" i="2"/>
  <c r="F19" i="3"/>
  <c r="I66" i="2"/>
  <c r="F6" i="3"/>
  <c r="H112" i="2"/>
  <c r="F17" i="3"/>
  <c r="I53" i="2"/>
  <c r="I58" i="2"/>
  <c r="F13" i="3"/>
  <c r="I88" i="2"/>
  <c r="F27" i="3"/>
  <c r="I49" i="2"/>
  <c r="F15" i="3"/>
  <c r="F26" i="3"/>
  <c r="H102" i="2"/>
  <c r="F7" i="3"/>
  <c r="I17" i="2"/>
  <c r="F14" i="3"/>
  <c r="I5" i="2"/>
  <c r="J9" i="3"/>
  <c r="I29" i="2"/>
  <c r="F18" i="3"/>
  <c r="I13" i="2"/>
  <c r="F22" i="3"/>
  <c r="I25" i="1"/>
  <c r="J25" i="1" s="1"/>
  <c r="H25" i="1"/>
  <c r="K25" i="1" s="1"/>
  <c r="H29" i="1"/>
  <c r="K29" i="1" s="1"/>
  <c r="I33" i="1"/>
  <c r="J33" i="1" s="1"/>
  <c r="H33" i="1"/>
  <c r="K33" i="1" s="1"/>
  <c r="H37" i="1"/>
  <c r="K37" i="1" s="1"/>
  <c r="H41" i="1"/>
  <c r="K41" i="1" s="1"/>
  <c r="I49" i="1"/>
  <c r="J49" i="1" s="1"/>
  <c r="H49" i="1"/>
  <c r="K49" i="1" s="1"/>
  <c r="I21" i="1"/>
  <c r="J21" i="1" s="1"/>
  <c r="H21" i="1"/>
  <c r="K21" i="1" s="1"/>
  <c r="H13" i="1"/>
  <c r="K13" i="1" s="1"/>
  <c r="H36" i="6"/>
  <c r="J36" i="6" s="1"/>
  <c r="H127" i="2"/>
  <c r="I36" i="6" s="1"/>
  <c r="H107" i="2"/>
  <c r="H17" i="2"/>
  <c r="H83" i="2"/>
  <c r="H25" i="2"/>
  <c r="I14" i="6" s="1"/>
  <c r="K14" i="6" s="1"/>
  <c r="H29" i="2"/>
  <c r="H45" i="2"/>
  <c r="H122" i="2"/>
  <c r="I35" i="6" s="1"/>
  <c r="H117" i="2"/>
  <c r="H58" i="2"/>
  <c r="H21" i="2"/>
  <c r="H53" i="2"/>
  <c r="H66" i="2"/>
  <c r="H97" i="2"/>
  <c r="I30" i="6" s="1"/>
  <c r="K30" i="6" s="1"/>
  <c r="H5" i="2"/>
  <c r="H37" i="2"/>
  <c r="I8" i="6" s="1"/>
  <c r="K8" i="6" s="1"/>
  <c r="H142" i="2"/>
  <c r="H33" i="2"/>
  <c r="H9" i="2"/>
  <c r="H132" i="2"/>
  <c r="I37" i="6" s="1"/>
  <c r="K37" i="6" s="1"/>
  <c r="H13" i="2"/>
  <c r="I12" i="6" s="1"/>
  <c r="K12" i="6" s="1"/>
  <c r="H75" i="2"/>
  <c r="H79" i="2"/>
  <c r="H41" i="2"/>
  <c r="H71" i="2"/>
  <c r="H88" i="2"/>
  <c r="I28" i="6" s="1"/>
  <c r="K28" i="6" s="1"/>
  <c r="H49" i="2"/>
  <c r="H62" i="2"/>
  <c r="I17" i="1"/>
  <c r="J17" i="1" s="1"/>
  <c r="M11" i="13"/>
  <c r="L11" i="13"/>
  <c r="P10" i="13"/>
  <c r="K36" i="6" l="1"/>
  <c r="K35" i="6"/>
  <c r="I13" i="6"/>
  <c r="J13" i="3"/>
  <c r="I10" i="6"/>
  <c r="K10" i="6" s="1"/>
  <c r="I11" i="6"/>
  <c r="I7" i="6"/>
  <c r="I22" i="6"/>
  <c r="I9" i="6"/>
  <c r="K9" i="6" s="1"/>
  <c r="I25" i="6"/>
  <c r="I15" i="6"/>
  <c r="K6" i="6"/>
  <c r="J17" i="3"/>
  <c r="E29" i="3"/>
  <c r="G29" i="3" s="1"/>
  <c r="H29" i="3" s="1"/>
  <c r="J21" i="3"/>
  <c r="J5" i="3"/>
  <c r="J25" i="3"/>
  <c r="P11" i="13"/>
  <c r="L9" i="13"/>
  <c r="M9" i="13"/>
  <c r="K15" i="6" l="1"/>
  <c r="K22" i="6"/>
  <c r="K11" i="6"/>
  <c r="K13" i="6"/>
  <c r="K7" i="6"/>
  <c r="E33" i="3"/>
  <c r="G32" i="3" s="1"/>
  <c r="I32" i="3" s="1"/>
  <c r="J32" i="3" s="1"/>
  <c r="I29" i="3"/>
  <c r="J29" i="3" s="1"/>
  <c r="L13" i="13"/>
  <c r="M13" i="13"/>
  <c r="P13" i="13" s="1"/>
  <c r="M14" i="13"/>
  <c r="L14" i="13"/>
  <c r="P9" i="13"/>
  <c r="H23" i="6" l="1"/>
  <c r="J23" i="6" s="1"/>
  <c r="I23" i="6"/>
  <c r="P14" i="13"/>
  <c r="K23" i="6" l="1"/>
  <c r="L25" i="13"/>
  <c r="M25" i="13"/>
  <c r="P25" i="13" s="1"/>
  <c r="L12" i="13"/>
  <c r="M12" i="13"/>
  <c r="M16" i="13"/>
  <c r="L16" i="13"/>
  <c r="P16" i="13" l="1"/>
  <c r="P12" i="13"/>
  <c r="H29" i="6" l="1"/>
  <c r="J29" i="6" s="1"/>
  <c r="I29" i="6"/>
  <c r="L28" i="13"/>
  <c r="M28" i="13"/>
  <c r="P28" i="13" s="1"/>
  <c r="K29" i="6" l="1"/>
  <c r="H90" i="6"/>
  <c r="M27" i="13"/>
  <c r="L27" i="13"/>
  <c r="L15" i="13"/>
  <c r="M15" i="13"/>
  <c r="I90" i="6" l="1"/>
  <c r="J90" i="6"/>
  <c r="H91" i="6"/>
  <c r="L31" i="13"/>
  <c r="M31" i="13"/>
  <c r="P31" i="13" s="1"/>
  <c r="P15" i="13"/>
  <c r="P27" i="13"/>
  <c r="I91" i="6" l="1"/>
  <c r="J91" i="6"/>
  <c r="M30" i="13"/>
  <c r="N30" i="13" s="1"/>
  <c r="Q30" i="13" s="1"/>
  <c r="L30" i="13"/>
  <c r="M26" i="13"/>
  <c r="L26" i="13"/>
  <c r="L34" i="13"/>
  <c r="P26" i="13" l="1"/>
  <c r="P34" i="13"/>
  <c r="P30" i="13"/>
  <c r="I24" i="6" l="1"/>
  <c r="H24" i="6"/>
  <c r="J24" i="6" s="1"/>
  <c r="L41" i="13"/>
  <c r="M41" i="13"/>
  <c r="L33" i="13"/>
  <c r="M33" i="13"/>
  <c r="L29" i="13"/>
  <c r="M29" i="13"/>
  <c r="K24" i="6" l="1"/>
  <c r="I26" i="6"/>
  <c r="H26" i="6"/>
  <c r="J26" i="6" s="1"/>
  <c r="H25" i="6"/>
  <c r="P29" i="13"/>
  <c r="P33" i="13"/>
  <c r="P41" i="13"/>
  <c r="K25" i="6" l="1"/>
  <c r="J25" i="6"/>
  <c r="K26" i="6"/>
  <c r="H38" i="6"/>
  <c r="J38" i="6" s="1"/>
  <c r="I38" i="6"/>
  <c r="M32" i="13"/>
  <c r="L44" i="13"/>
  <c r="M44" i="13"/>
  <c r="L36" i="13"/>
  <c r="M36" i="13"/>
  <c r="K38" i="6" l="1"/>
  <c r="H39" i="6"/>
  <c r="J39" i="6" s="1"/>
  <c r="I39" i="6"/>
  <c r="P36" i="13"/>
  <c r="P44" i="13"/>
  <c r="P32" i="13"/>
  <c r="K39" i="6" l="1"/>
  <c r="L43" i="13"/>
  <c r="M43" i="13"/>
  <c r="M47" i="13"/>
  <c r="L47" i="13"/>
  <c r="M35" i="13"/>
  <c r="L35" i="13"/>
  <c r="P35" i="13" l="1"/>
  <c r="P43" i="13"/>
  <c r="P47" i="13"/>
  <c r="H94" i="6" l="1"/>
  <c r="H92" i="6"/>
  <c r="M42" i="13"/>
  <c r="L42" i="13"/>
  <c r="L46" i="13"/>
  <c r="M46" i="13"/>
  <c r="M50" i="13"/>
  <c r="L50" i="13"/>
  <c r="I92" i="6" l="1"/>
  <c r="J92" i="6"/>
  <c r="I94" i="6"/>
  <c r="J94" i="6"/>
  <c r="I96" i="6"/>
  <c r="H95" i="6"/>
  <c r="P50" i="13"/>
  <c r="P46" i="13"/>
  <c r="P42" i="13"/>
  <c r="I95" i="6" l="1"/>
  <c r="J95" i="6"/>
  <c r="H97" i="6"/>
  <c r="M53" i="13"/>
  <c r="L53" i="13"/>
  <c r="M49" i="13"/>
  <c r="L49" i="13"/>
  <c r="M45" i="13"/>
  <c r="L45" i="13"/>
  <c r="I97" i="6" l="1"/>
  <c r="J97" i="6"/>
  <c r="H98" i="6"/>
  <c r="H99" i="6"/>
  <c r="H27" i="6"/>
  <c r="P45" i="13"/>
  <c r="P49" i="13"/>
  <c r="P53" i="13"/>
  <c r="K27" i="6" l="1"/>
  <c r="J27" i="6"/>
  <c r="I99" i="6"/>
  <c r="J99" i="6"/>
  <c r="I98" i="6"/>
  <c r="J98" i="6"/>
  <c r="M52" i="13"/>
  <c r="M56" i="13"/>
  <c r="L56" i="13"/>
  <c r="L48" i="13"/>
  <c r="M48" i="13"/>
  <c r="P48" i="13" l="1"/>
  <c r="P56" i="13"/>
  <c r="P52" i="13"/>
  <c r="M59" i="13" l="1"/>
  <c r="L59" i="13"/>
  <c r="L51" i="13"/>
  <c r="M51" i="13"/>
  <c r="M55" i="13"/>
  <c r="L55" i="13"/>
  <c r="P51" i="13" l="1"/>
  <c r="P55" i="13"/>
  <c r="P59" i="13"/>
  <c r="L58" i="13" l="1"/>
  <c r="M58" i="13"/>
  <c r="M54" i="13"/>
  <c r="L54" i="13"/>
  <c r="P54" i="13" l="1"/>
  <c r="P58" i="13"/>
  <c r="L57" i="13" l="1"/>
  <c r="M57" i="13"/>
  <c r="P57" i="13" l="1"/>
  <c r="L60" i="13" l="1"/>
  <c r="M60" i="13"/>
  <c r="P60" i="13" l="1"/>
  <c r="H41" i="6" l="1"/>
  <c r="H57" i="6"/>
  <c r="H73" i="6"/>
  <c r="H101" i="6"/>
  <c r="I31" i="6"/>
  <c r="H31" i="6"/>
  <c r="J31" i="6" s="1"/>
  <c r="I16" i="6"/>
  <c r="H16" i="6"/>
  <c r="J16" i="6" s="1"/>
  <c r="I101" i="6" l="1"/>
  <c r="J101" i="6"/>
  <c r="I73" i="6"/>
  <c r="J73" i="6"/>
  <c r="I57" i="6"/>
  <c r="J57" i="6"/>
  <c r="I41" i="6"/>
  <c r="J41" i="6"/>
  <c r="K31" i="6"/>
  <c r="K16" i="6"/>
  <c r="H17" i="6"/>
  <c r="I17" i="6"/>
  <c r="H59" i="6"/>
  <c r="H74" i="6"/>
  <c r="H19" i="6"/>
  <c r="J19" i="6" s="1"/>
  <c r="I19" i="6"/>
  <c r="H58" i="6"/>
  <c r="H100" i="6"/>
  <c r="I18" i="6"/>
  <c r="H32" i="6"/>
  <c r="J32" i="6" s="1"/>
  <c r="I32" i="6"/>
  <c r="I58" i="6" l="1"/>
  <c r="J58" i="6"/>
  <c r="K17" i="6"/>
  <c r="J17" i="6"/>
  <c r="I100" i="6"/>
  <c r="J100" i="6"/>
  <c r="I74" i="6"/>
  <c r="J74" i="6"/>
  <c r="I59" i="6"/>
  <c r="J59" i="6"/>
  <c r="K19" i="6"/>
  <c r="K32" i="6"/>
  <c r="H18" i="6"/>
  <c r="I33" i="6"/>
  <c r="H33" i="6"/>
  <c r="J33" i="6" s="1"/>
  <c r="H75" i="6"/>
  <c r="H60" i="6"/>
  <c r="H42" i="6"/>
  <c r="I20" i="6"/>
  <c r="H20" i="6"/>
  <c r="J20" i="6" s="1"/>
  <c r="I75" i="6" l="1"/>
  <c r="J75" i="6"/>
  <c r="I42" i="6"/>
  <c r="J42" i="6"/>
  <c r="I60" i="6"/>
  <c r="J60" i="6"/>
  <c r="K18" i="6"/>
  <c r="J18" i="6"/>
  <c r="K20" i="6"/>
  <c r="K33" i="6"/>
  <c r="H21" i="6"/>
  <c r="J21" i="6" s="1"/>
  <c r="I21" i="6"/>
  <c r="I76" i="6"/>
  <c r="H43" i="6"/>
  <c r="I61" i="6"/>
  <c r="I34" i="6"/>
  <c r="H34" i="6"/>
  <c r="J34" i="6" s="1"/>
  <c r="I43" i="6" l="1"/>
  <c r="J43" i="6"/>
  <c r="K34" i="6"/>
  <c r="K21" i="6"/>
  <c r="H44" i="6"/>
  <c r="H77" i="6"/>
  <c r="H62" i="6"/>
  <c r="I44" i="6" l="1"/>
  <c r="J44" i="6"/>
  <c r="I77" i="6"/>
  <c r="J77" i="6"/>
  <c r="I62" i="6"/>
  <c r="J62" i="6"/>
  <c r="H63" i="6"/>
  <c r="H78" i="6"/>
  <c r="H45" i="6"/>
  <c r="I78" i="6" l="1"/>
  <c r="J78" i="6"/>
  <c r="I63" i="6"/>
  <c r="J63" i="6"/>
  <c r="I45" i="6"/>
  <c r="J45" i="6"/>
  <c r="H46" i="6"/>
  <c r="H79" i="6"/>
  <c r="H64" i="6"/>
  <c r="I79" i="6" l="1"/>
  <c r="J79" i="6"/>
  <c r="I46" i="6"/>
  <c r="J46" i="6"/>
  <c r="I64" i="6"/>
  <c r="J64" i="6"/>
  <c r="H65" i="6"/>
  <c r="H80" i="6"/>
  <c r="H47" i="6"/>
  <c r="I80" i="6" l="1"/>
  <c r="J80" i="6"/>
  <c r="I65" i="6"/>
  <c r="J65" i="6"/>
  <c r="I47" i="6"/>
  <c r="J47" i="6"/>
  <c r="H48" i="6"/>
  <c r="H81" i="6"/>
  <c r="H66" i="6"/>
  <c r="I66" i="6" l="1"/>
  <c r="J66" i="6"/>
  <c r="I81" i="6"/>
  <c r="J81" i="6"/>
  <c r="I48" i="6"/>
  <c r="J48" i="6"/>
  <c r="H67" i="6"/>
  <c r="H82" i="6"/>
  <c r="H49" i="6"/>
  <c r="I49" i="6" l="1"/>
  <c r="J49" i="6"/>
  <c r="I82" i="6"/>
  <c r="J82" i="6"/>
  <c r="I67" i="6"/>
  <c r="J67" i="6"/>
  <c r="H50" i="6"/>
  <c r="H84" i="6"/>
  <c r="H83" i="6"/>
  <c r="H68" i="6"/>
  <c r="I68" i="6" l="1"/>
  <c r="J68" i="6"/>
  <c r="I83" i="6"/>
  <c r="J83" i="6"/>
  <c r="I84" i="6"/>
  <c r="J84" i="6"/>
  <c r="I50" i="6"/>
  <c r="J50" i="6"/>
  <c r="I85" i="6"/>
  <c r="H69" i="6"/>
  <c r="H51" i="6"/>
  <c r="I51" i="6" l="1"/>
  <c r="J51" i="6"/>
  <c r="I69" i="6"/>
  <c r="J69" i="6"/>
  <c r="H52" i="6"/>
  <c r="H70" i="6"/>
  <c r="H71" i="6"/>
  <c r="H86" i="6"/>
  <c r="I70" i="6" l="1"/>
  <c r="J70" i="6"/>
  <c r="I52" i="6"/>
  <c r="J52" i="6"/>
  <c r="I86" i="6"/>
  <c r="J86" i="6"/>
  <c r="I71" i="6"/>
  <c r="J71" i="6"/>
  <c r="H87" i="6"/>
  <c r="H88" i="6"/>
  <c r="H53" i="6"/>
  <c r="I53" i="6" l="1"/>
  <c r="J53" i="6"/>
  <c r="I88" i="6"/>
  <c r="J88" i="6"/>
  <c r="I87" i="6"/>
  <c r="J87" i="6"/>
  <c r="H55" i="6"/>
  <c r="H54" i="6"/>
  <c r="B46" i="13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36" i="13"/>
  <c r="B37" i="13" s="1"/>
  <c r="B38" i="13" s="1"/>
  <c r="B39" i="13" s="1"/>
  <c r="B40" i="13" s="1"/>
  <c r="B66" i="13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8" i="13"/>
  <c r="B9" i="13" s="1"/>
  <c r="B10" i="13" s="1"/>
  <c r="B11" i="13" s="1"/>
  <c r="B12" i="13" s="1"/>
  <c r="B13" i="13" s="1"/>
  <c r="B14" i="13" s="1"/>
  <c r="B15" i="13" s="1"/>
  <c r="B16" i="13" s="1"/>
  <c r="I10" i="13"/>
  <c r="N10" i="13" s="1"/>
  <c r="Q10" i="13" s="1"/>
  <c r="I11" i="13"/>
  <c r="N11" i="13" s="1"/>
  <c r="Q11" i="13" s="1"/>
  <c r="I54" i="6" l="1"/>
  <c r="J54" i="6"/>
  <c r="I55" i="6"/>
  <c r="J55" i="6"/>
  <c r="I12" i="13"/>
  <c r="N12" i="13" s="1"/>
  <c r="Q12" i="13" s="1"/>
</calcChain>
</file>

<file path=xl/sharedStrings.xml><?xml version="1.0" encoding="utf-8"?>
<sst xmlns="http://schemas.openxmlformats.org/spreadsheetml/2006/main" count="1968" uniqueCount="579">
  <si>
    <t>Recetas Alquimia BDO</t>
  </si>
  <si>
    <t>Eficiencia alquímica</t>
  </si>
  <si>
    <t>Producto final</t>
  </si>
  <si>
    <t>Materiales</t>
  </si>
  <si>
    <t>Cantidad</t>
  </si>
  <si>
    <t>Costo</t>
  </si>
  <si>
    <t>Costo total</t>
  </si>
  <si>
    <t>Precio de mercado</t>
  </si>
  <si>
    <t>Márgen</t>
  </si>
  <si>
    <t>Sangres</t>
  </si>
  <si>
    <t>Sangre del payaso</t>
  </si>
  <si>
    <t>Hoja del espíritu</t>
  </si>
  <si>
    <t>Polvo de la oscuridad</t>
  </si>
  <si>
    <t>Reactivo de Líquido claro</t>
  </si>
  <si>
    <t>Sangre 1</t>
  </si>
  <si>
    <t>Sangre del pecador</t>
  </si>
  <si>
    <t>Nudo de Árbol Ensangrentado</t>
  </si>
  <si>
    <t>Polvo de Fuego</t>
  </si>
  <si>
    <t>Sangre 2</t>
  </si>
  <si>
    <t>Sangre del Hombre Sabio</t>
  </si>
  <si>
    <t>Rama del Monje</t>
  </si>
  <si>
    <t>Rastro de Ascenso</t>
  </si>
  <si>
    <t>Sangre 3</t>
  </si>
  <si>
    <t>Sangre de tirano</t>
  </si>
  <si>
    <t>Rama del monje</t>
  </si>
  <si>
    <t>Rastro de los bárbaros</t>
  </si>
  <si>
    <t>Reactivo de polvo puro</t>
  </si>
  <si>
    <t>Sangre 4</t>
  </si>
  <si>
    <t>Sangre de la Bestia Divina</t>
  </si>
  <si>
    <t>Rastro de la Tierra</t>
  </si>
  <si>
    <t>Reactivo de Polvo puro</t>
  </si>
  <si>
    <t>Sangre 5</t>
  </si>
  <si>
    <t>Aceite</t>
  </si>
  <si>
    <t>Aceite de Regeneración</t>
  </si>
  <si>
    <t>Bulto de árbol rojo</t>
  </si>
  <si>
    <t>Fruta de Fuego Carmesí</t>
  </si>
  <si>
    <t>Polvo de la grieta</t>
  </si>
  <si>
    <t>Aceite de Tormentas</t>
  </si>
  <si>
    <t>Sangre de Tirano</t>
  </si>
  <si>
    <t>Corteza de árbol viejo</t>
  </si>
  <si>
    <t>Fruta de la abundancia</t>
  </si>
  <si>
    <t>Polvo de tiempo</t>
  </si>
  <si>
    <t>Aceite Indomable</t>
  </si>
  <si>
    <t>Fruta de la naturaleza</t>
  </si>
  <si>
    <t>Polvo de fuego</t>
  </si>
  <si>
    <t>Aceite de corrupción</t>
  </si>
  <si>
    <t>Fruta del sol</t>
  </si>
  <si>
    <t>Aceite de tranquilidad</t>
  </si>
  <si>
    <t>Sangre del hombre sabio</t>
  </si>
  <si>
    <t>Nudo de árbol ensangrentado</t>
  </si>
  <si>
    <t>Fruto mágico</t>
  </si>
  <si>
    <t>Polvo de la tierra</t>
  </si>
  <si>
    <t>Hábil</t>
  </si>
  <si>
    <t>Elixir de experiencia</t>
  </si>
  <si>
    <t>Hierba Crin Seco</t>
  </si>
  <si>
    <t>Savia de pino</t>
  </si>
  <si>
    <t>Elixir de Impacto</t>
  </si>
  <si>
    <t>Hongo tigre</t>
  </si>
  <si>
    <t>Savia de cedro</t>
  </si>
  <si>
    <t>Elixir de Caza de Semihumanos</t>
  </si>
  <si>
    <t>Hongo flecha</t>
  </si>
  <si>
    <t>Savia de abeto</t>
  </si>
  <si>
    <t>Polvo de piedra negra</t>
  </si>
  <si>
    <t>Elixir de Trabajador</t>
  </si>
  <si>
    <t>Azalea plateada</t>
  </si>
  <si>
    <t>Savia de fresno</t>
  </si>
  <si>
    <t>Elixir de Caza de Humanos</t>
  </si>
  <si>
    <t>Hongo adivino</t>
  </si>
  <si>
    <t>Savia de árbol de arce</t>
  </si>
  <si>
    <t>Elixir de Resistencia</t>
  </si>
  <si>
    <t>Hongo nube</t>
  </si>
  <si>
    <t>Savia de abedul</t>
  </si>
  <si>
    <t>Agua purificada</t>
  </si>
  <si>
    <t>Profesional</t>
  </si>
  <si>
    <t>Elixir de Furia</t>
  </si>
  <si>
    <t>Hongo enano</t>
  </si>
  <si>
    <t>Elixir de Pescador</t>
  </si>
  <si>
    <t>Hierba luz del atardecer</t>
  </si>
  <si>
    <t>Elixir de Defensa</t>
  </si>
  <si>
    <t>Reactivo de líquido claro</t>
  </si>
  <si>
    <t>Elixir de Viento</t>
  </si>
  <si>
    <t>Elixir de Entrenamiento</t>
  </si>
  <si>
    <t>Elixir de Tiempo</t>
  </si>
  <si>
    <t>Flor escama de fuego</t>
  </si>
  <si>
    <t>Elixir de Weenie</t>
  </si>
  <si>
    <t>Savia de árbol musgoso</t>
  </si>
  <si>
    <t>Hongo sombrero azul</t>
  </si>
  <si>
    <t>Flor celeste</t>
  </si>
  <si>
    <t>Artesano</t>
  </si>
  <si>
    <t>Elixir de Velocidad</t>
  </si>
  <si>
    <t>Elixir de Concentración</t>
  </si>
  <si>
    <t>Maleza</t>
  </si>
  <si>
    <t>Elixir de Looney</t>
  </si>
  <si>
    <t xml:space="preserve">Hongo sombrero de volcán </t>
  </si>
  <si>
    <t>Flor color de lila</t>
  </si>
  <si>
    <t>Elixir de Hechizo</t>
  </si>
  <si>
    <t>Elixir de Amistad</t>
  </si>
  <si>
    <t>Elixir de Energía</t>
  </si>
  <si>
    <t>Poción de maná (p)</t>
  </si>
  <si>
    <t>Elixir de Robo</t>
  </si>
  <si>
    <t>Aceite indomable</t>
  </si>
  <si>
    <t>Hongo hinchazón</t>
  </si>
  <si>
    <t>Rastro del bosque</t>
  </si>
  <si>
    <t>Maestro</t>
  </si>
  <si>
    <t>Elixir de Alas</t>
  </si>
  <si>
    <t>Elixir del Asesino</t>
  </si>
  <si>
    <t>Hongo payaso</t>
  </si>
  <si>
    <t>Rastro del recuerdo</t>
  </si>
  <si>
    <t>Elixir de Mano Dorada</t>
  </si>
  <si>
    <t>Hongo niebla</t>
  </si>
  <si>
    <t>Rastro de caza</t>
  </si>
  <si>
    <t>Elixir de Espiral</t>
  </si>
  <si>
    <t>Savia de tuya oriental</t>
  </si>
  <si>
    <t>Reactivo de Marca</t>
  </si>
  <si>
    <t>Cristal mágico de encanto - Visión</t>
  </si>
  <si>
    <t>Pólvora de hierba</t>
  </si>
  <si>
    <t>Líquido pegajoso</t>
  </si>
  <si>
    <t>Elixir de Penetración</t>
  </si>
  <si>
    <t>Hongo fanfarrón</t>
  </si>
  <si>
    <t>Rastro de violencia</t>
  </si>
  <si>
    <t>Elixir de Masacrador</t>
  </si>
  <si>
    <t>Rastro de la tierra</t>
  </si>
  <si>
    <t>Gurú</t>
  </si>
  <si>
    <t>Elixir de Muerte</t>
  </si>
  <si>
    <t>Hongo ancestral</t>
  </si>
  <si>
    <t>Rastro de muerte</t>
  </si>
  <si>
    <t>Elixir de Grifo</t>
  </si>
  <si>
    <t>Garras de grifo</t>
  </si>
  <si>
    <t>Rastro de batalla</t>
  </si>
  <si>
    <t>Elixir del Delirio</t>
  </si>
  <si>
    <t>Aceite de regeneración</t>
  </si>
  <si>
    <t>Hongo fantasma</t>
  </si>
  <si>
    <t>Elixir del Cielo</t>
  </si>
  <si>
    <t>Hongo emperador</t>
  </si>
  <si>
    <t>Rastro de ascenso</t>
  </si>
  <si>
    <t>Elixir de la Detección</t>
  </si>
  <si>
    <t>Aceite de tormentas</t>
  </si>
  <si>
    <t>Hongo trufa</t>
  </si>
  <si>
    <t>Frascos</t>
  </si>
  <si>
    <t>Elixir del Bárbaro</t>
  </si>
  <si>
    <t>Lágrimas de luna</t>
  </si>
  <si>
    <t>Frasco de Bestia</t>
  </si>
  <si>
    <t>Elixir de voluntad</t>
  </si>
  <si>
    <t>Elixir de la muerte</t>
  </si>
  <si>
    <t>Elixir de Experiencia</t>
  </si>
  <si>
    <t>Frasco de Primavera</t>
  </si>
  <si>
    <t>Frasco del Gigante</t>
  </si>
  <si>
    <t>Frasco de la Ira</t>
  </si>
  <si>
    <t>Esencia del abismo</t>
  </si>
  <si>
    <t>Elixir de caza de Semihumanos</t>
  </si>
  <si>
    <t>Frasco de la Carrera</t>
  </si>
  <si>
    <t>Esencias</t>
  </si>
  <si>
    <t>Esencia de perfección</t>
  </si>
  <si>
    <t>Fruto de perfección</t>
  </si>
  <si>
    <t>Esencia de Fuego Carmesí</t>
  </si>
  <si>
    <t>Esencia de la Abundancia</t>
  </si>
  <si>
    <t>Fruta de la Abundancia</t>
  </si>
  <si>
    <t>Esencia de la Naturaleza</t>
  </si>
  <si>
    <t xml:space="preserve">Esencia del Sol </t>
  </si>
  <si>
    <t>Fruta del Sol</t>
  </si>
  <si>
    <t>Esencia de encanto</t>
  </si>
  <si>
    <t>Fruta de encanto</t>
  </si>
  <si>
    <t>Esencia Mágica</t>
  </si>
  <si>
    <t>Fruto Mágico</t>
  </si>
  <si>
    <t>Hierba crin seco</t>
  </si>
  <si>
    <t>Esencia de Destrucción</t>
  </si>
  <si>
    <t>Fruta de destrucción</t>
  </si>
  <si>
    <t>Varios</t>
  </si>
  <si>
    <t>Pulidora de Joyas</t>
  </si>
  <si>
    <t>Carbón procesado</t>
  </si>
  <si>
    <t>Rastro del origen</t>
  </si>
  <si>
    <t>Endurecedor de madera</t>
  </si>
  <si>
    <t>Solvente de metal</t>
  </si>
  <si>
    <t>Pieza de hierro derretido</t>
  </si>
  <si>
    <t>Piedra áspera</t>
  </si>
  <si>
    <t>Esmalte de piel</t>
  </si>
  <si>
    <t>Piedra de alquimia imperfecta</t>
  </si>
  <si>
    <t>Polvo brillante</t>
  </si>
  <si>
    <t>Recetas  BDO</t>
  </si>
  <si>
    <t>Eficiencia de cocina</t>
  </si>
  <si>
    <t>Alquimia</t>
  </si>
  <si>
    <t>Alquimia Profesional</t>
  </si>
  <si>
    <t>Alquimia Artesano</t>
  </si>
  <si>
    <t>Alquimia Maestro</t>
  </si>
  <si>
    <t>Alquimia Guru</t>
  </si>
  <si>
    <t>Elixir de la Muerte</t>
  </si>
  <si>
    <t>Cocina</t>
  </si>
  <si>
    <t>Cocina Profesional</t>
  </si>
  <si>
    <t>Pay de frutas</t>
  </si>
  <si>
    <t>Ensalada de Filete de Pescado</t>
  </si>
  <si>
    <t>Langostino al Vapor</t>
  </si>
  <si>
    <t>Carne de Ave Frita</t>
  </si>
  <si>
    <t>Pay de carne</t>
  </si>
  <si>
    <t>Yogurt de Aloe</t>
  </si>
  <si>
    <t>Mariscos Sofritos</t>
  </si>
  <si>
    <t>Dumpling del Desierto</t>
  </si>
  <si>
    <t>Asado de Marmota</t>
  </si>
  <si>
    <t>Couscous</t>
  </si>
  <si>
    <t>Estofado de Carne</t>
  </si>
  <si>
    <t>Ensalada de Langostinos</t>
  </si>
  <si>
    <t>Estofado de Víbora Freekeh</t>
  </si>
  <si>
    <t>Verduras en Escabeche</t>
  </si>
  <si>
    <t>Pan Suave</t>
  </si>
  <si>
    <t>Pudín de Frutas</t>
  </si>
  <si>
    <t>Cocina Artesano</t>
  </si>
  <si>
    <t>Coctel de Coco</t>
  </si>
  <si>
    <t>Pescado Frito con Coco</t>
  </si>
  <si>
    <t>Pasta de Coco</t>
  </si>
  <si>
    <t>Champiñon Arcoiris asado con Queso</t>
  </si>
  <si>
    <t>Sandwich de Teff</t>
  </si>
  <si>
    <t>Torta de Ostra</t>
  </si>
  <si>
    <t>Sandwich de Champiñones Arcoiris</t>
  </si>
  <si>
    <t>Sopa de Carne</t>
  </si>
  <si>
    <t>Escorpion Asado</t>
  </si>
  <si>
    <t>Borts</t>
  </si>
  <si>
    <t>Salchicha Asada</t>
  </si>
  <si>
    <t>Pay de Queso</t>
  </si>
  <si>
    <t>Pasta de Carne</t>
  </si>
  <si>
    <t>Kebab de Lagartija</t>
  </si>
  <si>
    <t>Bistek</t>
  </si>
  <si>
    <t>Avena</t>
  </si>
  <si>
    <t>Cocina Maestro</t>
  </si>
  <si>
    <t>Bocadillos Surtidos</t>
  </si>
  <si>
    <t>Te de Sute</t>
  </si>
  <si>
    <t>Te con Leche</t>
  </si>
  <si>
    <t>Brocheta de Llama con Queso</t>
  </si>
  <si>
    <t>Gratinado de Queso</t>
  </si>
  <si>
    <t>Carne Sofrita</t>
  </si>
  <si>
    <t>Ensalada de Cazador</t>
  </si>
  <si>
    <t>Galleta de Panal de Abeja</t>
  </si>
  <si>
    <t>Ensalada de Carne Magra</t>
  </si>
  <si>
    <t>Croqueta de Carne</t>
  </si>
  <si>
    <t>Helecho Sofrito</t>
  </si>
  <si>
    <t>Hamburguesa del Rey de la Selva</t>
  </si>
  <si>
    <t>Sandwich de Carne</t>
  </si>
  <si>
    <t>Sandwich de Jamon</t>
  </si>
  <si>
    <t>Pudín Oscuro</t>
  </si>
  <si>
    <t>Ghormeh Sabzi</t>
  </si>
  <si>
    <t>Cocina Guru</t>
  </si>
  <si>
    <t>Platillo de Kamasilvia</t>
  </si>
  <si>
    <t>Platillo Especial de Mariscos de Margoria</t>
  </si>
  <si>
    <t>Langosta Asada a la Mantequilla</t>
  </si>
  <si>
    <t>Platillo de Serendia</t>
  </si>
  <si>
    <t>Platillo de Valencia</t>
  </si>
  <si>
    <t>Platillo Especial de Drieghan</t>
  </si>
  <si>
    <t>Ración de Combate de la Caballería</t>
  </si>
  <si>
    <t>Platillo especial de Arehaza</t>
  </si>
  <si>
    <t>Platillo de Calpheon</t>
  </si>
  <si>
    <t>Platillo de Balenos</t>
  </si>
  <si>
    <t>Platillo de Mediah</t>
  </si>
  <si>
    <t>Vino Fermentado de Khalk</t>
  </si>
  <si>
    <t>Adobado de Ostra</t>
  </si>
  <si>
    <t>Costo promedio de mercado</t>
  </si>
  <si>
    <t>Costo de mercado</t>
  </si>
  <si>
    <t>Fruta de Destrucción</t>
  </si>
  <si>
    <t>Pulidora de joyas</t>
  </si>
  <si>
    <t>Lobo, flamenco, Rinoceronte, dragon chita</t>
  </si>
  <si>
    <t>Ciervo, Cabra, Cerdo, Waragon, Res, Llama</t>
  </si>
  <si>
    <t>Comadreja, Zorro, Mapache</t>
  </si>
  <si>
    <t>Trol, Oso, Ogro, Dinosaurio, Yak</t>
  </si>
  <si>
    <t>Gusano, Lagarto, Murcielago, Pajaro kuku, Cobra</t>
  </si>
  <si>
    <t>Esmeralda</t>
  </si>
  <si>
    <t>Hierba miel de seda</t>
  </si>
  <si>
    <t>Cristal magico del sol - Precision</t>
  </si>
  <si>
    <t>Hierba de mil años</t>
  </si>
  <si>
    <t>Opalo pulido</t>
  </si>
  <si>
    <t>Cristales</t>
  </si>
  <si>
    <t>Cristal Magico del infinito - Golpe Critico (Secun)</t>
  </si>
  <si>
    <t>Cristal Magico del infinito - Precision (Princ)</t>
  </si>
  <si>
    <t>Cristal Magico de encanto - Experiencia (Yelm)</t>
  </si>
  <si>
    <t>Cristal Magico del infinito - Experiencia (Yelm)</t>
  </si>
  <si>
    <t>Cristal Magico del infinito - Reduccion de Durabilidad (Princ)</t>
  </si>
  <si>
    <t>Cristal Magico del infinito - Aumento de Energia (Bot)</t>
  </si>
  <si>
    <t>Cristal Magico del infinito - Precision (Man)</t>
  </si>
  <si>
    <t>Cristal Magico del infinito - Poder (Princ)</t>
  </si>
  <si>
    <t>Cristal Magico del infinito - Energia (Bot)</t>
  </si>
  <si>
    <t>Cristal Magico del infinito - Desafiante (Yelm)</t>
  </si>
  <si>
    <t>Cristal Magico del infinito - Agilidad (Yelm)</t>
  </si>
  <si>
    <t>Cristal Magico del infinito - Ascenso (Bot)</t>
  </si>
  <si>
    <t>Cristal Magico del infinito - Armadura de Hierro (Todo)</t>
  </si>
  <si>
    <t>Cristal Magico del infinito - Vision (Yelm)</t>
  </si>
  <si>
    <t>-</t>
  </si>
  <si>
    <t>Sangre del Payaso</t>
  </si>
  <si>
    <t>Piedras preciosas (ver receta)</t>
  </si>
  <si>
    <t>Rubi</t>
  </si>
  <si>
    <t>Cristal Magico de Fuego Carmesi - Poder (Princ)</t>
  </si>
  <si>
    <t>Pieza de plomo derretido</t>
  </si>
  <si>
    <t>Cristal Magico de Fuego Carmesi - Precision (Princ)</t>
  </si>
  <si>
    <t>Herramientas de Manos</t>
  </si>
  <si>
    <t>Fragmento de Magia</t>
  </si>
  <si>
    <t>Piedra de Manos</t>
  </si>
  <si>
    <t>Herramienta de Acero Brillante</t>
  </si>
  <si>
    <t>Fragmento Quemado</t>
  </si>
  <si>
    <t>Cristal de Vanadio puro</t>
  </si>
  <si>
    <t>Anillo de Manos</t>
  </si>
  <si>
    <t>Hacha de Leñador de Manos</t>
  </si>
  <si>
    <t>Collar de Manos</t>
  </si>
  <si>
    <t>Cinturon de Manos</t>
  </si>
  <si>
    <t>Arete de Manos</t>
  </si>
  <si>
    <t>Cristal de Vanadio Puro</t>
  </si>
  <si>
    <t>Esencia de la abundancia</t>
  </si>
  <si>
    <t>Accesorios de Manos</t>
  </si>
  <si>
    <t>Cuchillo de Carnicero de Manos</t>
  </si>
  <si>
    <t>Fusta de Manos</t>
  </si>
  <si>
    <t>Solvente de Metal</t>
  </si>
  <si>
    <t>Pico de Manos</t>
  </si>
  <si>
    <t>Recolector de Fluidos de Manos</t>
  </si>
  <si>
    <t>Hongo Nube</t>
  </si>
  <si>
    <t>Pieza de plata derretida</t>
  </si>
  <si>
    <t>Recetas Cocina BDO</t>
  </si>
  <si>
    <t>Tipo</t>
  </si>
  <si>
    <t>Material Procesado</t>
  </si>
  <si>
    <t>Material</t>
  </si>
  <si>
    <t>Cristal</t>
  </si>
  <si>
    <t>Elixir</t>
  </si>
  <si>
    <t>Especial Alquimia</t>
  </si>
  <si>
    <t>Item de tienda</t>
  </si>
  <si>
    <t>Imperial</t>
  </si>
  <si>
    <t>Manufactura</t>
  </si>
  <si>
    <t>Plato de cocina</t>
  </si>
  <si>
    <t>Carne de ave</t>
  </si>
  <si>
    <t>Vino de Grano Exótico</t>
  </si>
  <si>
    <t>Platillo Sencillo de Cron</t>
  </si>
  <si>
    <t>Especia Ancestral de Cron</t>
  </si>
  <si>
    <t>Platillo de Mariscos de Cron</t>
  </si>
  <si>
    <t>Plato Especial de Marisco de Margoria</t>
  </si>
  <si>
    <t>Bistek Sabroso</t>
  </si>
  <si>
    <t>Eficiencia en platillos</t>
  </si>
  <si>
    <t>Detalles</t>
  </si>
  <si>
    <t>Recetas Procesamiento BDO</t>
  </si>
  <si>
    <t>Pieza de Hierro Derretido</t>
  </si>
  <si>
    <t>Mineral de Hierro</t>
  </si>
  <si>
    <t>Lingote de Acero</t>
  </si>
  <si>
    <t>Carbón</t>
  </si>
  <si>
    <t>Eficiencia de procesamiento</t>
  </si>
  <si>
    <t>Calentar</t>
  </si>
  <si>
    <t>Leñar</t>
  </si>
  <si>
    <t>Moler</t>
  </si>
  <si>
    <t>Mecer</t>
  </si>
  <si>
    <t>Márgen por hora</t>
  </si>
  <si>
    <t>Pieza de Platino Derretido</t>
  </si>
  <si>
    <t>Mineral de Platino</t>
  </si>
  <si>
    <t>Lingote de Platino</t>
  </si>
  <si>
    <t>Pieza de Cobre Derretido</t>
  </si>
  <si>
    <t>Mineral de Cobre</t>
  </si>
  <si>
    <t>Lingote de Cobre</t>
  </si>
  <si>
    <t>Pieza de Titanio Derretido</t>
  </si>
  <si>
    <t>Mineral de Titanio</t>
  </si>
  <si>
    <t>Lingote de Titanio</t>
  </si>
  <si>
    <t>Pieza de Vanadio Derretido</t>
  </si>
  <si>
    <t>Mineral de Vanadio</t>
  </si>
  <si>
    <t>Lingote de Vanadio</t>
  </si>
  <si>
    <t>Pieza de Estaño Derretido</t>
  </si>
  <si>
    <t>Mineral de Estaño</t>
  </si>
  <si>
    <t>Lingote de Estaño</t>
  </si>
  <si>
    <t>Pieza de Zinc Derretido</t>
  </si>
  <si>
    <t>Lingote de Zinc</t>
  </si>
  <si>
    <t>Mineral de Zinc</t>
  </si>
  <si>
    <t>Mineral de Herrumbre</t>
  </si>
  <si>
    <t>Lingote de Herrumbre</t>
  </si>
  <si>
    <t>Mineral de Plata</t>
  </si>
  <si>
    <t>Lingote de Plata</t>
  </si>
  <si>
    <t>Pieza de Oro Derretido</t>
  </si>
  <si>
    <t>Mineral de Oro</t>
  </si>
  <si>
    <t>Lingote de Oro</t>
  </si>
  <si>
    <t>Mineral de Rubi</t>
  </si>
  <si>
    <t>Fragmento de Herrumbre Derretido</t>
  </si>
  <si>
    <t>Mineral</t>
  </si>
  <si>
    <t>HIERRO</t>
  </si>
  <si>
    <t>PLATINO</t>
  </si>
  <si>
    <t>COBRE</t>
  </si>
  <si>
    <t>TITANIO</t>
  </si>
  <si>
    <t>VANADIO</t>
  </si>
  <si>
    <t>ESTAÑO</t>
  </si>
  <si>
    <t>ZINC</t>
  </si>
  <si>
    <t>HERRUMBRE</t>
  </si>
  <si>
    <t>PLATA</t>
  </si>
  <si>
    <t>ORO</t>
  </si>
  <si>
    <t>Tablón de Fresno</t>
  </si>
  <si>
    <t>Madera de Fresno</t>
  </si>
  <si>
    <t>Madera Contrachapada de Fresno</t>
  </si>
  <si>
    <t>FRESNO</t>
  </si>
  <si>
    <t>ARBOL DE ARCE</t>
  </si>
  <si>
    <t>PINO</t>
  </si>
  <si>
    <t>ABEDUL</t>
  </si>
  <si>
    <t>ABETO</t>
  </si>
  <si>
    <t>CEDRO</t>
  </si>
  <si>
    <t>CEDRO BLANCO</t>
  </si>
  <si>
    <t>ACACIA</t>
  </si>
  <si>
    <t>PALMERA</t>
  </si>
  <si>
    <t>ARBOL MUSGOSO</t>
  </si>
  <si>
    <t>ARBOL DE ARO</t>
  </si>
  <si>
    <t>TUYA ORIENTAL</t>
  </si>
  <si>
    <t>Tablón de Arbol de Arce</t>
  </si>
  <si>
    <t>Madera de Arbol de Arce</t>
  </si>
  <si>
    <t>Madera Contrachapada de Arbol de Arce</t>
  </si>
  <si>
    <t>Tablón de Pino</t>
  </si>
  <si>
    <t>Madera de Pino</t>
  </si>
  <si>
    <t>Madera Contrachapada de Pino</t>
  </si>
  <si>
    <t>Tablón de Abedul</t>
  </si>
  <si>
    <t>Madera de Abedul</t>
  </si>
  <si>
    <t>Madera Contrachapada de Abedul</t>
  </si>
  <si>
    <t>Tablón de Abeto</t>
  </si>
  <si>
    <t>Madera de Abeto</t>
  </si>
  <si>
    <t>Madera Contrachapada de Abeto</t>
  </si>
  <si>
    <t>Tablón de Cedro</t>
  </si>
  <si>
    <t>Madera de Cedro</t>
  </si>
  <si>
    <t>Madera Contrachapada de Cedro</t>
  </si>
  <si>
    <t>Tablón de Cedro Blanco</t>
  </si>
  <si>
    <t>Madera de Cedro Blanco</t>
  </si>
  <si>
    <t>Madera Contrachapada de Cedro Blanco</t>
  </si>
  <si>
    <t>Tablón de Acacia</t>
  </si>
  <si>
    <t>Madera de Acacia</t>
  </si>
  <si>
    <t>Madera Contrachapada de Acacia</t>
  </si>
  <si>
    <t>Tablón de Palmera</t>
  </si>
  <si>
    <t>Madera de Palmera</t>
  </si>
  <si>
    <t>Madera Contrachapada de Palmera</t>
  </si>
  <si>
    <t>Tablón de Arbol Musgoso</t>
  </si>
  <si>
    <t>Madera de Arbol Musgoso</t>
  </si>
  <si>
    <t>Madera Contrachapada de Arbol Musgoso</t>
  </si>
  <si>
    <t>Madera de Arbol de Aro</t>
  </si>
  <si>
    <t>Tablón de Tuya Oriental</t>
  </si>
  <si>
    <t>Madera de Tuya Oriental</t>
  </si>
  <si>
    <t>Madera Contrachapada de Tuya Oriental</t>
  </si>
  <si>
    <t>Madera</t>
  </si>
  <si>
    <t>Madera Contrachapada de Arbol de Anillas</t>
  </si>
  <si>
    <t>Tablón de Arbol de Anillas</t>
  </si>
  <si>
    <t>CALENTAR</t>
  </si>
  <si>
    <t>LEÑAR</t>
  </si>
  <si>
    <t>Mercado colapsado</t>
  </si>
  <si>
    <t>ALGODÓN</t>
  </si>
  <si>
    <t>Algodón</t>
  </si>
  <si>
    <t>Hilo de Algodón</t>
  </si>
  <si>
    <t>AGUA</t>
  </si>
  <si>
    <t>Botella de agua de río</t>
  </si>
  <si>
    <t>Lingote de Latón</t>
  </si>
  <si>
    <t>Lingote de Bronce</t>
  </si>
  <si>
    <t>Carne de Cerdo</t>
  </si>
  <si>
    <t>Pimienta</t>
  </si>
  <si>
    <t>Vinagre</t>
  </si>
  <si>
    <t>Aderezo</t>
  </si>
  <si>
    <t>Especia de tienda</t>
  </si>
  <si>
    <t>Calabaza</t>
  </si>
  <si>
    <t>Trigo</t>
  </si>
  <si>
    <t>Uva</t>
  </si>
  <si>
    <t>Asado de ave</t>
  </si>
  <si>
    <t>Carne de pollo</t>
  </si>
  <si>
    <t>Carne de Pollo</t>
  </si>
  <si>
    <t>Pan suave</t>
  </si>
  <si>
    <t>Masa de Harina</t>
  </si>
  <si>
    <t>Huevo</t>
  </si>
  <si>
    <t>Leche</t>
  </si>
  <si>
    <t>Crema</t>
  </si>
  <si>
    <t>Pieza de Plata Derretida</t>
  </si>
  <si>
    <t>OTROS</t>
  </si>
  <si>
    <t>LANA</t>
  </si>
  <si>
    <t>Hilo de Lana</t>
  </si>
  <si>
    <t>Lana</t>
  </si>
  <si>
    <t>PLOMO</t>
  </si>
  <si>
    <t>Pieza de Plomo Derretido</t>
  </si>
  <si>
    <t>Mineral de Plomo</t>
  </si>
  <si>
    <t>Lingote de Plomo</t>
  </si>
  <si>
    <t>Lana Procesada</t>
  </si>
  <si>
    <t>Te Sute</t>
  </si>
  <si>
    <t>Te con olor fino</t>
  </si>
  <si>
    <t>Mantequilla</t>
  </si>
  <si>
    <t>Te sute</t>
  </si>
  <si>
    <t>Rendimiento por hora</t>
  </si>
  <si>
    <t>Reactivos</t>
  </si>
  <si>
    <t>Hierba Luz del atardecer</t>
  </si>
  <si>
    <t>Márgen por 10 horas</t>
  </si>
  <si>
    <t>Accesorios</t>
  </si>
  <si>
    <t>Probabilidad</t>
  </si>
  <si>
    <t>Fallos</t>
  </si>
  <si>
    <t>PRI</t>
  </si>
  <si>
    <t>DUO</t>
  </si>
  <si>
    <t>TRI</t>
  </si>
  <si>
    <t>TET</t>
  </si>
  <si>
    <t xml:space="preserve">Anillo Tungrad </t>
  </si>
  <si>
    <t>Inversion necesaria</t>
  </si>
  <si>
    <t>Coeficiente de inversion</t>
  </si>
  <si>
    <t>Anillo del Guardian de Luna Creciente</t>
  </si>
  <si>
    <t>Rentabilidad</t>
  </si>
  <si>
    <t>ANILLO</t>
  </si>
  <si>
    <t>COLLAR</t>
  </si>
  <si>
    <t>Anillo de Pupila de las Ruinas</t>
  </si>
  <si>
    <t>Collar Tungrad</t>
  </si>
  <si>
    <t>Anillo de Ogro</t>
  </si>
  <si>
    <t>Piedra de Poder de Laytenn</t>
  </si>
  <si>
    <t>ARETE</t>
  </si>
  <si>
    <t>Aretes de la Erosion Negra</t>
  </si>
  <si>
    <t>Aretes de la Ilusion</t>
  </si>
  <si>
    <t>Aretes de la Aurora</t>
  </si>
  <si>
    <t>Aretes Tungrad</t>
  </si>
  <si>
    <t>Accesorio de Oreja Narc</t>
  </si>
  <si>
    <t>CINTURON</t>
  </si>
  <si>
    <t>Cinturon Tungrad</t>
  </si>
  <si>
    <t>Cinturon de Luz Escondida</t>
  </si>
  <si>
    <t>Cinturon de Basilisco</t>
  </si>
  <si>
    <t>Cinturon de Orkinrad</t>
  </si>
  <si>
    <t>m</t>
  </si>
  <si>
    <t>Costo fallos</t>
  </si>
  <si>
    <t>Fallos  BDO en Millones</t>
  </si>
  <si>
    <t>Margen bruto</t>
  </si>
  <si>
    <t>Márgen neto</t>
  </si>
  <si>
    <t>Costo desde 0</t>
  </si>
  <si>
    <t>Margen desde 0</t>
  </si>
  <si>
    <t>Rentab desde 0</t>
  </si>
  <si>
    <t>Fosil de Escama</t>
  </si>
  <si>
    <t>Collar de Serap</t>
  </si>
  <si>
    <t>Márgen bruto</t>
  </si>
  <si>
    <t>Gear</t>
  </si>
  <si>
    <t>Arma Principal</t>
  </si>
  <si>
    <t>Arma Secundaria</t>
  </si>
  <si>
    <t>Arma Despertar</t>
  </si>
  <si>
    <t>Armadura</t>
  </si>
  <si>
    <t>Casco</t>
  </si>
  <si>
    <t>Guantes</t>
  </si>
  <si>
    <t>Margen desde receta</t>
  </si>
  <si>
    <t>Rendimiento diario</t>
  </si>
  <si>
    <t>Entrega Imperiales</t>
  </si>
  <si>
    <t>Savia</t>
  </si>
  <si>
    <t>Rastro</t>
  </si>
  <si>
    <t>Sangre</t>
  </si>
  <si>
    <t>Accion</t>
  </si>
  <si>
    <t>BlackStar</t>
  </si>
  <si>
    <t>Offin Tett</t>
  </si>
  <si>
    <t>Kzarka</t>
  </si>
  <si>
    <t>Liverto</t>
  </si>
  <si>
    <t>Kutum</t>
  </si>
  <si>
    <t>Nouver</t>
  </si>
  <si>
    <t>Dandelion</t>
  </si>
  <si>
    <t>Yelmo de Grifo</t>
  </si>
  <si>
    <t>Yelmo de Giath</t>
  </si>
  <si>
    <t>Armadura de BlackStar</t>
  </si>
  <si>
    <t>Armadura deEspiritu de Arbol de Hebetate</t>
  </si>
  <si>
    <t>Armadura de Nariz Roja</t>
  </si>
  <si>
    <t>Guantes de Livre</t>
  </si>
  <si>
    <t>Guantes de Bheg</t>
  </si>
  <si>
    <t>Zapatos de Urgon</t>
  </si>
  <si>
    <t>Zapatos de Muskan</t>
  </si>
  <si>
    <t>Zapatos</t>
  </si>
  <si>
    <t>+14</t>
  </si>
  <si>
    <t>+15</t>
  </si>
  <si>
    <t>Fragmento del recuerdo</t>
  </si>
  <si>
    <t>Encantamiento</t>
  </si>
  <si>
    <t>Rendimiento bruto por hora</t>
  </si>
  <si>
    <t>Piedra espiritual de la proteccion</t>
  </si>
  <si>
    <t>Piedra Espiritual de Destruccion Filosa</t>
  </si>
  <si>
    <t>Polvo Misterioso del Espiritu</t>
  </si>
  <si>
    <t>Piedra de Cron</t>
  </si>
  <si>
    <t>Reactivo de Amistad Espiritual</t>
  </si>
  <si>
    <t>Aceite de Tranquilidad</t>
  </si>
  <si>
    <t>Origen de Vida Interminable</t>
  </si>
  <si>
    <t>Cristal de Cinco colores Tosco</t>
  </si>
  <si>
    <t>Piedras</t>
  </si>
  <si>
    <t>Costo desde receta</t>
  </si>
  <si>
    <t>Márgen optimizado</t>
  </si>
  <si>
    <t>Otros</t>
  </si>
  <si>
    <t>Hongo Cielo</t>
  </si>
  <si>
    <t>Rastro del Origen</t>
  </si>
  <si>
    <t>Elixir de Vitalidad</t>
  </si>
  <si>
    <t>MANOS</t>
  </si>
  <si>
    <t>.</t>
  </si>
  <si>
    <t>Comercio - Balenos</t>
  </si>
  <si>
    <t>Comercio - Calpheon</t>
  </si>
  <si>
    <t>Comercio - Joyas</t>
  </si>
  <si>
    <t>Comercio - Acero</t>
  </si>
  <si>
    <t>Alquimia Aprendiz</t>
  </si>
  <si>
    <t>Alquimia Habil</t>
  </si>
  <si>
    <t>Elixir de foca</t>
  </si>
  <si>
    <t>Elixir de vitalidad</t>
  </si>
  <si>
    <t>Collar de la Luna Despierta</t>
  </si>
  <si>
    <t>Collar Devoreka</t>
  </si>
  <si>
    <t>OPALO</t>
  </si>
  <si>
    <t>Opalo</t>
  </si>
  <si>
    <t>Comercio - Opalo</t>
  </si>
  <si>
    <t>Márgen Bruto</t>
  </si>
  <si>
    <t>Comercio -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</si>
</sst>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2" x14ac:knownFonts="1">
    <font>
      <sz val="11"/>
      <color theme="1"/>
      <name val="Arial"/>
    </font>
    <font>
      <b/>
      <i/>
      <sz val="12"/>
      <color theme="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i/>
      <sz val="11"/>
      <color theme="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i/>
      <sz val="12"/>
      <color theme="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Arial"/>
      <family val="2"/>
    </font>
    <font>
      <i/>
      <sz val="12"/>
      <color theme="0"/>
      <name val="Calibri"/>
      <family val="2"/>
    </font>
    <font>
      <sz val="11"/>
      <color theme="9" tint="0.59999389629810485"/>
      <name val="Calibri"/>
      <family val="2"/>
    </font>
    <font>
      <sz val="11"/>
      <color theme="8" tint="0.59999389629810485"/>
      <name val="Calibri"/>
      <family val="2"/>
    </font>
    <font>
      <sz val="11"/>
      <color rgb="FFFFFFFF"/>
      <name val="Calibri"/>
      <family val="2"/>
    </font>
    <font>
      <b/>
      <i/>
      <sz val="12"/>
      <name val="Calibri"/>
      <family val="2"/>
    </font>
    <font>
      <b/>
      <sz val="11"/>
      <color theme="9" tint="0.59999389629810485"/>
      <name val="Calibri"/>
      <family val="2"/>
    </font>
    <font>
      <b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2F3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theme="1"/>
      </patternFill>
    </fill>
    <fill>
      <patternFill patternType="solid">
        <fgColor theme="8" tint="0.79998168889431442"/>
        <bgColor rgb="FFE2EFD9"/>
      </patternFill>
    </fill>
    <fill>
      <patternFill patternType="solid">
        <fgColor rgb="FFFFFF00"/>
        <bgColor rgb="FFE2EFD9"/>
      </patternFill>
    </fill>
    <fill>
      <patternFill patternType="solid">
        <fgColor theme="1" tint="4.9989318521683403E-2"/>
        <bgColor theme="1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347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4" fillId="2" borderId="4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/>
    <xf numFmtId="43" fontId="3" fillId="3" borderId="5" xfId="0" applyNumberFormat="1" applyFont="1" applyFill="1" applyBorder="1"/>
    <xf numFmtId="43" fontId="3" fillId="3" borderId="5" xfId="0" applyNumberFormat="1" applyFont="1" applyFill="1" applyBorder="1" applyAlignment="1">
      <alignment horizontal="center" vertical="center"/>
    </xf>
    <xf numFmtId="43" fontId="3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/>
    <xf numFmtId="43" fontId="3" fillId="3" borderId="8" xfId="0" applyNumberFormat="1" applyFont="1" applyFill="1" applyBorder="1"/>
    <xf numFmtId="43" fontId="3" fillId="3" borderId="8" xfId="0" applyNumberFormat="1" applyFont="1" applyFill="1" applyBorder="1" applyAlignment="1">
      <alignment horizontal="center" vertical="center"/>
    </xf>
    <xf numFmtId="43" fontId="3" fillId="3" borderId="9" xfId="0" applyNumberFormat="1" applyFont="1" applyFill="1" applyBorder="1" applyAlignment="1">
      <alignment horizontal="center" vertical="center"/>
    </xf>
    <xf numFmtId="0" fontId="3" fillId="4" borderId="8" xfId="0" applyFont="1" applyFill="1" applyBorder="1"/>
    <xf numFmtId="43" fontId="3" fillId="4" borderId="8" xfId="0" applyNumberFormat="1" applyFont="1" applyFill="1" applyBorder="1"/>
    <xf numFmtId="0" fontId="3" fillId="4" borderId="8" xfId="0" applyFont="1" applyFill="1" applyBorder="1" applyAlignment="1">
      <alignment horizontal="center" vertical="center"/>
    </xf>
    <xf numFmtId="43" fontId="3" fillId="4" borderId="8" xfId="0" applyNumberFormat="1" applyFont="1" applyFill="1" applyBorder="1" applyAlignment="1">
      <alignment horizontal="center" vertical="center"/>
    </xf>
    <xf numFmtId="0" fontId="3" fillId="5" borderId="8" xfId="0" applyFont="1" applyFill="1" applyBorder="1"/>
    <xf numFmtId="0" fontId="1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43" fontId="3" fillId="3" borderId="11" xfId="0" applyNumberFormat="1" applyFont="1" applyFill="1" applyBorder="1"/>
    <xf numFmtId="43" fontId="3" fillId="3" borderId="11" xfId="0" applyNumberFormat="1" applyFont="1" applyFill="1" applyBorder="1" applyAlignment="1">
      <alignment horizontal="center" vertical="center"/>
    </xf>
    <xf numFmtId="43" fontId="3" fillId="3" borderId="12" xfId="0" applyNumberFormat="1" applyFont="1" applyFill="1" applyBorder="1" applyAlignment="1">
      <alignment horizontal="center" vertical="center"/>
    </xf>
    <xf numFmtId="0" fontId="3" fillId="4" borderId="5" xfId="0" applyFont="1" applyFill="1" applyBorder="1"/>
    <xf numFmtId="43" fontId="3" fillId="4" borderId="5" xfId="0" applyNumberFormat="1" applyFont="1" applyFill="1" applyBorder="1"/>
    <xf numFmtId="43" fontId="3" fillId="4" borderId="5" xfId="0" applyNumberFormat="1" applyFont="1" applyFill="1" applyBorder="1" applyAlignment="1">
      <alignment horizontal="center" vertical="center"/>
    </xf>
    <xf numFmtId="0" fontId="3" fillId="4" borderId="11" xfId="0" applyFont="1" applyFill="1" applyBorder="1"/>
    <xf numFmtId="43" fontId="3" fillId="4" borderId="11" xfId="0" applyNumberFormat="1" applyFont="1" applyFill="1" applyBorder="1"/>
    <xf numFmtId="43" fontId="3" fillId="4" borderId="11" xfId="0" applyNumberFormat="1" applyFont="1" applyFill="1" applyBorder="1" applyAlignment="1">
      <alignment horizontal="center" vertical="center"/>
    </xf>
    <xf numFmtId="0" fontId="4" fillId="2" borderId="13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43" fontId="3" fillId="4" borderId="9" xfId="0" applyNumberFormat="1" applyFont="1" applyFill="1" applyBorder="1" applyAlignment="1">
      <alignment horizontal="center" vertical="center"/>
    </xf>
    <xf numFmtId="43" fontId="3" fillId="4" borderId="12" xfId="0" applyNumberFormat="1" applyFont="1" applyFill="1" applyBorder="1" applyAlignment="1">
      <alignment horizontal="center" vertical="center"/>
    </xf>
    <xf numFmtId="43" fontId="3" fillId="4" borderId="6" xfId="0" applyNumberFormat="1" applyFont="1" applyFill="1" applyBorder="1" applyAlignment="1">
      <alignment horizontal="center" vertical="center"/>
    </xf>
    <xf numFmtId="0" fontId="3" fillId="5" borderId="11" xfId="0" applyFont="1" applyFill="1" applyBorder="1"/>
    <xf numFmtId="0" fontId="3" fillId="5" borderId="5" xfId="0" applyFont="1" applyFill="1" applyBorder="1"/>
    <xf numFmtId="0" fontId="1" fillId="2" borderId="8" xfId="0" applyFont="1" applyFill="1" applyBorder="1" applyAlignment="1">
      <alignment horizontal="center" vertical="center" wrapText="1"/>
    </xf>
    <xf numFmtId="0" fontId="3" fillId="6" borderId="8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4" fontId="3" fillId="0" borderId="3" xfId="0" applyNumberFormat="1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0" xfId="0" applyFont="1"/>
    <xf numFmtId="43" fontId="5" fillId="0" borderId="0" xfId="0" applyNumberFormat="1" applyFont="1" applyAlignment="1"/>
    <xf numFmtId="0" fontId="3" fillId="0" borderId="27" xfId="0" applyFont="1" applyBorder="1"/>
    <xf numFmtId="43" fontId="3" fillId="0" borderId="0" xfId="0" applyNumberFormat="1" applyFont="1"/>
    <xf numFmtId="0" fontId="6" fillId="0" borderId="0" xfId="0" applyFont="1"/>
    <xf numFmtId="0" fontId="2" fillId="0" borderId="0" xfId="0" applyFont="1" applyAlignment="1"/>
    <xf numFmtId="43" fontId="7" fillId="0" borderId="0" xfId="0" applyNumberFormat="1" applyFont="1"/>
    <xf numFmtId="43" fontId="3" fillId="0" borderId="0" xfId="0" applyNumberFormat="1" applyFont="1" applyAlignment="1"/>
    <xf numFmtId="0" fontId="3" fillId="3" borderId="20" xfId="0" applyFont="1" applyFill="1" applyBorder="1" applyAlignment="1">
      <alignment vertical="center"/>
    </xf>
    <xf numFmtId="0" fontId="3" fillId="3" borderId="20" xfId="0" applyFont="1" applyFill="1" applyBorder="1"/>
    <xf numFmtId="0" fontId="3" fillId="4" borderId="20" xfId="0" applyFont="1" applyFill="1" applyBorder="1"/>
    <xf numFmtId="0" fontId="3" fillId="8" borderId="8" xfId="0" applyFont="1" applyFill="1" applyBorder="1"/>
    <xf numFmtId="43" fontId="8" fillId="0" borderId="0" xfId="0" applyNumberFormat="1" applyFont="1" applyAlignment="1"/>
    <xf numFmtId="0" fontId="8" fillId="3" borderId="5" xfId="0" applyFont="1" applyFill="1" applyBorder="1" applyAlignment="1">
      <alignment vertical="center"/>
    </xf>
    <xf numFmtId="0" fontId="8" fillId="4" borderId="8" xfId="0" applyFont="1" applyFill="1" applyBorder="1"/>
    <xf numFmtId="0" fontId="8" fillId="3" borderId="8" xfId="0" applyFont="1" applyFill="1" applyBorder="1"/>
    <xf numFmtId="0" fontId="8" fillId="3" borderId="5" xfId="0" applyFont="1" applyFill="1" applyBorder="1"/>
    <xf numFmtId="0" fontId="8" fillId="3" borderId="8" xfId="0" applyFont="1" applyFill="1" applyBorder="1" applyAlignment="1">
      <alignment vertical="center"/>
    </xf>
    <xf numFmtId="0" fontId="8" fillId="3" borderId="20" xfId="0" applyFont="1" applyFill="1" applyBorder="1" applyAlignment="1">
      <alignment vertical="center"/>
    </xf>
    <xf numFmtId="0" fontId="4" fillId="2" borderId="22" xfId="0" applyFont="1" applyFill="1" applyBorder="1"/>
    <xf numFmtId="0" fontId="3" fillId="9" borderId="8" xfId="0" applyFont="1" applyFill="1" applyBorder="1"/>
    <xf numFmtId="43" fontId="0" fillId="0" borderId="0" xfId="0" applyNumberFormat="1" applyFont="1" applyAlignment="1"/>
    <xf numFmtId="43" fontId="3" fillId="3" borderId="14" xfId="0" applyNumberFormat="1" applyFont="1" applyFill="1" applyBorder="1" applyAlignment="1">
      <alignment horizontal="center" vertical="center"/>
    </xf>
    <xf numFmtId="43" fontId="3" fillId="4" borderId="20" xfId="0" applyNumberFormat="1" applyFont="1" applyFill="1" applyBorder="1" applyAlignment="1">
      <alignment horizontal="center" vertical="center"/>
    </xf>
    <xf numFmtId="43" fontId="3" fillId="3" borderId="27" xfId="0" applyNumberFormat="1" applyFont="1" applyFill="1" applyBorder="1" applyAlignment="1">
      <alignment horizontal="center" vertical="center"/>
    </xf>
    <xf numFmtId="43" fontId="3" fillId="3" borderId="20" xfId="0" applyNumberFormat="1" applyFont="1" applyFill="1" applyBorder="1" applyAlignment="1">
      <alignment horizontal="center" vertical="center"/>
    </xf>
    <xf numFmtId="43" fontId="3" fillId="4" borderId="20" xfId="0" applyNumberFormat="1" applyFont="1" applyFill="1" applyBorder="1" applyAlignment="1">
      <alignment horizontal="center" vertical="center"/>
    </xf>
    <xf numFmtId="43" fontId="3" fillId="3" borderId="14" xfId="0" applyNumberFormat="1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43" fontId="3" fillId="4" borderId="20" xfId="0" applyNumberFormat="1" applyFont="1" applyFill="1" applyBorder="1"/>
    <xf numFmtId="0" fontId="3" fillId="4" borderId="20" xfId="0" applyFont="1" applyFill="1" applyBorder="1" applyAlignment="1">
      <alignment horizontal="center" vertical="center"/>
    </xf>
    <xf numFmtId="43" fontId="10" fillId="4" borderId="8" xfId="0" applyNumberFormat="1" applyFont="1" applyFill="1" applyBorder="1" applyAlignment="1">
      <alignment horizontal="center" vertical="center"/>
    </xf>
    <xf numFmtId="43" fontId="11" fillId="4" borderId="8" xfId="0" applyNumberFormat="1" applyFont="1" applyFill="1" applyBorder="1" applyAlignment="1">
      <alignment horizontal="center" vertical="center"/>
    </xf>
    <xf numFmtId="43" fontId="11" fillId="3" borderId="5" xfId="0" applyNumberFormat="1" applyFont="1" applyFill="1" applyBorder="1" applyAlignment="1">
      <alignment horizontal="center" vertical="center"/>
    </xf>
    <xf numFmtId="0" fontId="7" fillId="0" borderId="0" xfId="0" applyFont="1" applyAlignment="1"/>
    <xf numFmtId="43" fontId="11" fillId="4" borderId="20" xfId="0" applyNumberFormat="1" applyFont="1" applyFill="1" applyBorder="1" applyAlignment="1">
      <alignment horizontal="center" vertical="center"/>
    </xf>
    <xf numFmtId="0" fontId="3" fillId="3" borderId="14" xfId="0" applyFont="1" applyFill="1" applyBorder="1"/>
    <xf numFmtId="43" fontId="3" fillId="3" borderId="14" xfId="0" applyNumberFormat="1" applyFont="1" applyFill="1" applyBorder="1"/>
    <xf numFmtId="43" fontId="11" fillId="3" borderId="14" xfId="0" applyNumberFormat="1" applyFont="1" applyFill="1" applyBorder="1" applyAlignment="1">
      <alignment horizontal="center" vertical="center"/>
    </xf>
    <xf numFmtId="43" fontId="10" fillId="4" borderId="20" xfId="0" applyNumberFormat="1" applyFont="1" applyFill="1" applyBorder="1" applyAlignment="1">
      <alignment horizontal="center" vertical="center"/>
    </xf>
    <xf numFmtId="0" fontId="0" fillId="0" borderId="36" xfId="0" applyFont="1" applyBorder="1" applyAlignment="1"/>
    <xf numFmtId="0" fontId="7" fillId="0" borderId="36" xfId="0" applyFont="1" applyBorder="1" applyAlignment="1"/>
    <xf numFmtId="43" fontId="10" fillId="3" borderId="14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26" xfId="0" applyFont="1" applyBorder="1" applyAlignment="1"/>
    <xf numFmtId="0" fontId="0" fillId="0" borderId="27" xfId="0" applyFont="1" applyBorder="1" applyAlignment="1"/>
    <xf numFmtId="0" fontId="0" fillId="0" borderId="0" xfId="0" applyFont="1" applyBorder="1" applyAlignment="1"/>
    <xf numFmtId="43" fontId="3" fillId="3" borderId="20" xfId="0" applyNumberFormat="1" applyFont="1" applyFill="1" applyBorder="1"/>
    <xf numFmtId="43" fontId="3" fillId="0" borderId="14" xfId="0" applyNumberFormat="1" applyFont="1" applyFill="1" applyBorder="1" applyAlignment="1">
      <alignment horizontal="center" vertical="center"/>
    </xf>
    <xf numFmtId="43" fontId="3" fillId="3" borderId="14" xfId="0" applyNumberFormat="1" applyFont="1" applyFill="1" applyBorder="1" applyAlignment="1">
      <alignment horizontal="center" vertical="center"/>
    </xf>
    <xf numFmtId="43" fontId="3" fillId="4" borderId="20" xfId="0" applyNumberFormat="1" applyFont="1" applyFill="1" applyBorder="1" applyAlignment="1">
      <alignment horizontal="center" vertical="center"/>
    </xf>
    <xf numFmtId="43" fontId="3" fillId="3" borderId="20" xfId="0" applyNumberFormat="1" applyFont="1" applyFill="1" applyBorder="1" applyAlignment="1">
      <alignment horizontal="center" vertical="center"/>
    </xf>
    <xf numFmtId="43" fontId="12" fillId="3" borderId="14" xfId="0" applyNumberFormat="1" applyFont="1" applyFill="1" applyBorder="1" applyAlignment="1">
      <alignment horizontal="center" vertical="center"/>
    </xf>
    <xf numFmtId="0" fontId="12" fillId="4" borderId="20" xfId="0" applyFont="1" applyFill="1" applyBorder="1"/>
    <xf numFmtId="43" fontId="12" fillId="4" borderId="20" xfId="0" applyNumberFormat="1" applyFont="1" applyFill="1" applyBorder="1"/>
    <xf numFmtId="43" fontId="12" fillId="4" borderId="20" xfId="0" applyNumberFormat="1" applyFont="1" applyFill="1" applyBorder="1" applyAlignment="1">
      <alignment horizontal="center" vertical="center"/>
    </xf>
    <xf numFmtId="0" fontId="12" fillId="3" borderId="14" xfId="0" applyFont="1" applyFill="1" applyBorder="1"/>
    <xf numFmtId="43" fontId="12" fillId="3" borderId="14" xfId="0" applyNumberFormat="1" applyFont="1" applyFill="1" applyBorder="1"/>
    <xf numFmtId="43" fontId="13" fillId="3" borderId="14" xfId="0" applyNumberFormat="1" applyFont="1" applyFill="1" applyBorder="1" applyAlignment="1">
      <alignment horizontal="center" vertical="center"/>
    </xf>
    <xf numFmtId="43" fontId="13" fillId="4" borderId="20" xfId="0" applyNumberFormat="1" applyFont="1" applyFill="1" applyBorder="1" applyAlignment="1">
      <alignment horizontal="center" vertical="center"/>
    </xf>
    <xf numFmtId="44" fontId="0" fillId="0" borderId="0" xfId="1" applyFont="1" applyAlignment="1"/>
    <xf numFmtId="0" fontId="3" fillId="0" borderId="20" xfId="0" applyFont="1" applyBorder="1"/>
    <xf numFmtId="43" fontId="11" fillId="3" borderId="20" xfId="0" applyNumberFormat="1" applyFont="1" applyFill="1" applyBorder="1" applyAlignment="1">
      <alignment horizontal="center" vertical="center"/>
    </xf>
    <xf numFmtId="0" fontId="3" fillId="3" borderId="32" xfId="0" applyFont="1" applyFill="1" applyBorder="1"/>
    <xf numFmtId="43" fontId="3" fillId="3" borderId="32" xfId="0" applyNumberFormat="1" applyFont="1" applyFill="1" applyBorder="1"/>
    <xf numFmtId="43" fontId="3" fillId="3" borderId="32" xfId="0" applyNumberFormat="1" applyFont="1" applyFill="1" applyBorder="1" applyAlignment="1">
      <alignment horizontal="center" vertical="center"/>
    </xf>
    <xf numFmtId="43" fontId="11" fillId="3" borderId="32" xfId="0" applyNumberFormat="1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 wrapText="1"/>
    </xf>
    <xf numFmtId="0" fontId="1" fillId="12" borderId="40" xfId="0" applyFont="1" applyFill="1" applyBorder="1" applyAlignment="1">
      <alignment horizontal="center" vertical="center" wrapText="1"/>
    </xf>
    <xf numFmtId="0" fontId="3" fillId="3" borderId="35" xfId="0" applyFont="1" applyFill="1" applyBorder="1"/>
    <xf numFmtId="43" fontId="3" fillId="3" borderId="35" xfId="0" applyNumberFormat="1" applyFont="1" applyFill="1" applyBorder="1"/>
    <xf numFmtId="43" fontId="3" fillId="3" borderId="35" xfId="0" applyNumberFormat="1" applyFont="1" applyFill="1" applyBorder="1" applyAlignment="1">
      <alignment horizontal="center" vertical="center"/>
    </xf>
    <xf numFmtId="43" fontId="11" fillId="3" borderId="35" xfId="0" applyNumberFormat="1" applyFont="1" applyFill="1" applyBorder="1" applyAlignment="1">
      <alignment horizontal="center" vertical="center"/>
    </xf>
    <xf numFmtId="0" fontId="4" fillId="2" borderId="26" xfId="0" applyFont="1" applyFill="1" applyBorder="1"/>
    <xf numFmtId="0" fontId="4" fillId="2" borderId="20" xfId="0" applyFont="1" applyFill="1" applyBorder="1"/>
    <xf numFmtId="0" fontId="4" fillId="2" borderId="27" xfId="0" applyFont="1" applyFill="1" applyBorder="1"/>
    <xf numFmtId="43" fontId="3" fillId="3" borderId="14" xfId="0" applyNumberFormat="1" applyFont="1" applyFill="1" applyBorder="1" applyAlignment="1">
      <alignment horizontal="center" vertical="center"/>
    </xf>
    <xf numFmtId="43" fontId="3" fillId="4" borderId="20" xfId="0" applyNumberFormat="1" applyFont="1" applyFill="1" applyBorder="1" applyAlignment="1">
      <alignment horizontal="center" vertical="center"/>
    </xf>
    <xf numFmtId="43" fontId="3" fillId="3" borderId="20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43" fontId="3" fillId="3" borderId="20" xfId="0" applyNumberFormat="1" applyFont="1" applyFill="1" applyBorder="1" applyAlignment="1">
      <alignment horizontal="center" vertical="center"/>
    </xf>
    <xf numFmtId="43" fontId="3" fillId="4" borderId="11" xfId="0" applyNumberFormat="1" applyFont="1" applyFill="1" applyBorder="1" applyAlignment="1">
      <alignment horizontal="center" vertical="center"/>
    </xf>
    <xf numFmtId="0" fontId="3" fillId="13" borderId="5" xfId="0" applyFont="1" applyFill="1" applyBorder="1"/>
    <xf numFmtId="0" fontId="3" fillId="13" borderId="14" xfId="0" applyFont="1" applyFill="1" applyBorder="1"/>
    <xf numFmtId="0" fontId="3" fillId="13" borderId="20" xfId="0" applyFont="1" applyFill="1" applyBorder="1"/>
    <xf numFmtId="2" fontId="3" fillId="3" borderId="20" xfId="0" applyNumberFormat="1" applyFont="1" applyFill="1" applyBorder="1"/>
    <xf numFmtId="9" fontId="3" fillId="0" borderId="20" xfId="2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6" fillId="3" borderId="20" xfId="0" applyFont="1" applyFill="1" applyBorder="1"/>
    <xf numFmtId="0" fontId="17" fillId="13" borderId="20" xfId="0" applyFont="1" applyFill="1" applyBorder="1"/>
    <xf numFmtId="44" fontId="3" fillId="3" borderId="14" xfId="1" applyFont="1" applyFill="1" applyBorder="1"/>
    <xf numFmtId="44" fontId="3" fillId="3" borderId="20" xfId="1" applyFont="1" applyFill="1" applyBorder="1"/>
    <xf numFmtId="44" fontId="3" fillId="13" borderId="14" xfId="1" applyFont="1" applyFill="1" applyBorder="1"/>
    <xf numFmtId="44" fontId="3" fillId="13" borderId="20" xfId="1" applyFont="1" applyFill="1" applyBorder="1"/>
    <xf numFmtId="44" fontId="3" fillId="3" borderId="5" xfId="1" applyFont="1" applyFill="1" applyBorder="1"/>
    <xf numFmtId="44" fontId="3" fillId="3" borderId="5" xfId="1" applyFont="1" applyFill="1" applyBorder="1" applyAlignment="1">
      <alignment horizontal="center" vertical="center"/>
    </xf>
    <xf numFmtId="44" fontId="3" fillId="3" borderId="20" xfId="1" applyFont="1" applyFill="1" applyBorder="1" applyAlignment="1">
      <alignment horizontal="center" vertical="center"/>
    </xf>
    <xf numFmtId="44" fontId="3" fillId="13" borderId="5" xfId="1" applyFont="1" applyFill="1" applyBorder="1"/>
    <xf numFmtId="44" fontId="3" fillId="13" borderId="5" xfId="1" applyFont="1" applyFill="1" applyBorder="1" applyAlignment="1">
      <alignment horizontal="center" vertical="center"/>
    </xf>
    <xf numFmtId="44" fontId="3" fillId="13" borderId="14" xfId="1" applyFont="1" applyFill="1" applyBorder="1" applyAlignment="1">
      <alignment horizontal="center" vertical="center"/>
    </xf>
    <xf numFmtId="44" fontId="3" fillId="13" borderId="20" xfId="1" applyFont="1" applyFill="1" applyBorder="1" applyAlignment="1">
      <alignment horizontal="center" vertical="center"/>
    </xf>
    <xf numFmtId="164" fontId="3" fillId="3" borderId="20" xfId="1" applyNumberFormat="1" applyFont="1" applyFill="1" applyBorder="1"/>
    <xf numFmtId="164" fontId="3" fillId="13" borderId="14" xfId="1" applyNumberFormat="1" applyFont="1" applyFill="1" applyBorder="1"/>
    <xf numFmtId="164" fontId="3" fillId="13" borderId="20" xfId="1" applyNumberFormat="1" applyFont="1" applyFill="1" applyBorder="1"/>
    <xf numFmtId="43" fontId="3" fillId="4" borderId="11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vertical="center" wrapText="1"/>
    </xf>
    <xf numFmtId="0" fontId="3" fillId="14" borderId="8" xfId="0" applyFont="1" applyFill="1" applyBorder="1"/>
    <xf numFmtId="0" fontId="12" fillId="4" borderId="8" xfId="0" applyFont="1" applyFill="1" applyBorder="1"/>
    <xf numFmtId="4" fontId="3" fillId="0" borderId="20" xfId="0" applyNumberFormat="1" applyFont="1" applyBorder="1"/>
    <xf numFmtId="43" fontId="3" fillId="3" borderId="20" xfId="0" applyNumberFormat="1" applyFont="1" applyFill="1" applyBorder="1" applyAlignment="1">
      <alignment vertical="center"/>
    </xf>
    <xf numFmtId="43" fontId="18" fillId="3" borderId="20" xfId="0" applyNumberFormat="1" applyFont="1" applyFill="1" applyBorder="1" applyAlignment="1">
      <alignment vertical="center"/>
    </xf>
    <xf numFmtId="43" fontId="18" fillId="7" borderId="20" xfId="0" applyNumberFormat="1" applyFont="1" applyFill="1" applyBorder="1" applyAlignment="1">
      <alignment vertical="center"/>
    </xf>
    <xf numFmtId="0" fontId="3" fillId="7" borderId="20" xfId="0" applyFont="1" applyFill="1" applyBorder="1"/>
    <xf numFmtId="43" fontId="3" fillId="7" borderId="20" xfId="0" applyNumberFormat="1" applyFont="1" applyFill="1" applyBorder="1"/>
    <xf numFmtId="43" fontId="3" fillId="7" borderId="20" xfId="0" applyNumberFormat="1" applyFont="1" applyFill="1" applyBorder="1" applyAlignment="1">
      <alignment vertical="center"/>
    </xf>
    <xf numFmtId="0" fontId="3" fillId="3" borderId="38" xfId="0" applyFont="1" applyFill="1" applyBorder="1" applyAlignment="1">
      <alignment vertical="center"/>
    </xf>
    <xf numFmtId="43" fontId="3" fillId="3" borderId="32" xfId="0" applyNumberFormat="1" applyFont="1" applyFill="1" applyBorder="1" applyAlignment="1">
      <alignment vertical="center"/>
    </xf>
    <xf numFmtId="43" fontId="3" fillId="3" borderId="42" xfId="0" applyNumberFormat="1" applyFont="1" applyFill="1" applyBorder="1" applyAlignment="1">
      <alignment vertical="center"/>
    </xf>
    <xf numFmtId="43" fontId="3" fillId="3" borderId="43" xfId="0" applyNumberFormat="1" applyFont="1" applyFill="1" applyBorder="1" applyAlignment="1">
      <alignment horizontal="center" vertical="center"/>
    </xf>
    <xf numFmtId="0" fontId="12" fillId="3" borderId="20" xfId="0" applyFont="1" applyFill="1" applyBorder="1"/>
    <xf numFmtId="43" fontId="3" fillId="3" borderId="35" xfId="0" applyNumberFormat="1" applyFont="1" applyFill="1" applyBorder="1" applyAlignment="1">
      <alignment vertical="center"/>
    </xf>
    <xf numFmtId="43" fontId="18" fillId="3" borderId="35" xfId="0" applyNumberFormat="1" applyFont="1" applyFill="1" applyBorder="1" applyAlignment="1">
      <alignment vertical="center"/>
    </xf>
    <xf numFmtId="43" fontId="3" fillId="3" borderId="45" xfId="0" applyNumberFormat="1" applyFont="1" applyFill="1" applyBorder="1" applyAlignment="1">
      <alignment horizontal="center" vertical="center"/>
    </xf>
    <xf numFmtId="43" fontId="3" fillId="3" borderId="42" xfId="0" applyNumberFormat="1" applyFont="1" applyFill="1" applyBorder="1" applyAlignment="1">
      <alignment horizontal="center" vertical="center"/>
    </xf>
    <xf numFmtId="0" fontId="3" fillId="5" borderId="20" xfId="0" applyFont="1" applyFill="1" applyBorder="1"/>
    <xf numFmtId="43" fontId="3" fillId="5" borderId="20" xfId="0" applyNumberFormat="1" applyFont="1" applyFill="1" applyBorder="1"/>
    <xf numFmtId="43" fontId="3" fillId="5" borderId="20" xfId="0" applyNumberFormat="1" applyFont="1" applyFill="1" applyBorder="1" applyAlignment="1">
      <alignment vertical="center"/>
    </xf>
    <xf numFmtId="0" fontId="12" fillId="5" borderId="20" xfId="0" applyFont="1" applyFill="1" applyBorder="1"/>
    <xf numFmtId="43" fontId="12" fillId="5" borderId="20" xfId="0" applyNumberFormat="1" applyFont="1" applyFill="1" applyBorder="1"/>
    <xf numFmtId="43" fontId="12" fillId="5" borderId="20" xfId="0" applyNumberFormat="1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12" fillId="7" borderId="20" xfId="0" applyFont="1" applyFill="1" applyBorder="1"/>
    <xf numFmtId="43" fontId="12" fillId="7" borderId="20" xfId="0" applyNumberFormat="1" applyFont="1" applyFill="1" applyBorder="1"/>
    <xf numFmtId="43" fontId="12" fillId="7" borderId="20" xfId="0" applyNumberFormat="1" applyFont="1" applyFill="1" applyBorder="1" applyAlignment="1">
      <alignment vertical="center"/>
    </xf>
    <xf numFmtId="0" fontId="10" fillId="3" borderId="20" xfId="0" applyFont="1" applyFill="1" applyBorder="1"/>
    <xf numFmtId="43" fontId="10" fillId="3" borderId="20" xfId="0" applyNumberFormat="1" applyFont="1" applyFill="1" applyBorder="1"/>
    <xf numFmtId="43" fontId="10" fillId="3" borderId="20" xfId="0" applyNumberFormat="1" applyFont="1" applyFill="1" applyBorder="1" applyAlignment="1">
      <alignment vertical="center"/>
    </xf>
    <xf numFmtId="43" fontId="3" fillId="3" borderId="43" xfId="0" applyNumberFormat="1" applyFont="1" applyFill="1" applyBorder="1" applyAlignment="1">
      <alignment vertical="center"/>
    </xf>
    <xf numFmtId="43" fontId="3" fillId="3" borderId="45" xfId="0" applyNumberFormat="1" applyFont="1" applyFill="1" applyBorder="1" applyAlignment="1">
      <alignment vertical="center"/>
    </xf>
    <xf numFmtId="0" fontId="3" fillId="7" borderId="35" xfId="0" applyFont="1" applyFill="1" applyBorder="1"/>
    <xf numFmtId="43" fontId="3" fillId="7" borderId="35" xfId="0" applyNumberFormat="1" applyFont="1" applyFill="1" applyBorder="1"/>
    <xf numFmtId="43" fontId="3" fillId="7" borderId="35" xfId="0" applyNumberFormat="1" applyFont="1" applyFill="1" applyBorder="1" applyAlignment="1">
      <alignment vertical="center"/>
    </xf>
    <xf numFmtId="0" fontId="3" fillId="7" borderId="38" xfId="0" applyFont="1" applyFill="1" applyBorder="1" applyAlignment="1">
      <alignment vertical="center"/>
    </xf>
    <xf numFmtId="0" fontId="3" fillId="7" borderId="32" xfId="0" applyFont="1" applyFill="1" applyBorder="1"/>
    <xf numFmtId="43" fontId="3" fillId="7" borderId="32" xfId="0" applyNumberFormat="1" applyFont="1" applyFill="1" applyBorder="1"/>
    <xf numFmtId="43" fontId="3" fillId="7" borderId="32" xfId="0" applyNumberFormat="1" applyFont="1" applyFill="1" applyBorder="1" applyAlignment="1">
      <alignment vertical="center"/>
    </xf>
    <xf numFmtId="43" fontId="18" fillId="7" borderId="35" xfId="0" applyNumberFormat="1" applyFont="1" applyFill="1" applyBorder="1" applyAlignment="1">
      <alignment vertical="center"/>
    </xf>
    <xf numFmtId="43" fontId="3" fillId="3" borderId="46" xfId="0" applyNumberFormat="1" applyFont="1" applyFill="1" applyBorder="1" applyAlignment="1">
      <alignment horizontal="center" vertical="center"/>
    </xf>
    <xf numFmtId="43" fontId="3" fillId="3" borderId="36" xfId="0" applyNumberFormat="1" applyFont="1" applyFill="1" applyBorder="1" applyAlignment="1">
      <alignment horizontal="center" vertical="center"/>
    </xf>
    <xf numFmtId="43" fontId="12" fillId="3" borderId="43" xfId="0" applyNumberFormat="1" applyFont="1" applyFill="1" applyBorder="1" applyAlignment="1">
      <alignment vertical="center"/>
    </xf>
    <xf numFmtId="43" fontId="12" fillId="3" borderId="43" xfId="0" applyNumberFormat="1" applyFont="1" applyFill="1" applyBorder="1" applyAlignment="1">
      <alignment horizontal="center" vertical="center"/>
    </xf>
    <xf numFmtId="0" fontId="12" fillId="7" borderId="35" xfId="0" applyFont="1" applyFill="1" applyBorder="1"/>
    <xf numFmtId="43" fontId="12" fillId="7" borderId="35" xfId="0" applyNumberFormat="1" applyFont="1" applyFill="1" applyBorder="1"/>
    <xf numFmtId="43" fontId="12" fillId="7" borderId="35" xfId="0" applyNumberFormat="1" applyFont="1" applyFill="1" applyBorder="1" applyAlignment="1">
      <alignment vertical="center"/>
    </xf>
    <xf numFmtId="43" fontId="12" fillId="3" borderId="45" xfId="0" applyNumberFormat="1" applyFont="1" applyFill="1" applyBorder="1" applyAlignment="1">
      <alignment vertical="center"/>
    </xf>
    <xf numFmtId="43" fontId="12" fillId="3" borderId="45" xfId="0" applyNumberFormat="1" applyFont="1" applyFill="1" applyBorder="1" applyAlignment="1">
      <alignment horizontal="center" vertical="center"/>
    </xf>
    <xf numFmtId="0" fontId="12" fillId="3" borderId="38" xfId="0" applyFont="1" applyFill="1" applyBorder="1"/>
    <xf numFmtId="0" fontId="12" fillId="3" borderId="32" xfId="0" applyFont="1" applyFill="1" applyBorder="1"/>
    <xf numFmtId="43" fontId="12" fillId="3" borderId="32" xfId="0" applyNumberFormat="1" applyFont="1" applyFill="1" applyBorder="1"/>
    <xf numFmtId="43" fontId="12" fillId="3" borderId="32" xfId="0" applyNumberFormat="1" applyFont="1" applyFill="1" applyBorder="1" applyAlignment="1">
      <alignment horizontal="center" vertical="center"/>
    </xf>
    <xf numFmtId="43" fontId="12" fillId="3" borderId="41" xfId="0" applyNumberFormat="1" applyFont="1" applyFill="1" applyBorder="1" applyAlignment="1">
      <alignment horizontal="center" vertical="center"/>
    </xf>
    <xf numFmtId="43" fontId="12" fillId="3" borderId="42" xfId="0" applyNumberFormat="1" applyFont="1" applyFill="1" applyBorder="1" applyAlignment="1">
      <alignment horizontal="center" vertical="center"/>
    </xf>
    <xf numFmtId="0" fontId="12" fillId="3" borderId="39" xfId="0" applyFont="1" applyFill="1" applyBorder="1"/>
    <xf numFmtId="43" fontId="12" fillId="3" borderId="20" xfId="0" applyNumberFormat="1" applyFont="1" applyFill="1" applyBorder="1"/>
    <xf numFmtId="43" fontId="12" fillId="3" borderId="20" xfId="0" applyNumberFormat="1" applyFont="1" applyFill="1" applyBorder="1" applyAlignment="1">
      <alignment horizontal="center" vertical="center"/>
    </xf>
    <xf numFmtId="43" fontId="12" fillId="3" borderId="27" xfId="0" applyNumberFormat="1" applyFont="1" applyFill="1" applyBorder="1" applyAlignment="1">
      <alignment horizontal="center" vertical="center"/>
    </xf>
    <xf numFmtId="0" fontId="12" fillId="3" borderId="40" xfId="0" applyFont="1" applyFill="1" applyBorder="1"/>
    <xf numFmtId="0" fontId="12" fillId="3" borderId="35" xfId="0" applyFont="1" applyFill="1" applyBorder="1"/>
    <xf numFmtId="43" fontId="12" fillId="3" borderId="35" xfId="0" applyNumberFormat="1" applyFont="1" applyFill="1" applyBorder="1"/>
    <xf numFmtId="43" fontId="12" fillId="3" borderId="35" xfId="0" applyNumberFormat="1" applyFont="1" applyFill="1" applyBorder="1" applyAlignment="1">
      <alignment horizontal="center" vertical="center"/>
    </xf>
    <xf numFmtId="43" fontId="12" fillId="3" borderId="44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/>
    <xf numFmtId="0" fontId="3" fillId="0" borderId="46" xfId="0" applyFont="1" applyBorder="1"/>
    <xf numFmtId="0" fontId="3" fillId="0" borderId="37" xfId="0" applyFont="1" applyBorder="1"/>
    <xf numFmtId="0" fontId="0" fillId="0" borderId="26" xfId="0" applyFont="1" applyBorder="1" applyAlignment="1"/>
    <xf numFmtId="0" fontId="3" fillId="0" borderId="0" xfId="0" applyFont="1" applyBorder="1" applyAlignment="1"/>
    <xf numFmtId="0" fontId="1" fillId="2" borderId="26" xfId="0" applyFont="1" applyFill="1" applyBorder="1" applyAlignment="1">
      <alignment vertical="center" wrapText="1"/>
    </xf>
    <xf numFmtId="49" fontId="3" fillId="3" borderId="5" xfId="0" applyNumberFormat="1" applyFont="1" applyFill="1" applyBorder="1"/>
    <xf numFmtId="49" fontId="3" fillId="3" borderId="20" xfId="0" applyNumberFormat="1" applyFont="1" applyFill="1" applyBorder="1"/>
    <xf numFmtId="0" fontId="1" fillId="2" borderId="22" xfId="0" applyFont="1" applyFill="1" applyBorder="1" applyAlignment="1">
      <alignment vertical="center" wrapText="1"/>
    </xf>
    <xf numFmtId="0" fontId="19" fillId="2" borderId="26" xfId="0" applyFont="1" applyFill="1" applyBorder="1" applyAlignment="1">
      <alignment vertical="center" wrapText="1"/>
    </xf>
    <xf numFmtId="43" fontId="11" fillId="3" borderId="20" xfId="0" applyNumberFormat="1" applyFont="1" applyFill="1" applyBorder="1" applyAlignment="1">
      <alignment vertical="center"/>
    </xf>
    <xf numFmtId="43" fontId="11" fillId="7" borderId="20" xfId="0" applyNumberFormat="1" applyFont="1" applyFill="1" applyBorder="1" applyAlignment="1">
      <alignment vertical="center"/>
    </xf>
    <xf numFmtId="43" fontId="13" fillId="7" borderId="20" xfId="0" applyNumberFormat="1" applyFont="1" applyFill="1" applyBorder="1" applyAlignment="1">
      <alignment vertical="center"/>
    </xf>
    <xf numFmtId="43" fontId="13" fillId="7" borderId="35" xfId="0" applyNumberFormat="1" applyFont="1" applyFill="1" applyBorder="1" applyAlignment="1">
      <alignment vertical="center"/>
    </xf>
    <xf numFmtId="43" fontId="11" fillId="3" borderId="32" xfId="0" applyNumberFormat="1" applyFont="1" applyFill="1" applyBorder="1" applyAlignment="1">
      <alignment vertical="center"/>
    </xf>
    <xf numFmtId="0" fontId="11" fillId="3" borderId="38" xfId="0" applyFont="1" applyFill="1" applyBorder="1" applyAlignment="1">
      <alignment vertical="center"/>
    </xf>
    <xf numFmtId="0" fontId="3" fillId="0" borderId="2" xfId="0" applyFont="1" applyBorder="1"/>
    <xf numFmtId="0" fontId="1" fillId="2" borderId="20" xfId="0" applyFont="1" applyFill="1" applyBorder="1" applyAlignment="1">
      <alignment horizontal="center" vertical="center" wrapText="1"/>
    </xf>
    <xf numFmtId="44" fontId="3" fillId="3" borderId="14" xfId="1" applyFont="1" applyFill="1" applyBorder="1" applyAlignment="1">
      <alignment horizontal="center" vertical="center"/>
    </xf>
    <xf numFmtId="44" fontId="0" fillId="0" borderId="0" xfId="0" applyNumberFormat="1" applyFont="1" applyAlignment="1"/>
    <xf numFmtId="2" fontId="3" fillId="13" borderId="20" xfId="0" applyNumberFormat="1" applyFont="1" applyFill="1" applyBorder="1"/>
    <xf numFmtId="2" fontId="3" fillId="13" borderId="5" xfId="0" applyNumberFormat="1" applyFont="1" applyFill="1" applyBorder="1"/>
    <xf numFmtId="0" fontId="12" fillId="3" borderId="8" xfId="0" applyFont="1" applyFill="1" applyBorder="1"/>
    <xf numFmtId="43" fontId="12" fillId="3" borderId="8" xfId="0" applyNumberFormat="1" applyFont="1" applyFill="1" applyBorder="1"/>
    <xf numFmtId="43" fontId="12" fillId="3" borderId="8" xfId="0" applyNumberFormat="1" applyFont="1" applyFill="1" applyBorder="1" applyAlignment="1">
      <alignment horizontal="center" vertical="center"/>
    </xf>
    <xf numFmtId="43" fontId="12" fillId="3" borderId="9" xfId="0" applyNumberFormat="1" applyFont="1" applyFill="1" applyBorder="1" applyAlignment="1">
      <alignment horizontal="center" vertical="center"/>
    </xf>
    <xf numFmtId="0" fontId="20" fillId="3" borderId="20" xfId="0" applyFont="1" applyFill="1" applyBorder="1"/>
    <xf numFmtId="2" fontId="12" fillId="3" borderId="20" xfId="0" applyNumberFormat="1" applyFont="1" applyFill="1" applyBorder="1"/>
    <xf numFmtId="44" fontId="12" fillId="3" borderId="20" xfId="1" applyFont="1" applyFill="1" applyBorder="1"/>
    <xf numFmtId="44" fontId="12" fillId="3" borderId="20" xfId="1" applyFont="1" applyFill="1" applyBorder="1" applyAlignment="1">
      <alignment horizontal="center" vertical="center"/>
    </xf>
    <xf numFmtId="0" fontId="13" fillId="3" borderId="20" xfId="0" applyFont="1" applyFill="1" applyBorder="1"/>
    <xf numFmtId="0" fontId="13" fillId="13" borderId="20" xfId="0" applyFont="1" applyFill="1" applyBorder="1"/>
    <xf numFmtId="43" fontId="13" fillId="3" borderId="20" xfId="0" applyNumberFormat="1" applyFont="1" applyFill="1" applyBorder="1" applyAlignment="1">
      <alignment vertical="center"/>
    </xf>
    <xf numFmtId="43" fontId="13" fillId="3" borderId="20" xfId="0" applyNumberFormat="1" applyFont="1" applyFill="1" applyBorder="1"/>
    <xf numFmtId="43" fontId="13" fillId="3" borderId="43" xfId="0" applyNumberFormat="1" applyFont="1" applyFill="1" applyBorder="1" applyAlignment="1">
      <alignment vertical="center"/>
    </xf>
    <xf numFmtId="43" fontId="13" fillId="3" borderId="43" xfId="0" applyNumberFormat="1" applyFont="1" applyFill="1" applyBorder="1" applyAlignment="1">
      <alignment horizontal="center" vertical="center"/>
    </xf>
    <xf numFmtId="0" fontId="11" fillId="3" borderId="20" xfId="0" applyFont="1" applyFill="1" applyBorder="1"/>
    <xf numFmtId="0" fontId="11" fillId="13" borderId="20" xfId="0" applyFont="1" applyFill="1" applyBorder="1"/>
    <xf numFmtId="0" fontId="11" fillId="3" borderId="5" xfId="0" applyFont="1" applyFill="1" applyBorder="1"/>
    <xf numFmtId="0" fontId="12" fillId="13" borderId="20" xfId="0" applyFont="1" applyFill="1" applyBorder="1"/>
    <xf numFmtId="2" fontId="12" fillId="13" borderId="20" xfId="0" applyNumberFormat="1" applyFont="1" applyFill="1" applyBorder="1"/>
    <xf numFmtId="44" fontId="12" fillId="13" borderId="20" xfId="1" applyFont="1" applyFill="1" applyBorder="1"/>
    <xf numFmtId="44" fontId="12" fillId="13" borderId="20" xfId="1" applyFont="1" applyFill="1" applyBorder="1" applyAlignment="1">
      <alignment horizontal="center" vertical="center"/>
    </xf>
    <xf numFmtId="9" fontId="12" fillId="0" borderId="20" xfId="2" applyFont="1" applyFill="1" applyBorder="1" applyAlignment="1">
      <alignment horizontal="center" vertical="center"/>
    </xf>
    <xf numFmtId="0" fontId="0" fillId="0" borderId="20" xfId="0" applyFont="1" applyBorder="1" applyAlignment="1"/>
    <xf numFmtId="0" fontId="13" fillId="7" borderId="20" xfId="0" applyFont="1" applyFill="1" applyBorder="1"/>
    <xf numFmtId="0" fontId="11" fillId="7" borderId="20" xfId="0" applyFont="1" applyFill="1" applyBorder="1"/>
    <xf numFmtId="43" fontId="13" fillId="7" borderId="20" xfId="0" applyNumberFormat="1" applyFont="1" applyFill="1" applyBorder="1"/>
    <xf numFmtId="43" fontId="11" fillId="7" borderId="35" xfId="0" applyNumberFormat="1" applyFont="1" applyFill="1" applyBorder="1" applyAlignment="1">
      <alignment vertical="center"/>
    </xf>
    <xf numFmtId="43" fontId="12" fillId="3" borderId="32" xfId="0" applyNumberFormat="1" applyFont="1" applyFill="1" applyBorder="1" applyAlignment="1">
      <alignment vertical="center"/>
    </xf>
    <xf numFmtId="43" fontId="12" fillId="3" borderId="42" xfId="0" applyNumberFormat="1" applyFont="1" applyFill="1" applyBorder="1" applyAlignment="1">
      <alignment vertical="center"/>
    </xf>
    <xf numFmtId="0" fontId="11" fillId="7" borderId="38" xfId="0" applyFont="1" applyFill="1" applyBorder="1" applyAlignment="1">
      <alignment vertical="center"/>
    </xf>
    <xf numFmtId="0" fontId="11" fillId="7" borderId="32" xfId="0" applyFont="1" applyFill="1" applyBorder="1"/>
    <xf numFmtId="0" fontId="11" fillId="7" borderId="35" xfId="0" applyFont="1" applyFill="1" applyBorder="1"/>
    <xf numFmtId="0" fontId="13" fillId="3" borderId="38" xfId="0" applyFont="1" applyFill="1" applyBorder="1" applyAlignment="1">
      <alignment vertical="center"/>
    </xf>
    <xf numFmtId="0" fontId="13" fillId="3" borderId="32" xfId="0" applyFont="1" applyFill="1" applyBorder="1"/>
    <xf numFmtId="0" fontId="7" fillId="0" borderId="37" xfId="0" applyFont="1" applyBorder="1" applyAlignment="1"/>
    <xf numFmtId="0" fontId="12" fillId="4" borderId="5" xfId="0" applyFont="1" applyFill="1" applyBorder="1"/>
    <xf numFmtId="0" fontId="12" fillId="5" borderId="5" xfId="0" applyFont="1" applyFill="1" applyBorder="1"/>
    <xf numFmtId="43" fontId="12" fillId="4" borderId="5" xfId="0" applyNumberFormat="1" applyFont="1" applyFill="1" applyBorder="1"/>
    <xf numFmtId="43" fontId="12" fillId="4" borderId="5" xfId="0" applyNumberFormat="1" applyFont="1" applyFill="1" applyBorder="1" applyAlignment="1">
      <alignment horizontal="center" vertical="center"/>
    </xf>
    <xf numFmtId="43" fontId="12" fillId="4" borderId="6" xfId="0" applyNumberFormat="1" applyFont="1" applyFill="1" applyBorder="1" applyAlignment="1">
      <alignment horizontal="center" vertical="center"/>
    </xf>
    <xf numFmtId="43" fontId="12" fillId="4" borderId="8" xfId="0" applyNumberFormat="1" applyFont="1" applyFill="1" applyBorder="1"/>
    <xf numFmtId="43" fontId="12" fillId="4" borderId="8" xfId="0" applyNumberFormat="1" applyFont="1" applyFill="1" applyBorder="1" applyAlignment="1">
      <alignment horizontal="center" vertical="center"/>
    </xf>
    <xf numFmtId="43" fontId="12" fillId="4" borderId="9" xfId="0" applyNumberFormat="1" applyFont="1" applyFill="1" applyBorder="1" applyAlignment="1">
      <alignment horizontal="center" vertical="center"/>
    </xf>
    <xf numFmtId="43" fontId="3" fillId="3" borderId="14" xfId="0" applyNumberFormat="1" applyFont="1" applyFill="1" applyBorder="1" applyAlignment="1">
      <alignment horizontal="center" vertical="center"/>
    </xf>
    <xf numFmtId="43" fontId="3" fillId="3" borderId="20" xfId="0" applyNumberFormat="1" applyFont="1" applyFill="1" applyBorder="1" applyAlignment="1">
      <alignment horizontal="center" vertical="center"/>
    </xf>
    <xf numFmtId="43" fontId="3" fillId="3" borderId="14" xfId="0" applyNumberFormat="1" applyFont="1" applyFill="1" applyBorder="1" applyAlignment="1">
      <alignment horizontal="center" vertical="center"/>
    </xf>
    <xf numFmtId="43" fontId="3" fillId="4" borderId="20" xfId="0" applyNumberFormat="1" applyFont="1" applyFill="1" applyBorder="1" applyAlignment="1">
      <alignment horizontal="center" vertical="center"/>
    </xf>
    <xf numFmtId="0" fontId="12" fillId="3" borderId="5" xfId="0" applyFont="1" applyFill="1" applyBorder="1"/>
    <xf numFmtId="43" fontId="12" fillId="3" borderId="5" xfId="0" applyNumberFormat="1" applyFont="1" applyFill="1" applyBorder="1" applyAlignment="1">
      <alignment horizontal="center" vertical="center"/>
    </xf>
    <xf numFmtId="0" fontId="21" fillId="0" borderId="36" xfId="0" applyFont="1" applyBorder="1" applyAlignment="1"/>
    <xf numFmtId="43" fontId="3" fillId="3" borderId="20" xfId="0" applyNumberFormat="1" applyFont="1" applyFill="1" applyBorder="1" applyAlignment="1">
      <alignment horizontal="center" vertical="center"/>
    </xf>
    <xf numFmtId="43" fontId="3" fillId="3" borderId="20" xfId="0" applyNumberFormat="1" applyFont="1" applyFill="1" applyBorder="1" applyAlignment="1">
      <alignment horizontal="center" vertical="center"/>
    </xf>
    <xf numFmtId="43" fontId="3" fillId="3" borderId="14" xfId="0" applyNumberFormat="1" applyFont="1" applyFill="1" applyBorder="1" applyAlignment="1">
      <alignment horizontal="center" vertical="center"/>
    </xf>
    <xf numFmtId="43" fontId="7" fillId="3" borderId="5" xfId="0" applyNumberFormat="1" applyFont="1" applyFill="1" applyBorder="1"/>
    <xf numFmtId="43" fontId="7" fillId="3" borderId="5" xfId="0" applyNumberFormat="1" applyFont="1" applyFill="1" applyBorder="1" applyAlignment="1">
      <alignment horizontal="center" vertical="center"/>
    </xf>
    <xf numFmtId="43" fontId="12" fillId="3" borderId="5" xfId="0" applyNumberFormat="1" applyFont="1" applyFill="1" applyBorder="1"/>
    <xf numFmtId="43" fontId="13" fillId="4" borderId="8" xfId="0" applyNumberFormat="1" applyFont="1" applyFill="1" applyBorder="1" applyAlignment="1">
      <alignment horizontal="center" vertical="center"/>
    </xf>
    <xf numFmtId="12" fontId="0" fillId="0" borderId="0" xfId="1" applyNumberFormat="1" applyFont="1" applyAlignment="1"/>
    <xf numFmtId="43" fontId="3" fillId="3" borderId="20" xfId="0" applyNumberFormat="1" applyFont="1" applyFill="1" applyBorder="1" applyAlignment="1">
      <alignment horizontal="center" vertical="center"/>
    </xf>
    <xf numFmtId="43" fontId="3" fillId="3" borderId="14" xfId="0" applyNumberFormat="1" applyFont="1" applyFill="1" applyBorder="1" applyAlignment="1">
      <alignment horizontal="center" vertical="center"/>
    </xf>
    <xf numFmtId="0" fontId="15" fillId="12" borderId="31" xfId="0" applyFont="1" applyFill="1" applyBorder="1" applyAlignment="1">
      <alignment horizontal="center" vertical="center" wrapText="1"/>
    </xf>
    <xf numFmtId="0" fontId="15" fillId="1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2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12" borderId="32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12" borderId="38" xfId="0" applyFont="1" applyFill="1" applyBorder="1" applyAlignment="1">
      <alignment horizontal="center" vertical="center" wrapText="1"/>
    </xf>
    <xf numFmtId="0" fontId="1" fillId="12" borderId="39" xfId="0" applyFont="1" applyFill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 wrapText="1"/>
    </xf>
    <xf numFmtId="0" fontId="1" fillId="12" borderId="3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5" fillId="12" borderId="22" xfId="0" applyFont="1" applyFill="1" applyBorder="1" applyAlignment="1">
      <alignment horizontal="center" vertical="center" wrapText="1"/>
    </xf>
    <xf numFmtId="0" fontId="1" fillId="12" borderId="2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43" fontId="3" fillId="10" borderId="20" xfId="0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43" fontId="3" fillId="4" borderId="20" xfId="0" applyNumberFormat="1" applyFont="1" applyFill="1" applyBorder="1" applyAlignment="1">
      <alignment horizontal="center" vertical="center"/>
    </xf>
    <xf numFmtId="0" fontId="2" fillId="0" borderId="16" xfId="0" applyFont="1" applyBorder="1"/>
    <xf numFmtId="43" fontId="3" fillId="4" borderId="21" xfId="0" applyNumberFormat="1" applyFont="1" applyFill="1" applyBorder="1" applyAlignment="1">
      <alignment horizontal="center" vertical="center"/>
    </xf>
    <xf numFmtId="43" fontId="3" fillId="4" borderId="27" xfId="0" applyNumberFormat="1" applyFont="1" applyFill="1" applyBorder="1" applyAlignment="1">
      <alignment horizontal="center" vertical="center"/>
    </xf>
    <xf numFmtId="0" fontId="2" fillId="0" borderId="17" xfId="0" applyFont="1" applyBorder="1"/>
    <xf numFmtId="0" fontId="9" fillId="2" borderId="14" xfId="0" applyFont="1" applyFill="1" applyBorder="1" applyAlignment="1">
      <alignment horizontal="center" vertical="center" wrapText="1"/>
    </xf>
    <xf numFmtId="0" fontId="2" fillId="0" borderId="20" xfId="0" applyFont="1" applyBorder="1"/>
    <xf numFmtId="43" fontId="3" fillId="3" borderId="20" xfId="0" applyNumberFormat="1" applyFont="1" applyFill="1" applyBorder="1" applyAlignment="1">
      <alignment horizontal="center" vertical="center"/>
    </xf>
    <xf numFmtId="43" fontId="3" fillId="3" borderId="14" xfId="0" applyNumberFormat="1" applyFont="1" applyFill="1" applyBorder="1" applyAlignment="1">
      <alignment horizontal="center" vertical="center"/>
    </xf>
    <xf numFmtId="43" fontId="3" fillId="3" borderId="15" xfId="0" applyNumberFormat="1" applyFont="1" applyFill="1" applyBorder="1" applyAlignment="1">
      <alignment horizontal="center" vertical="center"/>
    </xf>
    <xf numFmtId="0" fontId="2" fillId="0" borderId="27" xfId="0" applyFont="1" applyBorder="1"/>
    <xf numFmtId="43" fontId="3" fillId="3" borderId="21" xfId="0" applyNumberFormat="1" applyFont="1" applyFill="1" applyBorder="1" applyAlignment="1">
      <alignment horizontal="center" vertical="center"/>
    </xf>
    <xf numFmtId="43" fontId="3" fillId="3" borderId="27" xfId="0" applyNumberFormat="1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 wrapText="1"/>
    </xf>
    <xf numFmtId="0" fontId="1" fillId="15" borderId="26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19" xfId="0" applyFont="1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4" xfId="0" applyFont="1" applyBorder="1"/>
    <xf numFmtId="43" fontId="3" fillId="4" borderId="11" xfId="0" applyNumberFormat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183"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none"/>
        <color theme="9" tint="-0.24994659260841701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  <color theme="9" tint="-0.24994659260841701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9"/>
          <bgColor theme="9"/>
        </patternFill>
      </fill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3CE5EC-44B6-46E7-B7BA-26F58227F231}" name="Tabla1" displayName="Tabla1" ref="A3:E364" totalsRowShown="0" headerRowDxfId="182" tableBorderDxfId="181">
  <autoFilter ref="A3:E364" xr:uid="{67E3FD68-0E52-4915-B0E1-7ECE4B4A576F}">
    <filterColumn colId="2">
      <filters>
        <filter val="Material"/>
        <filter val="Material Procesado"/>
        <filter val="Mineral"/>
      </filters>
    </filterColumn>
  </autoFilter>
  <sortState xmlns:xlrd2="http://schemas.microsoft.com/office/spreadsheetml/2017/richdata2" ref="A209:E364">
    <sortCondition ref="A3:A364"/>
  </sortState>
  <tableColumns count="5">
    <tableColumn id="1" xr3:uid="{AE70DAA1-5514-41C7-A14D-D40B4E0AF870}" name="Materiales"/>
    <tableColumn id="2" xr3:uid="{914765F4-0806-4ABD-9D6A-3E83A3A406FD}" name="Costo promedio de mercado" dataDxfId="180"/>
    <tableColumn id="3" xr3:uid="{CA863B69-122D-43EF-8E80-417EE267170A}" name="Tipo" dataDxfId="179"/>
    <tableColumn id="4" xr3:uid="{7D744F16-BD3C-45EF-B866-B7C1162550BA}" name="Detalles"/>
    <tableColumn id="6" xr3:uid="{F4410EDB-E8A6-43F3-8B80-91A59C01E0F2}" name="Costo de merc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47352"/>
  <sheetViews>
    <sheetView tabSelected="1" workbookViewId="0">
      <pane ySplit="3" topLeftCell="A38" activePane="bottomLeft" state="frozen"/>
      <selection pane="bottomLeft" activeCell="D3" sqref="D3"/>
    </sheetView>
  </sheetViews>
  <sheetFormatPr baseColWidth="10" defaultColWidth="12.625" defaultRowHeight="15" customHeight="1" x14ac:dyDescent="0.2"/>
  <cols>
    <col min="1" max="1" width="48.125" bestFit="1" customWidth="1"/>
    <col min="2" max="2" width="25.625" bestFit="1" customWidth="1"/>
    <col min="3" max="3" width="17.875" bestFit="1" customWidth="1"/>
    <col min="4" max="4" width="42.125" bestFit="1" customWidth="1"/>
    <col min="5" max="5" width="16.75" customWidth="1"/>
    <col min="6" max="27" width="7.625" customWidth="1"/>
  </cols>
  <sheetData>
    <row r="1" spans="1:5" ht="14.25" customHeight="1" x14ac:dyDescent="0.2"/>
    <row r="2" spans="1:5" ht="14.25" customHeight="1" x14ac:dyDescent="0.2"/>
    <row r="3" spans="1:5" ht="14.25" customHeight="1" x14ac:dyDescent="0.25">
      <c r="A3" s="117" t="s">
        <v>3</v>
      </c>
      <c r="B3" s="118" t="s">
        <v>252</v>
      </c>
      <c r="C3" s="118" t="s">
        <v>310</v>
      </c>
      <c r="D3" s="118" t="s">
        <v>328</v>
      </c>
      <c r="E3" s="119" t="s">
        <v>253</v>
      </c>
    </row>
    <row r="4" spans="1:5" ht="14.25" hidden="1" customHeight="1" x14ac:dyDescent="0.25">
      <c r="A4" s="88" t="s">
        <v>45</v>
      </c>
      <c r="B4" s="50">
        <v>66000</v>
      </c>
      <c r="C4" s="50" t="s">
        <v>315</v>
      </c>
      <c r="D4" s="44"/>
      <c r="E4" s="45"/>
    </row>
    <row r="5" spans="1:5" ht="14.25" hidden="1" customHeight="1" x14ac:dyDescent="0.25">
      <c r="A5" s="88" t="s">
        <v>33</v>
      </c>
      <c r="B5" s="50">
        <v>129000</v>
      </c>
      <c r="C5" s="50" t="s">
        <v>315</v>
      </c>
      <c r="D5" s="44"/>
      <c r="E5" s="45"/>
    </row>
    <row r="6" spans="1:5" ht="14.25" hidden="1" customHeight="1" x14ac:dyDescent="0.25">
      <c r="A6" s="88" t="s">
        <v>37</v>
      </c>
      <c r="B6" s="50">
        <v>85000</v>
      </c>
      <c r="C6" s="50" t="s">
        <v>315</v>
      </c>
      <c r="D6" s="44"/>
      <c r="E6" s="45"/>
    </row>
    <row r="7" spans="1:5" ht="14.25" hidden="1" customHeight="1" x14ac:dyDescent="0.25">
      <c r="A7" s="88" t="s">
        <v>47</v>
      </c>
      <c r="B7" s="50">
        <v>123000</v>
      </c>
      <c r="C7" s="50" t="s">
        <v>315</v>
      </c>
      <c r="D7" s="44"/>
      <c r="E7" s="45"/>
    </row>
    <row r="8" spans="1:5" ht="14.25" hidden="1" customHeight="1" x14ac:dyDescent="0.25">
      <c r="A8" s="88" t="s">
        <v>42</v>
      </c>
      <c r="B8" s="50">
        <v>121000</v>
      </c>
      <c r="C8" s="50" t="s">
        <v>315</v>
      </c>
      <c r="D8" s="44"/>
      <c r="E8" s="45"/>
    </row>
    <row r="9" spans="1:5" ht="14.25" hidden="1" customHeight="1" x14ac:dyDescent="0.25">
      <c r="A9" s="88" t="s">
        <v>440</v>
      </c>
      <c r="B9" s="50">
        <v>2000</v>
      </c>
      <c r="C9" s="50" t="s">
        <v>319</v>
      </c>
      <c r="E9" s="89"/>
    </row>
    <row r="10" spans="1:5" ht="14.25" hidden="1" customHeight="1" x14ac:dyDescent="0.25">
      <c r="A10" s="88" t="s">
        <v>251</v>
      </c>
      <c r="B10" s="50">
        <v>55000</v>
      </c>
      <c r="C10" s="50" t="s">
        <v>319</v>
      </c>
      <c r="D10" s="46"/>
      <c r="E10" s="89"/>
    </row>
    <row r="11" spans="1:5" ht="14.25" customHeight="1" x14ac:dyDescent="0.25">
      <c r="A11" s="88" t="s">
        <v>72</v>
      </c>
      <c r="B11" s="50">
        <v>5000</v>
      </c>
      <c r="C11" s="50" t="s">
        <v>311</v>
      </c>
      <c r="D11" s="44"/>
      <c r="E11" s="45"/>
    </row>
    <row r="12" spans="1:5" ht="14.25" customHeight="1" x14ac:dyDescent="0.25">
      <c r="A12" s="88" t="s">
        <v>431</v>
      </c>
      <c r="B12" s="50">
        <v>2200</v>
      </c>
      <c r="C12" s="50" t="s">
        <v>312</v>
      </c>
      <c r="E12" s="89"/>
    </row>
    <row r="13" spans="1:5" ht="14.25" hidden="1" customHeight="1" x14ac:dyDescent="0.25">
      <c r="A13" s="88" t="s">
        <v>182</v>
      </c>
      <c r="B13" s="50">
        <v>400000</v>
      </c>
      <c r="C13" s="50" t="s">
        <v>317</v>
      </c>
      <c r="D13" s="46"/>
      <c r="E13" s="89"/>
    </row>
    <row r="14" spans="1:5" ht="14.25" hidden="1" customHeight="1" x14ac:dyDescent="0.25">
      <c r="A14" s="88" t="s">
        <v>184</v>
      </c>
      <c r="B14" s="50">
        <v>800000</v>
      </c>
      <c r="C14" s="50" t="s">
        <v>317</v>
      </c>
      <c r="D14" s="46"/>
      <c r="E14" s="89"/>
    </row>
    <row r="15" spans="1:5" ht="14.25" hidden="1" customHeight="1" x14ac:dyDescent="0.25">
      <c r="A15" s="88" t="s">
        <v>183</v>
      </c>
      <c r="B15" s="50">
        <v>550000</v>
      </c>
      <c r="C15" s="50" t="s">
        <v>317</v>
      </c>
      <c r="D15" s="46"/>
      <c r="E15" s="89"/>
    </row>
    <row r="16" spans="1:5" ht="14.25" hidden="1" customHeight="1" x14ac:dyDescent="0.25">
      <c r="A16" s="88" t="s">
        <v>569</v>
      </c>
      <c r="B16" s="50">
        <v>200000</v>
      </c>
      <c r="C16" s="50" t="s">
        <v>317</v>
      </c>
      <c r="D16" s="46"/>
      <c r="E16" s="259"/>
    </row>
    <row r="17" spans="1:5" ht="14.25" hidden="1" customHeight="1" x14ac:dyDescent="0.25">
      <c r="A17" s="88" t="s">
        <v>568</v>
      </c>
      <c r="B17" s="50">
        <v>130000</v>
      </c>
      <c r="C17" s="50" t="s">
        <v>317</v>
      </c>
      <c r="D17" s="46"/>
      <c r="E17" s="105"/>
    </row>
    <row r="18" spans="1:5" ht="14.25" hidden="1" customHeight="1" x14ac:dyDescent="0.25">
      <c r="A18" s="88" t="s">
        <v>181</v>
      </c>
      <c r="B18" s="50">
        <v>300000</v>
      </c>
      <c r="C18" s="50" t="s">
        <v>317</v>
      </c>
      <c r="D18" s="46"/>
      <c r="E18" s="89"/>
    </row>
    <row r="19" spans="1:5" ht="14.25" hidden="1" customHeight="1" x14ac:dyDescent="0.25">
      <c r="A19" s="88" t="s">
        <v>294</v>
      </c>
      <c r="B19" s="50">
        <v>247000000</v>
      </c>
      <c r="C19" s="50" t="s">
        <v>318</v>
      </c>
      <c r="E19" s="89"/>
    </row>
    <row r="20" spans="1:5" ht="14.25" hidden="1" customHeight="1" x14ac:dyDescent="0.25">
      <c r="A20" s="88" t="s">
        <v>298</v>
      </c>
      <c r="B20" s="50">
        <v>243000000</v>
      </c>
      <c r="C20" s="50" t="s">
        <v>318</v>
      </c>
      <c r="E20" s="89"/>
    </row>
    <row r="21" spans="1:5" ht="14.25" hidden="1" customHeight="1" x14ac:dyDescent="0.25">
      <c r="A21" s="88" t="s">
        <v>445</v>
      </c>
      <c r="B21" s="50">
        <v>1170</v>
      </c>
      <c r="C21" s="50" t="s">
        <v>319</v>
      </c>
      <c r="E21" s="89"/>
    </row>
    <row r="22" spans="1:5" ht="14.25" hidden="1" customHeight="1" x14ac:dyDescent="0.25">
      <c r="A22" s="88" t="s">
        <v>196</v>
      </c>
      <c r="B22" s="50">
        <v>5500</v>
      </c>
      <c r="C22" s="50" t="s">
        <v>319</v>
      </c>
      <c r="D22" s="46"/>
      <c r="E22" s="89"/>
    </row>
    <row r="23" spans="1:5" ht="14.25" hidden="1" customHeight="1" x14ac:dyDescent="0.25">
      <c r="A23" s="88" t="s">
        <v>220</v>
      </c>
      <c r="B23" s="50">
        <v>17500</v>
      </c>
      <c r="C23" s="50" t="s">
        <v>319</v>
      </c>
      <c r="D23" s="46"/>
      <c r="E23" s="89"/>
    </row>
    <row r="24" spans="1:5" ht="14.25" customHeight="1" x14ac:dyDescent="0.25">
      <c r="A24" s="88" t="s">
        <v>64</v>
      </c>
      <c r="B24" s="50">
        <v>217</v>
      </c>
      <c r="C24" s="50" t="s">
        <v>312</v>
      </c>
      <c r="D24" s="44"/>
      <c r="E24" s="45"/>
    </row>
    <row r="25" spans="1:5" ht="14.25" hidden="1" customHeight="1" x14ac:dyDescent="0.25">
      <c r="A25" s="88" t="s">
        <v>219</v>
      </c>
      <c r="B25" s="50">
        <v>17200</v>
      </c>
      <c r="C25" s="50" t="s">
        <v>319</v>
      </c>
      <c r="D25" s="46"/>
      <c r="E25" s="89"/>
    </row>
    <row r="26" spans="1:5" ht="14.25" hidden="1" customHeight="1" x14ac:dyDescent="0.25">
      <c r="A26" s="88" t="s">
        <v>326</v>
      </c>
      <c r="B26" s="50">
        <v>30700</v>
      </c>
      <c r="C26" s="50" t="s">
        <v>319</v>
      </c>
      <c r="D26" s="46"/>
      <c r="E26" s="89"/>
    </row>
    <row r="27" spans="1:5" ht="14.25" hidden="1" customHeight="1" x14ac:dyDescent="0.25">
      <c r="A27" s="88" t="s">
        <v>222</v>
      </c>
      <c r="B27" s="50">
        <v>25900</v>
      </c>
      <c r="C27" s="50" t="s">
        <v>319</v>
      </c>
      <c r="D27" s="46"/>
      <c r="E27" s="89"/>
    </row>
    <row r="28" spans="1:5" ht="14.25" hidden="1" customHeight="1" x14ac:dyDescent="0.25">
      <c r="A28" s="88" t="s">
        <v>214</v>
      </c>
      <c r="B28" s="50">
        <v>16000</v>
      </c>
      <c r="C28" s="50" t="s">
        <v>319</v>
      </c>
      <c r="D28" s="46"/>
      <c r="E28" s="89"/>
    </row>
    <row r="29" spans="1:5" ht="14.25" customHeight="1" x14ac:dyDescent="0.25">
      <c r="A29" s="88" t="s">
        <v>434</v>
      </c>
      <c r="B29" s="50">
        <v>6250</v>
      </c>
      <c r="C29" s="50" t="s">
        <v>312</v>
      </c>
      <c r="E29" s="89"/>
    </row>
    <row r="30" spans="1:5" ht="14.25" hidden="1" customHeight="1" x14ac:dyDescent="0.25">
      <c r="A30" s="88" t="s">
        <v>225</v>
      </c>
      <c r="B30" s="50">
        <v>18600</v>
      </c>
      <c r="C30" s="50" t="s">
        <v>319</v>
      </c>
      <c r="D30" s="46"/>
      <c r="E30" s="89"/>
    </row>
    <row r="31" spans="1:5" ht="14.25" customHeight="1" x14ac:dyDescent="0.25">
      <c r="A31" s="88" t="s">
        <v>34</v>
      </c>
      <c r="B31" s="50">
        <v>20200</v>
      </c>
      <c r="C31" s="50" t="s">
        <v>312</v>
      </c>
      <c r="D31" s="44"/>
      <c r="E31" s="45"/>
    </row>
    <row r="32" spans="1:5" ht="14.25" customHeight="1" x14ac:dyDescent="0.25">
      <c r="A32" s="88" t="s">
        <v>442</v>
      </c>
      <c r="B32" s="50">
        <v>1210</v>
      </c>
      <c r="C32" s="50" t="s">
        <v>312</v>
      </c>
      <c r="E32" s="89"/>
    </row>
    <row r="33" spans="1:5" ht="14.25" customHeight="1" x14ac:dyDescent="0.25">
      <c r="A33" s="88" t="s">
        <v>333</v>
      </c>
      <c r="B33" s="50">
        <v>1200</v>
      </c>
      <c r="C33" s="50" t="s">
        <v>312</v>
      </c>
      <c r="E33" s="89"/>
    </row>
    <row r="34" spans="1:5" ht="14.25" customHeight="1" x14ac:dyDescent="0.25">
      <c r="A34" s="88" t="s">
        <v>169</v>
      </c>
      <c r="B34" s="50">
        <v>2740</v>
      </c>
      <c r="C34" s="50" t="s">
        <v>311</v>
      </c>
      <c r="D34" s="46"/>
      <c r="E34" s="45"/>
    </row>
    <row r="35" spans="1:5" ht="14.25" customHeight="1" x14ac:dyDescent="0.25">
      <c r="A35" s="88" t="s">
        <v>320</v>
      </c>
      <c r="B35" s="50">
        <v>2500</v>
      </c>
      <c r="C35" s="50" t="s">
        <v>312</v>
      </c>
      <c r="E35" s="89"/>
    </row>
    <row r="36" spans="1:5" ht="14.25" hidden="1" customHeight="1" x14ac:dyDescent="0.25">
      <c r="A36" s="88" t="s">
        <v>191</v>
      </c>
      <c r="B36" s="50">
        <v>9500</v>
      </c>
      <c r="C36" s="50" t="s">
        <v>319</v>
      </c>
      <c r="D36" s="46"/>
      <c r="E36" s="89"/>
    </row>
    <row r="37" spans="1:5" ht="14.25" customHeight="1" x14ac:dyDescent="0.25">
      <c r="A37" s="88" t="s">
        <v>437</v>
      </c>
      <c r="B37" s="50">
        <v>8800</v>
      </c>
      <c r="C37" s="50" t="s">
        <v>312</v>
      </c>
      <c r="E37" s="89"/>
    </row>
    <row r="38" spans="1:5" ht="14.25" customHeight="1" x14ac:dyDescent="0.25">
      <c r="A38" s="88" t="s">
        <v>446</v>
      </c>
      <c r="B38" s="50">
        <v>2620</v>
      </c>
      <c r="C38" s="50" t="s">
        <v>312</v>
      </c>
      <c r="E38" s="89"/>
    </row>
    <row r="39" spans="1:5" ht="14.25" hidden="1" customHeight="1" x14ac:dyDescent="0.25">
      <c r="A39" s="88" t="s">
        <v>227</v>
      </c>
      <c r="B39" s="50">
        <v>25100</v>
      </c>
      <c r="C39" s="50" t="s">
        <v>319</v>
      </c>
      <c r="D39" s="46"/>
      <c r="E39" s="89"/>
    </row>
    <row r="40" spans="1:5" ht="14.25" hidden="1" customHeight="1" x14ac:dyDescent="0.25">
      <c r="A40" s="88" t="s">
        <v>208</v>
      </c>
      <c r="B40" s="50">
        <v>25000</v>
      </c>
      <c r="C40" s="50" t="s">
        <v>319</v>
      </c>
      <c r="D40" s="46"/>
      <c r="E40" s="89"/>
    </row>
    <row r="41" spans="1:5" ht="14.25" hidden="1" customHeight="1" x14ac:dyDescent="0.25">
      <c r="A41" s="88" t="s">
        <v>297</v>
      </c>
      <c r="B41" s="50">
        <v>238000000</v>
      </c>
      <c r="C41" s="50" t="s">
        <v>318</v>
      </c>
      <c r="E41" s="89"/>
    </row>
    <row r="42" spans="1:5" ht="14.25" hidden="1" customHeight="1" x14ac:dyDescent="0.25">
      <c r="A42" s="88" t="s">
        <v>204</v>
      </c>
      <c r="B42" s="50">
        <v>400000</v>
      </c>
      <c r="C42" s="50" t="s">
        <v>317</v>
      </c>
      <c r="D42" s="46"/>
      <c r="E42" s="89"/>
    </row>
    <row r="43" spans="1:5" ht="14.25" hidden="1" customHeight="1" x14ac:dyDescent="0.25">
      <c r="A43" s="88" t="s">
        <v>238</v>
      </c>
      <c r="B43" s="50">
        <v>800000</v>
      </c>
      <c r="C43" s="50" t="s">
        <v>317</v>
      </c>
      <c r="D43" s="46"/>
      <c r="E43" s="89"/>
    </row>
    <row r="44" spans="1:5" ht="14.25" hidden="1" customHeight="1" x14ac:dyDescent="0.25">
      <c r="A44" s="88" t="s">
        <v>221</v>
      </c>
      <c r="B44" s="50">
        <v>550000</v>
      </c>
      <c r="C44" s="50" t="s">
        <v>317</v>
      </c>
      <c r="D44" s="46"/>
      <c r="E44" s="89"/>
    </row>
    <row r="45" spans="1:5" ht="14.25" hidden="1" customHeight="1" x14ac:dyDescent="0.25">
      <c r="A45" s="88" t="s">
        <v>187</v>
      </c>
      <c r="B45" s="50">
        <v>300000</v>
      </c>
      <c r="C45" s="50" t="s">
        <v>317</v>
      </c>
      <c r="D45" s="46"/>
      <c r="E45" s="89"/>
    </row>
    <row r="46" spans="1:5" ht="14.25" hidden="1" customHeight="1" x14ac:dyDescent="0.25">
      <c r="A46" s="88" t="s">
        <v>205</v>
      </c>
      <c r="B46" s="50">
        <v>5850</v>
      </c>
      <c r="C46" s="50" t="s">
        <v>319</v>
      </c>
      <c r="D46" s="46"/>
      <c r="E46" s="89"/>
    </row>
    <row r="47" spans="1:5" ht="14.25" hidden="1" customHeight="1" x14ac:dyDescent="0.25">
      <c r="A47" s="88" t="s">
        <v>296</v>
      </c>
      <c r="B47" s="50">
        <v>241000000</v>
      </c>
      <c r="C47" s="50" t="s">
        <v>318</v>
      </c>
      <c r="E47" s="89"/>
    </row>
    <row r="48" spans="1:5" ht="14.25" customHeight="1" x14ac:dyDescent="0.25">
      <c r="A48" s="88" t="s">
        <v>39</v>
      </c>
      <c r="B48" s="50">
        <v>22500</v>
      </c>
      <c r="C48" s="50" t="s">
        <v>312</v>
      </c>
      <c r="D48" s="46"/>
      <c r="E48" s="45"/>
    </row>
    <row r="49" spans="1:5" ht="14.25" hidden="1" customHeight="1" x14ac:dyDescent="0.25">
      <c r="A49" s="88" t="s">
        <v>197</v>
      </c>
      <c r="B49" s="50">
        <v>28700</v>
      </c>
      <c r="C49" s="50" t="s">
        <v>319</v>
      </c>
      <c r="D49" s="46"/>
      <c r="E49" s="89"/>
    </row>
    <row r="50" spans="1:5" ht="14.25" customHeight="1" x14ac:dyDescent="0.25">
      <c r="A50" s="88" t="s">
        <v>452</v>
      </c>
      <c r="B50" s="50">
        <v>2300</v>
      </c>
      <c r="C50" s="50" t="s">
        <v>312</v>
      </c>
      <c r="E50" s="89"/>
    </row>
    <row r="51" spans="1:5" ht="14.25" hidden="1" customHeight="1" x14ac:dyDescent="0.25">
      <c r="A51" s="218" t="s">
        <v>554</v>
      </c>
      <c r="B51" s="50">
        <v>50000</v>
      </c>
      <c r="C51" s="50"/>
      <c r="E51" s="89"/>
    </row>
    <row r="52" spans="1:5" ht="14.25" customHeight="1" x14ac:dyDescent="0.25">
      <c r="A52" s="88" t="s">
        <v>293</v>
      </c>
      <c r="B52" s="50">
        <v>330000</v>
      </c>
      <c r="C52" s="50" t="s">
        <v>311</v>
      </c>
      <c r="D52" s="55"/>
      <c r="E52" s="89"/>
    </row>
    <row r="53" spans="1:5" ht="14.25" hidden="1" customHeight="1" x14ac:dyDescent="0.25">
      <c r="A53" s="88" t="s">
        <v>269</v>
      </c>
      <c r="B53" s="50">
        <v>10000000</v>
      </c>
      <c r="C53" s="50" t="s">
        <v>313</v>
      </c>
      <c r="D53" s="50"/>
      <c r="E53" s="89"/>
    </row>
    <row r="54" spans="1:5" ht="14.25" hidden="1" customHeight="1" x14ac:dyDescent="0.25">
      <c r="A54" s="88" t="s">
        <v>114</v>
      </c>
      <c r="B54" s="50">
        <v>34000</v>
      </c>
      <c r="C54" s="50" t="s">
        <v>313</v>
      </c>
      <c r="D54" s="46"/>
      <c r="E54" s="45"/>
    </row>
    <row r="55" spans="1:5" ht="14.25" hidden="1" customHeight="1" x14ac:dyDescent="0.25">
      <c r="A55" s="88" t="s">
        <v>285</v>
      </c>
      <c r="B55" s="50">
        <v>23700</v>
      </c>
      <c r="C55" s="50" t="s">
        <v>313</v>
      </c>
      <c r="D55" s="50"/>
      <c r="E55" s="89"/>
    </row>
    <row r="56" spans="1:5" ht="14.25" hidden="1" customHeight="1" x14ac:dyDescent="0.25">
      <c r="A56" s="88" t="s">
        <v>287</v>
      </c>
      <c r="B56" s="50">
        <v>18200</v>
      </c>
      <c r="C56" s="50" t="s">
        <v>313</v>
      </c>
      <c r="D56" s="50"/>
      <c r="E56" s="89"/>
    </row>
    <row r="57" spans="1:5" ht="14.25" hidden="1" customHeight="1" x14ac:dyDescent="0.25">
      <c r="A57" s="88" t="s">
        <v>277</v>
      </c>
      <c r="B57" s="50">
        <v>550000</v>
      </c>
      <c r="C57" s="50" t="s">
        <v>313</v>
      </c>
      <c r="D57" s="50"/>
      <c r="E57" s="89"/>
    </row>
    <row r="58" spans="1:5" ht="14.25" hidden="1" customHeight="1" x14ac:dyDescent="0.25">
      <c r="A58" s="88" t="s">
        <v>279</v>
      </c>
      <c r="B58" s="50">
        <v>540000</v>
      </c>
      <c r="C58" s="50" t="s">
        <v>313</v>
      </c>
      <c r="D58" s="50"/>
      <c r="E58" s="89"/>
    </row>
    <row r="59" spans="1:5" ht="14.25" hidden="1" customHeight="1" x14ac:dyDescent="0.25">
      <c r="A59" s="88" t="s">
        <v>278</v>
      </c>
      <c r="B59" s="50">
        <v>545000</v>
      </c>
      <c r="C59" s="50" t="s">
        <v>313</v>
      </c>
      <c r="D59" s="50"/>
      <c r="E59" s="89"/>
    </row>
    <row r="60" spans="1:5" ht="14.25" hidden="1" customHeight="1" x14ac:dyDescent="0.25">
      <c r="A60" s="88" t="s">
        <v>272</v>
      </c>
      <c r="B60" s="50">
        <v>965000</v>
      </c>
      <c r="C60" s="50" t="s">
        <v>313</v>
      </c>
      <c r="D60" s="50"/>
      <c r="E60" s="89"/>
    </row>
    <row r="61" spans="1:5" ht="14.25" hidden="1" customHeight="1" x14ac:dyDescent="0.25">
      <c r="A61" s="88" t="s">
        <v>276</v>
      </c>
      <c r="B61" s="50">
        <v>550000</v>
      </c>
      <c r="C61" s="50" t="s">
        <v>313</v>
      </c>
      <c r="D61" s="50"/>
      <c r="E61" s="89"/>
    </row>
    <row r="62" spans="1:5" ht="14.25" hidden="1" customHeight="1" x14ac:dyDescent="0.25">
      <c r="A62" s="88" t="s">
        <v>275</v>
      </c>
      <c r="B62" s="50">
        <v>550000</v>
      </c>
      <c r="C62" s="50" t="s">
        <v>313</v>
      </c>
      <c r="D62" s="50"/>
      <c r="E62" s="89"/>
    </row>
    <row r="63" spans="1:5" ht="14.25" hidden="1" customHeight="1" x14ac:dyDescent="0.25">
      <c r="A63" s="88" t="s">
        <v>270</v>
      </c>
      <c r="B63" s="50" t="s">
        <v>281</v>
      </c>
      <c r="C63" s="50" t="s">
        <v>313</v>
      </c>
      <c r="D63" s="50"/>
      <c r="E63" s="89"/>
    </row>
    <row r="64" spans="1:5" ht="14.25" hidden="1" customHeight="1" x14ac:dyDescent="0.25">
      <c r="A64" s="88" t="s">
        <v>267</v>
      </c>
      <c r="B64" s="50">
        <v>1030000</v>
      </c>
      <c r="C64" s="50" t="s">
        <v>313</v>
      </c>
      <c r="D64" s="50"/>
      <c r="E64" s="89"/>
    </row>
    <row r="65" spans="1:5" ht="14.25" hidden="1" customHeight="1" x14ac:dyDescent="0.25">
      <c r="A65" s="88" t="s">
        <v>274</v>
      </c>
      <c r="B65" s="50">
        <v>550000</v>
      </c>
      <c r="C65" s="50" t="s">
        <v>313</v>
      </c>
      <c r="D65" s="50"/>
      <c r="E65" s="89"/>
    </row>
    <row r="66" spans="1:5" ht="14.25" hidden="1" customHeight="1" x14ac:dyDescent="0.25">
      <c r="A66" s="88" t="s">
        <v>273</v>
      </c>
      <c r="B66" s="50">
        <v>770000</v>
      </c>
      <c r="C66" s="50" t="s">
        <v>313</v>
      </c>
      <c r="D66" s="50"/>
      <c r="E66" s="89"/>
    </row>
    <row r="67" spans="1:5" ht="14.25" hidden="1" customHeight="1" x14ac:dyDescent="0.25">
      <c r="A67" s="88" t="s">
        <v>268</v>
      </c>
      <c r="B67" s="50">
        <v>1020000</v>
      </c>
      <c r="C67" s="50" t="s">
        <v>313</v>
      </c>
      <c r="D67" s="50"/>
      <c r="E67" s="89"/>
    </row>
    <row r="68" spans="1:5" ht="14.25" hidden="1" customHeight="1" x14ac:dyDescent="0.25">
      <c r="A68" s="88" t="s">
        <v>271</v>
      </c>
      <c r="B68" s="50">
        <v>1010000</v>
      </c>
      <c r="C68" s="50" t="s">
        <v>313</v>
      </c>
      <c r="D68" s="50"/>
      <c r="E68" s="89"/>
    </row>
    <row r="69" spans="1:5" ht="14.25" hidden="1" customHeight="1" x14ac:dyDescent="0.25">
      <c r="A69" s="88" t="s">
        <v>280</v>
      </c>
      <c r="B69" s="50">
        <v>540000</v>
      </c>
      <c r="C69" s="50" t="s">
        <v>313</v>
      </c>
      <c r="D69" s="50"/>
      <c r="E69" s="89"/>
    </row>
    <row r="70" spans="1:5" ht="14.25" hidden="1" customHeight="1" x14ac:dyDescent="0.25">
      <c r="A70" s="88" t="s">
        <v>263</v>
      </c>
      <c r="B70" s="50">
        <v>115000</v>
      </c>
      <c r="C70" s="50" t="s">
        <v>313</v>
      </c>
      <c r="D70" s="50"/>
      <c r="E70" s="89"/>
    </row>
    <row r="71" spans="1:5" ht="14.25" hidden="1" customHeight="1" x14ac:dyDescent="0.25">
      <c r="A71" s="88" t="s">
        <v>231</v>
      </c>
      <c r="B71" s="50">
        <v>28000</v>
      </c>
      <c r="C71" s="50" t="s">
        <v>319</v>
      </c>
      <c r="D71" s="46"/>
      <c r="E71" s="89"/>
    </row>
    <row r="72" spans="1:5" ht="14.25" hidden="1" customHeight="1" x14ac:dyDescent="0.25">
      <c r="A72" s="88" t="s">
        <v>302</v>
      </c>
      <c r="B72" s="50">
        <v>259000000</v>
      </c>
      <c r="C72" s="50" t="s">
        <v>318</v>
      </c>
      <c r="E72" s="89"/>
    </row>
    <row r="73" spans="1:5" ht="14.25" hidden="1" customHeight="1" x14ac:dyDescent="0.25">
      <c r="A73" s="88" t="s">
        <v>195</v>
      </c>
      <c r="B73" s="50">
        <v>8300</v>
      </c>
      <c r="C73" s="50" t="s">
        <v>319</v>
      </c>
      <c r="D73" s="46"/>
      <c r="E73" s="89"/>
    </row>
    <row r="74" spans="1:5" ht="14.25" hidden="1" customHeight="1" x14ac:dyDescent="0.25">
      <c r="A74" s="88" t="s">
        <v>104</v>
      </c>
      <c r="B74" s="50">
        <v>27500</v>
      </c>
      <c r="C74" s="50" t="s">
        <v>314</v>
      </c>
      <c r="D74" s="44"/>
      <c r="E74" s="45"/>
    </row>
    <row r="75" spans="1:5" ht="14.25" hidden="1" customHeight="1" x14ac:dyDescent="0.25">
      <c r="A75" s="88" t="s">
        <v>96</v>
      </c>
      <c r="B75" s="50">
        <v>33100</v>
      </c>
      <c r="C75" s="50" t="s">
        <v>314</v>
      </c>
      <c r="D75" s="44"/>
      <c r="E75" s="45"/>
    </row>
    <row r="76" spans="1:5" ht="14.25" hidden="1" customHeight="1" x14ac:dyDescent="0.25">
      <c r="A76" s="88" t="s">
        <v>66</v>
      </c>
      <c r="B76" s="50">
        <v>12000</v>
      </c>
      <c r="C76" s="50" t="s">
        <v>314</v>
      </c>
      <c r="D76" s="44"/>
      <c r="E76" s="45"/>
    </row>
    <row r="77" spans="1:5" ht="14.25" hidden="1" customHeight="1" x14ac:dyDescent="0.25">
      <c r="A77" s="88" t="s">
        <v>59</v>
      </c>
      <c r="B77" s="50">
        <v>23200</v>
      </c>
      <c r="C77" s="50" t="s">
        <v>314</v>
      </c>
      <c r="D77" s="44"/>
      <c r="E77" s="45"/>
    </row>
    <row r="78" spans="1:5" ht="14.25" hidden="1" customHeight="1" x14ac:dyDescent="0.25">
      <c r="A78" s="88" t="s">
        <v>90</v>
      </c>
      <c r="B78" s="50">
        <v>29400</v>
      </c>
      <c r="C78" s="50" t="s">
        <v>314</v>
      </c>
      <c r="D78" s="44"/>
      <c r="E78" s="45"/>
    </row>
    <row r="79" spans="1:5" ht="14.25" hidden="1" customHeight="1" x14ac:dyDescent="0.25">
      <c r="A79" s="88" t="s">
        <v>78</v>
      </c>
      <c r="B79" s="50">
        <v>54000</v>
      </c>
      <c r="C79" s="50" t="s">
        <v>314</v>
      </c>
      <c r="D79" s="44"/>
      <c r="E79" s="45"/>
    </row>
    <row r="80" spans="1:5" ht="14.25" hidden="1" customHeight="1" x14ac:dyDescent="0.25">
      <c r="A80" s="88" t="s">
        <v>97</v>
      </c>
      <c r="B80" s="50">
        <v>16800</v>
      </c>
      <c r="C80" s="50" t="s">
        <v>314</v>
      </c>
      <c r="D80" s="44"/>
      <c r="E80" s="45"/>
    </row>
    <row r="81" spans="1:5" ht="14.25" hidden="1" customHeight="1" x14ac:dyDescent="0.25">
      <c r="A81" s="88" t="s">
        <v>81</v>
      </c>
      <c r="B81" s="50">
        <v>31800</v>
      </c>
      <c r="C81" s="50" t="s">
        <v>314</v>
      </c>
      <c r="D81" s="44"/>
      <c r="E81" s="45"/>
    </row>
    <row r="82" spans="1:5" ht="14.25" hidden="1" customHeight="1" x14ac:dyDescent="0.25">
      <c r="A82" s="88" t="s">
        <v>111</v>
      </c>
      <c r="B82" s="50">
        <v>48600</v>
      </c>
      <c r="C82" s="50" t="s">
        <v>314</v>
      </c>
      <c r="D82" s="44"/>
      <c r="E82" s="45"/>
    </row>
    <row r="83" spans="1:5" ht="14.25" hidden="1" customHeight="1" x14ac:dyDescent="0.25">
      <c r="A83" s="88" t="s">
        <v>53</v>
      </c>
      <c r="B83" s="50">
        <v>18000</v>
      </c>
      <c r="C83" s="50" t="s">
        <v>314</v>
      </c>
      <c r="D83" s="44"/>
      <c r="E83" s="45"/>
    </row>
    <row r="84" spans="1:5" ht="14.25" hidden="1" customHeight="1" x14ac:dyDescent="0.25">
      <c r="A84" s="88" t="s">
        <v>74</v>
      </c>
      <c r="B84" s="50">
        <v>36500</v>
      </c>
      <c r="C84" s="50" t="s">
        <v>314</v>
      </c>
      <c r="D84" s="44"/>
      <c r="E84" s="45"/>
    </row>
    <row r="85" spans="1:5" ht="14.25" hidden="1" customHeight="1" x14ac:dyDescent="0.25">
      <c r="A85" s="88" t="s">
        <v>126</v>
      </c>
      <c r="B85" s="50">
        <v>83000</v>
      </c>
      <c r="C85" s="50" t="s">
        <v>314</v>
      </c>
      <c r="D85" s="44"/>
      <c r="E85" s="45"/>
    </row>
    <row r="86" spans="1:5" ht="14.25" hidden="1" customHeight="1" x14ac:dyDescent="0.25">
      <c r="A86" s="88" t="s">
        <v>95</v>
      </c>
      <c r="B86" s="50">
        <v>25500</v>
      </c>
      <c r="C86" s="50" t="s">
        <v>314</v>
      </c>
      <c r="D86" s="44"/>
      <c r="E86" s="45"/>
    </row>
    <row r="87" spans="1:5" ht="14.25" hidden="1" customHeight="1" x14ac:dyDescent="0.25">
      <c r="A87" s="88" t="s">
        <v>56</v>
      </c>
      <c r="B87" s="50">
        <v>25300</v>
      </c>
      <c r="C87" s="50" t="s">
        <v>314</v>
      </c>
      <c r="D87" s="44"/>
      <c r="E87" s="45"/>
    </row>
    <row r="88" spans="1:5" ht="14.25" hidden="1" customHeight="1" x14ac:dyDescent="0.25">
      <c r="A88" s="88" t="s">
        <v>135</v>
      </c>
      <c r="B88" s="50">
        <v>510000</v>
      </c>
      <c r="C88" s="50" t="s">
        <v>314</v>
      </c>
      <c r="D88" s="44"/>
      <c r="E88" s="45"/>
    </row>
    <row r="89" spans="1:5" ht="14.25" hidden="1" customHeight="1" x14ac:dyDescent="0.25">
      <c r="A89" s="88" t="s">
        <v>185</v>
      </c>
      <c r="B89" s="50">
        <v>87000</v>
      </c>
      <c r="C89" s="50" t="s">
        <v>314</v>
      </c>
      <c r="D89" s="44"/>
      <c r="E89" s="45"/>
    </row>
    <row r="90" spans="1:5" ht="14.25" hidden="1" customHeight="1" x14ac:dyDescent="0.25">
      <c r="A90" s="88" t="s">
        <v>92</v>
      </c>
      <c r="B90" s="50">
        <v>55500</v>
      </c>
      <c r="C90" s="50" t="s">
        <v>314</v>
      </c>
      <c r="D90" s="44"/>
      <c r="E90" s="45"/>
    </row>
    <row r="91" spans="1:5" ht="14.25" hidden="1" customHeight="1" x14ac:dyDescent="0.25">
      <c r="A91" s="88" t="s">
        <v>108</v>
      </c>
      <c r="B91" s="50">
        <v>49000</v>
      </c>
      <c r="C91" s="50" t="s">
        <v>314</v>
      </c>
      <c r="D91" s="44"/>
      <c r="E91" s="45"/>
    </row>
    <row r="92" spans="1:5" ht="14.25" hidden="1" customHeight="1" x14ac:dyDescent="0.25">
      <c r="A92" s="88" t="s">
        <v>120</v>
      </c>
      <c r="B92" s="50">
        <v>87000</v>
      </c>
      <c r="C92" s="50" t="s">
        <v>314</v>
      </c>
      <c r="D92" s="44"/>
      <c r="E92" s="45"/>
    </row>
    <row r="93" spans="1:5" ht="14.25" hidden="1" customHeight="1" x14ac:dyDescent="0.25">
      <c r="A93" s="88" t="s">
        <v>123</v>
      </c>
      <c r="B93" s="50">
        <v>103000</v>
      </c>
      <c r="C93" s="50" t="s">
        <v>314</v>
      </c>
      <c r="D93" s="44"/>
      <c r="E93" s="45"/>
    </row>
    <row r="94" spans="1:5" ht="14.25" hidden="1" customHeight="1" x14ac:dyDescent="0.25">
      <c r="A94" s="88" t="s">
        <v>117</v>
      </c>
      <c r="B94" s="50">
        <v>106000</v>
      </c>
      <c r="C94" s="50" t="s">
        <v>314</v>
      </c>
      <c r="D94" s="44"/>
      <c r="E94" s="45"/>
    </row>
    <row r="95" spans="1:5" ht="14.25" hidden="1" customHeight="1" x14ac:dyDescent="0.25">
      <c r="A95" s="88" t="s">
        <v>76</v>
      </c>
      <c r="B95" s="50">
        <v>59000</v>
      </c>
      <c r="C95" s="50" t="s">
        <v>314</v>
      </c>
      <c r="D95" s="44"/>
      <c r="E95" s="45"/>
    </row>
    <row r="96" spans="1:5" ht="14.25" hidden="1" customHeight="1" x14ac:dyDescent="0.25">
      <c r="A96" s="88" t="s">
        <v>69</v>
      </c>
      <c r="B96" s="50">
        <v>21700</v>
      </c>
      <c r="C96" s="50" t="s">
        <v>314</v>
      </c>
      <c r="D96" s="44"/>
      <c r="E96" s="45"/>
    </row>
    <row r="97" spans="1:5" ht="14.25" hidden="1" customHeight="1" x14ac:dyDescent="0.25">
      <c r="A97" s="88" t="s">
        <v>99</v>
      </c>
      <c r="B97" s="50">
        <v>49000</v>
      </c>
      <c r="C97" s="50" t="s">
        <v>314</v>
      </c>
      <c r="D97" s="44"/>
      <c r="E97" s="45"/>
    </row>
    <row r="98" spans="1:5" ht="14.25" hidden="1" customHeight="1" x14ac:dyDescent="0.25">
      <c r="A98" s="88" t="s">
        <v>82</v>
      </c>
      <c r="B98" s="50">
        <v>37500</v>
      </c>
      <c r="C98" s="50" t="s">
        <v>314</v>
      </c>
      <c r="D98" s="44"/>
      <c r="E98" s="45"/>
    </row>
    <row r="99" spans="1:5" ht="14.25" hidden="1" customHeight="1" x14ac:dyDescent="0.25">
      <c r="A99" s="88" t="s">
        <v>63</v>
      </c>
      <c r="B99" s="50">
        <v>12200</v>
      </c>
      <c r="C99" s="50" t="s">
        <v>314</v>
      </c>
      <c r="D99" s="44"/>
      <c r="E99" s="45"/>
    </row>
    <row r="100" spans="1:5" ht="14.25" hidden="1" customHeight="1" x14ac:dyDescent="0.25">
      <c r="A100" s="88" t="s">
        <v>89</v>
      </c>
      <c r="B100" s="50">
        <v>30800</v>
      </c>
      <c r="C100" s="50" t="s">
        <v>314</v>
      </c>
      <c r="D100" s="44"/>
      <c r="E100" s="45"/>
    </row>
    <row r="101" spans="1:5" ht="14.25" hidden="1" customHeight="1" x14ac:dyDescent="0.25">
      <c r="A101" s="88" t="s">
        <v>80</v>
      </c>
      <c r="B101" s="50">
        <v>30100</v>
      </c>
      <c r="C101" s="50" t="s">
        <v>314</v>
      </c>
      <c r="D101" s="44"/>
      <c r="E101" s="45"/>
    </row>
    <row r="102" spans="1:5" ht="14.25" hidden="1" customHeight="1" x14ac:dyDescent="0.25">
      <c r="A102" s="218" t="s">
        <v>561</v>
      </c>
      <c r="B102" s="50">
        <v>43200</v>
      </c>
      <c r="C102" s="50" t="s">
        <v>314</v>
      </c>
      <c r="E102" s="89"/>
    </row>
    <row r="103" spans="1:5" ht="14.25" hidden="1" customHeight="1" x14ac:dyDescent="0.25">
      <c r="A103" s="88" t="s">
        <v>142</v>
      </c>
      <c r="B103" s="50">
        <v>18300</v>
      </c>
      <c r="C103" s="50" t="s">
        <v>314</v>
      </c>
      <c r="D103" s="44"/>
      <c r="E103" s="45"/>
    </row>
    <row r="104" spans="1:5" ht="14.25" hidden="1" customHeight="1" x14ac:dyDescent="0.25">
      <c r="A104" s="88" t="s">
        <v>84</v>
      </c>
      <c r="B104" s="50">
        <v>23800</v>
      </c>
      <c r="C104" s="50" t="s">
        <v>314</v>
      </c>
      <c r="D104" s="44"/>
      <c r="E104" s="45"/>
    </row>
    <row r="105" spans="1:5" ht="14.25" hidden="1" customHeight="1" x14ac:dyDescent="0.25">
      <c r="A105" s="88" t="s">
        <v>105</v>
      </c>
      <c r="B105" s="50">
        <v>98000</v>
      </c>
      <c r="C105" s="50" t="s">
        <v>314</v>
      </c>
      <c r="D105" s="44"/>
      <c r="E105" s="45"/>
    </row>
    <row r="106" spans="1:5" ht="14.25" hidden="1" customHeight="1" x14ac:dyDescent="0.25">
      <c r="A106" s="88" t="s">
        <v>139</v>
      </c>
      <c r="B106" s="50">
        <v>595000</v>
      </c>
      <c r="C106" s="50" t="s">
        <v>314</v>
      </c>
      <c r="D106" s="44"/>
      <c r="E106" s="45"/>
    </row>
    <row r="107" spans="1:5" ht="14.25" hidden="1" customHeight="1" x14ac:dyDescent="0.25">
      <c r="A107" s="88" t="s">
        <v>132</v>
      </c>
      <c r="B107" s="50">
        <v>91500</v>
      </c>
      <c r="C107" s="50" t="s">
        <v>314</v>
      </c>
      <c r="D107" s="44"/>
      <c r="E107" s="45"/>
    </row>
    <row r="108" spans="1:5" ht="14.25" hidden="1" customHeight="1" x14ac:dyDescent="0.25">
      <c r="A108" s="88" t="s">
        <v>129</v>
      </c>
      <c r="B108" s="50">
        <v>164000</v>
      </c>
      <c r="C108" s="50" t="s">
        <v>314</v>
      </c>
      <c r="D108" s="44"/>
      <c r="E108" s="45"/>
    </row>
    <row r="109" spans="1:5" ht="14.25" hidden="1" customHeight="1" x14ac:dyDescent="0.25">
      <c r="A109" s="88" t="s">
        <v>171</v>
      </c>
      <c r="B109" s="50">
        <v>279000</v>
      </c>
      <c r="C109" s="50" t="s">
        <v>315</v>
      </c>
      <c r="D109" s="44"/>
      <c r="E109" s="45"/>
    </row>
    <row r="110" spans="1:5" ht="14.25" hidden="1" customHeight="1" x14ac:dyDescent="0.25">
      <c r="A110" s="88" t="s">
        <v>230</v>
      </c>
      <c r="B110" s="50">
        <v>18700</v>
      </c>
      <c r="C110" s="50" t="s">
        <v>319</v>
      </c>
      <c r="D110" s="46"/>
      <c r="E110" s="89"/>
    </row>
    <row r="111" spans="1:5" ht="14.25" hidden="1" customHeight="1" x14ac:dyDescent="0.25">
      <c r="A111" s="88" t="s">
        <v>228</v>
      </c>
      <c r="B111" s="50">
        <v>22500</v>
      </c>
      <c r="C111" s="50" t="s">
        <v>319</v>
      </c>
      <c r="D111" s="46"/>
      <c r="E111" s="89"/>
    </row>
    <row r="112" spans="1:5" ht="14.25" hidden="1" customHeight="1" x14ac:dyDescent="0.25">
      <c r="A112" s="88" t="s">
        <v>189</v>
      </c>
      <c r="B112" s="50">
        <v>9300</v>
      </c>
      <c r="C112" s="50" t="s">
        <v>319</v>
      </c>
      <c r="D112" s="46"/>
      <c r="E112" s="89"/>
    </row>
    <row r="113" spans="1:5" ht="14.25" hidden="1" customHeight="1" x14ac:dyDescent="0.25">
      <c r="A113" s="88" t="s">
        <v>199</v>
      </c>
      <c r="B113" s="50">
        <v>18400</v>
      </c>
      <c r="C113" s="50" t="s">
        <v>319</v>
      </c>
      <c r="D113" s="46"/>
      <c r="E113" s="89"/>
    </row>
    <row r="114" spans="1:5" ht="14.25" hidden="1" customHeight="1" x14ac:dyDescent="0.25">
      <c r="A114" s="88" t="s">
        <v>213</v>
      </c>
      <c r="B114" s="50">
        <v>25800</v>
      </c>
      <c r="C114" s="50" t="s">
        <v>319</v>
      </c>
      <c r="D114" s="46"/>
      <c r="E114" s="89"/>
    </row>
    <row r="115" spans="1:5" ht="14.25" hidden="1" customHeight="1" x14ac:dyDescent="0.25">
      <c r="A115" s="88" t="s">
        <v>165</v>
      </c>
      <c r="B115" s="50">
        <v>36700</v>
      </c>
      <c r="C115" s="50" t="s">
        <v>315</v>
      </c>
      <c r="D115" s="47"/>
      <c r="E115" s="87"/>
    </row>
    <row r="116" spans="1:5" ht="14.25" hidden="1" customHeight="1" x14ac:dyDescent="0.25">
      <c r="A116" s="88" t="s">
        <v>160</v>
      </c>
      <c r="B116" s="50">
        <v>35200</v>
      </c>
      <c r="C116" s="50" t="s">
        <v>315</v>
      </c>
      <c r="D116" s="48"/>
      <c r="E116" s="87"/>
    </row>
    <row r="117" spans="1:5" ht="14.25" hidden="1" customHeight="1" x14ac:dyDescent="0.25">
      <c r="A117" s="88" t="s">
        <v>154</v>
      </c>
      <c r="B117" s="50">
        <v>264000</v>
      </c>
      <c r="C117" s="50" t="s">
        <v>315</v>
      </c>
      <c r="D117" s="48"/>
      <c r="E117" s="87"/>
    </row>
    <row r="118" spans="1:5" ht="14.25" hidden="1" customHeight="1" x14ac:dyDescent="0.25">
      <c r="A118" s="88" t="s">
        <v>155</v>
      </c>
      <c r="B118" s="50">
        <v>212000</v>
      </c>
      <c r="C118" s="50" t="s">
        <v>315</v>
      </c>
      <c r="D118" s="48"/>
      <c r="E118" s="87"/>
    </row>
    <row r="119" spans="1:5" ht="14.25" hidden="1" customHeight="1" x14ac:dyDescent="0.25">
      <c r="A119" s="88" t="s">
        <v>157</v>
      </c>
      <c r="B119" s="50">
        <v>249000</v>
      </c>
      <c r="C119" s="50" t="s">
        <v>315</v>
      </c>
      <c r="D119" s="48"/>
      <c r="E119" s="87"/>
    </row>
    <row r="120" spans="1:5" ht="14.25" hidden="1" customHeight="1" x14ac:dyDescent="0.25">
      <c r="A120" s="88" t="s">
        <v>152</v>
      </c>
      <c r="B120" s="50">
        <v>49800</v>
      </c>
      <c r="C120" s="50" t="s">
        <v>315</v>
      </c>
      <c r="D120" s="44"/>
      <c r="E120" s="87"/>
    </row>
    <row r="121" spans="1:5" ht="14.25" hidden="1" customHeight="1" x14ac:dyDescent="0.25">
      <c r="A121" s="88" t="s">
        <v>148</v>
      </c>
      <c r="B121" s="50">
        <v>500000</v>
      </c>
      <c r="C121" s="50" t="s">
        <v>315</v>
      </c>
      <c r="D121" s="44"/>
      <c r="E121" s="87"/>
    </row>
    <row r="122" spans="1:5" ht="14.25" hidden="1" customHeight="1" x14ac:dyDescent="0.25">
      <c r="A122" s="88" t="s">
        <v>158</v>
      </c>
      <c r="B122" s="50">
        <v>183000</v>
      </c>
      <c r="C122" s="50" t="s">
        <v>315</v>
      </c>
      <c r="D122" s="48"/>
      <c r="E122" s="87"/>
    </row>
    <row r="123" spans="1:5" ht="14.25" hidden="1" customHeight="1" x14ac:dyDescent="0.25">
      <c r="A123" s="88" t="s">
        <v>162</v>
      </c>
      <c r="B123" s="50">
        <v>163000</v>
      </c>
      <c r="C123" s="50" t="s">
        <v>315</v>
      </c>
      <c r="D123" s="48"/>
      <c r="E123" s="87"/>
    </row>
    <row r="124" spans="1:5" ht="14.25" hidden="1" customHeight="1" x14ac:dyDescent="0.25">
      <c r="A124" s="88" t="s">
        <v>175</v>
      </c>
      <c r="B124" s="50">
        <v>225000</v>
      </c>
      <c r="C124" s="50" t="s">
        <v>315</v>
      </c>
      <c r="D124" s="44"/>
      <c r="E124" s="87"/>
    </row>
    <row r="125" spans="1:5" ht="14.25" customHeight="1" x14ac:dyDescent="0.25">
      <c r="A125" s="88" t="s">
        <v>261</v>
      </c>
      <c r="B125" s="50">
        <v>86500</v>
      </c>
      <c r="C125" s="50" t="s">
        <v>312</v>
      </c>
      <c r="D125" s="50"/>
    </row>
    <row r="126" spans="1:5" ht="14.25" hidden="1" customHeight="1" x14ac:dyDescent="0.25">
      <c r="A126" s="88" t="s">
        <v>323</v>
      </c>
      <c r="B126" s="50">
        <v>50000</v>
      </c>
      <c r="C126" s="50" t="s">
        <v>316</v>
      </c>
      <c r="E126" s="90"/>
    </row>
    <row r="127" spans="1:5" ht="14.25" hidden="1" customHeight="1" x14ac:dyDescent="0.25">
      <c r="A127" s="88" t="s">
        <v>441</v>
      </c>
      <c r="B127" s="50">
        <v>5</v>
      </c>
      <c r="C127" s="50" t="s">
        <v>316</v>
      </c>
    </row>
    <row r="128" spans="1:5" ht="14.25" hidden="1" customHeight="1" x14ac:dyDescent="0.25">
      <c r="A128" s="88" t="s">
        <v>198</v>
      </c>
      <c r="B128" s="50">
        <v>8500</v>
      </c>
      <c r="C128" s="50" t="s">
        <v>319</v>
      </c>
      <c r="D128" s="46"/>
    </row>
    <row r="129" spans="1:5" ht="14.25" hidden="1" customHeight="1" x14ac:dyDescent="0.25">
      <c r="A129" s="88" t="s">
        <v>200</v>
      </c>
      <c r="B129" s="50">
        <v>18300</v>
      </c>
      <c r="C129" s="50" t="s">
        <v>319</v>
      </c>
      <c r="D129" s="46"/>
    </row>
    <row r="130" spans="1:5" ht="14.25" customHeight="1" x14ac:dyDescent="0.25">
      <c r="A130" s="88" t="s">
        <v>87</v>
      </c>
      <c r="B130" s="50">
        <v>4810</v>
      </c>
      <c r="C130" s="50" t="s">
        <v>312</v>
      </c>
      <c r="D130" s="44"/>
      <c r="E130" s="87"/>
    </row>
    <row r="131" spans="1:5" ht="14.25" customHeight="1" x14ac:dyDescent="0.25">
      <c r="A131" s="88" t="s">
        <v>94</v>
      </c>
      <c r="B131" s="50">
        <v>11000</v>
      </c>
      <c r="C131" s="50" t="s">
        <v>312</v>
      </c>
      <c r="D131" s="44"/>
      <c r="E131" s="87"/>
    </row>
    <row r="132" spans="1:5" ht="14.25" customHeight="1" x14ac:dyDescent="0.25">
      <c r="A132" s="88" t="s">
        <v>83</v>
      </c>
      <c r="B132" s="50">
        <v>450</v>
      </c>
      <c r="C132" s="50" t="s">
        <v>312</v>
      </c>
      <c r="D132" s="46"/>
      <c r="E132" s="87"/>
    </row>
    <row r="133" spans="1:5" ht="14.25" customHeight="1" x14ac:dyDescent="0.25">
      <c r="A133" s="88" t="s">
        <v>366</v>
      </c>
      <c r="B133" s="50">
        <v>2020</v>
      </c>
      <c r="C133" s="50" t="s">
        <v>367</v>
      </c>
    </row>
    <row r="134" spans="1:5" ht="14.25" customHeight="1" x14ac:dyDescent="0.25">
      <c r="A134" s="88" t="s">
        <v>289</v>
      </c>
      <c r="B134" s="50">
        <v>4100000</v>
      </c>
      <c r="C134" s="50" t="s">
        <v>312</v>
      </c>
      <c r="D134" s="55"/>
    </row>
    <row r="135" spans="1:5" ht="14.25" customHeight="1" x14ac:dyDescent="0.25">
      <c r="A135" s="88" t="s">
        <v>292</v>
      </c>
      <c r="B135" s="50">
        <v>3500000</v>
      </c>
      <c r="C135" s="50" t="s">
        <v>312</v>
      </c>
      <c r="D135" s="55"/>
    </row>
    <row r="136" spans="1:5" ht="14.25" hidden="1" customHeight="1" x14ac:dyDescent="0.25">
      <c r="A136" s="88" t="s">
        <v>141</v>
      </c>
      <c r="B136" s="50">
        <v>585000</v>
      </c>
      <c r="C136" s="50" t="s">
        <v>315</v>
      </c>
      <c r="D136" s="44"/>
      <c r="E136" s="87"/>
    </row>
    <row r="137" spans="1:5" ht="14.25" hidden="1" customHeight="1" x14ac:dyDescent="0.25">
      <c r="A137" s="88" t="s">
        <v>150</v>
      </c>
      <c r="B137" s="50">
        <v>1950000</v>
      </c>
      <c r="C137" s="50" t="s">
        <v>315</v>
      </c>
      <c r="D137" s="44"/>
      <c r="E137" s="87"/>
    </row>
    <row r="138" spans="1:5" ht="14.25" hidden="1" customHeight="1" x14ac:dyDescent="0.25">
      <c r="A138" s="88" t="s">
        <v>147</v>
      </c>
      <c r="B138" s="50">
        <v>1680000</v>
      </c>
      <c r="C138" s="50" t="s">
        <v>315</v>
      </c>
      <c r="D138" s="44"/>
      <c r="E138" s="87"/>
    </row>
    <row r="139" spans="1:5" ht="14.25" hidden="1" customHeight="1" x14ac:dyDescent="0.25">
      <c r="A139" s="88" t="s">
        <v>145</v>
      </c>
      <c r="B139" s="50">
        <v>369000</v>
      </c>
      <c r="C139" s="50" t="s">
        <v>315</v>
      </c>
      <c r="D139" s="44"/>
      <c r="E139" s="87"/>
    </row>
    <row r="140" spans="1:5" ht="14.25" hidden="1" customHeight="1" x14ac:dyDescent="0.25">
      <c r="A140" s="88" t="s">
        <v>146</v>
      </c>
      <c r="B140" s="50">
        <v>585000</v>
      </c>
      <c r="C140" s="50" t="s">
        <v>315</v>
      </c>
      <c r="D140" s="44"/>
      <c r="E140" s="87"/>
    </row>
    <row r="141" spans="1:5" ht="14.25" customHeight="1" x14ac:dyDescent="0.25">
      <c r="A141" s="88" t="s">
        <v>254</v>
      </c>
      <c r="B141" s="50">
        <v>31200</v>
      </c>
      <c r="C141" s="50" t="s">
        <v>312</v>
      </c>
      <c r="D141" s="44"/>
      <c r="E141" s="87"/>
    </row>
    <row r="142" spans="1:5" ht="14.25" customHeight="1" x14ac:dyDescent="0.25">
      <c r="A142" s="88" t="s">
        <v>161</v>
      </c>
      <c r="B142" s="50">
        <v>13800</v>
      </c>
      <c r="C142" s="50" t="s">
        <v>312</v>
      </c>
      <c r="D142" s="44"/>
      <c r="E142" s="87"/>
    </row>
    <row r="143" spans="1:5" ht="14.25" customHeight="1" x14ac:dyDescent="0.25">
      <c r="A143" s="88" t="s">
        <v>35</v>
      </c>
      <c r="B143" s="50">
        <v>138000</v>
      </c>
      <c r="C143" s="50" t="s">
        <v>312</v>
      </c>
      <c r="D143" s="44"/>
      <c r="E143" s="87"/>
    </row>
    <row r="144" spans="1:5" ht="14.25" customHeight="1" x14ac:dyDescent="0.25">
      <c r="A144" s="88" t="s">
        <v>40</v>
      </c>
      <c r="B144" s="50">
        <v>138000</v>
      </c>
      <c r="C144" s="50" t="s">
        <v>312</v>
      </c>
      <c r="D144" s="44"/>
      <c r="E144" s="87"/>
    </row>
    <row r="145" spans="1:5" ht="14.25" customHeight="1" x14ac:dyDescent="0.25">
      <c r="A145" s="88" t="s">
        <v>43</v>
      </c>
      <c r="B145" s="50">
        <v>138000</v>
      </c>
      <c r="C145" s="50" t="s">
        <v>312</v>
      </c>
      <c r="D145" s="44"/>
      <c r="E145" s="87"/>
    </row>
    <row r="146" spans="1:5" ht="14.25" customHeight="1" x14ac:dyDescent="0.25">
      <c r="A146" s="88" t="s">
        <v>46</v>
      </c>
      <c r="B146" s="50">
        <v>138000</v>
      </c>
      <c r="C146" s="50" t="s">
        <v>312</v>
      </c>
      <c r="D146" s="44"/>
      <c r="E146" s="87"/>
    </row>
    <row r="147" spans="1:5" ht="14.25" customHeight="1" x14ac:dyDescent="0.25">
      <c r="A147" s="88" t="s">
        <v>153</v>
      </c>
      <c r="B147" s="50">
        <v>33200</v>
      </c>
      <c r="C147" s="50" t="s">
        <v>312</v>
      </c>
      <c r="D147" s="44"/>
      <c r="E147" s="87"/>
    </row>
    <row r="148" spans="1:5" ht="14.25" customHeight="1" x14ac:dyDescent="0.25">
      <c r="A148" s="88" t="s">
        <v>50</v>
      </c>
      <c r="B148" s="50">
        <v>138000</v>
      </c>
      <c r="C148" s="50" t="s">
        <v>312</v>
      </c>
      <c r="D148" s="46"/>
      <c r="E148" s="87"/>
    </row>
    <row r="149" spans="1:5" ht="14.25" hidden="1" customHeight="1" x14ac:dyDescent="0.25">
      <c r="A149" s="88" t="s">
        <v>303</v>
      </c>
      <c r="B149" s="50">
        <v>259000000</v>
      </c>
      <c r="C149" s="50" t="s">
        <v>318</v>
      </c>
    </row>
    <row r="150" spans="1:5" ht="14.25" hidden="1" customHeight="1" x14ac:dyDescent="0.25">
      <c r="A150" s="88" t="s">
        <v>229</v>
      </c>
      <c r="B150" s="50">
        <v>20100</v>
      </c>
      <c r="C150" s="50" t="s">
        <v>319</v>
      </c>
      <c r="D150" s="46"/>
    </row>
    <row r="151" spans="1:5" ht="14.25" customHeight="1" x14ac:dyDescent="0.25">
      <c r="A151" s="88" t="s">
        <v>127</v>
      </c>
      <c r="B151" s="50">
        <v>58500</v>
      </c>
      <c r="C151" s="50" t="s">
        <v>312</v>
      </c>
      <c r="D151" s="44"/>
      <c r="E151" s="87"/>
    </row>
    <row r="152" spans="1:5" ht="14.25" hidden="1" customHeight="1" x14ac:dyDescent="0.25">
      <c r="A152" s="88" t="s">
        <v>237</v>
      </c>
      <c r="B152" s="50">
        <v>27100</v>
      </c>
      <c r="C152" s="50" t="s">
        <v>319</v>
      </c>
      <c r="D152" s="46"/>
    </row>
    <row r="153" spans="1:5" ht="14.25" hidden="1" customHeight="1" x14ac:dyDescent="0.25">
      <c r="A153" s="88" t="s">
        <v>226</v>
      </c>
      <c r="B153" s="50">
        <v>25500</v>
      </c>
      <c r="C153" s="50" t="s">
        <v>319</v>
      </c>
      <c r="D153" s="46"/>
    </row>
    <row r="154" spans="1:5" ht="14.25" hidden="1" customHeight="1" x14ac:dyDescent="0.25">
      <c r="A154" s="88" t="s">
        <v>295</v>
      </c>
      <c r="B154" s="50">
        <v>144000000</v>
      </c>
      <c r="C154" s="50" t="s">
        <v>318</v>
      </c>
      <c r="D154" s="55"/>
    </row>
    <row r="155" spans="1:5" ht="14.25" hidden="1" customHeight="1" x14ac:dyDescent="0.25">
      <c r="A155" s="88" t="s">
        <v>233</v>
      </c>
      <c r="B155" s="50">
        <v>36400</v>
      </c>
      <c r="C155" s="50" t="s">
        <v>319</v>
      </c>
      <c r="D155" s="46"/>
    </row>
    <row r="156" spans="1:5" ht="14.25" hidden="1" customHeight="1" x14ac:dyDescent="0.25">
      <c r="A156" s="88" t="s">
        <v>232</v>
      </c>
      <c r="B156" s="50">
        <v>25500</v>
      </c>
      <c r="C156" s="50" t="s">
        <v>319</v>
      </c>
      <c r="D156" s="46"/>
    </row>
    <row r="157" spans="1:5" ht="14.25" hidden="1" customHeight="1" x14ac:dyDescent="0.25">
      <c r="A157" s="88" t="s">
        <v>291</v>
      </c>
      <c r="B157" s="50">
        <v>239000</v>
      </c>
      <c r="C157" s="50" t="s">
        <v>318</v>
      </c>
      <c r="D157" s="55"/>
    </row>
    <row r="158" spans="1:5" ht="14.25" customHeight="1" x14ac:dyDescent="0.25">
      <c r="A158" s="88" t="s">
        <v>54</v>
      </c>
      <c r="B158" s="50">
        <v>378</v>
      </c>
      <c r="C158" s="50" t="s">
        <v>312</v>
      </c>
      <c r="D158" s="46"/>
      <c r="E158" s="87"/>
    </row>
    <row r="159" spans="1:5" ht="14.25" customHeight="1" x14ac:dyDescent="0.25">
      <c r="A159" s="88" t="s">
        <v>264</v>
      </c>
      <c r="B159" s="50">
        <v>8550</v>
      </c>
      <c r="C159" s="50" t="s">
        <v>312</v>
      </c>
      <c r="D159" s="50"/>
    </row>
    <row r="160" spans="1:5" ht="14.25" customHeight="1" x14ac:dyDescent="0.25">
      <c r="A160" s="88" t="s">
        <v>77</v>
      </c>
      <c r="B160" s="50">
        <v>229</v>
      </c>
      <c r="C160" s="50" t="s">
        <v>312</v>
      </c>
      <c r="D160" s="46"/>
      <c r="E160" s="87"/>
    </row>
    <row r="161" spans="1:5" ht="14.25" customHeight="1" x14ac:dyDescent="0.25">
      <c r="A161" s="88" t="s">
        <v>262</v>
      </c>
      <c r="B161" s="50">
        <v>1000</v>
      </c>
      <c r="C161" s="50" t="s">
        <v>312</v>
      </c>
      <c r="D161" s="50"/>
    </row>
    <row r="162" spans="1:5" ht="14.25" customHeight="1" x14ac:dyDescent="0.25">
      <c r="A162" s="88" t="s">
        <v>432</v>
      </c>
      <c r="B162" s="50">
        <v>4240</v>
      </c>
      <c r="C162" s="50" t="s">
        <v>311</v>
      </c>
    </row>
    <row r="163" spans="1:5" ht="14.25" customHeight="1" x14ac:dyDescent="0.25">
      <c r="A163" s="218" t="s">
        <v>456</v>
      </c>
      <c r="B163" s="50">
        <v>13200</v>
      </c>
      <c r="C163" s="50" t="s">
        <v>312</v>
      </c>
    </row>
    <row r="164" spans="1:5" ht="14.25" customHeight="1" x14ac:dyDescent="0.25">
      <c r="A164" s="88" t="s">
        <v>11</v>
      </c>
      <c r="B164" s="50">
        <v>9850</v>
      </c>
      <c r="C164" s="50" t="s">
        <v>312</v>
      </c>
      <c r="D164" s="44"/>
      <c r="E164" s="87"/>
    </row>
    <row r="165" spans="1:5" ht="14.25" customHeight="1" x14ac:dyDescent="0.25">
      <c r="A165" s="88" t="s">
        <v>67</v>
      </c>
      <c r="B165" s="50">
        <v>750</v>
      </c>
      <c r="C165" s="50" t="s">
        <v>312</v>
      </c>
      <c r="D165" s="49"/>
      <c r="E165" s="87"/>
    </row>
    <row r="166" spans="1:5" ht="14.25" customHeight="1" x14ac:dyDescent="0.25">
      <c r="A166" s="88" t="s">
        <v>124</v>
      </c>
      <c r="B166" s="50">
        <v>3770</v>
      </c>
      <c r="C166" s="50" t="s">
        <v>312</v>
      </c>
      <c r="D166" s="46"/>
      <c r="E166" s="87"/>
    </row>
    <row r="167" spans="1:5" ht="14.25" customHeight="1" x14ac:dyDescent="0.25">
      <c r="A167" s="218" t="s">
        <v>559</v>
      </c>
      <c r="B167" s="50">
        <v>780</v>
      </c>
      <c r="C167" s="50" t="s">
        <v>312</v>
      </c>
      <c r="D167" s="49"/>
    </row>
    <row r="168" spans="1:5" ht="14.25" customHeight="1" x14ac:dyDescent="0.25">
      <c r="A168" s="88" t="s">
        <v>133</v>
      </c>
      <c r="B168" s="50">
        <v>369</v>
      </c>
      <c r="C168" s="50" t="s">
        <v>312</v>
      </c>
      <c r="D168" s="46"/>
      <c r="E168" s="87"/>
    </row>
    <row r="169" spans="1:5" ht="14.25" customHeight="1" x14ac:dyDescent="0.25">
      <c r="A169" s="88" t="s">
        <v>75</v>
      </c>
      <c r="B169" s="50">
        <v>680</v>
      </c>
      <c r="C169" s="50" t="s">
        <v>312</v>
      </c>
      <c r="D169" s="46"/>
      <c r="E169" s="87"/>
    </row>
    <row r="170" spans="1:5" ht="14.25" customHeight="1" x14ac:dyDescent="0.25">
      <c r="A170" s="88" t="s">
        <v>118</v>
      </c>
      <c r="B170" s="50">
        <f>15700/4</f>
        <v>3925</v>
      </c>
      <c r="C170" s="50" t="s">
        <v>312</v>
      </c>
      <c r="D170" s="46"/>
      <c r="E170" s="87"/>
    </row>
    <row r="171" spans="1:5" ht="14.25" customHeight="1" x14ac:dyDescent="0.25">
      <c r="A171" s="88" t="s">
        <v>131</v>
      </c>
      <c r="B171" s="50">
        <v>3000</v>
      </c>
      <c r="C171" s="50" t="s">
        <v>312</v>
      </c>
      <c r="D171" s="46"/>
      <c r="E171" s="87"/>
    </row>
    <row r="172" spans="1:5" ht="14.25" customHeight="1" x14ac:dyDescent="0.25">
      <c r="A172" s="88" t="s">
        <v>60</v>
      </c>
      <c r="B172" s="50">
        <v>830</v>
      </c>
      <c r="C172" s="50" t="s">
        <v>312</v>
      </c>
      <c r="D172" s="46"/>
      <c r="E172" s="87"/>
    </row>
    <row r="173" spans="1:5" ht="14.25" customHeight="1" x14ac:dyDescent="0.25">
      <c r="A173" s="88" t="s">
        <v>101</v>
      </c>
      <c r="B173" s="50">
        <v>3770</v>
      </c>
      <c r="C173" s="50" t="s">
        <v>312</v>
      </c>
      <c r="D173" s="46"/>
      <c r="E173" s="87"/>
    </row>
    <row r="174" spans="1:5" ht="14.25" customHeight="1" x14ac:dyDescent="0.25">
      <c r="A174" s="88" t="s">
        <v>109</v>
      </c>
      <c r="B174" s="50">
        <v>3600</v>
      </c>
      <c r="C174" s="50" t="s">
        <v>312</v>
      </c>
      <c r="D174" s="46"/>
      <c r="E174" s="87"/>
    </row>
    <row r="175" spans="1:5" ht="14.25" customHeight="1" x14ac:dyDescent="0.25">
      <c r="A175" s="88" t="s">
        <v>70</v>
      </c>
      <c r="B175" s="50">
        <v>815</v>
      </c>
      <c r="C175" s="50" t="s">
        <v>312</v>
      </c>
      <c r="D175" s="46"/>
      <c r="E175" s="87"/>
    </row>
    <row r="176" spans="1:5" ht="14.25" customHeight="1" x14ac:dyDescent="0.25">
      <c r="A176" s="88" t="s">
        <v>106</v>
      </c>
      <c r="B176" s="50">
        <v>2820</v>
      </c>
      <c r="C176" s="50" t="s">
        <v>312</v>
      </c>
      <c r="D176" s="46"/>
      <c r="E176" s="87"/>
    </row>
    <row r="177" spans="1:5" ht="14.25" customHeight="1" x14ac:dyDescent="0.25">
      <c r="A177" s="88" t="s">
        <v>86</v>
      </c>
      <c r="B177" s="50">
        <v>3280</v>
      </c>
      <c r="C177" s="50" t="s">
        <v>312</v>
      </c>
      <c r="D177" s="46"/>
      <c r="E177" s="87"/>
    </row>
    <row r="178" spans="1:5" ht="14.25" customHeight="1" x14ac:dyDescent="0.25">
      <c r="A178" s="88" t="s">
        <v>93</v>
      </c>
      <c r="B178" s="50">
        <v>4070</v>
      </c>
      <c r="C178" s="50" t="s">
        <v>312</v>
      </c>
      <c r="D178" s="46"/>
      <c r="E178" s="87"/>
    </row>
    <row r="179" spans="1:5" ht="14.25" customHeight="1" x14ac:dyDescent="0.25">
      <c r="A179" s="88" t="s">
        <v>57</v>
      </c>
      <c r="B179" s="50">
        <v>500</v>
      </c>
      <c r="C179" s="50" t="s">
        <v>312</v>
      </c>
      <c r="D179" s="46"/>
      <c r="E179" s="87"/>
    </row>
    <row r="180" spans="1:5" ht="14.25" customHeight="1" x14ac:dyDescent="0.25">
      <c r="A180" s="88" t="s">
        <v>137</v>
      </c>
      <c r="B180" s="50">
        <v>100000</v>
      </c>
      <c r="C180" s="50" t="s">
        <v>312</v>
      </c>
      <c r="D180" s="46"/>
      <c r="E180" s="87"/>
    </row>
    <row r="181" spans="1:5" ht="14.25" customHeight="1" x14ac:dyDescent="0.25">
      <c r="A181" s="88" t="s">
        <v>450</v>
      </c>
      <c r="B181" s="50">
        <v>5000</v>
      </c>
      <c r="C181" s="50" t="s">
        <v>312</v>
      </c>
    </row>
    <row r="182" spans="1:5" ht="14.25" hidden="1" customHeight="1" x14ac:dyDescent="0.25">
      <c r="A182" s="88" t="s">
        <v>218</v>
      </c>
      <c r="B182" s="50">
        <v>18400</v>
      </c>
      <c r="C182" s="50" t="s">
        <v>319</v>
      </c>
      <c r="D182" s="46"/>
    </row>
    <row r="183" spans="1:5" ht="14.25" hidden="1" customHeight="1" x14ac:dyDescent="0.25">
      <c r="A183" s="88" t="s">
        <v>140</v>
      </c>
      <c r="B183" s="50">
        <v>100000</v>
      </c>
      <c r="C183" s="50" t="s">
        <v>316</v>
      </c>
      <c r="D183" s="46"/>
      <c r="E183" s="87"/>
    </row>
    <row r="184" spans="1:5" ht="14.25" customHeight="1" x14ac:dyDescent="0.25">
      <c r="A184" s="218" t="s">
        <v>457</v>
      </c>
      <c r="B184" s="50">
        <v>400</v>
      </c>
      <c r="C184" s="50" t="s">
        <v>312</v>
      </c>
    </row>
    <row r="185" spans="1:5" ht="14.25" customHeight="1" x14ac:dyDescent="0.25">
      <c r="A185" s="218" t="s">
        <v>462</v>
      </c>
      <c r="B185" s="50">
        <v>57000</v>
      </c>
      <c r="C185" s="50" t="s">
        <v>312</v>
      </c>
    </row>
    <row r="186" spans="1:5" ht="14.25" hidden="1" customHeight="1" x14ac:dyDescent="0.25">
      <c r="A186" s="88" t="s">
        <v>241</v>
      </c>
      <c r="B186" s="50">
        <v>56000</v>
      </c>
      <c r="C186" s="50" t="s">
        <v>319</v>
      </c>
      <c r="D186" s="46"/>
    </row>
    <row r="187" spans="1:5" ht="14.25" hidden="1" customHeight="1" x14ac:dyDescent="0.25">
      <c r="A187" s="88" t="s">
        <v>190</v>
      </c>
      <c r="B187" s="50">
        <v>20000</v>
      </c>
      <c r="C187" s="50" t="s">
        <v>319</v>
      </c>
      <c r="D187" s="46"/>
    </row>
    <row r="188" spans="1:5" ht="14.25" customHeight="1" x14ac:dyDescent="0.25">
      <c r="A188" s="88" t="s">
        <v>451</v>
      </c>
      <c r="B188" s="50">
        <v>10800</v>
      </c>
      <c r="C188" s="50" t="s">
        <v>312</v>
      </c>
    </row>
    <row r="189" spans="1:5" ht="14.25" customHeight="1" x14ac:dyDescent="0.25">
      <c r="A189" s="88" t="s">
        <v>332</v>
      </c>
      <c r="B189" s="50">
        <v>8500</v>
      </c>
      <c r="C189" s="50" t="s">
        <v>367</v>
      </c>
    </row>
    <row r="190" spans="1:5" ht="14.25" customHeight="1" x14ac:dyDescent="0.25">
      <c r="A190" s="88" t="s">
        <v>436</v>
      </c>
      <c r="B190" s="50">
        <v>18900</v>
      </c>
      <c r="C190" s="50" t="s">
        <v>367</v>
      </c>
    </row>
    <row r="191" spans="1:5" ht="14.25" customHeight="1" x14ac:dyDescent="0.25">
      <c r="A191" s="88" t="s">
        <v>345</v>
      </c>
      <c r="B191" s="50">
        <v>8400</v>
      </c>
      <c r="C191" s="50" t="s">
        <v>367</v>
      </c>
    </row>
    <row r="192" spans="1:5" ht="14.25" customHeight="1" x14ac:dyDescent="0.25">
      <c r="A192" s="88" t="s">
        <v>354</v>
      </c>
      <c r="B192" s="50">
        <v>8500</v>
      </c>
      <c r="C192" s="50" t="s">
        <v>367</v>
      </c>
    </row>
    <row r="193" spans="1:5" ht="14.25" customHeight="1" x14ac:dyDescent="0.25">
      <c r="A193" s="88" t="s">
        <v>359</v>
      </c>
      <c r="B193" s="50">
        <v>17900</v>
      </c>
      <c r="C193" s="50" t="s">
        <v>367</v>
      </c>
    </row>
    <row r="194" spans="1:5" ht="14.25" customHeight="1" x14ac:dyDescent="0.25">
      <c r="A194" s="88" t="s">
        <v>435</v>
      </c>
      <c r="B194" s="50">
        <v>19000</v>
      </c>
      <c r="C194" s="50" t="s">
        <v>367</v>
      </c>
    </row>
    <row r="195" spans="1:5" ht="14.25" customHeight="1" x14ac:dyDescent="0.25">
      <c r="A195" s="88" t="s">
        <v>364</v>
      </c>
      <c r="B195" s="50">
        <v>55000</v>
      </c>
      <c r="C195" s="50" t="s">
        <v>367</v>
      </c>
    </row>
    <row r="196" spans="1:5" ht="14.25" customHeight="1" x14ac:dyDescent="0.25">
      <c r="A196" s="88" t="s">
        <v>361</v>
      </c>
      <c r="B196" s="50">
        <v>70000</v>
      </c>
      <c r="C196" s="50" t="s">
        <v>367</v>
      </c>
    </row>
    <row r="197" spans="1:5" ht="14.25" customHeight="1" x14ac:dyDescent="0.25">
      <c r="A197" s="88" t="s">
        <v>342</v>
      </c>
      <c r="B197" s="50">
        <v>62000</v>
      </c>
      <c r="C197" s="50" t="s">
        <v>367</v>
      </c>
    </row>
    <row r="198" spans="1:5" ht="14.25" customHeight="1" x14ac:dyDescent="0.25">
      <c r="A198" s="218" t="s">
        <v>461</v>
      </c>
      <c r="B198" s="50">
        <v>8850</v>
      </c>
      <c r="C198" s="50" t="s">
        <v>367</v>
      </c>
    </row>
    <row r="199" spans="1:5" ht="14.25" customHeight="1" x14ac:dyDescent="0.25">
      <c r="A199" s="88" t="s">
        <v>348</v>
      </c>
      <c r="B199" s="50">
        <v>18000</v>
      </c>
      <c r="C199" s="50" t="s">
        <v>367</v>
      </c>
    </row>
    <row r="200" spans="1:5" ht="14.25" customHeight="1" x14ac:dyDescent="0.25">
      <c r="A200" s="88" t="s">
        <v>351</v>
      </c>
      <c r="B200" s="50">
        <v>40000</v>
      </c>
      <c r="C200" s="50" t="s">
        <v>367</v>
      </c>
    </row>
    <row r="201" spans="1:5" ht="14.25" customHeight="1" x14ac:dyDescent="0.25">
      <c r="A201" s="88" t="s">
        <v>356</v>
      </c>
      <c r="B201" s="50">
        <v>34300</v>
      </c>
      <c r="C201" s="50" t="s">
        <v>367</v>
      </c>
    </row>
    <row r="202" spans="1:5" ht="14.25" customHeight="1" x14ac:dyDescent="0.25">
      <c r="A202" s="88" t="s">
        <v>116</v>
      </c>
      <c r="B202" s="50">
        <v>6000</v>
      </c>
      <c r="C202" s="50" t="s">
        <v>312</v>
      </c>
      <c r="D202" s="44"/>
      <c r="E202" s="87"/>
    </row>
    <row r="203" spans="1:5" ht="14.25" hidden="1" customHeight="1" x14ac:dyDescent="0.25">
      <c r="A203" s="88" t="s">
        <v>401</v>
      </c>
      <c r="B203" s="50">
        <v>10100</v>
      </c>
      <c r="C203" s="50" t="s">
        <v>424</v>
      </c>
      <c r="E203" s="90"/>
    </row>
    <row r="204" spans="1:5" ht="14.25" hidden="1" customHeight="1" x14ac:dyDescent="0.25">
      <c r="A204" s="88" t="s">
        <v>404</v>
      </c>
      <c r="B204" s="50">
        <v>10700</v>
      </c>
      <c r="C204" s="50" t="s">
        <v>424</v>
      </c>
      <c r="E204" s="90"/>
    </row>
    <row r="205" spans="1:5" ht="14.25" hidden="1" customHeight="1" x14ac:dyDescent="0.25">
      <c r="A205" s="88" t="s">
        <v>413</v>
      </c>
      <c r="B205" s="50">
        <v>17900</v>
      </c>
      <c r="C205" s="50" t="s">
        <v>424</v>
      </c>
      <c r="E205" s="90"/>
    </row>
    <row r="206" spans="1:5" ht="14.25" hidden="1" customHeight="1" x14ac:dyDescent="0.25">
      <c r="A206" s="88" t="s">
        <v>425</v>
      </c>
      <c r="B206" s="50">
        <v>14300</v>
      </c>
      <c r="C206" s="50" t="s">
        <v>424</v>
      </c>
      <c r="E206" s="90"/>
    </row>
    <row r="207" spans="1:5" ht="14.25" hidden="1" customHeight="1" x14ac:dyDescent="0.25">
      <c r="A207" s="88" t="s">
        <v>395</v>
      </c>
      <c r="B207" s="50">
        <v>9450</v>
      </c>
      <c r="C207" s="50" t="s">
        <v>424</v>
      </c>
      <c r="E207" s="90"/>
    </row>
    <row r="208" spans="1:5" ht="14.25" hidden="1" customHeight="1" x14ac:dyDescent="0.25">
      <c r="A208" s="88" t="s">
        <v>419</v>
      </c>
      <c r="B208" s="50">
        <v>13600</v>
      </c>
      <c r="C208" s="50" t="s">
        <v>424</v>
      </c>
      <c r="E208" s="90"/>
    </row>
    <row r="209" spans="1:5" ht="14.25" hidden="1" customHeight="1" x14ac:dyDescent="0.25">
      <c r="A209" s="88" t="s">
        <v>407</v>
      </c>
      <c r="B209" s="50">
        <v>15000</v>
      </c>
      <c r="C209" s="50" t="s">
        <v>424</v>
      </c>
      <c r="E209" s="90"/>
    </row>
    <row r="210" spans="1:5" ht="14.25" hidden="1" customHeight="1" x14ac:dyDescent="0.25">
      <c r="A210" s="88" t="s">
        <v>410</v>
      </c>
      <c r="B210" s="50">
        <v>12600</v>
      </c>
      <c r="C210" s="50" t="s">
        <v>424</v>
      </c>
      <c r="E210" s="90"/>
    </row>
    <row r="211" spans="1:5" ht="14.25" hidden="1" customHeight="1" x14ac:dyDescent="0.25">
      <c r="A211" s="88" t="s">
        <v>380</v>
      </c>
      <c r="B211" s="50">
        <v>8800</v>
      </c>
      <c r="C211" s="50" t="s">
        <v>424</v>
      </c>
      <c r="E211" s="90"/>
    </row>
    <row r="212" spans="1:5" ht="14.25" hidden="1" customHeight="1" x14ac:dyDescent="0.25">
      <c r="A212" s="88" t="s">
        <v>416</v>
      </c>
      <c r="B212" s="50">
        <v>12700</v>
      </c>
      <c r="C212" s="50" t="s">
        <v>424</v>
      </c>
      <c r="E212" s="90"/>
    </row>
    <row r="213" spans="1:5" ht="14.25" hidden="1" customHeight="1" x14ac:dyDescent="0.25">
      <c r="A213" s="88" t="s">
        <v>398</v>
      </c>
      <c r="B213" s="50">
        <v>11300</v>
      </c>
      <c r="C213" s="50" t="s">
        <v>424</v>
      </c>
      <c r="E213" s="90"/>
    </row>
    <row r="214" spans="1:5" ht="14.25" hidden="1" customHeight="1" x14ac:dyDescent="0.25">
      <c r="A214" s="88" t="s">
        <v>423</v>
      </c>
      <c r="B214" s="50">
        <v>14700</v>
      </c>
      <c r="C214" s="50" t="s">
        <v>424</v>
      </c>
      <c r="E214" s="90"/>
    </row>
    <row r="215" spans="1:5" ht="14.25" hidden="1" customHeight="1" x14ac:dyDescent="0.25">
      <c r="A215" s="88" t="s">
        <v>400</v>
      </c>
      <c r="B215" s="50">
        <v>755</v>
      </c>
      <c r="C215" s="50" t="s">
        <v>424</v>
      </c>
    </row>
    <row r="216" spans="1:5" ht="14.25" hidden="1" customHeight="1" x14ac:dyDescent="0.25">
      <c r="A216" s="88" t="s">
        <v>403</v>
      </c>
      <c r="B216" s="50">
        <v>1310</v>
      </c>
      <c r="C216" s="50" t="s">
        <v>424</v>
      </c>
    </row>
    <row r="217" spans="1:5" ht="14.25" hidden="1" customHeight="1" x14ac:dyDescent="0.25">
      <c r="A217" s="88" t="s">
        <v>412</v>
      </c>
      <c r="B217" s="50">
        <v>1320</v>
      </c>
      <c r="C217" s="50" t="s">
        <v>424</v>
      </c>
    </row>
    <row r="218" spans="1:5" ht="14.25" hidden="1" customHeight="1" x14ac:dyDescent="0.25">
      <c r="A218" s="88" t="s">
        <v>394</v>
      </c>
      <c r="B218" s="50">
        <v>895</v>
      </c>
      <c r="C218" s="50" t="s">
        <v>424</v>
      </c>
    </row>
    <row r="219" spans="1:5" ht="14.25" hidden="1" customHeight="1" x14ac:dyDescent="0.25">
      <c r="A219" s="88" t="s">
        <v>420</v>
      </c>
      <c r="B219" s="50">
        <v>955</v>
      </c>
      <c r="C219" s="50" t="s">
        <v>424</v>
      </c>
    </row>
    <row r="220" spans="1:5" ht="14.25" hidden="1" customHeight="1" x14ac:dyDescent="0.25">
      <c r="A220" s="88" t="s">
        <v>418</v>
      </c>
      <c r="B220" s="50">
        <v>425</v>
      </c>
      <c r="C220" s="50" t="s">
        <v>424</v>
      </c>
    </row>
    <row r="221" spans="1:5" ht="14.25" hidden="1" customHeight="1" x14ac:dyDescent="0.25">
      <c r="A221" s="88" t="s">
        <v>406</v>
      </c>
      <c r="B221" s="50">
        <v>1290</v>
      </c>
      <c r="C221" s="50" t="s">
        <v>424</v>
      </c>
    </row>
    <row r="222" spans="1:5" ht="14.25" hidden="1" customHeight="1" x14ac:dyDescent="0.25">
      <c r="A222" s="88" t="s">
        <v>409</v>
      </c>
      <c r="B222" s="50">
        <v>590</v>
      </c>
      <c r="C222" s="50" t="s">
        <v>424</v>
      </c>
    </row>
    <row r="223" spans="1:5" ht="14.25" hidden="1" customHeight="1" x14ac:dyDescent="0.25">
      <c r="A223" s="88" t="s">
        <v>379</v>
      </c>
      <c r="B223" s="50">
        <v>495</v>
      </c>
      <c r="C223" s="50" t="s">
        <v>424</v>
      </c>
    </row>
    <row r="224" spans="1:5" ht="14.25" hidden="1" customHeight="1" x14ac:dyDescent="0.25">
      <c r="A224" s="88" t="s">
        <v>415</v>
      </c>
      <c r="B224" s="50">
        <v>398</v>
      </c>
      <c r="C224" s="50" t="s">
        <v>424</v>
      </c>
    </row>
    <row r="225" spans="1:5" ht="14.25" hidden="1" customHeight="1" x14ac:dyDescent="0.25">
      <c r="A225" s="88" t="s">
        <v>397</v>
      </c>
      <c r="B225" s="50">
        <v>680</v>
      </c>
      <c r="C225" s="50" t="s">
        <v>424</v>
      </c>
    </row>
    <row r="226" spans="1:5" ht="14.25" hidden="1" customHeight="1" x14ac:dyDescent="0.25">
      <c r="A226" s="88" t="s">
        <v>422</v>
      </c>
      <c r="B226" s="50">
        <v>540</v>
      </c>
      <c r="C226" s="50" t="s">
        <v>424</v>
      </c>
    </row>
    <row r="227" spans="1:5" ht="14.25" customHeight="1" x14ac:dyDescent="0.25">
      <c r="A227" s="88" t="s">
        <v>91</v>
      </c>
      <c r="B227" s="50">
        <v>750</v>
      </c>
      <c r="C227" s="50" t="s">
        <v>312</v>
      </c>
      <c r="D227" s="44"/>
      <c r="E227" s="87"/>
    </row>
    <row r="228" spans="1:5" ht="14.25" hidden="1" customHeight="1" x14ac:dyDescent="0.25">
      <c r="A228" s="218" t="s">
        <v>465</v>
      </c>
      <c r="B228" s="50">
        <v>4690</v>
      </c>
      <c r="C228" s="50" t="s">
        <v>319</v>
      </c>
    </row>
    <row r="229" spans="1:5" ht="14.25" hidden="1" customHeight="1" x14ac:dyDescent="0.25">
      <c r="A229" s="88" t="s">
        <v>194</v>
      </c>
      <c r="B229" s="50">
        <v>10000</v>
      </c>
      <c r="C229" s="50" t="s">
        <v>319</v>
      </c>
      <c r="D229" s="46"/>
    </row>
    <row r="230" spans="1:5" ht="14.25" customHeight="1" x14ac:dyDescent="0.25">
      <c r="A230" s="88" t="s">
        <v>449</v>
      </c>
      <c r="B230" s="50">
        <v>2380</v>
      </c>
      <c r="C230" s="50" t="s">
        <v>312</v>
      </c>
    </row>
    <row r="231" spans="1:5" ht="14.25" customHeight="1" x14ac:dyDescent="0.25">
      <c r="A231" s="88" t="s">
        <v>344</v>
      </c>
      <c r="B231" s="50">
        <v>411</v>
      </c>
      <c r="C231" s="50" t="s">
        <v>367</v>
      </c>
    </row>
    <row r="232" spans="1:5" ht="14.25" customHeight="1" x14ac:dyDescent="0.25">
      <c r="A232" s="88" t="s">
        <v>353</v>
      </c>
      <c r="B232" s="50">
        <v>1510</v>
      </c>
      <c r="C232" s="50" t="s">
        <v>367</v>
      </c>
    </row>
    <row r="233" spans="1:5" ht="14.25" customHeight="1" x14ac:dyDescent="0.25">
      <c r="A233" s="88" t="s">
        <v>358</v>
      </c>
      <c r="B233" s="50">
        <v>1050</v>
      </c>
      <c r="C233" s="50" t="s">
        <v>367</v>
      </c>
    </row>
    <row r="234" spans="1:5" ht="14.25" customHeight="1" x14ac:dyDescent="0.25">
      <c r="A234" s="88" t="s">
        <v>331</v>
      </c>
      <c r="B234" s="50">
        <v>800</v>
      </c>
      <c r="C234" s="50" t="s">
        <v>367</v>
      </c>
    </row>
    <row r="235" spans="1:5" ht="14.25" customHeight="1" x14ac:dyDescent="0.25">
      <c r="A235" s="88" t="s">
        <v>363</v>
      </c>
      <c r="B235" s="50">
        <v>6500</v>
      </c>
      <c r="C235" s="50" t="s">
        <v>367</v>
      </c>
    </row>
    <row r="236" spans="1:5" ht="14.25" customHeight="1" x14ac:dyDescent="0.25">
      <c r="A236" s="88" t="s">
        <v>360</v>
      </c>
      <c r="B236" s="50">
        <v>7500</v>
      </c>
      <c r="C236" s="50" t="s">
        <v>367</v>
      </c>
    </row>
    <row r="237" spans="1:5" ht="14.25" customHeight="1" x14ac:dyDescent="0.25">
      <c r="A237" s="88" t="s">
        <v>341</v>
      </c>
      <c r="B237" s="50">
        <v>2410</v>
      </c>
      <c r="C237" s="50" t="s">
        <v>367</v>
      </c>
    </row>
    <row r="238" spans="1:5" ht="14.25" customHeight="1" x14ac:dyDescent="0.25">
      <c r="A238" s="218" t="s">
        <v>460</v>
      </c>
      <c r="B238" s="50">
        <v>1950</v>
      </c>
      <c r="C238" s="50" t="s">
        <v>367</v>
      </c>
    </row>
    <row r="239" spans="1:5" ht="14.25" customHeight="1" x14ac:dyDescent="0.25">
      <c r="A239" s="88" t="s">
        <v>365</v>
      </c>
      <c r="B239" s="50">
        <v>3370</v>
      </c>
      <c r="C239" s="50" t="s">
        <v>367</v>
      </c>
    </row>
    <row r="240" spans="1:5" ht="14.25" customHeight="1" x14ac:dyDescent="0.25">
      <c r="A240" s="88" t="s">
        <v>347</v>
      </c>
      <c r="B240" s="50">
        <v>1500</v>
      </c>
      <c r="C240" s="50" t="s">
        <v>367</v>
      </c>
    </row>
    <row r="241" spans="1:5" ht="14.25" customHeight="1" x14ac:dyDescent="0.25">
      <c r="A241" s="88" t="s">
        <v>350</v>
      </c>
      <c r="B241" s="50">
        <v>2800</v>
      </c>
      <c r="C241" s="50" t="s">
        <v>367</v>
      </c>
    </row>
    <row r="242" spans="1:5" ht="14.25" customHeight="1" x14ac:dyDescent="0.25">
      <c r="A242" s="88" t="s">
        <v>357</v>
      </c>
      <c r="B242" s="50">
        <v>2500</v>
      </c>
      <c r="C242" s="50" t="s">
        <v>367</v>
      </c>
    </row>
    <row r="243" spans="1:5" ht="14.25" customHeight="1" x14ac:dyDescent="0.25">
      <c r="A243" s="88" t="s">
        <v>49</v>
      </c>
      <c r="B243" s="50">
        <v>6450</v>
      </c>
      <c r="C243" s="50" t="s">
        <v>312</v>
      </c>
      <c r="D243" s="44"/>
      <c r="E243" s="87"/>
    </row>
    <row r="244" spans="1:5" ht="14.25" customHeight="1" x14ac:dyDescent="0.25">
      <c r="A244" s="88" t="s">
        <v>265</v>
      </c>
      <c r="B244" s="50">
        <v>6500</v>
      </c>
      <c r="C244" s="50" t="s">
        <v>311</v>
      </c>
      <c r="D244" s="50"/>
    </row>
    <row r="245" spans="1:5" ht="14.25" hidden="1" customHeight="1" x14ac:dyDescent="0.25">
      <c r="A245" s="218" t="s">
        <v>553</v>
      </c>
      <c r="B245" s="50">
        <v>50000</v>
      </c>
      <c r="C245" s="50"/>
    </row>
    <row r="246" spans="1:5" ht="14.25" hidden="1" customHeight="1" x14ac:dyDescent="0.25">
      <c r="A246" s="88" t="s">
        <v>202</v>
      </c>
      <c r="B246" s="50">
        <v>18700</v>
      </c>
      <c r="C246" s="50" t="s">
        <v>319</v>
      </c>
      <c r="D246" s="46"/>
    </row>
    <row r="247" spans="1:5" ht="14.25" hidden="1" customHeight="1" x14ac:dyDescent="0.25">
      <c r="A247" s="88" t="s">
        <v>217</v>
      </c>
      <c r="B247" s="50">
        <v>21200</v>
      </c>
      <c r="C247" s="50" t="s">
        <v>319</v>
      </c>
      <c r="D247" s="46"/>
    </row>
    <row r="248" spans="1:5" ht="14.25" hidden="1" customHeight="1" x14ac:dyDescent="0.25">
      <c r="A248" s="88" t="s">
        <v>207</v>
      </c>
      <c r="B248" s="50">
        <v>25100</v>
      </c>
      <c r="C248" s="50" t="s">
        <v>319</v>
      </c>
      <c r="D248" s="46"/>
    </row>
    <row r="249" spans="1:5" ht="14.25" hidden="1" customHeight="1" x14ac:dyDescent="0.25">
      <c r="A249" s="88" t="s">
        <v>192</v>
      </c>
      <c r="B249" s="50">
        <v>10000</v>
      </c>
      <c r="C249" s="50" t="s">
        <v>319</v>
      </c>
      <c r="D249" s="46"/>
    </row>
    <row r="250" spans="1:5" ht="14.25" hidden="1" customHeight="1" x14ac:dyDescent="0.25">
      <c r="A250" s="88" t="s">
        <v>188</v>
      </c>
      <c r="B250" s="50">
        <v>7750</v>
      </c>
      <c r="C250" s="50" t="s">
        <v>319</v>
      </c>
      <c r="D250" s="46"/>
    </row>
    <row r="251" spans="1:5" ht="14.25" hidden="1" customHeight="1" x14ac:dyDescent="0.25">
      <c r="A251" s="88" t="s">
        <v>216</v>
      </c>
      <c r="B251" s="50">
        <v>14800</v>
      </c>
      <c r="C251" s="50" t="s">
        <v>319</v>
      </c>
      <c r="D251" s="46"/>
    </row>
    <row r="252" spans="1:5" ht="14.25" hidden="1" customHeight="1" x14ac:dyDescent="0.25">
      <c r="A252" s="88" t="s">
        <v>206</v>
      </c>
      <c r="B252" s="50">
        <v>11700</v>
      </c>
      <c r="C252" s="50" t="s">
        <v>319</v>
      </c>
      <c r="D252" s="46"/>
    </row>
    <row r="253" spans="1:5" ht="14.25" hidden="1" customHeight="1" x14ac:dyDescent="0.25">
      <c r="A253" s="88" t="s">
        <v>305</v>
      </c>
      <c r="B253" s="50">
        <v>126000000</v>
      </c>
      <c r="C253" s="50" t="s">
        <v>318</v>
      </c>
    </row>
    <row r="254" spans="1:5" ht="14.25" customHeight="1" x14ac:dyDescent="0.25">
      <c r="A254" s="88" t="s">
        <v>174</v>
      </c>
      <c r="B254" s="50">
        <v>3770</v>
      </c>
      <c r="C254" s="50" t="s">
        <v>312</v>
      </c>
      <c r="D254" s="46"/>
      <c r="E254" s="87"/>
    </row>
    <row r="255" spans="1:5" ht="14.25" hidden="1" customHeight="1" x14ac:dyDescent="0.25">
      <c r="A255" s="88" t="s">
        <v>176</v>
      </c>
      <c r="B255" s="50">
        <v>650000</v>
      </c>
      <c r="C255" s="50" t="s">
        <v>315</v>
      </c>
      <c r="D255" s="44"/>
      <c r="E255" s="90"/>
    </row>
    <row r="256" spans="1:5" ht="14.25" hidden="1" customHeight="1" x14ac:dyDescent="0.25">
      <c r="A256" s="218" t="s">
        <v>550</v>
      </c>
      <c r="B256" s="50">
        <v>2000000</v>
      </c>
      <c r="C256" s="50"/>
      <c r="E256" s="90"/>
    </row>
    <row r="257" spans="1:5" ht="14.25" hidden="1" customHeight="1" x14ac:dyDescent="0.25">
      <c r="A257" s="88" t="s">
        <v>290</v>
      </c>
      <c r="B257" s="50">
        <v>5000000</v>
      </c>
      <c r="C257" s="50" t="s">
        <v>316</v>
      </c>
      <c r="D257" s="55"/>
      <c r="E257" s="90"/>
    </row>
    <row r="258" spans="1:5" ht="14.25" hidden="1" customHeight="1" x14ac:dyDescent="0.25">
      <c r="A258" s="218" t="s">
        <v>548</v>
      </c>
      <c r="B258" s="50">
        <v>21000000</v>
      </c>
      <c r="C258" s="50"/>
      <c r="E258" s="90"/>
    </row>
    <row r="259" spans="1:5" ht="14.25" hidden="1" customHeight="1" x14ac:dyDescent="0.25">
      <c r="A259" s="218" t="s">
        <v>547</v>
      </c>
      <c r="B259" s="50"/>
      <c r="C259" s="50"/>
      <c r="E259" s="90"/>
    </row>
    <row r="260" spans="1:5" ht="14.25" customHeight="1" x14ac:dyDescent="0.25">
      <c r="A260" s="88" t="s">
        <v>283</v>
      </c>
      <c r="B260" s="50">
        <v>80000</v>
      </c>
      <c r="C260" s="50" t="s">
        <v>312</v>
      </c>
      <c r="D260" s="50"/>
      <c r="E260" s="90"/>
    </row>
    <row r="261" spans="1:5" ht="14.25" customHeight="1" x14ac:dyDescent="0.25">
      <c r="A261" s="88" t="s">
        <v>343</v>
      </c>
      <c r="B261" s="50">
        <v>1200</v>
      </c>
      <c r="C261" s="50" t="s">
        <v>367</v>
      </c>
      <c r="E261" s="90"/>
    </row>
    <row r="262" spans="1:5" ht="14.25" customHeight="1" x14ac:dyDescent="0.25">
      <c r="A262" s="88" t="s">
        <v>352</v>
      </c>
      <c r="B262" s="50">
        <v>4500</v>
      </c>
      <c r="C262" s="50" t="s">
        <v>367</v>
      </c>
      <c r="E262" s="90"/>
    </row>
    <row r="263" spans="1:5" ht="14.25" customHeight="1" x14ac:dyDescent="0.25">
      <c r="A263" s="88" t="s">
        <v>173</v>
      </c>
      <c r="B263" s="50">
        <v>2000</v>
      </c>
      <c r="C263" s="50" t="s">
        <v>367</v>
      </c>
      <c r="D263" s="44"/>
      <c r="E263" s="87"/>
    </row>
    <row r="264" spans="1:5" ht="14.25" customHeight="1" x14ac:dyDescent="0.25">
      <c r="A264" s="88" t="s">
        <v>362</v>
      </c>
      <c r="B264" s="50">
        <v>12000</v>
      </c>
      <c r="C264" s="50" t="s">
        <v>367</v>
      </c>
      <c r="E264" s="90"/>
    </row>
    <row r="265" spans="1:5" ht="14.25" customHeight="1" x14ac:dyDescent="0.25">
      <c r="A265" s="88" t="s">
        <v>308</v>
      </c>
      <c r="B265" s="50">
        <v>26400</v>
      </c>
      <c r="C265" s="50" t="s">
        <v>367</v>
      </c>
      <c r="E265" s="90"/>
    </row>
    <row r="266" spans="1:5" ht="14.25" customHeight="1" x14ac:dyDescent="0.25">
      <c r="A266" s="88" t="s">
        <v>340</v>
      </c>
      <c r="B266" s="50">
        <v>8100</v>
      </c>
      <c r="C266" s="50" t="s">
        <v>367</v>
      </c>
      <c r="E266" s="90"/>
    </row>
    <row r="267" spans="1:5" ht="14.25" customHeight="1" x14ac:dyDescent="0.25">
      <c r="A267" s="88" t="s">
        <v>286</v>
      </c>
      <c r="B267" s="50">
        <v>1270</v>
      </c>
      <c r="C267" s="50" t="s">
        <v>367</v>
      </c>
      <c r="D267" s="50"/>
      <c r="E267" s="90"/>
    </row>
    <row r="268" spans="1:5" ht="14.25" customHeight="1" x14ac:dyDescent="0.25">
      <c r="A268" s="88" t="s">
        <v>346</v>
      </c>
      <c r="B268" s="50">
        <v>4000</v>
      </c>
      <c r="C268" s="50" t="s">
        <v>367</v>
      </c>
      <c r="E268" s="90"/>
    </row>
    <row r="269" spans="1:5" ht="14.25" customHeight="1" x14ac:dyDescent="0.25">
      <c r="A269" s="88" t="s">
        <v>349</v>
      </c>
      <c r="B269" s="50">
        <v>6400</v>
      </c>
      <c r="C269" s="50" t="s">
        <v>367</v>
      </c>
      <c r="E269" s="90"/>
    </row>
    <row r="270" spans="1:5" ht="14.25" customHeight="1" x14ac:dyDescent="0.25">
      <c r="A270" s="88" t="s">
        <v>355</v>
      </c>
      <c r="B270" s="50">
        <v>5400</v>
      </c>
      <c r="C270" s="50" t="s">
        <v>367</v>
      </c>
      <c r="E270" s="90"/>
    </row>
    <row r="271" spans="1:5" ht="14.25" customHeight="1" x14ac:dyDescent="0.25">
      <c r="A271" s="88" t="s">
        <v>438</v>
      </c>
      <c r="B271" s="50">
        <v>2550</v>
      </c>
      <c r="C271" s="50" t="s">
        <v>312</v>
      </c>
      <c r="E271" s="90"/>
    </row>
    <row r="272" spans="1:5" ht="14.25" hidden="1" customHeight="1" x14ac:dyDescent="0.25">
      <c r="A272" s="88" t="s">
        <v>248</v>
      </c>
      <c r="B272" s="50">
        <v>19300</v>
      </c>
      <c r="C272" s="50" t="s">
        <v>319</v>
      </c>
      <c r="D272" s="46"/>
      <c r="E272" s="90"/>
    </row>
    <row r="273" spans="1:5" ht="14.25" hidden="1" customHeight="1" x14ac:dyDescent="0.25">
      <c r="A273" s="88" t="s">
        <v>247</v>
      </c>
      <c r="B273" s="50">
        <v>25900</v>
      </c>
      <c r="C273" s="50" t="s">
        <v>319</v>
      </c>
      <c r="D273" s="46"/>
      <c r="E273" s="90"/>
    </row>
    <row r="274" spans="1:5" ht="14.25" hidden="1" customHeight="1" x14ac:dyDescent="0.25">
      <c r="A274" s="88" t="s">
        <v>239</v>
      </c>
      <c r="B274" s="50">
        <v>21600</v>
      </c>
      <c r="C274" s="50" t="s">
        <v>319</v>
      </c>
      <c r="D274" s="46"/>
      <c r="E274" s="90"/>
    </row>
    <row r="275" spans="1:5" ht="14.25" hidden="1" customHeight="1" x14ac:dyDescent="0.25">
      <c r="A275" s="88" t="s">
        <v>324</v>
      </c>
      <c r="B275" s="50">
        <v>267000</v>
      </c>
      <c r="C275" s="50" t="s">
        <v>319</v>
      </c>
      <c r="E275" s="90"/>
    </row>
    <row r="276" spans="1:5" ht="14.25" hidden="1" customHeight="1" x14ac:dyDescent="0.25">
      <c r="A276" s="88" t="s">
        <v>249</v>
      </c>
      <c r="B276" s="50">
        <v>36700</v>
      </c>
      <c r="C276" s="50" t="s">
        <v>319</v>
      </c>
      <c r="D276" s="46"/>
      <c r="E276" s="90"/>
    </row>
    <row r="277" spans="1:5" ht="14.25" hidden="1" customHeight="1" x14ac:dyDescent="0.25">
      <c r="A277" s="88" t="s">
        <v>242</v>
      </c>
      <c r="B277" s="50">
        <v>22900</v>
      </c>
      <c r="C277" s="50" t="s">
        <v>319</v>
      </c>
      <c r="D277" s="46"/>
      <c r="E277" s="90"/>
    </row>
    <row r="278" spans="1:5" ht="14.25" hidden="1" customHeight="1" x14ac:dyDescent="0.25">
      <c r="A278" s="88" t="s">
        <v>243</v>
      </c>
      <c r="B278" s="50">
        <v>25200</v>
      </c>
      <c r="C278" s="50" t="s">
        <v>319</v>
      </c>
      <c r="D278" s="46"/>
      <c r="E278" s="90"/>
    </row>
    <row r="279" spans="1:5" ht="14.25" hidden="1" customHeight="1" x14ac:dyDescent="0.25">
      <c r="A279" s="88" t="s">
        <v>246</v>
      </c>
      <c r="B279" s="50">
        <v>200000</v>
      </c>
      <c r="C279" s="50" t="s">
        <v>319</v>
      </c>
      <c r="D279" s="46"/>
      <c r="E279" s="90"/>
    </row>
    <row r="280" spans="1:5" ht="14.25" hidden="1" customHeight="1" x14ac:dyDescent="0.25">
      <c r="A280" s="88" t="s">
        <v>244</v>
      </c>
      <c r="B280" s="50">
        <v>200000</v>
      </c>
      <c r="C280" s="50" t="s">
        <v>319</v>
      </c>
      <c r="D280" s="46"/>
      <c r="E280" s="90"/>
    </row>
    <row r="281" spans="1:5" ht="14.25" hidden="1" customHeight="1" x14ac:dyDescent="0.25">
      <c r="A281" s="88" t="s">
        <v>240</v>
      </c>
      <c r="B281" s="50">
        <v>200000</v>
      </c>
      <c r="C281" s="50" t="s">
        <v>319</v>
      </c>
      <c r="D281" s="46"/>
      <c r="E281" s="90"/>
    </row>
    <row r="282" spans="1:5" ht="14.25" hidden="1" customHeight="1" x14ac:dyDescent="0.25">
      <c r="A282" s="88" t="s">
        <v>322</v>
      </c>
      <c r="B282" s="50">
        <v>338000</v>
      </c>
      <c r="C282" s="50" t="s">
        <v>319</v>
      </c>
      <c r="E282" s="90"/>
    </row>
    <row r="283" spans="1:5" ht="14.25" hidden="1" customHeight="1" x14ac:dyDescent="0.25">
      <c r="A283" s="88" t="s">
        <v>325</v>
      </c>
      <c r="B283" s="50">
        <v>39400</v>
      </c>
      <c r="C283" s="50" t="s">
        <v>319</v>
      </c>
      <c r="E283" s="90"/>
    </row>
    <row r="284" spans="1:5" ht="14.25" hidden="1" customHeight="1" x14ac:dyDescent="0.25">
      <c r="A284" s="88" t="s">
        <v>98</v>
      </c>
      <c r="B284" s="50">
        <v>200</v>
      </c>
      <c r="C284" s="50" t="s">
        <v>316</v>
      </c>
      <c r="D284" s="46"/>
      <c r="E284" s="87"/>
    </row>
    <row r="285" spans="1:5" ht="14.25" hidden="1" customHeight="1" x14ac:dyDescent="0.25">
      <c r="A285" s="88" t="s">
        <v>177</v>
      </c>
      <c r="B285" s="50">
        <v>18600</v>
      </c>
      <c r="C285" s="50" t="s">
        <v>315</v>
      </c>
      <c r="D285" s="44"/>
      <c r="E285" s="90"/>
    </row>
    <row r="286" spans="1:5" ht="14.25" customHeight="1" x14ac:dyDescent="0.25">
      <c r="A286" s="88" t="s">
        <v>17</v>
      </c>
      <c r="B286" s="50">
        <v>2010</v>
      </c>
      <c r="C286" s="50" t="s">
        <v>312</v>
      </c>
      <c r="D286" s="44"/>
      <c r="E286" s="87"/>
    </row>
    <row r="287" spans="1:5" ht="14.25" customHeight="1" x14ac:dyDescent="0.25">
      <c r="A287" s="88" t="s">
        <v>36</v>
      </c>
      <c r="B287" s="50">
        <v>4760</v>
      </c>
      <c r="C287" s="50" t="s">
        <v>312</v>
      </c>
      <c r="D287" s="44"/>
      <c r="E287" s="87"/>
    </row>
    <row r="288" spans="1:5" ht="14.25" customHeight="1" x14ac:dyDescent="0.25">
      <c r="A288" s="88" t="s">
        <v>12</v>
      </c>
      <c r="B288" s="50">
        <v>8600</v>
      </c>
      <c r="C288" s="50" t="s">
        <v>312</v>
      </c>
      <c r="D288" s="44"/>
      <c r="E288" s="87"/>
    </row>
    <row r="289" spans="1:5" ht="14.25" customHeight="1" x14ac:dyDescent="0.25">
      <c r="A289" s="88" t="s">
        <v>51</v>
      </c>
      <c r="B289" s="50">
        <v>19800</v>
      </c>
      <c r="C289" s="50" t="s">
        <v>312</v>
      </c>
      <c r="D289" s="44"/>
      <c r="E289" s="87"/>
    </row>
    <row r="290" spans="1:5" ht="14.25" customHeight="1" x14ac:dyDescent="0.25">
      <c r="A290" s="88" t="s">
        <v>62</v>
      </c>
      <c r="B290" s="50">
        <v>2710</v>
      </c>
      <c r="C290" s="50" t="s">
        <v>312</v>
      </c>
      <c r="D290" s="44"/>
      <c r="E290" s="87"/>
    </row>
    <row r="291" spans="1:5" ht="14.25" customHeight="1" x14ac:dyDescent="0.25">
      <c r="A291" s="88" t="s">
        <v>41</v>
      </c>
      <c r="B291" s="50">
        <v>1940</v>
      </c>
      <c r="C291" s="50" t="s">
        <v>312</v>
      </c>
      <c r="D291" s="44"/>
      <c r="E291" s="87"/>
    </row>
    <row r="292" spans="1:5" ht="14.25" hidden="1" customHeight="1" x14ac:dyDescent="0.25">
      <c r="A292" s="218" t="s">
        <v>549</v>
      </c>
      <c r="B292" s="50">
        <f>810000/15</f>
        <v>54000</v>
      </c>
      <c r="C292" s="50"/>
      <c r="E292" s="90"/>
    </row>
    <row r="293" spans="1:5" ht="14.25" customHeight="1" x14ac:dyDescent="0.25">
      <c r="A293" s="88" t="s">
        <v>115</v>
      </c>
      <c r="B293" s="50">
        <v>79000</v>
      </c>
      <c r="C293" s="50" t="s">
        <v>312</v>
      </c>
      <c r="D293" s="44"/>
      <c r="E293" s="87"/>
    </row>
    <row r="294" spans="1:5" ht="14.25" hidden="1" customHeight="1" x14ac:dyDescent="0.25">
      <c r="A294" s="88" t="s">
        <v>203</v>
      </c>
      <c r="B294" s="50">
        <v>9950</v>
      </c>
      <c r="C294" s="50" t="s">
        <v>319</v>
      </c>
      <c r="D294" s="46"/>
      <c r="E294" s="90"/>
    </row>
    <row r="295" spans="1:5" ht="14.25" hidden="1" customHeight="1" x14ac:dyDescent="0.25">
      <c r="A295" s="88" t="s">
        <v>236</v>
      </c>
      <c r="B295" s="50">
        <v>39100</v>
      </c>
      <c r="C295" s="50" t="s">
        <v>319</v>
      </c>
      <c r="D295" s="46"/>
      <c r="E295" s="90"/>
    </row>
    <row r="296" spans="1:5" ht="14.25" hidden="1" customHeight="1" x14ac:dyDescent="0.25">
      <c r="A296" s="88" t="s">
        <v>255</v>
      </c>
      <c r="B296" s="50">
        <v>78000</v>
      </c>
      <c r="C296" s="50" t="s">
        <v>315</v>
      </c>
      <c r="D296" s="44"/>
      <c r="E296" s="87"/>
    </row>
    <row r="297" spans="1:5" ht="14.25" hidden="1" customHeight="1" x14ac:dyDescent="0.25">
      <c r="A297" s="88" t="s">
        <v>245</v>
      </c>
      <c r="B297" s="50">
        <v>29800</v>
      </c>
      <c r="C297" s="50" t="s">
        <v>319</v>
      </c>
      <c r="D297" s="46"/>
      <c r="E297" s="90"/>
    </row>
    <row r="298" spans="1:5" ht="14.25" customHeight="1" x14ac:dyDescent="0.25">
      <c r="A298" s="88" t="s">
        <v>24</v>
      </c>
      <c r="B298" s="50">
        <v>7500</v>
      </c>
      <c r="C298" s="50" t="s">
        <v>312</v>
      </c>
      <c r="D298" s="44"/>
      <c r="E298" s="87"/>
    </row>
    <row r="299" spans="1:5" ht="14.25" hidden="1" customHeight="1" x14ac:dyDescent="0.25">
      <c r="A299" s="88" t="s">
        <v>21</v>
      </c>
      <c r="B299" s="50">
        <v>92500</v>
      </c>
      <c r="C299" s="50" t="s">
        <v>522</v>
      </c>
      <c r="D299" s="44"/>
      <c r="E299" s="87"/>
    </row>
    <row r="300" spans="1:5" ht="14.25" hidden="1" customHeight="1" x14ac:dyDescent="0.25">
      <c r="A300" s="88" t="s">
        <v>128</v>
      </c>
      <c r="B300" s="50">
        <v>92500</v>
      </c>
      <c r="C300" s="50" t="s">
        <v>522</v>
      </c>
      <c r="D300" s="44"/>
      <c r="E300" s="87"/>
    </row>
    <row r="301" spans="1:5" ht="14.25" hidden="1" customHeight="1" x14ac:dyDescent="0.25">
      <c r="A301" s="88" t="s">
        <v>110</v>
      </c>
      <c r="B301" s="50">
        <v>6850</v>
      </c>
      <c r="C301" s="50" t="s">
        <v>522</v>
      </c>
      <c r="D301" s="44"/>
      <c r="E301" s="87"/>
    </row>
    <row r="302" spans="1:5" ht="14.25" hidden="1" customHeight="1" x14ac:dyDescent="0.25">
      <c r="A302" s="88" t="s">
        <v>29</v>
      </c>
      <c r="B302" s="50">
        <v>92500</v>
      </c>
      <c r="C302" s="50" t="s">
        <v>522</v>
      </c>
      <c r="D302" s="44"/>
      <c r="E302" s="87"/>
    </row>
    <row r="303" spans="1:5" ht="14.25" hidden="1" customHeight="1" x14ac:dyDescent="0.25">
      <c r="A303" s="88" t="s">
        <v>25</v>
      </c>
      <c r="B303" s="50">
        <v>92500</v>
      </c>
      <c r="C303" s="50" t="s">
        <v>522</v>
      </c>
      <c r="D303" s="44"/>
      <c r="E303" s="87"/>
    </row>
    <row r="304" spans="1:5" ht="14.25" hidden="1" customHeight="1" x14ac:dyDescent="0.25">
      <c r="A304" s="88" t="s">
        <v>125</v>
      </c>
      <c r="B304" s="50">
        <v>92500</v>
      </c>
      <c r="C304" s="50" t="s">
        <v>522</v>
      </c>
      <c r="D304" s="44"/>
      <c r="E304" s="87"/>
    </row>
    <row r="305" spans="1:5" ht="14.25" hidden="1" customHeight="1" x14ac:dyDescent="0.25">
      <c r="A305" s="88" t="s">
        <v>119</v>
      </c>
      <c r="B305" s="50">
        <v>92500</v>
      </c>
      <c r="C305" s="50" t="s">
        <v>522</v>
      </c>
      <c r="D305" s="44"/>
      <c r="E305" s="87"/>
    </row>
    <row r="306" spans="1:5" ht="14.25" hidden="1" customHeight="1" x14ac:dyDescent="0.25">
      <c r="A306" s="88" t="s">
        <v>102</v>
      </c>
      <c r="B306" s="50">
        <v>20200</v>
      </c>
      <c r="C306" s="50" t="s">
        <v>522</v>
      </c>
      <c r="D306" s="44"/>
      <c r="E306" s="87"/>
    </row>
    <row r="307" spans="1:5" ht="14.25" hidden="1" customHeight="1" x14ac:dyDescent="0.25">
      <c r="A307" s="88" t="s">
        <v>170</v>
      </c>
      <c r="B307" s="50">
        <v>39900</v>
      </c>
      <c r="C307" s="50" t="s">
        <v>522</v>
      </c>
      <c r="D307" s="44"/>
      <c r="E307" s="87"/>
    </row>
    <row r="308" spans="1:5" ht="14.25" hidden="1" customHeight="1" x14ac:dyDescent="0.25">
      <c r="A308" s="88" t="s">
        <v>107</v>
      </c>
      <c r="B308" s="50">
        <v>92000</v>
      </c>
      <c r="C308" s="50" t="s">
        <v>522</v>
      </c>
      <c r="D308" s="44"/>
      <c r="E308" s="87"/>
    </row>
    <row r="309" spans="1:5" ht="14.25" hidden="1" customHeight="1" x14ac:dyDescent="0.25">
      <c r="A309" s="218" t="s">
        <v>551</v>
      </c>
      <c r="B309" s="50">
        <v>100000</v>
      </c>
      <c r="C309" s="50"/>
      <c r="E309" s="90"/>
    </row>
    <row r="310" spans="1:5" ht="14.25" hidden="1" customHeight="1" x14ac:dyDescent="0.25">
      <c r="A310" s="88" t="s">
        <v>13</v>
      </c>
      <c r="B310" s="50">
        <v>3320</v>
      </c>
      <c r="C310" s="50" t="s">
        <v>315</v>
      </c>
      <c r="E310" s="87"/>
    </row>
    <row r="311" spans="1:5" ht="14.25" hidden="1" customHeight="1" x14ac:dyDescent="0.25">
      <c r="A311" s="88" t="s">
        <v>113</v>
      </c>
      <c r="B311" s="50">
        <v>240000</v>
      </c>
      <c r="C311" s="50" t="s">
        <v>315</v>
      </c>
      <c r="E311" s="87"/>
    </row>
    <row r="312" spans="1:5" ht="14.25" hidden="1" customHeight="1" x14ac:dyDescent="0.25">
      <c r="A312" s="88" t="s">
        <v>26</v>
      </c>
      <c r="B312" s="50">
        <v>2730</v>
      </c>
      <c r="C312" s="50" t="s">
        <v>315</v>
      </c>
      <c r="E312" s="87"/>
    </row>
    <row r="313" spans="1:5" ht="14.25" hidden="1" customHeight="1" x14ac:dyDescent="0.25">
      <c r="A313" s="88" t="s">
        <v>306</v>
      </c>
      <c r="B313" s="50">
        <v>114000000</v>
      </c>
      <c r="C313" s="50" t="s">
        <v>318</v>
      </c>
      <c r="E313" s="90"/>
    </row>
    <row r="314" spans="1:5" ht="14.25" customHeight="1" x14ac:dyDescent="0.25">
      <c r="A314" s="88" t="s">
        <v>284</v>
      </c>
      <c r="B314" s="50">
        <v>13500</v>
      </c>
      <c r="C314" s="50" t="s">
        <v>312</v>
      </c>
      <c r="D314" s="50"/>
      <c r="E314" s="90"/>
    </row>
    <row r="315" spans="1:5" ht="14.25" hidden="1" customHeight="1" x14ac:dyDescent="0.25">
      <c r="A315" s="88" t="s">
        <v>215</v>
      </c>
      <c r="B315" s="50">
        <v>17000</v>
      </c>
      <c r="C315" s="50" t="s">
        <v>319</v>
      </c>
      <c r="D315" s="46"/>
      <c r="E315" s="90"/>
    </row>
    <row r="316" spans="1:5" ht="14.25" hidden="1" customHeight="1" x14ac:dyDescent="0.25">
      <c r="A316" s="88" t="s">
        <v>234</v>
      </c>
      <c r="B316" s="50">
        <v>31500</v>
      </c>
      <c r="C316" s="50" t="s">
        <v>319</v>
      </c>
      <c r="D316" s="46"/>
      <c r="E316" s="90"/>
    </row>
    <row r="317" spans="1:5" ht="14.25" hidden="1" customHeight="1" x14ac:dyDescent="0.25">
      <c r="A317" s="88" t="s">
        <v>211</v>
      </c>
      <c r="B317" s="50">
        <v>33100</v>
      </c>
      <c r="C317" s="50" t="s">
        <v>319</v>
      </c>
      <c r="D317" s="46"/>
      <c r="E317" s="90"/>
    </row>
    <row r="318" spans="1:5" ht="14.25" hidden="1" customHeight="1" x14ac:dyDescent="0.25">
      <c r="A318" s="88" t="s">
        <v>235</v>
      </c>
      <c r="B318" s="50">
        <v>27300</v>
      </c>
      <c r="C318" s="50" t="s">
        <v>319</v>
      </c>
      <c r="D318" s="46"/>
      <c r="E318" s="90"/>
    </row>
    <row r="319" spans="1:5" ht="14.25" hidden="1" customHeight="1" x14ac:dyDescent="0.25">
      <c r="A319" s="88" t="s">
        <v>209</v>
      </c>
      <c r="B319" s="50">
        <v>41000</v>
      </c>
      <c r="C319" s="50" t="s">
        <v>319</v>
      </c>
      <c r="D319" s="46"/>
      <c r="E319" s="90"/>
    </row>
    <row r="320" spans="1:5" ht="14.25" hidden="1" customHeight="1" x14ac:dyDescent="0.25">
      <c r="A320" s="88" t="s">
        <v>14</v>
      </c>
      <c r="B320" s="50">
        <v>6800</v>
      </c>
      <c r="C320" s="50" t="s">
        <v>523</v>
      </c>
      <c r="D320" s="44" t="s">
        <v>256</v>
      </c>
      <c r="E320" s="87"/>
    </row>
    <row r="321" spans="1:5" ht="14.25" hidden="1" customHeight="1" x14ac:dyDescent="0.25">
      <c r="A321" s="88" t="s">
        <v>18</v>
      </c>
      <c r="B321" s="50">
        <v>9500</v>
      </c>
      <c r="C321" s="50" t="s">
        <v>523</v>
      </c>
      <c r="D321" s="44" t="s">
        <v>257</v>
      </c>
      <c r="E321" s="87"/>
    </row>
    <row r="322" spans="1:5" ht="14.25" hidden="1" customHeight="1" x14ac:dyDescent="0.25">
      <c r="A322" s="88" t="s">
        <v>22</v>
      </c>
      <c r="B322" s="50">
        <v>8700</v>
      </c>
      <c r="C322" s="50" t="s">
        <v>523</v>
      </c>
      <c r="D322" s="44" t="s">
        <v>258</v>
      </c>
      <c r="E322" s="87"/>
    </row>
    <row r="323" spans="1:5" ht="14.25" hidden="1" customHeight="1" x14ac:dyDescent="0.25">
      <c r="A323" s="88" t="s">
        <v>27</v>
      </c>
      <c r="B323" s="50">
        <v>12000</v>
      </c>
      <c r="C323" s="50" t="s">
        <v>523</v>
      </c>
      <c r="D323" s="44" t="s">
        <v>259</v>
      </c>
      <c r="E323" s="87"/>
    </row>
    <row r="324" spans="1:5" ht="14.25" hidden="1" customHeight="1" x14ac:dyDescent="0.25">
      <c r="A324" s="88" t="s">
        <v>31</v>
      </c>
      <c r="B324" s="50">
        <v>10000</v>
      </c>
      <c r="C324" s="50" t="s">
        <v>523</v>
      </c>
      <c r="D324" s="44" t="s">
        <v>260</v>
      </c>
      <c r="E324" s="87"/>
    </row>
    <row r="325" spans="1:5" ht="14.25" hidden="1" customHeight="1" x14ac:dyDescent="0.25">
      <c r="A325" s="88" t="s">
        <v>28</v>
      </c>
      <c r="B325" s="50">
        <v>48400</v>
      </c>
      <c r="C325" s="50" t="s">
        <v>523</v>
      </c>
      <c r="D325" s="44"/>
      <c r="E325" s="87"/>
    </row>
    <row r="326" spans="1:5" ht="14.25" hidden="1" customHeight="1" x14ac:dyDescent="0.25">
      <c r="A326" s="88" t="s">
        <v>38</v>
      </c>
      <c r="B326" s="50">
        <v>56500</v>
      </c>
      <c r="C326" s="50" t="s">
        <v>523</v>
      </c>
      <c r="D326" s="44"/>
      <c r="E326" s="87"/>
    </row>
    <row r="327" spans="1:5" ht="14.25" hidden="1" customHeight="1" x14ac:dyDescent="0.25">
      <c r="A327" s="88" t="s">
        <v>48</v>
      </c>
      <c r="B327" s="50">
        <v>57000</v>
      </c>
      <c r="C327" s="50" t="s">
        <v>523</v>
      </c>
      <c r="D327" s="44"/>
      <c r="E327" s="87"/>
    </row>
    <row r="328" spans="1:5" ht="14.25" hidden="1" customHeight="1" x14ac:dyDescent="0.25">
      <c r="A328" s="88" t="s">
        <v>10</v>
      </c>
      <c r="B328" s="50">
        <v>13100</v>
      </c>
      <c r="C328" s="50" t="s">
        <v>523</v>
      </c>
      <c r="D328" s="44"/>
      <c r="E328" s="87"/>
    </row>
    <row r="329" spans="1:5" ht="14.25" hidden="1" customHeight="1" x14ac:dyDescent="0.25">
      <c r="A329" s="88" t="s">
        <v>15</v>
      </c>
      <c r="B329" s="50">
        <v>20700</v>
      </c>
      <c r="C329" s="50" t="s">
        <v>523</v>
      </c>
      <c r="D329" s="44"/>
      <c r="E329" s="87"/>
    </row>
    <row r="330" spans="1:5" ht="14.25" hidden="1" customHeight="1" x14ac:dyDescent="0.25">
      <c r="A330" s="88" t="s">
        <v>71</v>
      </c>
      <c r="B330" s="50">
        <v>3400</v>
      </c>
      <c r="C330" s="50" t="s">
        <v>521</v>
      </c>
      <c r="D330" s="44"/>
      <c r="E330" s="87"/>
    </row>
    <row r="331" spans="1:5" ht="14.25" hidden="1" customHeight="1" x14ac:dyDescent="0.25">
      <c r="A331" s="88" t="s">
        <v>61</v>
      </c>
      <c r="B331" s="50">
        <v>3240</v>
      </c>
      <c r="C331" s="50" t="s">
        <v>521</v>
      </c>
      <c r="D331" s="44"/>
      <c r="E331" s="87"/>
    </row>
    <row r="332" spans="1:5" ht="14.25" hidden="1" customHeight="1" x14ac:dyDescent="0.25">
      <c r="A332" s="88" t="s">
        <v>68</v>
      </c>
      <c r="B332" s="50">
        <v>7500</v>
      </c>
      <c r="C332" s="50" t="s">
        <v>521</v>
      </c>
      <c r="D332" s="44"/>
      <c r="E332" s="87"/>
    </row>
    <row r="333" spans="1:5" ht="14.25" hidden="1" customHeight="1" x14ac:dyDescent="0.25">
      <c r="A333" s="88" t="s">
        <v>85</v>
      </c>
      <c r="B333" s="50">
        <v>980</v>
      </c>
      <c r="C333" s="50" t="s">
        <v>521</v>
      </c>
      <c r="D333" s="44"/>
      <c r="E333" s="87"/>
    </row>
    <row r="334" spans="1:5" ht="14.25" customHeight="1" x14ac:dyDescent="0.25">
      <c r="A334" s="88" t="s">
        <v>575</v>
      </c>
      <c r="B334" s="50">
        <v>1400</v>
      </c>
      <c r="C334" s="50" t="s">
        <v>367</v>
      </c>
    </row>
    <row r="335" spans="1:5" ht="14.25" hidden="1" customHeight="1" x14ac:dyDescent="0.25">
      <c r="A335" s="88" t="s">
        <v>65</v>
      </c>
      <c r="B335" s="50">
        <v>6150</v>
      </c>
      <c r="C335" s="50" t="s">
        <v>521</v>
      </c>
      <c r="D335" s="44"/>
      <c r="E335" s="87"/>
    </row>
    <row r="336" spans="1:5" ht="14.25" hidden="1" customHeight="1" x14ac:dyDescent="0.25">
      <c r="A336" s="88" t="s">
        <v>55</v>
      </c>
      <c r="B336" s="50">
        <v>8050</v>
      </c>
      <c r="C336" s="50" t="s">
        <v>521</v>
      </c>
      <c r="D336" s="44"/>
      <c r="E336" s="87"/>
    </row>
    <row r="337" spans="1:5" ht="14.25" hidden="1" customHeight="1" x14ac:dyDescent="0.25">
      <c r="A337" s="88" t="s">
        <v>112</v>
      </c>
      <c r="B337" s="50">
        <v>21000</v>
      </c>
      <c r="C337" s="50" t="s">
        <v>521</v>
      </c>
      <c r="D337" s="44"/>
      <c r="E337" s="87"/>
    </row>
    <row r="338" spans="1:5" ht="14.25" hidden="1" customHeight="1" x14ac:dyDescent="0.25">
      <c r="A338" s="88" t="s">
        <v>172</v>
      </c>
      <c r="B338" s="50">
        <v>229000</v>
      </c>
      <c r="C338" s="50" t="s">
        <v>315</v>
      </c>
      <c r="D338" s="44"/>
      <c r="E338" s="90"/>
    </row>
    <row r="339" spans="1:5" ht="14.25" hidden="1" customHeight="1" x14ac:dyDescent="0.25">
      <c r="A339" s="88" t="s">
        <v>212</v>
      </c>
      <c r="B339" s="50">
        <v>13700</v>
      </c>
      <c r="C339" s="50" t="s">
        <v>319</v>
      </c>
      <c r="D339" s="46"/>
      <c r="E339" s="90"/>
    </row>
    <row r="340" spans="1:5" ht="14.25" hidden="1" customHeight="1" x14ac:dyDescent="0.25">
      <c r="A340" s="88" t="s">
        <v>399</v>
      </c>
      <c r="B340" s="50">
        <v>1880</v>
      </c>
      <c r="C340" s="50" t="s">
        <v>424</v>
      </c>
      <c r="E340" s="90"/>
    </row>
    <row r="341" spans="1:5" ht="14.25" hidden="1" customHeight="1" x14ac:dyDescent="0.25">
      <c r="A341" s="88" t="s">
        <v>402</v>
      </c>
      <c r="B341" s="50">
        <v>2410</v>
      </c>
      <c r="C341" s="50" t="s">
        <v>424</v>
      </c>
      <c r="E341" s="90"/>
    </row>
    <row r="342" spans="1:5" ht="14.25" hidden="1" customHeight="1" x14ac:dyDescent="0.25">
      <c r="A342" s="88" t="s">
        <v>411</v>
      </c>
      <c r="B342" s="50">
        <v>3890</v>
      </c>
      <c r="C342" s="50" t="s">
        <v>424</v>
      </c>
      <c r="E342" s="90"/>
    </row>
    <row r="343" spans="1:5" ht="14.25" hidden="1" customHeight="1" x14ac:dyDescent="0.25">
      <c r="A343" s="88" t="s">
        <v>426</v>
      </c>
      <c r="B343" s="50">
        <v>9200</v>
      </c>
      <c r="C343" s="50" t="s">
        <v>424</v>
      </c>
      <c r="E343" s="90"/>
    </row>
    <row r="344" spans="1:5" ht="14.25" hidden="1" customHeight="1" x14ac:dyDescent="0.25">
      <c r="A344" s="88" t="s">
        <v>393</v>
      </c>
      <c r="B344" s="50">
        <v>1720</v>
      </c>
      <c r="C344" s="50" t="s">
        <v>424</v>
      </c>
      <c r="E344" s="90"/>
    </row>
    <row r="345" spans="1:5" ht="14.25" hidden="1" customHeight="1" x14ac:dyDescent="0.25">
      <c r="A345" s="88" t="s">
        <v>417</v>
      </c>
      <c r="B345" s="50">
        <v>1360</v>
      </c>
      <c r="C345" s="50" t="s">
        <v>424</v>
      </c>
      <c r="E345" s="90"/>
    </row>
    <row r="346" spans="1:5" ht="14.25" hidden="1" customHeight="1" x14ac:dyDescent="0.25">
      <c r="A346" s="219" t="s">
        <v>58</v>
      </c>
      <c r="B346" s="50">
        <v>8200</v>
      </c>
      <c r="C346" s="50" t="s">
        <v>521</v>
      </c>
      <c r="D346" s="44"/>
      <c r="E346" s="87"/>
    </row>
    <row r="347" spans="1:5" ht="14.25" hidden="1" customHeight="1" x14ac:dyDescent="0.25">
      <c r="A347" s="219" t="s">
        <v>405</v>
      </c>
      <c r="B347" s="50">
        <v>3000</v>
      </c>
      <c r="C347" s="50" t="s">
        <v>424</v>
      </c>
      <c r="E347" s="90"/>
    </row>
    <row r="348" spans="1:5" ht="14.25" hidden="1" customHeight="1" x14ac:dyDescent="0.25">
      <c r="A348" s="219" t="s">
        <v>378</v>
      </c>
      <c r="B348" s="50">
        <v>1180</v>
      </c>
      <c r="C348" s="50" t="s">
        <v>424</v>
      </c>
      <c r="E348" s="90"/>
    </row>
    <row r="349" spans="1:5" ht="14.25" hidden="1" customHeight="1" x14ac:dyDescent="0.25">
      <c r="A349" s="219" t="s">
        <v>414</v>
      </c>
      <c r="B349" s="50">
        <v>1590</v>
      </c>
      <c r="C349" s="50" t="s">
        <v>424</v>
      </c>
      <c r="E349" s="90"/>
    </row>
    <row r="350" spans="1:5" ht="14.25" hidden="1" customHeight="1" x14ac:dyDescent="0.25">
      <c r="A350" s="219" t="s">
        <v>396</v>
      </c>
      <c r="B350" s="50">
        <v>1550</v>
      </c>
      <c r="C350" s="50" t="s">
        <v>424</v>
      </c>
      <c r="E350" s="90"/>
    </row>
    <row r="351" spans="1:5" ht="14.25" hidden="1" customHeight="1" x14ac:dyDescent="0.25">
      <c r="A351" s="219" t="s">
        <v>421</v>
      </c>
      <c r="B351" s="50">
        <v>1810</v>
      </c>
      <c r="C351" s="50" t="s">
        <v>424</v>
      </c>
      <c r="E351" s="90"/>
    </row>
    <row r="352" spans="1:5" ht="14.25" hidden="1" customHeight="1" x14ac:dyDescent="0.25">
      <c r="A352" s="219" t="s">
        <v>224</v>
      </c>
      <c r="B352" s="50">
        <v>22500</v>
      </c>
      <c r="C352" s="50" t="s">
        <v>319</v>
      </c>
      <c r="D352" s="46"/>
      <c r="E352" s="90"/>
    </row>
    <row r="353" spans="1:5" ht="14.25" hidden="1" customHeight="1" x14ac:dyDescent="0.25">
      <c r="A353" s="90" t="s">
        <v>464</v>
      </c>
      <c r="B353" s="50">
        <v>9500</v>
      </c>
      <c r="C353" s="50" t="s">
        <v>319</v>
      </c>
      <c r="E353" s="90"/>
    </row>
    <row r="354" spans="1:5" ht="14.25" hidden="1" customHeight="1" x14ac:dyDescent="0.25">
      <c r="A354" s="219" t="s">
        <v>223</v>
      </c>
      <c r="B354" s="50">
        <v>23200</v>
      </c>
      <c r="C354" s="50" t="s">
        <v>319</v>
      </c>
      <c r="D354" s="46"/>
      <c r="E354" s="90"/>
    </row>
    <row r="355" spans="1:5" ht="14.25" hidden="1" customHeight="1" x14ac:dyDescent="0.25">
      <c r="A355" s="90" t="s">
        <v>466</v>
      </c>
      <c r="B355" s="50">
        <v>23600</v>
      </c>
      <c r="C355" s="50" t="s">
        <v>319</v>
      </c>
      <c r="E355" s="90"/>
    </row>
    <row r="356" spans="1:5" ht="14.25" hidden="1" customHeight="1" x14ac:dyDescent="0.25">
      <c r="A356" s="219" t="s">
        <v>210</v>
      </c>
      <c r="B356" s="50">
        <v>35700</v>
      </c>
      <c r="C356" s="50" t="s">
        <v>319</v>
      </c>
      <c r="D356" s="46"/>
      <c r="E356" s="90"/>
    </row>
    <row r="357" spans="1:5" ht="14.25" customHeight="1" x14ac:dyDescent="0.25">
      <c r="A357" s="219" t="s">
        <v>443</v>
      </c>
      <c r="B357" s="50">
        <v>1690</v>
      </c>
      <c r="C357" s="50" t="s">
        <v>312</v>
      </c>
      <c r="E357" s="90"/>
    </row>
    <row r="358" spans="1:5" ht="14.25" customHeight="1" x14ac:dyDescent="0.25">
      <c r="A358" s="219" t="s">
        <v>444</v>
      </c>
      <c r="B358" s="50">
        <v>2000</v>
      </c>
      <c r="C358" s="50" t="s">
        <v>312</v>
      </c>
      <c r="E358" s="90"/>
    </row>
    <row r="359" spans="1:5" ht="14.25" hidden="1" customHeight="1" x14ac:dyDescent="0.25">
      <c r="A359" s="219" t="s">
        <v>201</v>
      </c>
      <c r="B359" s="50">
        <v>4300</v>
      </c>
      <c r="C359" s="50" t="s">
        <v>319</v>
      </c>
      <c r="D359" s="46"/>
      <c r="E359" s="90"/>
    </row>
    <row r="360" spans="1:5" ht="14.25" hidden="1" customHeight="1" x14ac:dyDescent="0.25">
      <c r="A360" s="219" t="s">
        <v>439</v>
      </c>
      <c r="B360" s="50">
        <v>1740</v>
      </c>
      <c r="C360" s="50" t="s">
        <v>319</v>
      </c>
      <c r="E360" s="90"/>
    </row>
    <row r="361" spans="1:5" ht="14.25" hidden="1" customHeight="1" x14ac:dyDescent="0.25">
      <c r="A361" s="219" t="s">
        <v>321</v>
      </c>
      <c r="B361" s="50">
        <v>2960</v>
      </c>
      <c r="C361" s="50" t="s">
        <v>319</v>
      </c>
      <c r="E361" s="90"/>
    </row>
    <row r="362" spans="1:5" ht="14.25" hidden="1" customHeight="1" x14ac:dyDescent="0.25">
      <c r="A362" s="219" t="s">
        <v>250</v>
      </c>
      <c r="B362" s="50">
        <v>134000</v>
      </c>
      <c r="C362" s="50" t="s">
        <v>319</v>
      </c>
      <c r="D362" s="46"/>
      <c r="E362" s="90"/>
    </row>
    <row r="363" spans="1:5" ht="14.25" hidden="1" customHeight="1" x14ac:dyDescent="0.25">
      <c r="A363" s="219" t="s">
        <v>193</v>
      </c>
      <c r="B363" s="50">
        <v>8100</v>
      </c>
      <c r="C363" s="50" t="s">
        <v>319</v>
      </c>
      <c r="D363" s="46"/>
      <c r="E363" s="90"/>
    </row>
    <row r="364" spans="1:5" ht="15" hidden="1" customHeight="1" x14ac:dyDescent="0.25">
      <c r="A364" s="219" t="s">
        <v>408</v>
      </c>
      <c r="B364" s="50">
        <v>2450</v>
      </c>
      <c r="C364" s="50" t="s">
        <v>424</v>
      </c>
      <c r="E364" s="90"/>
    </row>
    <row r="365" spans="1:5" ht="15" customHeight="1" x14ac:dyDescent="0.25">
      <c r="A365" s="219"/>
    </row>
    <row r="366" spans="1:5" ht="15" customHeight="1" x14ac:dyDescent="0.25">
      <c r="A366" s="219"/>
    </row>
    <row r="1047352" spans="3:3" ht="15" customHeight="1" x14ac:dyDescent="0.25">
      <c r="C1047352" s="50"/>
    </row>
  </sheetData>
  <pageMargins left="0.7" right="0.7" top="0.75" bottom="0.75" header="0" footer="0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M1009"/>
  <sheetViews>
    <sheetView zoomScale="85" zoomScaleNormal="85" workbookViewId="0">
      <selection activeCell="E102" sqref="E102"/>
    </sheetView>
  </sheetViews>
  <sheetFormatPr baseColWidth="10" defaultColWidth="12.625" defaultRowHeight="15" customHeight="1" x14ac:dyDescent="0.2"/>
  <cols>
    <col min="1" max="1" width="11" customWidth="1"/>
    <col min="2" max="2" width="23.5" customWidth="1"/>
    <col min="3" max="3" width="30.75" customWidth="1"/>
    <col min="4" max="4" width="8.125" customWidth="1"/>
    <col min="5" max="5" width="10.875" bestFit="1" customWidth="1"/>
    <col min="6" max="6" width="12.375" bestFit="1" customWidth="1"/>
    <col min="7" max="7" width="17.5" bestFit="1" customWidth="1"/>
    <col min="8" max="8" width="12.125" bestFit="1" customWidth="1"/>
    <col min="9" max="9" width="17.625" bestFit="1" customWidth="1"/>
    <col min="10" max="10" width="16.625" bestFit="1" customWidth="1"/>
    <col min="11" max="11" width="16.625" customWidth="1"/>
    <col min="12" max="12" width="14.875" bestFit="1" customWidth="1"/>
    <col min="13" max="13" width="13.75" bestFit="1" customWidth="1"/>
    <col min="14" max="28" width="7.625" customWidth="1"/>
  </cols>
  <sheetData>
    <row r="1" spans="1:13" ht="14.25" customHeight="1" thickBot="1" x14ac:dyDescent="0.25"/>
    <row r="2" spans="1:13" ht="14.25" customHeight="1" thickBot="1" x14ac:dyDescent="0.3">
      <c r="B2" s="299" t="s">
        <v>178</v>
      </c>
      <c r="C2" s="300"/>
      <c r="D2" s="301"/>
      <c r="G2" s="1" t="s">
        <v>1</v>
      </c>
      <c r="H2" s="41">
        <v>1.161</v>
      </c>
      <c r="I2" s="152"/>
      <c r="J2" s="216" t="s">
        <v>520</v>
      </c>
      <c r="K2" s="105"/>
    </row>
    <row r="3" spans="1:13" ht="14.25" customHeight="1" thickBot="1" x14ac:dyDescent="0.3">
      <c r="B3" s="42"/>
      <c r="C3" s="42"/>
      <c r="D3" s="42"/>
      <c r="F3" s="43"/>
      <c r="G3" s="1" t="s">
        <v>179</v>
      </c>
      <c r="H3" s="41">
        <v>1.36</v>
      </c>
      <c r="I3" s="152"/>
      <c r="J3" s="217">
        <v>181</v>
      </c>
      <c r="K3" s="105"/>
    </row>
    <row r="4" spans="1:13" ht="14.25" customHeight="1" thickBot="1" x14ac:dyDescent="0.25"/>
    <row r="5" spans="1:13" ht="14.25" customHeight="1" x14ac:dyDescent="0.25">
      <c r="B5" s="62" t="s">
        <v>2</v>
      </c>
      <c r="C5" s="62" t="s">
        <v>3</v>
      </c>
      <c r="D5" s="62" t="s">
        <v>4</v>
      </c>
      <c r="E5" s="62" t="s">
        <v>5</v>
      </c>
      <c r="F5" s="62" t="s">
        <v>6</v>
      </c>
      <c r="G5" s="62" t="s">
        <v>7</v>
      </c>
      <c r="H5" s="62" t="s">
        <v>8</v>
      </c>
      <c r="I5" s="118" t="s">
        <v>518</v>
      </c>
      <c r="J5" s="215" t="s">
        <v>519</v>
      </c>
      <c r="K5" s="215" t="s">
        <v>524</v>
      </c>
    </row>
    <row r="6" spans="1:13" ht="15" hidden="1" customHeight="1" x14ac:dyDescent="0.25">
      <c r="A6" s="320" t="s">
        <v>180</v>
      </c>
      <c r="B6" s="159" t="s">
        <v>568</v>
      </c>
      <c r="C6" s="107" t="s">
        <v>142</v>
      </c>
      <c r="D6" s="107">
        <v>21</v>
      </c>
      <c r="E6" s="108">
        <f>VLOOKUP(C6,Data!$A$4:$B$363,2,FALSE)</f>
        <v>18300</v>
      </c>
      <c r="F6" s="160">
        <f t="shared" ref="F6:F14" si="0">E6*D6</f>
        <v>384300</v>
      </c>
      <c r="G6" s="160">
        <f>VLOOKUP(B6,Data!$A$4:$B$363,2,FALSE)</f>
        <v>130000</v>
      </c>
      <c r="H6" s="161">
        <f t="shared" ref="H6:H14" si="1">(G6*$H$2-F6)</f>
        <v>-233370</v>
      </c>
      <c r="I6" s="161" t="e">
        <f>VLOOKUP(C6,Elixires!$B$5:$I$146,7,FALSE)*D6+(G6*$H$2-F6)</f>
        <v>#N/A</v>
      </c>
      <c r="J6" s="162">
        <f t="shared" ref="J6:J35" si="2">+H6*$J$3</f>
        <v>-42239970</v>
      </c>
      <c r="K6" s="162" t="e">
        <f t="shared" ref="K6:K8" si="3">IF(AND(H6&gt;0,I6&gt;H6),"Paquete Imperial",(IF((I6*0.85)&gt;H6,"Vender Receta",IF(H6&gt;0,"Comprar","No hacer"))))</f>
        <v>#N/A</v>
      </c>
    </row>
    <row r="7" spans="1:13" ht="14.25" hidden="1" customHeight="1" thickBot="1" x14ac:dyDescent="0.3">
      <c r="A7" s="320"/>
      <c r="B7" s="225" t="s">
        <v>568</v>
      </c>
      <c r="C7" s="251" t="s">
        <v>571</v>
      </c>
      <c r="D7" s="52">
        <v>12</v>
      </c>
      <c r="E7" s="91">
        <f>VLOOKUP(C7,Data!$A$4:$B$363,2,FALSE)</f>
        <v>43200</v>
      </c>
      <c r="F7" s="153">
        <f t="shared" si="0"/>
        <v>518400</v>
      </c>
      <c r="G7" s="154">
        <f>VLOOKUP(B7,Data!$A$4:$B$363,2,FALSE)</f>
        <v>130000</v>
      </c>
      <c r="H7" s="181">
        <f t="shared" si="1"/>
        <v>-367470</v>
      </c>
      <c r="I7" s="162">
        <f>VLOOKUP(C7,Elixires!$B$5:$I$146,7,FALSE)*D7+(G7*$H$2-F7)</f>
        <v>604410</v>
      </c>
      <c r="J7" s="162">
        <f t="shared" si="2"/>
        <v>-66512070</v>
      </c>
      <c r="K7" s="162" t="str">
        <f t="shared" si="3"/>
        <v>Vender Receta</v>
      </c>
    </row>
    <row r="8" spans="1:13" ht="14.25" hidden="1" customHeight="1" thickBot="1" x14ac:dyDescent="0.3">
      <c r="A8" s="320"/>
      <c r="B8" s="154" t="s">
        <v>568</v>
      </c>
      <c r="C8" s="52" t="s">
        <v>570</v>
      </c>
      <c r="D8" s="52">
        <v>12</v>
      </c>
      <c r="E8" s="91" t="e">
        <f>VLOOKUP(C8,Data!$A$4:$B$363,2,FALSE)</f>
        <v>#N/A</v>
      </c>
      <c r="F8" s="153" t="e">
        <f t="shared" si="0"/>
        <v>#N/A</v>
      </c>
      <c r="G8" s="154">
        <f>VLOOKUP(B8,Data!$A$4:$B$363,2,FALSE)</f>
        <v>130000</v>
      </c>
      <c r="H8" s="181" t="e">
        <f t="shared" si="1"/>
        <v>#N/A</v>
      </c>
      <c r="I8" s="162" t="e">
        <f>VLOOKUP(C8,Elixires!$B$5:$I$146,7,FALSE)*D8+(G8*$H$2-F8)</f>
        <v>#N/A</v>
      </c>
      <c r="J8" s="162" t="e">
        <f t="shared" si="2"/>
        <v>#N/A</v>
      </c>
      <c r="K8" s="162" t="e">
        <f t="shared" si="3"/>
        <v>#N/A</v>
      </c>
    </row>
    <row r="9" spans="1:13" ht="15" hidden="1" customHeight="1" x14ac:dyDescent="0.25">
      <c r="A9" s="320"/>
      <c r="B9" s="266" t="s">
        <v>569</v>
      </c>
      <c r="C9" s="267" t="s">
        <v>144</v>
      </c>
      <c r="D9" s="187">
        <v>21</v>
      </c>
      <c r="E9" s="188">
        <f>VLOOKUP(C9,Data!$A$4:$B$363,2,FALSE)</f>
        <v>18000</v>
      </c>
      <c r="F9" s="189">
        <f t="shared" si="0"/>
        <v>378000</v>
      </c>
      <c r="G9" s="189">
        <f>VLOOKUP(B9,Data!$A$4:$B$363,2,FALSE)</f>
        <v>200000</v>
      </c>
      <c r="H9" s="161">
        <f t="shared" si="1"/>
        <v>-145800</v>
      </c>
      <c r="I9" s="167">
        <f>VLOOKUP(C9,Elixires!$B$5:$I$146,7,FALSE)*D9+(G9*$H$2-F9)</f>
        <v>-234336</v>
      </c>
      <c r="J9" s="162">
        <f t="shared" si="2"/>
        <v>-26389800</v>
      </c>
      <c r="K9" s="162" t="str">
        <f>IF(AND(H9&gt;0,I9&gt;H9),"Paquete Imperial",(IF((I9*0.85)&gt;H9,"Vender Receta",IF(H9&gt;0,"Comprar","No hacer"))))</f>
        <v>No hacer</v>
      </c>
    </row>
    <row r="10" spans="1:13" ht="14.25" hidden="1" customHeight="1" x14ac:dyDescent="0.25">
      <c r="A10" s="320"/>
      <c r="B10" s="226" t="s">
        <v>569</v>
      </c>
      <c r="C10" s="261" t="s">
        <v>56</v>
      </c>
      <c r="D10" s="156">
        <v>18</v>
      </c>
      <c r="E10" s="157">
        <f>VLOOKUP(C10,Data!$A$4:$B$363,2,FALSE)</f>
        <v>25300</v>
      </c>
      <c r="F10" s="158">
        <f t="shared" si="0"/>
        <v>455400</v>
      </c>
      <c r="G10" s="226">
        <f>VLOOKUP(B10,Data!$A$4:$B$363,2,FALSE)</f>
        <v>200000</v>
      </c>
      <c r="H10" s="181">
        <f t="shared" si="1"/>
        <v>-223200</v>
      </c>
      <c r="I10" s="162">
        <f>VLOOKUP(C10,Elixires!$B$5:$I$146,7,FALSE)*D10+(G10*$H$2-F10)</f>
        <v>-230220</v>
      </c>
      <c r="J10" s="162">
        <f t="shared" si="2"/>
        <v>-40399200</v>
      </c>
      <c r="K10" s="162" t="str">
        <f t="shared" ref="K10:K39" si="4">IF(AND(H10&gt;0,I10&gt;H10),"Paquete Imperial",(IF((I10*0.85)&gt;H10,"Vender Receta",IF(H10&gt;0,"Comprar","No hacer"))))</f>
        <v>Vender Receta</v>
      </c>
    </row>
    <row r="11" spans="1:13" ht="14.25" customHeight="1" thickBot="1" x14ac:dyDescent="0.3">
      <c r="A11" s="320"/>
      <c r="B11" s="227" t="s">
        <v>569</v>
      </c>
      <c r="C11" s="260" t="s">
        <v>66</v>
      </c>
      <c r="D11" s="260">
        <v>18</v>
      </c>
      <c r="E11" s="262">
        <f>VLOOKUP(C11,Data!$A$4:$B$363,2,FALSE)</f>
        <v>12000</v>
      </c>
      <c r="F11" s="227">
        <f>E11*D11</f>
        <v>216000</v>
      </c>
      <c r="G11" s="227">
        <f>VLOOKUP(B11,Data!$A$4:$B$363,2,FALSE)</f>
        <v>200000</v>
      </c>
      <c r="H11" s="249">
        <f>(G11*$H$2-F11)</f>
        <v>16200</v>
      </c>
      <c r="I11" s="250">
        <f>VLOOKUP(C11,Elixires!$B$5:$I$146,7,FALSE)*D11+(G11*$H$2-F11)</f>
        <v>-290340</v>
      </c>
      <c r="J11" s="162">
        <f>+H11*$J$3</f>
        <v>2932200</v>
      </c>
      <c r="K11" s="162" t="str">
        <f t="shared" si="4"/>
        <v>Comprar</v>
      </c>
    </row>
    <row r="12" spans="1:13" ht="14.25" hidden="1" customHeight="1" x14ac:dyDescent="0.25">
      <c r="A12" s="320"/>
      <c r="B12" s="226" t="s">
        <v>569</v>
      </c>
      <c r="C12" s="261" t="s">
        <v>59</v>
      </c>
      <c r="D12" s="156">
        <v>18</v>
      </c>
      <c r="E12" s="157">
        <f>VLOOKUP(C12,Data!$A$4:$B$363,2,FALSE)</f>
        <v>23200</v>
      </c>
      <c r="F12" s="158">
        <f>E12*D12</f>
        <v>417600</v>
      </c>
      <c r="G12" s="226">
        <f>VLOOKUP(B12,Data!$A$4:$B$363,2,FALSE)</f>
        <v>200000</v>
      </c>
      <c r="H12" s="181">
        <f t="shared" si="1"/>
        <v>-185400</v>
      </c>
      <c r="I12" s="162">
        <f>VLOOKUP(C12,Elixires!$B$5:$I$146,7,FALSE)*D12+(G12*$H$2-F12)</f>
        <v>297180</v>
      </c>
      <c r="J12" s="162">
        <f t="shared" si="2"/>
        <v>-33557400</v>
      </c>
      <c r="K12" s="162" t="str">
        <f t="shared" si="4"/>
        <v>Vender Receta</v>
      </c>
      <c r="L12" s="104"/>
      <c r="M12" s="104"/>
    </row>
    <row r="13" spans="1:13" ht="14.25" hidden="1" customHeight="1" x14ac:dyDescent="0.25">
      <c r="A13" s="320"/>
      <c r="B13" s="226" t="s">
        <v>569</v>
      </c>
      <c r="C13" s="261" t="s">
        <v>63</v>
      </c>
      <c r="D13" s="156">
        <v>24</v>
      </c>
      <c r="E13" s="157">
        <f>VLOOKUP(C13,Data!$A$4:$B$363,2,FALSE)</f>
        <v>12200</v>
      </c>
      <c r="F13" s="158">
        <f t="shared" si="0"/>
        <v>292800</v>
      </c>
      <c r="G13" s="226">
        <f>VLOOKUP(B13,Data!$A$4:$B$363,2,FALSE)</f>
        <v>200000</v>
      </c>
      <c r="H13" s="181">
        <f t="shared" si="1"/>
        <v>-60600</v>
      </c>
      <c r="I13" s="162">
        <f>VLOOKUP(C13,Elixires!$B$5:$I$146,7,FALSE)*D13+(G13*$H$2-F13)</f>
        <v>-367848</v>
      </c>
      <c r="J13" s="162">
        <f t="shared" si="2"/>
        <v>-10968600</v>
      </c>
      <c r="K13" s="162" t="str">
        <f t="shared" si="4"/>
        <v>No hacer</v>
      </c>
    </row>
    <row r="14" spans="1:13" ht="14.25" hidden="1" customHeight="1" thickBot="1" x14ac:dyDescent="0.3">
      <c r="A14" s="320"/>
      <c r="B14" s="226" t="s">
        <v>569</v>
      </c>
      <c r="C14" s="268" t="s">
        <v>69</v>
      </c>
      <c r="D14" s="183">
        <v>12</v>
      </c>
      <c r="E14" s="184">
        <f>VLOOKUP(C14,Data!$A$4:$B$363,2,FALSE)</f>
        <v>21700</v>
      </c>
      <c r="F14" s="185">
        <f t="shared" si="0"/>
        <v>260400</v>
      </c>
      <c r="G14" s="263">
        <f>VLOOKUP(B14,Data!$A$4:$B$363,2,FALSE)</f>
        <v>200000</v>
      </c>
      <c r="H14" s="182">
        <f t="shared" si="1"/>
        <v>-28200</v>
      </c>
      <c r="I14" s="162">
        <f>VLOOKUP(C14,Elixires!$B$5:$I$146,7,FALSE)*D14+(G14*$H$2-F14)</f>
        <v>-42300</v>
      </c>
      <c r="J14" s="162">
        <f t="shared" si="2"/>
        <v>-5104200</v>
      </c>
      <c r="K14" s="162" t="str">
        <f t="shared" si="4"/>
        <v>No hacer</v>
      </c>
    </row>
    <row r="15" spans="1:13" ht="15" hidden="1" customHeight="1" x14ac:dyDescent="0.25">
      <c r="A15" s="320"/>
      <c r="B15" s="269" t="s">
        <v>181</v>
      </c>
      <c r="C15" s="270" t="s">
        <v>74</v>
      </c>
      <c r="D15" s="201">
        <v>15</v>
      </c>
      <c r="E15" s="202">
        <f>VLOOKUP(C15,Data!$A$4:$B$363,2,FALSE)</f>
        <v>36500</v>
      </c>
      <c r="F15" s="264">
        <f t="shared" ref="F15:F46" si="5">E15*D15</f>
        <v>547500</v>
      </c>
      <c r="G15" s="264">
        <f>VLOOKUP(B15,Data!$A$4:$B$363,2,FALSE)</f>
        <v>300000</v>
      </c>
      <c r="H15" s="265">
        <f t="shared" ref="H15:H46" si="6">(G15*$H$2-F15)</f>
        <v>-199200</v>
      </c>
      <c r="I15" s="265">
        <f>VLOOKUP(C15,Elixires!$B$5:$I$146,7,FALSE)*D15+(G15*$H$2-F15)</f>
        <v>420000</v>
      </c>
      <c r="J15" s="162">
        <f t="shared" si="2"/>
        <v>-36055200</v>
      </c>
      <c r="K15" s="162" t="str">
        <f t="shared" si="4"/>
        <v>Vender Receta</v>
      </c>
    </row>
    <row r="16" spans="1:13" ht="14.25" hidden="1" customHeight="1" x14ac:dyDescent="0.25">
      <c r="A16" s="320"/>
      <c r="B16" s="225" t="s">
        <v>181</v>
      </c>
      <c r="C16" s="251" t="s">
        <v>76</v>
      </c>
      <c r="D16" s="52">
        <v>15</v>
      </c>
      <c r="E16" s="91">
        <f>VLOOKUP(C16,Data!$A$4:$B$363,2,FALSE)</f>
        <v>59000</v>
      </c>
      <c r="F16" s="153">
        <f t="shared" si="5"/>
        <v>885000</v>
      </c>
      <c r="G16" s="154">
        <f>VLOOKUP(B16,Data!$A$4:$B$363,2,FALSE)</f>
        <v>300000</v>
      </c>
      <c r="H16" s="181">
        <f t="shared" si="6"/>
        <v>-536700</v>
      </c>
      <c r="I16" s="162">
        <f>VLOOKUP(C16,Elixires!$B$5:$I$146,7,FALSE)*D16+(G16*$H$2-F16)</f>
        <v>1125090</v>
      </c>
      <c r="J16" s="162">
        <f t="shared" si="2"/>
        <v>-97142700</v>
      </c>
      <c r="K16" s="162" t="str">
        <f t="shared" si="4"/>
        <v>Vender Receta</v>
      </c>
    </row>
    <row r="17" spans="1:13" ht="14.25" hidden="1" customHeight="1" x14ac:dyDescent="0.25">
      <c r="A17" s="320"/>
      <c r="B17" s="154" t="s">
        <v>181</v>
      </c>
      <c r="C17" s="52" t="s">
        <v>78</v>
      </c>
      <c r="D17" s="52">
        <v>15</v>
      </c>
      <c r="E17" s="91">
        <f>VLOOKUP(C17,Data!$A$4:$B$363,2,FALSE)</f>
        <v>54000</v>
      </c>
      <c r="F17" s="153">
        <f t="shared" si="5"/>
        <v>810000</v>
      </c>
      <c r="G17" s="154">
        <f>VLOOKUP(B17,Data!$A$4:$B$363,2,FALSE)</f>
        <v>300000</v>
      </c>
      <c r="H17" s="181">
        <f t="shared" si="6"/>
        <v>-461700</v>
      </c>
      <c r="I17" s="162">
        <f>VLOOKUP(C17,Elixires!$B$5:$I$146,7,FALSE)*D17+(G17*$H$2-F17)</f>
        <v>508500</v>
      </c>
      <c r="J17" s="162">
        <f t="shared" si="2"/>
        <v>-83567700</v>
      </c>
      <c r="K17" s="162" t="str">
        <f t="shared" si="4"/>
        <v>Vender Receta</v>
      </c>
    </row>
    <row r="18" spans="1:13" ht="14.25" hidden="1" customHeight="1" x14ac:dyDescent="0.25">
      <c r="A18" s="320"/>
      <c r="B18" s="154" t="s">
        <v>181</v>
      </c>
      <c r="C18" s="52" t="s">
        <v>80</v>
      </c>
      <c r="D18" s="52">
        <v>15</v>
      </c>
      <c r="E18" s="91">
        <f>VLOOKUP(C18,Data!$A$4:$B$363,2,FALSE)</f>
        <v>30100</v>
      </c>
      <c r="F18" s="153">
        <f t="shared" si="5"/>
        <v>451500</v>
      </c>
      <c r="G18" s="154">
        <f>VLOOKUP(B18,Data!$A$4:$B$363,2,FALSE)</f>
        <v>300000</v>
      </c>
      <c r="H18" s="181">
        <f t="shared" si="6"/>
        <v>-103200</v>
      </c>
      <c r="I18" s="162">
        <f>VLOOKUP(C18,Elixires!$B$5:$I$146,7,FALSE)*D18+(G18*$H$2-F18)</f>
        <v>-476550</v>
      </c>
      <c r="J18" s="162">
        <f t="shared" si="2"/>
        <v>-18679200</v>
      </c>
      <c r="K18" s="162" t="str">
        <f t="shared" si="4"/>
        <v>No hacer</v>
      </c>
    </row>
    <row r="19" spans="1:13" ht="14.25" hidden="1" customHeight="1" x14ac:dyDescent="0.25">
      <c r="A19" s="320"/>
      <c r="B19" s="154" t="s">
        <v>181</v>
      </c>
      <c r="C19" s="52" t="s">
        <v>81</v>
      </c>
      <c r="D19" s="52">
        <v>15</v>
      </c>
      <c r="E19" s="91">
        <f>VLOOKUP(C19,Data!$A$4:$B$363,2,FALSE)</f>
        <v>31800</v>
      </c>
      <c r="F19" s="153">
        <f t="shared" si="5"/>
        <v>477000</v>
      </c>
      <c r="G19" s="154">
        <f>VLOOKUP(B19,Data!$A$4:$B$363,2,FALSE)</f>
        <v>300000</v>
      </c>
      <c r="H19" s="181">
        <f t="shared" si="6"/>
        <v>-128700</v>
      </c>
      <c r="I19" s="162">
        <f>VLOOKUP(C19,Elixires!$B$5:$I$146,7,FALSE)*D19+(G19*$H$2-F19)</f>
        <v>-24585</v>
      </c>
      <c r="J19" s="162">
        <f t="shared" si="2"/>
        <v>-23294700</v>
      </c>
      <c r="K19" s="162" t="str">
        <f t="shared" si="4"/>
        <v>Vender Receta</v>
      </c>
    </row>
    <row r="20" spans="1:13" ht="14.25" hidden="1" customHeight="1" x14ac:dyDescent="0.25">
      <c r="A20" s="320"/>
      <c r="B20" s="225" t="s">
        <v>181</v>
      </c>
      <c r="C20" s="245" t="s">
        <v>82</v>
      </c>
      <c r="D20" s="52">
        <v>15</v>
      </c>
      <c r="E20" s="91">
        <f>VLOOKUP(C20,Data!$A$4:$B$363,2,FALSE)</f>
        <v>37500</v>
      </c>
      <c r="F20" s="153">
        <f t="shared" si="5"/>
        <v>562500</v>
      </c>
      <c r="G20" s="225">
        <f>VLOOKUP(B20,Data!$A$4:$B$363,2,FALSE)</f>
        <v>300000</v>
      </c>
      <c r="H20" s="181">
        <f t="shared" si="6"/>
        <v>-214200</v>
      </c>
      <c r="I20" s="162">
        <f>VLOOKUP(C20,Elixires!$B$5:$I$146,7,FALSE)*D20+(G20*$H$2-F20)</f>
        <v>13350</v>
      </c>
      <c r="J20" s="162">
        <f t="shared" si="2"/>
        <v>-38770200</v>
      </c>
      <c r="K20" s="162" t="str">
        <f t="shared" si="4"/>
        <v>Vender Receta</v>
      </c>
    </row>
    <row r="21" spans="1:13" ht="14.25" hidden="1" customHeight="1" thickBot="1" x14ac:dyDescent="0.3">
      <c r="A21" s="320"/>
      <c r="B21" s="225" t="s">
        <v>181</v>
      </c>
      <c r="C21" s="251" t="s">
        <v>84</v>
      </c>
      <c r="D21" s="52">
        <v>15</v>
      </c>
      <c r="E21" s="91">
        <f>VLOOKUP(C21,Data!$A$4:$B$363,2,FALSE)</f>
        <v>23800</v>
      </c>
      <c r="F21" s="153">
        <f t="shared" si="5"/>
        <v>357000</v>
      </c>
      <c r="G21" s="154">
        <f>VLOOKUP(B21,Data!$A$4:$B$363,2,FALSE)</f>
        <v>300000</v>
      </c>
      <c r="H21" s="181">
        <f t="shared" si="6"/>
        <v>-8700</v>
      </c>
      <c r="I21" s="162">
        <f>VLOOKUP(C21,Elixires!$B$5:$I$146,7,FALSE)*D21+(G21*$H$2-F21)</f>
        <v>218850</v>
      </c>
      <c r="J21" s="162">
        <f t="shared" si="2"/>
        <v>-1574700</v>
      </c>
      <c r="K21" s="162" t="str">
        <f t="shared" si="4"/>
        <v>Vender Receta</v>
      </c>
    </row>
    <row r="22" spans="1:13" ht="15" customHeight="1" x14ac:dyDescent="0.25">
      <c r="A22" s="320"/>
      <c r="B22" s="266" t="s">
        <v>182</v>
      </c>
      <c r="C22" s="267" t="s">
        <v>89</v>
      </c>
      <c r="D22" s="187">
        <v>15</v>
      </c>
      <c r="E22" s="188">
        <f>VLOOKUP(C22,Data!$A$4:$B$363,2,FALSE)</f>
        <v>30800</v>
      </c>
      <c r="F22" s="189">
        <f t="shared" si="5"/>
        <v>462000</v>
      </c>
      <c r="G22" s="189">
        <f>VLOOKUP(B22,Data!$A$4:$B$363,2,FALSE)</f>
        <v>400000</v>
      </c>
      <c r="H22" s="161">
        <f t="shared" si="6"/>
        <v>2400</v>
      </c>
      <c r="I22" s="167">
        <f>VLOOKUP(C22,Elixires!$B$5:$I$146,7,FALSE)*D22+(G22*$H$2-F22)</f>
        <v>133350</v>
      </c>
      <c r="J22" s="162">
        <f t="shared" si="2"/>
        <v>434400</v>
      </c>
      <c r="K22" s="162" t="str">
        <f t="shared" si="4"/>
        <v>Paquete Imperial</v>
      </c>
    </row>
    <row r="23" spans="1:13" ht="14.25" hidden="1" customHeight="1" x14ac:dyDescent="0.25">
      <c r="A23" s="320"/>
      <c r="B23" s="226" t="s">
        <v>182</v>
      </c>
      <c r="C23" s="156" t="s">
        <v>90</v>
      </c>
      <c r="D23" s="156">
        <v>270</v>
      </c>
      <c r="E23" s="157">
        <f>VLOOKUP(C23,Data!$A$4:$B$363,2,FALSE)</f>
        <v>29400</v>
      </c>
      <c r="F23" s="158">
        <f t="shared" si="5"/>
        <v>7938000</v>
      </c>
      <c r="G23" s="226">
        <f>VLOOKUP(B23,Data!$A$4:$B$363,2,FALSE)</f>
        <v>400000</v>
      </c>
      <c r="H23" s="181">
        <f t="shared" si="6"/>
        <v>-7473600</v>
      </c>
      <c r="I23" s="162">
        <f>VLOOKUP(C23,Elixires!$B$5:$I$146,7,FALSE)*D23+(G23*$H$2-F23)</f>
        <v>5452650</v>
      </c>
      <c r="J23" s="162">
        <f t="shared" si="2"/>
        <v>-1352721600</v>
      </c>
      <c r="K23" s="162" t="str">
        <f t="shared" si="4"/>
        <v>Vender Receta</v>
      </c>
    </row>
    <row r="24" spans="1:13" ht="14.25" hidden="1" customHeight="1" x14ac:dyDescent="0.25">
      <c r="A24" s="320"/>
      <c r="B24" s="226" t="s">
        <v>182</v>
      </c>
      <c r="C24" s="261" t="s">
        <v>92</v>
      </c>
      <c r="D24" s="156">
        <v>12</v>
      </c>
      <c r="E24" s="157">
        <f>VLOOKUP(C24,Data!$A$4:$B$363,2,FALSE)</f>
        <v>55500</v>
      </c>
      <c r="F24" s="158">
        <f t="shared" si="5"/>
        <v>666000</v>
      </c>
      <c r="G24" s="155">
        <f>VLOOKUP(B24,Data!$A$4:$B$363,2,FALSE)</f>
        <v>400000</v>
      </c>
      <c r="H24" s="181">
        <f t="shared" si="6"/>
        <v>-201600</v>
      </c>
      <c r="I24" s="162">
        <f>VLOOKUP(C24,Elixires!$B$5:$I$146,7,FALSE)*D24+(G24*$H$2-F24)</f>
        <v>301920</v>
      </c>
      <c r="J24" s="162">
        <f t="shared" si="2"/>
        <v>-36489600</v>
      </c>
      <c r="K24" s="162" t="str">
        <f t="shared" si="4"/>
        <v>Vender Receta</v>
      </c>
    </row>
    <row r="25" spans="1:13" ht="14.25" customHeight="1" x14ac:dyDescent="0.25">
      <c r="A25" s="320"/>
      <c r="B25" s="227" t="s">
        <v>182</v>
      </c>
      <c r="C25" s="260" t="s">
        <v>95</v>
      </c>
      <c r="D25" s="175">
        <v>15</v>
      </c>
      <c r="E25" s="176">
        <f>VLOOKUP(C25,Data!$A$4:$B$363,2,FALSE)</f>
        <v>25500</v>
      </c>
      <c r="F25" s="177">
        <f t="shared" si="5"/>
        <v>382500</v>
      </c>
      <c r="G25" s="227">
        <f>VLOOKUP(B25,Data!$A$4:$B$363,2,FALSE)</f>
        <v>400000</v>
      </c>
      <c r="H25" s="193">
        <f t="shared" si="6"/>
        <v>81900</v>
      </c>
      <c r="I25" s="194">
        <f>VLOOKUP(C25,Elixires!$B$5:$I$146,7,FALSE)*D25+(G25*$H$2-F25)</f>
        <v>-209100</v>
      </c>
      <c r="J25" s="162">
        <f t="shared" si="2"/>
        <v>14823900</v>
      </c>
      <c r="K25" s="162" t="str">
        <f t="shared" si="4"/>
        <v>Comprar</v>
      </c>
      <c r="L25" s="104"/>
      <c r="M25" s="104"/>
    </row>
    <row r="26" spans="1:13" ht="14.25" hidden="1" customHeight="1" thickBot="1" x14ac:dyDescent="0.3">
      <c r="A26" s="320"/>
      <c r="B26" s="226" t="s">
        <v>182</v>
      </c>
      <c r="C26" s="156" t="s">
        <v>96</v>
      </c>
      <c r="D26" s="156">
        <v>15</v>
      </c>
      <c r="E26" s="157">
        <f>VLOOKUP(C26,Data!$A$4:$B$363,2,FALSE)</f>
        <v>33100</v>
      </c>
      <c r="F26" s="158">
        <f t="shared" si="5"/>
        <v>496500</v>
      </c>
      <c r="G26" s="226">
        <f>VLOOKUP(B26,Data!$A$4:$B$363,2,FALSE)</f>
        <v>400000</v>
      </c>
      <c r="H26" s="181">
        <f t="shared" si="6"/>
        <v>-32100</v>
      </c>
      <c r="I26" s="162">
        <f>VLOOKUP(C26,Elixires!$B$5:$I$146,7,FALSE)*D26+(G26*$H$2-F26)</f>
        <v>71850</v>
      </c>
      <c r="J26" s="162">
        <f t="shared" si="2"/>
        <v>-5810100</v>
      </c>
      <c r="K26" s="162" t="str">
        <f t="shared" si="4"/>
        <v>Vender Receta</v>
      </c>
    </row>
    <row r="27" spans="1:13" ht="14.25" hidden="1" customHeight="1" thickBot="1" x14ac:dyDescent="0.3">
      <c r="A27" s="320"/>
      <c r="B27" s="228" t="s">
        <v>182</v>
      </c>
      <c r="C27" s="195" t="s">
        <v>97</v>
      </c>
      <c r="D27" s="195">
        <v>24</v>
      </c>
      <c r="E27" s="196">
        <f>VLOOKUP(C27,Data!$A$4:$B$363,2,FALSE)</f>
        <v>16800</v>
      </c>
      <c r="F27" s="197">
        <f t="shared" si="5"/>
        <v>403200</v>
      </c>
      <c r="G27" s="228">
        <f>VLOOKUP(B27,Data!$A$4:$B$363,2,FALSE)</f>
        <v>400000</v>
      </c>
      <c r="H27" s="198">
        <f t="shared" si="6"/>
        <v>61200</v>
      </c>
      <c r="I27" s="162" t="e">
        <f>VLOOKUP(C27,Elixires!$B$5:$I$146,7,FALSE)*D27+(G27*$H$2-F27)</f>
        <v>#N/A</v>
      </c>
      <c r="J27" s="162">
        <f t="shared" si="2"/>
        <v>11077200</v>
      </c>
      <c r="K27" s="162" t="e">
        <f t="shared" si="4"/>
        <v>#N/A</v>
      </c>
    </row>
    <row r="28" spans="1:13" ht="14.25" hidden="1" customHeight="1" x14ac:dyDescent="0.25">
      <c r="A28" s="320"/>
      <c r="B28" s="230" t="s">
        <v>183</v>
      </c>
      <c r="C28" s="107" t="s">
        <v>104</v>
      </c>
      <c r="D28" s="107">
        <v>27</v>
      </c>
      <c r="E28" s="108">
        <f>VLOOKUP(C28,Data!$A$4:$B$363,2,FALSE)</f>
        <v>27500</v>
      </c>
      <c r="F28" s="160">
        <f t="shared" si="5"/>
        <v>742500</v>
      </c>
      <c r="G28" s="229">
        <f>VLOOKUP(B28,Data!$A$4:$B$363,2,FALSE)</f>
        <v>550000</v>
      </c>
      <c r="H28" s="161">
        <f t="shared" si="6"/>
        <v>-103950</v>
      </c>
      <c r="I28" s="167">
        <f>VLOOKUP(C28,Elixires!$B$5:$I$146,7,FALSE)*D28+(G28*$H$2-F28)</f>
        <v>49032</v>
      </c>
      <c r="J28" s="162">
        <f t="shared" si="2"/>
        <v>-18814950</v>
      </c>
      <c r="K28" s="162" t="str">
        <f t="shared" si="4"/>
        <v>Vender Receta</v>
      </c>
    </row>
    <row r="29" spans="1:13" ht="14.25" hidden="1" customHeight="1" x14ac:dyDescent="0.25">
      <c r="A29" s="320"/>
      <c r="B29" s="154" t="s">
        <v>183</v>
      </c>
      <c r="C29" s="52" t="s">
        <v>105</v>
      </c>
      <c r="D29" s="52">
        <v>15</v>
      </c>
      <c r="E29" s="91">
        <f>VLOOKUP(C29,Data!$A$4:$B$363,2,FALSE)</f>
        <v>98000</v>
      </c>
      <c r="F29" s="153">
        <f t="shared" si="5"/>
        <v>1470000</v>
      </c>
      <c r="G29" s="154">
        <f>VLOOKUP(B29,Data!$A$4:$B$363,2,FALSE)</f>
        <v>550000</v>
      </c>
      <c r="H29" s="181">
        <f t="shared" si="6"/>
        <v>-831450</v>
      </c>
      <c r="I29" s="162">
        <f>VLOOKUP(C29,Elixires!$B$5:$I$146,7,FALSE)*D29+(G29*$H$2-F29)</f>
        <v>-1949400</v>
      </c>
      <c r="J29" s="162">
        <f t="shared" si="2"/>
        <v>-150492450</v>
      </c>
      <c r="K29" s="162" t="str">
        <f t="shared" si="4"/>
        <v>No hacer</v>
      </c>
    </row>
    <row r="30" spans="1:13" ht="14.25" customHeight="1" x14ac:dyDescent="0.25">
      <c r="A30" s="320"/>
      <c r="B30" s="247" t="s">
        <v>183</v>
      </c>
      <c r="C30" s="245" t="s">
        <v>108</v>
      </c>
      <c r="D30" s="245">
        <v>12</v>
      </c>
      <c r="E30" s="248">
        <f>VLOOKUP(C30,Data!$A$4:$B$363,2,FALSE)</f>
        <v>49000</v>
      </c>
      <c r="F30" s="247">
        <f>E30*D30</f>
        <v>588000</v>
      </c>
      <c r="G30" s="247">
        <f>VLOOKUP(B30,Data!$A$4:$B$363,2,FALSE)</f>
        <v>550000</v>
      </c>
      <c r="H30" s="249">
        <f>(G30*$H$2-F30)</f>
        <v>50550</v>
      </c>
      <c r="I30" s="250">
        <f>VLOOKUP(C30,Elixires!$B$5:$I$146,7,FALSE)*D30+(G30*$H$2-F30)</f>
        <v>41310</v>
      </c>
      <c r="J30" s="162">
        <f t="shared" si="2"/>
        <v>9149550</v>
      </c>
      <c r="K30" s="162" t="str">
        <f t="shared" si="4"/>
        <v>Comprar</v>
      </c>
    </row>
    <row r="31" spans="1:13" ht="14.25" customHeight="1" thickBot="1" x14ac:dyDescent="0.3">
      <c r="A31" s="320"/>
      <c r="B31" s="154" t="s">
        <v>183</v>
      </c>
      <c r="C31" s="52" t="s">
        <v>111</v>
      </c>
      <c r="D31" s="52">
        <v>12</v>
      </c>
      <c r="E31" s="91">
        <f>VLOOKUP(C31,Data!$A$4:$B$363,2,FALSE)</f>
        <v>48600</v>
      </c>
      <c r="F31" s="153">
        <f t="shared" si="5"/>
        <v>583200</v>
      </c>
      <c r="G31" s="154">
        <f>VLOOKUP(B31,Data!$A$4:$B$363,2,FALSE)</f>
        <v>550000</v>
      </c>
      <c r="H31" s="181">
        <f t="shared" si="6"/>
        <v>55350</v>
      </c>
      <c r="I31" s="162">
        <f>VLOOKUP(C31,Elixires!$B$5:$I$146,7,FALSE)*D31+(G31*$H$2-F31)</f>
        <v>-461370</v>
      </c>
      <c r="J31" s="162">
        <f t="shared" si="2"/>
        <v>10018350</v>
      </c>
      <c r="K31" s="162" t="str">
        <f t="shared" si="4"/>
        <v>Comprar</v>
      </c>
    </row>
    <row r="32" spans="1:13" ht="14.25" hidden="1" customHeight="1" x14ac:dyDescent="0.25">
      <c r="A32" s="320"/>
      <c r="B32" s="225" t="s">
        <v>183</v>
      </c>
      <c r="C32" s="251" t="s">
        <v>113</v>
      </c>
      <c r="D32" s="52">
        <v>12</v>
      </c>
      <c r="E32" s="91">
        <f>VLOOKUP(C32,Data!$A$4:$B$363,2,FALSE)</f>
        <v>240000</v>
      </c>
      <c r="F32" s="153">
        <f t="shared" si="5"/>
        <v>2880000</v>
      </c>
      <c r="G32" s="225">
        <f>VLOOKUP(B32,Data!$A$4:$B$363,2,FALSE)</f>
        <v>550000</v>
      </c>
      <c r="H32" s="181">
        <f t="shared" si="6"/>
        <v>-2241450</v>
      </c>
      <c r="I32" s="162">
        <f>VLOOKUP(C32,Elixires!$B$5:$I$146,7,FALSE)*D32+(G32*$H$2-F32)</f>
        <v>-1200450</v>
      </c>
      <c r="J32" s="162">
        <f t="shared" si="2"/>
        <v>-405702450</v>
      </c>
      <c r="K32" s="162" t="str">
        <f t="shared" si="4"/>
        <v>Vender Receta</v>
      </c>
    </row>
    <row r="33" spans="1:11" ht="14.25" hidden="1" customHeight="1" x14ac:dyDescent="0.25">
      <c r="A33" s="320"/>
      <c r="B33" s="225" t="s">
        <v>183</v>
      </c>
      <c r="C33" s="251" t="s">
        <v>117</v>
      </c>
      <c r="D33" s="52">
        <v>9</v>
      </c>
      <c r="E33" s="91">
        <f>VLOOKUP(C33,Data!$A$4:$B$363,2,FALSE)</f>
        <v>106000</v>
      </c>
      <c r="F33" s="153">
        <f t="shared" si="5"/>
        <v>954000</v>
      </c>
      <c r="G33" s="225">
        <f>VLOOKUP(B33,Data!$A$4:$B$363,2,FALSE)</f>
        <v>550000</v>
      </c>
      <c r="H33" s="181">
        <f t="shared" si="6"/>
        <v>-315450</v>
      </c>
      <c r="I33" s="162">
        <f>VLOOKUP(C33,Elixires!$B$5:$I$146,7,FALSE)*D33+(G33*$H$2-F33)</f>
        <v>-275445</v>
      </c>
      <c r="J33" s="162">
        <f t="shared" si="2"/>
        <v>-57096450</v>
      </c>
      <c r="K33" s="162" t="str">
        <f t="shared" si="4"/>
        <v>Vender Receta</v>
      </c>
    </row>
    <row r="34" spans="1:11" ht="14.25" hidden="1" customHeight="1" thickBot="1" x14ac:dyDescent="0.3">
      <c r="A34" s="320"/>
      <c r="B34" s="165" t="s">
        <v>183</v>
      </c>
      <c r="C34" s="113" t="s">
        <v>120</v>
      </c>
      <c r="D34" s="113">
        <v>9</v>
      </c>
      <c r="E34" s="114">
        <f>VLOOKUP(C34,Data!$A$4:$B$363,2,FALSE)</f>
        <v>87000</v>
      </c>
      <c r="F34" s="164">
        <f t="shared" si="5"/>
        <v>783000</v>
      </c>
      <c r="G34" s="165">
        <f>VLOOKUP(B34,Data!$A$4:$B$363,2,FALSE)</f>
        <v>550000</v>
      </c>
      <c r="H34" s="182">
        <f t="shared" si="6"/>
        <v>-144450</v>
      </c>
      <c r="I34" s="166">
        <f>VLOOKUP(C34,Elixires!$B$5:$I$146,7,FALSE)*D34+(G34*$H$2-F34)</f>
        <v>-1166940</v>
      </c>
      <c r="J34" s="162">
        <f t="shared" si="2"/>
        <v>-26145450</v>
      </c>
      <c r="K34" s="162" t="str">
        <f t="shared" si="4"/>
        <v>No hacer</v>
      </c>
    </row>
    <row r="35" spans="1:11" ht="14.25" customHeight="1" x14ac:dyDescent="0.25">
      <c r="A35" s="320"/>
      <c r="B35" s="174" t="s">
        <v>184</v>
      </c>
      <c r="C35" s="156" t="s">
        <v>123</v>
      </c>
      <c r="D35" s="156">
        <v>9</v>
      </c>
      <c r="E35" s="157">
        <f>VLOOKUP(C35,Data!$A$4:$B$363,2,FALSE)</f>
        <v>103000</v>
      </c>
      <c r="F35" s="158">
        <f t="shared" si="5"/>
        <v>927000</v>
      </c>
      <c r="G35" s="158">
        <f>VLOOKUP(B35,Data!$A$4:$B$363,2,FALSE)</f>
        <v>800000</v>
      </c>
      <c r="H35" s="181">
        <f t="shared" si="6"/>
        <v>1800</v>
      </c>
      <c r="I35" s="191">
        <f>VLOOKUP(C35,Elixires!$B$5:$I$146,7,FALSE)*D35+(G35*$H$2-F35)</f>
        <v>-531090</v>
      </c>
      <c r="J35" s="162">
        <f t="shared" si="2"/>
        <v>325800</v>
      </c>
      <c r="K35" s="162" t="str">
        <f t="shared" si="4"/>
        <v>Comprar</v>
      </c>
    </row>
    <row r="36" spans="1:11" ht="14.25" customHeight="1" x14ac:dyDescent="0.25">
      <c r="A36" s="320"/>
      <c r="B36" s="155" t="s">
        <v>184</v>
      </c>
      <c r="C36" s="156" t="s">
        <v>126</v>
      </c>
      <c r="D36" s="156">
        <v>9</v>
      </c>
      <c r="E36" s="157">
        <f>VLOOKUP(C36,Data!$A$4:$B$363,2,FALSE)</f>
        <v>83000</v>
      </c>
      <c r="F36" s="158">
        <f t="shared" si="5"/>
        <v>747000</v>
      </c>
      <c r="G36" s="155">
        <f>VLOOKUP(B36,Data!$A$4:$B$363,2,FALSE)</f>
        <v>800000</v>
      </c>
      <c r="H36" s="181">
        <f t="shared" si="6"/>
        <v>181800</v>
      </c>
      <c r="I36" s="192">
        <f>VLOOKUP(C36,Elixires!$B$5:$I$146,7,FALSE)*D36+(G36*$H$2-F36)</f>
        <v>-1476900</v>
      </c>
      <c r="J36" s="162">
        <f>+H36*$J$3</f>
        <v>32905800</v>
      </c>
      <c r="K36" s="162" t="str">
        <f t="shared" si="4"/>
        <v>Comprar</v>
      </c>
    </row>
    <row r="37" spans="1:11" ht="14.25" hidden="1" customHeight="1" x14ac:dyDescent="0.25">
      <c r="A37" s="320"/>
      <c r="B37" s="226" t="s">
        <v>184</v>
      </c>
      <c r="C37" s="261" t="s">
        <v>129</v>
      </c>
      <c r="D37" s="156">
        <v>9</v>
      </c>
      <c r="E37" s="157">
        <f>VLOOKUP(C37,Data!$A$4:$B$363,2,FALSE)</f>
        <v>164000</v>
      </c>
      <c r="F37" s="158">
        <f t="shared" si="5"/>
        <v>1476000</v>
      </c>
      <c r="G37" s="226">
        <f>VLOOKUP(B37,Data!$A$4:$B$363,2,FALSE)</f>
        <v>800000</v>
      </c>
      <c r="H37" s="181">
        <f>(G37*$H$2-F37)</f>
        <v>-547200</v>
      </c>
      <c r="I37" s="192">
        <f>VLOOKUP(C37,Elixires!$B$5:$I$146,7,FALSE)*D37+(G37*$H$2-F37)</f>
        <v>-202500</v>
      </c>
      <c r="J37" s="162">
        <f t="shared" ref="J37:J100" si="7">+H37*$J$3</f>
        <v>-99043200</v>
      </c>
      <c r="K37" s="162" t="str">
        <f t="shared" si="4"/>
        <v>Vender Receta</v>
      </c>
    </row>
    <row r="38" spans="1:11" ht="14.25" customHeight="1" x14ac:dyDescent="0.25">
      <c r="A38" s="320"/>
      <c r="B38" s="155" t="s">
        <v>184</v>
      </c>
      <c r="C38" s="156" t="s">
        <v>132</v>
      </c>
      <c r="D38" s="156">
        <v>9</v>
      </c>
      <c r="E38" s="157">
        <f>VLOOKUP(C38,Data!$A$4:$B$363,2,FALSE)</f>
        <v>91500</v>
      </c>
      <c r="F38" s="158">
        <f t="shared" si="5"/>
        <v>823500</v>
      </c>
      <c r="G38" s="155">
        <f>VLOOKUP(B38,Data!$A$4:$B$363,2,FALSE)</f>
        <v>800000</v>
      </c>
      <c r="H38" s="181">
        <f t="shared" si="6"/>
        <v>105300</v>
      </c>
      <c r="I38" s="192">
        <f>VLOOKUP(C38,Elixires!$B$5:$I$146,7,FALSE)*D38+(G38*$H$2-F38)</f>
        <v>-2045691</v>
      </c>
      <c r="J38" s="162">
        <f t="shared" si="7"/>
        <v>19059300</v>
      </c>
      <c r="K38" s="162" t="str">
        <f t="shared" si="4"/>
        <v>Comprar</v>
      </c>
    </row>
    <row r="39" spans="1:11" ht="14.25" hidden="1" customHeight="1" x14ac:dyDescent="0.25">
      <c r="A39" s="320"/>
      <c r="B39" s="226" t="s">
        <v>184</v>
      </c>
      <c r="C39" s="261" t="s">
        <v>135</v>
      </c>
      <c r="D39" s="156">
        <v>9</v>
      </c>
      <c r="E39" s="157">
        <f>VLOOKUP(C39,Data!$A$4:$B$363,2,FALSE)</f>
        <v>510000</v>
      </c>
      <c r="F39" s="158">
        <f t="shared" si="5"/>
        <v>4590000</v>
      </c>
      <c r="G39" s="226">
        <f>VLOOKUP(B39,Data!$A$4:$B$363,2,FALSE)</f>
        <v>800000</v>
      </c>
      <c r="H39" s="181">
        <f t="shared" si="6"/>
        <v>-3661200</v>
      </c>
      <c r="I39" s="192">
        <f>VLOOKUP(C39,Elixires!$B$5:$I$146,7,FALSE)*D39+(G39*$H$2-F39)</f>
        <v>4052880</v>
      </c>
      <c r="J39" s="162">
        <f t="shared" si="7"/>
        <v>-662677200</v>
      </c>
      <c r="K39" s="162" t="str">
        <f t="shared" si="4"/>
        <v>Vender Receta</v>
      </c>
    </row>
    <row r="40" spans="1:11" ht="14.25" hidden="1" customHeight="1" x14ac:dyDescent="0.25">
      <c r="A40" s="343" t="s">
        <v>186</v>
      </c>
      <c r="B40" s="159" t="s">
        <v>187</v>
      </c>
      <c r="C40" s="107" t="s">
        <v>188</v>
      </c>
      <c r="D40" s="107">
        <v>24</v>
      </c>
      <c r="E40" s="108">
        <f>VLOOKUP(C40,Data!$A$4:$B$363,2,FALSE)</f>
        <v>7750</v>
      </c>
      <c r="F40" s="160">
        <f t="shared" si="5"/>
        <v>186000</v>
      </c>
      <c r="G40" s="160">
        <f>VLOOKUP(B40,Data!$A$4:$B$363,2,FALSE)</f>
        <v>300000</v>
      </c>
      <c r="H40" s="161">
        <f t="shared" si="6"/>
        <v>162300</v>
      </c>
      <c r="I40" s="167">
        <f t="shared" ref="I40:I71" si="8">+H40</f>
        <v>162300</v>
      </c>
      <c r="J40" s="162">
        <f t="shared" si="7"/>
        <v>29376300</v>
      </c>
      <c r="K40" s="124"/>
    </row>
    <row r="41" spans="1:11" ht="14.25" hidden="1" customHeight="1" x14ac:dyDescent="0.25">
      <c r="A41" s="344"/>
      <c r="B41" s="154" t="s">
        <v>187</v>
      </c>
      <c r="C41" s="52" t="s">
        <v>189</v>
      </c>
      <c r="D41" s="52">
        <v>24</v>
      </c>
      <c r="E41" s="91">
        <f>VLOOKUP(C41,Data!$A$4:$B$363,2,FALSE)</f>
        <v>9300</v>
      </c>
      <c r="F41" s="153">
        <f t="shared" si="5"/>
        <v>223200</v>
      </c>
      <c r="G41" s="154">
        <f>VLOOKUP(B41,Data!$A$4:$B$363,2,FALSE)</f>
        <v>300000</v>
      </c>
      <c r="H41" s="181">
        <f t="shared" si="6"/>
        <v>125100</v>
      </c>
      <c r="I41" s="162">
        <f t="shared" si="8"/>
        <v>125100</v>
      </c>
      <c r="J41" s="162">
        <f t="shared" si="7"/>
        <v>22643100</v>
      </c>
      <c r="K41" s="124"/>
    </row>
    <row r="42" spans="1:11" ht="14.25" hidden="1" customHeight="1" x14ac:dyDescent="0.25">
      <c r="A42" s="344"/>
      <c r="B42" s="154" t="s">
        <v>187</v>
      </c>
      <c r="C42" s="52" t="s">
        <v>190</v>
      </c>
      <c r="D42" s="52">
        <v>24</v>
      </c>
      <c r="E42" s="91">
        <f>VLOOKUP(C42,Data!$A$4:$B$363,2,FALSE)</f>
        <v>20000</v>
      </c>
      <c r="F42" s="153">
        <f t="shared" si="5"/>
        <v>480000</v>
      </c>
      <c r="G42" s="154">
        <f>VLOOKUP(B42,Data!$A$4:$B$363,2,FALSE)</f>
        <v>300000</v>
      </c>
      <c r="H42" s="181">
        <f t="shared" si="6"/>
        <v>-131700</v>
      </c>
      <c r="I42" s="162">
        <f t="shared" si="8"/>
        <v>-131700</v>
      </c>
      <c r="J42" s="162">
        <f t="shared" si="7"/>
        <v>-23837700</v>
      </c>
      <c r="K42" s="124"/>
    </row>
    <row r="43" spans="1:11" ht="14.25" hidden="1" customHeight="1" x14ac:dyDescent="0.25">
      <c r="A43" s="344"/>
      <c r="B43" s="154" t="s">
        <v>187</v>
      </c>
      <c r="C43" s="52" t="s">
        <v>191</v>
      </c>
      <c r="D43" s="52">
        <v>24</v>
      </c>
      <c r="E43" s="91">
        <f>VLOOKUP(C43,Data!$A$4:$B$363,2,FALSE)</f>
        <v>9500</v>
      </c>
      <c r="F43" s="153">
        <f t="shared" si="5"/>
        <v>228000</v>
      </c>
      <c r="G43" s="154">
        <f>VLOOKUP(B43,Data!$A$4:$B$363,2,FALSE)</f>
        <v>300000</v>
      </c>
      <c r="H43" s="181">
        <f t="shared" si="6"/>
        <v>120300</v>
      </c>
      <c r="I43" s="162">
        <f t="shared" si="8"/>
        <v>120300</v>
      </c>
      <c r="J43" s="162">
        <f t="shared" si="7"/>
        <v>21774300</v>
      </c>
      <c r="K43" s="124"/>
    </row>
    <row r="44" spans="1:11" ht="14.25" hidden="1" customHeight="1" x14ac:dyDescent="0.25">
      <c r="A44" s="344"/>
      <c r="B44" s="154" t="s">
        <v>187</v>
      </c>
      <c r="C44" s="52" t="s">
        <v>192</v>
      </c>
      <c r="D44" s="52">
        <v>21</v>
      </c>
      <c r="E44" s="91">
        <f>VLOOKUP(C44,Data!$A$4:$B$363,2,FALSE)</f>
        <v>10000</v>
      </c>
      <c r="F44" s="153">
        <f t="shared" si="5"/>
        <v>210000</v>
      </c>
      <c r="G44" s="154">
        <f>VLOOKUP(B44,Data!$A$4:$B$363,2,FALSE)</f>
        <v>300000</v>
      </c>
      <c r="H44" s="181">
        <f t="shared" si="6"/>
        <v>138300</v>
      </c>
      <c r="I44" s="162">
        <f t="shared" si="8"/>
        <v>138300</v>
      </c>
      <c r="J44" s="162">
        <f t="shared" si="7"/>
        <v>25032300</v>
      </c>
      <c r="K44" s="124"/>
    </row>
    <row r="45" spans="1:11" ht="14.25" hidden="1" customHeight="1" x14ac:dyDescent="0.25">
      <c r="A45" s="344"/>
      <c r="B45" s="154" t="s">
        <v>187</v>
      </c>
      <c r="C45" s="52" t="s">
        <v>193</v>
      </c>
      <c r="D45" s="52">
        <v>18</v>
      </c>
      <c r="E45" s="91">
        <f>VLOOKUP(C45,Data!$A$4:$B$363,2,FALSE)</f>
        <v>8100</v>
      </c>
      <c r="F45" s="153">
        <f t="shared" si="5"/>
        <v>145800</v>
      </c>
      <c r="G45" s="154">
        <f>VLOOKUP(B45,Data!$A$4:$B$363,2,FALSE)</f>
        <v>300000</v>
      </c>
      <c r="H45" s="181">
        <f t="shared" si="6"/>
        <v>202500</v>
      </c>
      <c r="I45" s="162">
        <f t="shared" si="8"/>
        <v>202500</v>
      </c>
      <c r="J45" s="162">
        <f t="shared" si="7"/>
        <v>36652500</v>
      </c>
      <c r="K45" s="124"/>
    </row>
    <row r="46" spans="1:11" ht="14.25" hidden="1" customHeight="1" x14ac:dyDescent="0.25">
      <c r="A46" s="344"/>
      <c r="B46" s="154" t="s">
        <v>187</v>
      </c>
      <c r="C46" s="168" t="s">
        <v>194</v>
      </c>
      <c r="D46" s="168">
        <v>21</v>
      </c>
      <c r="E46" s="169">
        <f>VLOOKUP(C46,Data!$A$4:$B$363,2,FALSE)</f>
        <v>10000</v>
      </c>
      <c r="F46" s="170">
        <f t="shared" si="5"/>
        <v>210000</v>
      </c>
      <c r="G46" s="154">
        <f>VLOOKUP(B46,Data!$A$4:$B$363,2,FALSE)</f>
        <v>300000</v>
      </c>
      <c r="H46" s="181">
        <f t="shared" si="6"/>
        <v>138300</v>
      </c>
      <c r="I46" s="162">
        <f t="shared" si="8"/>
        <v>138300</v>
      </c>
      <c r="J46" s="162">
        <f t="shared" si="7"/>
        <v>25032300</v>
      </c>
      <c r="K46" s="124"/>
    </row>
    <row r="47" spans="1:11" ht="14.25" hidden="1" customHeight="1" x14ac:dyDescent="0.25">
      <c r="A47" s="344"/>
      <c r="B47" s="154" t="s">
        <v>187</v>
      </c>
      <c r="C47" s="52" t="s">
        <v>195</v>
      </c>
      <c r="D47" s="52">
        <v>18</v>
      </c>
      <c r="E47" s="91">
        <f>VLOOKUP(C47,Data!$A$4:$B$363,2,FALSE)</f>
        <v>8300</v>
      </c>
      <c r="F47" s="153">
        <f t="shared" ref="F47:F78" si="9">E47*D47</f>
        <v>149400</v>
      </c>
      <c r="G47" s="154">
        <f>VLOOKUP(B47,Data!$A$4:$B$363,2,FALSE)</f>
        <v>300000</v>
      </c>
      <c r="H47" s="181">
        <f t="shared" ref="H47:H78" si="10">(G47*$H$2-F47)</f>
        <v>198900</v>
      </c>
      <c r="I47" s="162">
        <f t="shared" si="8"/>
        <v>198900</v>
      </c>
      <c r="J47" s="162">
        <f t="shared" si="7"/>
        <v>36000900</v>
      </c>
      <c r="K47" s="124"/>
    </row>
    <row r="48" spans="1:11" ht="14.25" hidden="1" customHeight="1" x14ac:dyDescent="0.25">
      <c r="A48" s="344"/>
      <c r="B48" s="154" t="s">
        <v>187</v>
      </c>
      <c r="C48" s="52" t="s">
        <v>196</v>
      </c>
      <c r="D48" s="52">
        <v>18</v>
      </c>
      <c r="E48" s="91">
        <f>VLOOKUP(C48,Data!$A$4:$B$363,2,FALSE)</f>
        <v>5500</v>
      </c>
      <c r="F48" s="153">
        <f t="shared" si="9"/>
        <v>99000</v>
      </c>
      <c r="G48" s="154">
        <f>VLOOKUP(B48,Data!$A$4:$B$363,2,FALSE)</f>
        <v>300000</v>
      </c>
      <c r="H48" s="181">
        <f t="shared" si="10"/>
        <v>249300</v>
      </c>
      <c r="I48" s="162">
        <f t="shared" si="8"/>
        <v>249300</v>
      </c>
      <c r="J48" s="162">
        <f t="shared" si="7"/>
        <v>45123300</v>
      </c>
      <c r="K48" s="124"/>
    </row>
    <row r="49" spans="1:12" ht="14.25" hidden="1" customHeight="1" x14ac:dyDescent="0.25">
      <c r="A49" s="344"/>
      <c r="B49" s="154" t="s">
        <v>187</v>
      </c>
      <c r="C49" s="52" t="s">
        <v>197</v>
      </c>
      <c r="D49" s="52">
        <v>18</v>
      </c>
      <c r="E49" s="91">
        <f>VLOOKUP(C49,Data!$A$4:$B$363,2,FALSE)</f>
        <v>28700</v>
      </c>
      <c r="F49" s="153">
        <f t="shared" si="9"/>
        <v>516600</v>
      </c>
      <c r="G49" s="154">
        <f>VLOOKUP(B49,Data!$A$4:$B$363,2,FALSE)</f>
        <v>300000</v>
      </c>
      <c r="H49" s="181">
        <f t="shared" si="10"/>
        <v>-168300</v>
      </c>
      <c r="I49" s="162">
        <f t="shared" si="8"/>
        <v>-168300</v>
      </c>
      <c r="J49" s="162">
        <f t="shared" si="7"/>
        <v>-30462300</v>
      </c>
      <c r="K49" s="124"/>
    </row>
    <row r="50" spans="1:12" ht="14.25" hidden="1" customHeight="1" x14ac:dyDescent="0.25">
      <c r="A50" s="344"/>
      <c r="B50" s="154" t="s">
        <v>187</v>
      </c>
      <c r="C50" s="52" t="s">
        <v>198</v>
      </c>
      <c r="D50" s="52">
        <v>18</v>
      </c>
      <c r="E50" s="91">
        <f>VLOOKUP(C50,Data!$A$4:$B$363,2,FALSE)</f>
        <v>8500</v>
      </c>
      <c r="F50" s="153">
        <f t="shared" si="9"/>
        <v>153000</v>
      </c>
      <c r="G50" s="154">
        <f>VLOOKUP(B50,Data!$A$4:$B$363,2,FALSE)</f>
        <v>300000</v>
      </c>
      <c r="H50" s="181">
        <f t="shared" si="10"/>
        <v>195300</v>
      </c>
      <c r="I50" s="162">
        <f t="shared" si="8"/>
        <v>195300</v>
      </c>
      <c r="J50" s="162">
        <f t="shared" si="7"/>
        <v>35349300</v>
      </c>
      <c r="K50" s="124"/>
    </row>
    <row r="51" spans="1:12" ht="14.25" hidden="1" customHeight="1" x14ac:dyDescent="0.25">
      <c r="A51" s="344"/>
      <c r="B51" s="154" t="s">
        <v>187</v>
      </c>
      <c r="C51" s="52" t="s">
        <v>199</v>
      </c>
      <c r="D51" s="52">
        <v>18</v>
      </c>
      <c r="E51" s="91">
        <f>VLOOKUP(C51,Data!$A$4:$B$363,2,FALSE)</f>
        <v>18400</v>
      </c>
      <c r="F51" s="153">
        <f t="shared" si="9"/>
        <v>331200</v>
      </c>
      <c r="G51" s="154">
        <f>VLOOKUP(B51,Data!$A$4:$B$363,2,FALSE)</f>
        <v>300000</v>
      </c>
      <c r="H51" s="181">
        <f t="shared" si="10"/>
        <v>17100</v>
      </c>
      <c r="I51" s="162">
        <f t="shared" si="8"/>
        <v>17100</v>
      </c>
      <c r="J51" s="162">
        <f t="shared" si="7"/>
        <v>3095100</v>
      </c>
      <c r="K51" s="124"/>
      <c r="L51" s="104"/>
    </row>
    <row r="52" spans="1:12" ht="14.25" hidden="1" customHeight="1" x14ac:dyDescent="0.25">
      <c r="A52" s="344"/>
      <c r="B52" s="154" t="s">
        <v>187</v>
      </c>
      <c r="C52" s="52" t="s">
        <v>200</v>
      </c>
      <c r="D52" s="52">
        <v>15</v>
      </c>
      <c r="E52" s="91">
        <f>VLOOKUP(C52,Data!$A$4:$B$363,2,FALSE)</f>
        <v>18300</v>
      </c>
      <c r="F52" s="153">
        <f t="shared" si="9"/>
        <v>274500</v>
      </c>
      <c r="G52" s="154">
        <f>VLOOKUP(B52,Data!$A$4:$B$363,2,FALSE)</f>
        <v>300000</v>
      </c>
      <c r="H52" s="181">
        <f t="shared" si="10"/>
        <v>73800</v>
      </c>
      <c r="I52" s="162">
        <f t="shared" si="8"/>
        <v>73800</v>
      </c>
      <c r="J52" s="162">
        <f t="shared" si="7"/>
        <v>13357800</v>
      </c>
      <c r="K52" s="124"/>
    </row>
    <row r="53" spans="1:12" ht="14.25" hidden="1" customHeight="1" x14ac:dyDescent="0.25">
      <c r="A53" s="344"/>
      <c r="B53" s="154" t="s">
        <v>187</v>
      </c>
      <c r="C53" s="171" t="s">
        <v>201</v>
      </c>
      <c r="D53" s="171">
        <v>18</v>
      </c>
      <c r="E53" s="172">
        <f>VLOOKUP(C53,Data!$A$4:$B$363,2,FALSE)</f>
        <v>4300</v>
      </c>
      <c r="F53" s="173">
        <f t="shared" si="9"/>
        <v>77400</v>
      </c>
      <c r="G53" s="154">
        <f>VLOOKUP(B53,Data!$A$4:$B$363,2,FALSE)</f>
        <v>300000</v>
      </c>
      <c r="H53" s="181">
        <f t="shared" si="10"/>
        <v>270900</v>
      </c>
      <c r="I53" s="162">
        <f t="shared" si="8"/>
        <v>270900</v>
      </c>
      <c r="J53" s="162">
        <f t="shared" si="7"/>
        <v>49032900</v>
      </c>
      <c r="K53" s="124"/>
    </row>
    <row r="54" spans="1:12" ht="14.25" hidden="1" customHeight="1" x14ac:dyDescent="0.25">
      <c r="A54" s="344"/>
      <c r="B54" s="154" t="s">
        <v>187</v>
      </c>
      <c r="C54" s="52" t="s">
        <v>202</v>
      </c>
      <c r="D54" s="52">
        <v>15</v>
      </c>
      <c r="E54" s="91">
        <f>VLOOKUP(C54,Data!$A$4:$B$363,2,FALSE)</f>
        <v>18700</v>
      </c>
      <c r="F54" s="153">
        <f t="shared" si="9"/>
        <v>280500</v>
      </c>
      <c r="G54" s="154">
        <f>VLOOKUP(B54,Data!$A$4:$B$363,2,FALSE)</f>
        <v>300000</v>
      </c>
      <c r="H54" s="181">
        <f t="shared" si="10"/>
        <v>67800</v>
      </c>
      <c r="I54" s="162">
        <f t="shared" si="8"/>
        <v>67800</v>
      </c>
      <c r="J54" s="162">
        <f t="shared" si="7"/>
        <v>12271800</v>
      </c>
      <c r="K54" s="124"/>
    </row>
    <row r="55" spans="1:12" ht="14.25" hidden="1" customHeight="1" thickBot="1" x14ac:dyDescent="0.3">
      <c r="A55" s="344"/>
      <c r="B55" s="165" t="s">
        <v>187</v>
      </c>
      <c r="C55" s="113" t="s">
        <v>203</v>
      </c>
      <c r="D55" s="113">
        <v>15</v>
      </c>
      <c r="E55" s="114">
        <f>VLOOKUP(C55,Data!$A$4:$B$363,2,FALSE)</f>
        <v>9950</v>
      </c>
      <c r="F55" s="164">
        <f t="shared" si="9"/>
        <v>149250</v>
      </c>
      <c r="G55" s="165">
        <f>VLOOKUP(B55,Data!$A$4:$B$363,2,FALSE)</f>
        <v>300000</v>
      </c>
      <c r="H55" s="182">
        <f t="shared" si="10"/>
        <v>199050</v>
      </c>
      <c r="I55" s="166">
        <f t="shared" si="8"/>
        <v>199050</v>
      </c>
      <c r="J55" s="162">
        <f t="shared" si="7"/>
        <v>36028050</v>
      </c>
      <c r="K55" s="124"/>
    </row>
    <row r="56" spans="1:12" ht="14.25" hidden="1" customHeight="1" x14ac:dyDescent="0.25">
      <c r="A56" s="344"/>
      <c r="B56" s="174" t="s">
        <v>204</v>
      </c>
      <c r="C56" s="156" t="s">
        <v>205</v>
      </c>
      <c r="D56" s="156">
        <v>54</v>
      </c>
      <c r="E56" s="157">
        <f>VLOOKUP(C56,Data!$A$4:$B$363,2,FALSE)</f>
        <v>5850</v>
      </c>
      <c r="F56" s="158">
        <f t="shared" si="9"/>
        <v>315900</v>
      </c>
      <c r="G56" s="158">
        <f>VLOOKUP(B56,Data!$A$4:$B$363,2,FALSE)</f>
        <v>400000</v>
      </c>
      <c r="H56" s="181">
        <f t="shared" si="10"/>
        <v>148500</v>
      </c>
      <c r="I56" s="162">
        <f t="shared" si="8"/>
        <v>148500</v>
      </c>
      <c r="J56" s="162">
        <f t="shared" si="7"/>
        <v>26878500</v>
      </c>
      <c r="K56" s="124"/>
    </row>
    <row r="57" spans="1:12" ht="14.25" hidden="1" customHeight="1" x14ac:dyDescent="0.25">
      <c r="A57" s="344"/>
      <c r="B57" s="155" t="s">
        <v>204</v>
      </c>
      <c r="C57" s="156" t="s">
        <v>206</v>
      </c>
      <c r="D57" s="156">
        <v>36</v>
      </c>
      <c r="E57" s="157">
        <f>VLOOKUP(C57,Data!$A$4:$B$363,2,FALSE)</f>
        <v>11700</v>
      </c>
      <c r="F57" s="158">
        <f t="shared" si="9"/>
        <v>421200</v>
      </c>
      <c r="G57" s="155">
        <f>VLOOKUP(B57,Data!$A$4:$B$363,2,FALSE)</f>
        <v>400000</v>
      </c>
      <c r="H57" s="181">
        <f t="shared" si="10"/>
        <v>43200</v>
      </c>
      <c r="I57" s="162">
        <f t="shared" si="8"/>
        <v>43200</v>
      </c>
      <c r="J57" s="162">
        <f t="shared" si="7"/>
        <v>7819200</v>
      </c>
      <c r="K57" s="124"/>
    </row>
    <row r="58" spans="1:12" ht="14.25" hidden="1" customHeight="1" x14ac:dyDescent="0.25">
      <c r="A58" s="344"/>
      <c r="B58" s="155" t="s">
        <v>204</v>
      </c>
      <c r="C58" s="156" t="s">
        <v>207</v>
      </c>
      <c r="D58" s="156">
        <v>21</v>
      </c>
      <c r="E58" s="157">
        <f>VLOOKUP(C58,Data!$A$4:$B$363,2,FALSE)</f>
        <v>25100</v>
      </c>
      <c r="F58" s="158">
        <f t="shared" si="9"/>
        <v>527100</v>
      </c>
      <c r="G58" s="155">
        <f>VLOOKUP(B58,Data!$A$4:$B$363,2,FALSE)</f>
        <v>400000</v>
      </c>
      <c r="H58" s="181">
        <f t="shared" si="10"/>
        <v>-62700</v>
      </c>
      <c r="I58" s="162">
        <f t="shared" si="8"/>
        <v>-62700</v>
      </c>
      <c r="J58" s="162">
        <f t="shared" si="7"/>
        <v>-11348700</v>
      </c>
      <c r="K58" s="124"/>
    </row>
    <row r="59" spans="1:12" ht="14.25" hidden="1" customHeight="1" x14ac:dyDescent="0.25">
      <c r="A59" s="344"/>
      <c r="B59" s="155" t="s">
        <v>204</v>
      </c>
      <c r="C59" s="156" t="s">
        <v>208</v>
      </c>
      <c r="D59" s="156">
        <v>21</v>
      </c>
      <c r="E59" s="157">
        <f>VLOOKUP(C59,Data!$A$4:$B$363,2,FALSE)</f>
        <v>25000</v>
      </c>
      <c r="F59" s="158">
        <f t="shared" si="9"/>
        <v>525000</v>
      </c>
      <c r="G59" s="155">
        <f>VLOOKUP(B59,Data!$A$4:$B$363,2,FALSE)</f>
        <v>400000</v>
      </c>
      <c r="H59" s="181">
        <f t="shared" si="10"/>
        <v>-60600</v>
      </c>
      <c r="I59" s="162">
        <f t="shared" si="8"/>
        <v>-60600</v>
      </c>
      <c r="J59" s="162">
        <f t="shared" si="7"/>
        <v>-10968600</v>
      </c>
      <c r="K59" s="124"/>
    </row>
    <row r="60" spans="1:12" ht="14.25" hidden="1" customHeight="1" x14ac:dyDescent="0.25">
      <c r="A60" s="344"/>
      <c r="B60" s="155" t="s">
        <v>204</v>
      </c>
      <c r="C60" s="156" t="s">
        <v>209</v>
      </c>
      <c r="D60" s="156">
        <v>18</v>
      </c>
      <c r="E60" s="157">
        <f>VLOOKUP(C60,Data!$A$4:$B$363,2,FALSE)</f>
        <v>41000</v>
      </c>
      <c r="F60" s="158">
        <f t="shared" si="9"/>
        <v>738000</v>
      </c>
      <c r="G60" s="155">
        <f>VLOOKUP(B60,Data!$A$4:$B$363,2,FALSE)</f>
        <v>400000</v>
      </c>
      <c r="H60" s="181">
        <f t="shared" si="10"/>
        <v>-273600</v>
      </c>
      <c r="I60" s="162">
        <f t="shared" si="8"/>
        <v>-273600</v>
      </c>
      <c r="J60" s="162">
        <f t="shared" si="7"/>
        <v>-49521600</v>
      </c>
      <c r="K60" s="124"/>
    </row>
    <row r="61" spans="1:12" ht="14.25" hidden="1" customHeight="1" x14ac:dyDescent="0.25">
      <c r="A61" s="344"/>
      <c r="B61" s="155" t="s">
        <v>204</v>
      </c>
      <c r="C61" s="156" t="s">
        <v>210</v>
      </c>
      <c r="D61" s="156">
        <v>18</v>
      </c>
      <c r="E61" s="157">
        <f>VLOOKUP(C61,Data!$A$4:$B$363,2,FALSE)</f>
        <v>35700</v>
      </c>
      <c r="F61" s="158">
        <f t="shared" si="9"/>
        <v>642600</v>
      </c>
      <c r="G61" s="155">
        <f>VLOOKUP(B61,Data!$A$4:$B$363,2,FALSE)</f>
        <v>400000</v>
      </c>
      <c r="H61" s="181">
        <f t="shared" si="10"/>
        <v>-178200</v>
      </c>
      <c r="I61" s="162">
        <f t="shared" si="8"/>
        <v>-178200</v>
      </c>
      <c r="J61" s="162">
        <f t="shared" si="7"/>
        <v>-32254200</v>
      </c>
      <c r="K61" s="124"/>
    </row>
    <row r="62" spans="1:12" ht="14.25" hidden="1" customHeight="1" x14ac:dyDescent="0.25">
      <c r="A62" s="344"/>
      <c r="B62" s="155" t="s">
        <v>204</v>
      </c>
      <c r="C62" s="156" t="s">
        <v>211</v>
      </c>
      <c r="D62" s="156">
        <v>18</v>
      </c>
      <c r="E62" s="157">
        <f>VLOOKUP(C62,Data!$A$4:$B$363,2,FALSE)</f>
        <v>33100</v>
      </c>
      <c r="F62" s="158">
        <f t="shared" si="9"/>
        <v>595800</v>
      </c>
      <c r="G62" s="155">
        <f>VLOOKUP(B62,Data!$A$4:$B$363,2,FALSE)</f>
        <v>400000</v>
      </c>
      <c r="H62" s="181">
        <f t="shared" si="10"/>
        <v>-131400</v>
      </c>
      <c r="I62" s="162">
        <f t="shared" si="8"/>
        <v>-131400</v>
      </c>
      <c r="J62" s="162">
        <f t="shared" si="7"/>
        <v>-23783400</v>
      </c>
      <c r="K62" s="124"/>
    </row>
    <row r="63" spans="1:12" ht="14.25" hidden="1" customHeight="1" x14ac:dyDescent="0.25">
      <c r="A63" s="344"/>
      <c r="B63" s="155" t="s">
        <v>204</v>
      </c>
      <c r="C63" s="175" t="s">
        <v>212</v>
      </c>
      <c r="D63" s="175">
        <v>18</v>
      </c>
      <c r="E63" s="176">
        <f>VLOOKUP(C63,Data!$A$4:$B$363,2,FALSE)</f>
        <v>13700</v>
      </c>
      <c r="F63" s="177">
        <f t="shared" si="9"/>
        <v>246600</v>
      </c>
      <c r="G63" s="155">
        <f>VLOOKUP(B63,Data!$A$4:$B$363,2,FALSE)</f>
        <v>400000</v>
      </c>
      <c r="H63" s="181">
        <f t="shared" si="10"/>
        <v>217800</v>
      </c>
      <c r="I63" s="162">
        <f t="shared" si="8"/>
        <v>217800</v>
      </c>
      <c r="J63" s="162">
        <f t="shared" si="7"/>
        <v>39421800</v>
      </c>
      <c r="K63" s="124"/>
    </row>
    <row r="64" spans="1:12" ht="14.25" hidden="1" customHeight="1" x14ac:dyDescent="0.25">
      <c r="A64" s="344"/>
      <c r="B64" s="155" t="s">
        <v>204</v>
      </c>
      <c r="C64" s="156" t="s">
        <v>213</v>
      </c>
      <c r="D64" s="156">
        <v>15</v>
      </c>
      <c r="E64" s="157">
        <f>VLOOKUP(C64,Data!$A$4:$B$363,2,FALSE)</f>
        <v>25800</v>
      </c>
      <c r="F64" s="158">
        <f t="shared" si="9"/>
        <v>387000</v>
      </c>
      <c r="G64" s="155">
        <f>VLOOKUP(B64,Data!$A$4:$B$363,2,FALSE)</f>
        <v>400000</v>
      </c>
      <c r="H64" s="181">
        <f t="shared" si="10"/>
        <v>77400</v>
      </c>
      <c r="I64" s="162">
        <f t="shared" si="8"/>
        <v>77400</v>
      </c>
      <c r="J64" s="162">
        <f t="shared" si="7"/>
        <v>14009400</v>
      </c>
      <c r="K64" s="124"/>
    </row>
    <row r="65" spans="1:11" ht="14.25" hidden="1" customHeight="1" x14ac:dyDescent="0.25">
      <c r="A65" s="344"/>
      <c r="B65" s="155" t="s">
        <v>204</v>
      </c>
      <c r="C65" s="175" t="s">
        <v>214</v>
      </c>
      <c r="D65" s="175">
        <v>15</v>
      </c>
      <c r="E65" s="176">
        <f>VLOOKUP(C65,Data!$A$4:$B$363,2,FALSE)</f>
        <v>16000</v>
      </c>
      <c r="F65" s="177">
        <f t="shared" si="9"/>
        <v>240000</v>
      </c>
      <c r="G65" s="155">
        <f>VLOOKUP(B65,Data!$A$4:$B$363,2,FALSE)</f>
        <v>400000</v>
      </c>
      <c r="H65" s="181">
        <f t="shared" si="10"/>
        <v>224400</v>
      </c>
      <c r="I65" s="162">
        <f t="shared" si="8"/>
        <v>224400</v>
      </c>
      <c r="J65" s="162">
        <f t="shared" si="7"/>
        <v>40616400</v>
      </c>
      <c r="K65" s="124"/>
    </row>
    <row r="66" spans="1:11" ht="14.25" hidden="1" customHeight="1" x14ac:dyDescent="0.25">
      <c r="A66" s="344"/>
      <c r="B66" s="155" t="s">
        <v>204</v>
      </c>
      <c r="C66" s="175" t="s">
        <v>215</v>
      </c>
      <c r="D66" s="175">
        <v>15</v>
      </c>
      <c r="E66" s="176">
        <f>VLOOKUP(C66,Data!$A$4:$B$363,2,FALSE)</f>
        <v>17000</v>
      </c>
      <c r="F66" s="177">
        <f t="shared" si="9"/>
        <v>255000</v>
      </c>
      <c r="G66" s="155">
        <f>VLOOKUP(B66,Data!$A$4:$B$363,2,FALSE)</f>
        <v>400000</v>
      </c>
      <c r="H66" s="181">
        <f t="shared" si="10"/>
        <v>209400</v>
      </c>
      <c r="I66" s="162">
        <f t="shared" si="8"/>
        <v>209400</v>
      </c>
      <c r="J66" s="162">
        <f t="shared" si="7"/>
        <v>37901400</v>
      </c>
      <c r="K66" s="124"/>
    </row>
    <row r="67" spans="1:11" ht="14.25" hidden="1" customHeight="1" x14ac:dyDescent="0.25">
      <c r="A67" s="344"/>
      <c r="B67" s="155" t="s">
        <v>204</v>
      </c>
      <c r="C67" s="175" t="s">
        <v>216</v>
      </c>
      <c r="D67" s="175">
        <v>15</v>
      </c>
      <c r="E67" s="176">
        <f>VLOOKUP(C67,Data!$A$4:$B$363,2,FALSE)</f>
        <v>14800</v>
      </c>
      <c r="F67" s="177">
        <f t="shared" si="9"/>
        <v>222000</v>
      </c>
      <c r="G67" s="155">
        <f>VLOOKUP(B67,Data!$A$4:$B$363,2,FALSE)</f>
        <v>400000</v>
      </c>
      <c r="H67" s="181">
        <f t="shared" si="10"/>
        <v>242400</v>
      </c>
      <c r="I67" s="162">
        <f t="shared" si="8"/>
        <v>242400</v>
      </c>
      <c r="J67" s="162">
        <f t="shared" si="7"/>
        <v>43874400</v>
      </c>
      <c r="K67" s="124"/>
    </row>
    <row r="68" spans="1:11" ht="14.25" hidden="1" customHeight="1" x14ac:dyDescent="0.25">
      <c r="A68" s="344"/>
      <c r="B68" s="155" t="s">
        <v>204</v>
      </c>
      <c r="C68" s="156" t="s">
        <v>217</v>
      </c>
      <c r="D68" s="156">
        <v>15</v>
      </c>
      <c r="E68" s="157">
        <f>VLOOKUP(C68,Data!$A$4:$B$363,2,FALSE)</f>
        <v>21200</v>
      </c>
      <c r="F68" s="158">
        <f t="shared" si="9"/>
        <v>318000</v>
      </c>
      <c r="G68" s="155">
        <f>VLOOKUP(B68,Data!$A$4:$B$363,2,FALSE)</f>
        <v>400000</v>
      </c>
      <c r="H68" s="181">
        <f t="shared" si="10"/>
        <v>146400</v>
      </c>
      <c r="I68" s="162">
        <f t="shared" si="8"/>
        <v>146400</v>
      </c>
      <c r="J68" s="162">
        <f t="shared" si="7"/>
        <v>26498400</v>
      </c>
      <c r="K68" s="124"/>
    </row>
    <row r="69" spans="1:11" ht="14.25" hidden="1" customHeight="1" x14ac:dyDescent="0.25">
      <c r="A69" s="344"/>
      <c r="B69" s="155" t="s">
        <v>204</v>
      </c>
      <c r="C69" s="156" t="s">
        <v>218</v>
      </c>
      <c r="D69" s="156">
        <v>15</v>
      </c>
      <c r="E69" s="157">
        <f>VLOOKUP(C69,Data!$A$4:$B$363,2,FALSE)</f>
        <v>18400</v>
      </c>
      <c r="F69" s="158">
        <f t="shared" si="9"/>
        <v>276000</v>
      </c>
      <c r="G69" s="155">
        <f>VLOOKUP(B69,Data!$A$4:$B$363,2,FALSE)</f>
        <v>400000</v>
      </c>
      <c r="H69" s="181">
        <f t="shared" si="10"/>
        <v>188400</v>
      </c>
      <c r="I69" s="162">
        <f t="shared" si="8"/>
        <v>188400</v>
      </c>
      <c r="J69" s="162">
        <f t="shared" si="7"/>
        <v>34100400</v>
      </c>
      <c r="K69" s="124"/>
    </row>
    <row r="70" spans="1:11" ht="14.25" hidden="1" customHeight="1" x14ac:dyDescent="0.25">
      <c r="A70" s="344"/>
      <c r="B70" s="155" t="s">
        <v>204</v>
      </c>
      <c r="C70" s="175" t="s">
        <v>219</v>
      </c>
      <c r="D70" s="175">
        <v>15</v>
      </c>
      <c r="E70" s="176">
        <f>VLOOKUP(C70,Data!$A$4:$B$363,2,FALSE)</f>
        <v>17200</v>
      </c>
      <c r="F70" s="177">
        <f t="shared" si="9"/>
        <v>258000</v>
      </c>
      <c r="G70" s="155">
        <f>VLOOKUP(B70,Data!$A$4:$B$363,2,FALSE)</f>
        <v>400000</v>
      </c>
      <c r="H70" s="181">
        <f t="shared" si="10"/>
        <v>206400</v>
      </c>
      <c r="I70" s="162">
        <f t="shared" si="8"/>
        <v>206400</v>
      </c>
      <c r="J70" s="162">
        <f t="shared" si="7"/>
        <v>37358400</v>
      </c>
      <c r="K70" s="124"/>
    </row>
    <row r="71" spans="1:11" ht="14.25" hidden="1" customHeight="1" thickBot="1" x14ac:dyDescent="0.3">
      <c r="A71" s="344"/>
      <c r="B71" s="155" t="s">
        <v>204</v>
      </c>
      <c r="C71" s="175" t="s">
        <v>220</v>
      </c>
      <c r="D71" s="175">
        <v>15</v>
      </c>
      <c r="E71" s="176">
        <f>VLOOKUP(C71,Data!$A$4:$B$363,2,FALSE)</f>
        <v>17500</v>
      </c>
      <c r="F71" s="177">
        <f t="shared" si="9"/>
        <v>262500</v>
      </c>
      <c r="G71" s="155">
        <f>VLOOKUP(B71,Data!$A$4:$B$363,2,FALSE)</f>
        <v>400000</v>
      </c>
      <c r="H71" s="181">
        <f t="shared" si="10"/>
        <v>201900</v>
      </c>
      <c r="I71" s="162">
        <f t="shared" si="8"/>
        <v>201900</v>
      </c>
      <c r="J71" s="162">
        <f t="shared" si="7"/>
        <v>36543900</v>
      </c>
      <c r="K71" s="124"/>
    </row>
    <row r="72" spans="1:11" ht="14.25" hidden="1" customHeight="1" x14ac:dyDescent="0.25">
      <c r="A72" s="344"/>
      <c r="B72" s="159" t="s">
        <v>221</v>
      </c>
      <c r="C72" s="107" t="s">
        <v>222</v>
      </c>
      <c r="D72" s="107">
        <v>24</v>
      </c>
      <c r="E72" s="108">
        <f>VLOOKUP(C72,Data!$A$4:$B$363,2,FALSE)</f>
        <v>25900</v>
      </c>
      <c r="F72" s="160">
        <f t="shared" si="9"/>
        <v>621600</v>
      </c>
      <c r="G72" s="160">
        <f>VLOOKUP(B72,Data!$A$4:$B$363,2,FALSE)</f>
        <v>550000</v>
      </c>
      <c r="H72" s="161">
        <f t="shared" si="10"/>
        <v>16950</v>
      </c>
      <c r="I72" s="167">
        <f t="shared" ref="I72:I101" si="11">+H72</f>
        <v>16950</v>
      </c>
      <c r="J72" s="162">
        <f t="shared" si="7"/>
        <v>3067950</v>
      </c>
      <c r="K72" s="124"/>
    </row>
    <row r="73" spans="1:11" ht="14.25" hidden="1" customHeight="1" x14ac:dyDescent="0.25">
      <c r="A73" s="344"/>
      <c r="B73" s="154" t="s">
        <v>221</v>
      </c>
      <c r="C73" s="52" t="s">
        <v>223</v>
      </c>
      <c r="D73" s="52">
        <v>24</v>
      </c>
      <c r="E73" s="91">
        <f>VLOOKUP(C73,Data!$A$4:$B$363,2,FALSE)</f>
        <v>23200</v>
      </c>
      <c r="F73" s="153">
        <f t="shared" si="9"/>
        <v>556800</v>
      </c>
      <c r="G73" s="154">
        <f>VLOOKUP(B73,Data!$A$4:$B$363,2,FALSE)</f>
        <v>550000</v>
      </c>
      <c r="H73" s="181">
        <f t="shared" si="10"/>
        <v>81750</v>
      </c>
      <c r="I73" s="162">
        <f t="shared" si="11"/>
        <v>81750</v>
      </c>
      <c r="J73" s="162">
        <f t="shared" si="7"/>
        <v>14796750</v>
      </c>
      <c r="K73" s="124"/>
    </row>
    <row r="74" spans="1:11" ht="14.25" hidden="1" customHeight="1" x14ac:dyDescent="0.25">
      <c r="A74" s="344"/>
      <c r="B74" s="154" t="s">
        <v>221</v>
      </c>
      <c r="C74" s="52" t="s">
        <v>224</v>
      </c>
      <c r="D74" s="52">
        <v>24</v>
      </c>
      <c r="E74" s="91">
        <f>VLOOKUP(C74,Data!$A$4:$B$363,2,FALSE)</f>
        <v>22500</v>
      </c>
      <c r="F74" s="153">
        <f t="shared" si="9"/>
        <v>540000</v>
      </c>
      <c r="G74" s="154">
        <f>VLOOKUP(B74,Data!$A$4:$B$363,2,FALSE)</f>
        <v>550000</v>
      </c>
      <c r="H74" s="181">
        <f t="shared" si="10"/>
        <v>98550</v>
      </c>
      <c r="I74" s="162">
        <f t="shared" si="11"/>
        <v>98550</v>
      </c>
      <c r="J74" s="162">
        <f t="shared" si="7"/>
        <v>17837550</v>
      </c>
      <c r="K74" s="124"/>
    </row>
    <row r="75" spans="1:11" ht="14.25" hidden="1" customHeight="1" x14ac:dyDescent="0.25">
      <c r="A75" s="344"/>
      <c r="B75" s="154" t="s">
        <v>221</v>
      </c>
      <c r="C75" s="52" t="s">
        <v>225</v>
      </c>
      <c r="D75" s="52">
        <v>24</v>
      </c>
      <c r="E75" s="91">
        <f>VLOOKUP(C75,Data!$A$4:$B$363,2,FALSE)</f>
        <v>18600</v>
      </c>
      <c r="F75" s="153">
        <f t="shared" si="9"/>
        <v>446400</v>
      </c>
      <c r="G75" s="154">
        <f>VLOOKUP(B75,Data!$A$4:$B$363,2,FALSE)</f>
        <v>550000</v>
      </c>
      <c r="H75" s="181">
        <f t="shared" si="10"/>
        <v>192150</v>
      </c>
      <c r="I75" s="162">
        <f t="shared" si="11"/>
        <v>192150</v>
      </c>
      <c r="J75" s="162">
        <f t="shared" si="7"/>
        <v>34779150</v>
      </c>
      <c r="K75" s="124"/>
    </row>
    <row r="76" spans="1:11" ht="14.25" hidden="1" customHeight="1" x14ac:dyDescent="0.25">
      <c r="A76" s="344"/>
      <c r="B76" s="154" t="s">
        <v>221</v>
      </c>
      <c r="C76" s="52" t="s">
        <v>226</v>
      </c>
      <c r="D76" s="52">
        <v>21</v>
      </c>
      <c r="E76" s="91">
        <f>VLOOKUP(C76,Data!$A$4:$B$363,2,FALSE)</f>
        <v>25500</v>
      </c>
      <c r="F76" s="153">
        <f t="shared" si="9"/>
        <v>535500</v>
      </c>
      <c r="G76" s="154">
        <f>VLOOKUP(B76,Data!$A$4:$B$363,2,FALSE)</f>
        <v>550000</v>
      </c>
      <c r="H76" s="181">
        <f t="shared" si="10"/>
        <v>103050</v>
      </c>
      <c r="I76" s="162">
        <f t="shared" si="11"/>
        <v>103050</v>
      </c>
      <c r="J76" s="162">
        <f t="shared" si="7"/>
        <v>18652050</v>
      </c>
      <c r="K76" s="124"/>
    </row>
    <row r="77" spans="1:11" ht="14.25" hidden="1" customHeight="1" x14ac:dyDescent="0.25">
      <c r="A77" s="344"/>
      <c r="B77" s="154" t="s">
        <v>221</v>
      </c>
      <c r="C77" s="52" t="s">
        <v>227</v>
      </c>
      <c r="D77" s="52">
        <v>18</v>
      </c>
      <c r="E77" s="91">
        <f>VLOOKUP(C77,Data!$A$4:$B$363,2,FALSE)</f>
        <v>25100</v>
      </c>
      <c r="F77" s="153">
        <f t="shared" si="9"/>
        <v>451800</v>
      </c>
      <c r="G77" s="154">
        <f>VLOOKUP(B77,Data!$A$4:$B$363,2,FALSE)</f>
        <v>550000</v>
      </c>
      <c r="H77" s="181">
        <f t="shared" si="10"/>
        <v>186750</v>
      </c>
      <c r="I77" s="162">
        <f t="shared" si="11"/>
        <v>186750</v>
      </c>
      <c r="J77" s="162">
        <f t="shared" si="7"/>
        <v>33801750</v>
      </c>
      <c r="K77" s="124"/>
    </row>
    <row r="78" spans="1:11" ht="14.25" hidden="1" customHeight="1" x14ac:dyDescent="0.25">
      <c r="A78" s="344"/>
      <c r="B78" s="154" t="s">
        <v>221</v>
      </c>
      <c r="C78" s="52" t="s">
        <v>228</v>
      </c>
      <c r="D78" s="52">
        <v>21</v>
      </c>
      <c r="E78" s="91">
        <f>VLOOKUP(C78,Data!$A$4:$B$363,2,FALSE)</f>
        <v>22500</v>
      </c>
      <c r="F78" s="153">
        <f t="shared" si="9"/>
        <v>472500</v>
      </c>
      <c r="G78" s="154">
        <f>VLOOKUP(B78,Data!$A$4:$B$363,2,FALSE)</f>
        <v>550000</v>
      </c>
      <c r="H78" s="181">
        <f t="shared" si="10"/>
        <v>166050</v>
      </c>
      <c r="I78" s="162">
        <f t="shared" si="11"/>
        <v>166050</v>
      </c>
      <c r="J78" s="162">
        <f t="shared" si="7"/>
        <v>30055050</v>
      </c>
      <c r="K78" s="124"/>
    </row>
    <row r="79" spans="1:11" ht="14.25" hidden="1" customHeight="1" x14ac:dyDescent="0.25">
      <c r="A79" s="344"/>
      <c r="B79" s="154" t="s">
        <v>221</v>
      </c>
      <c r="C79" s="178" t="s">
        <v>229</v>
      </c>
      <c r="D79" s="178">
        <v>18</v>
      </c>
      <c r="E79" s="179">
        <f>VLOOKUP(C79,Data!$A$4:$B$363,2,FALSE)</f>
        <v>20100</v>
      </c>
      <c r="F79" s="180">
        <f t="shared" ref="F79:F101" si="12">E79*D79</f>
        <v>361800</v>
      </c>
      <c r="G79" s="154">
        <f>VLOOKUP(B79,Data!$A$4:$B$363,2,FALSE)</f>
        <v>550000</v>
      </c>
      <c r="H79" s="181">
        <f t="shared" ref="H79:H88" si="13">(G79*$H$2-F79)</f>
        <v>276750</v>
      </c>
      <c r="I79" s="162">
        <f t="shared" si="11"/>
        <v>276750</v>
      </c>
      <c r="J79" s="162">
        <f t="shared" si="7"/>
        <v>50091750</v>
      </c>
      <c r="K79" s="124"/>
    </row>
    <row r="80" spans="1:11" ht="14.25" hidden="1" customHeight="1" x14ac:dyDescent="0.25">
      <c r="A80" s="344"/>
      <c r="B80" s="154" t="s">
        <v>221</v>
      </c>
      <c r="C80" s="178" t="s">
        <v>230</v>
      </c>
      <c r="D80" s="178">
        <v>18</v>
      </c>
      <c r="E80" s="179">
        <f>VLOOKUP(C80,Data!$A$4:$B$363,2,FALSE)</f>
        <v>18700</v>
      </c>
      <c r="F80" s="180">
        <f t="shared" si="12"/>
        <v>336600</v>
      </c>
      <c r="G80" s="154">
        <f>VLOOKUP(B80,Data!$A$4:$B$363,2,FALSE)</f>
        <v>550000</v>
      </c>
      <c r="H80" s="181">
        <f t="shared" si="13"/>
        <v>301950</v>
      </c>
      <c r="I80" s="162">
        <f t="shared" si="11"/>
        <v>301950</v>
      </c>
      <c r="J80" s="162">
        <f t="shared" si="7"/>
        <v>54652950</v>
      </c>
      <c r="K80" s="124"/>
    </row>
    <row r="81" spans="1:11" ht="14.25" hidden="1" customHeight="1" x14ac:dyDescent="0.25">
      <c r="A81" s="344"/>
      <c r="B81" s="154" t="s">
        <v>221</v>
      </c>
      <c r="C81" s="52" t="s">
        <v>231</v>
      </c>
      <c r="D81" s="52">
        <v>18</v>
      </c>
      <c r="E81" s="91">
        <f>VLOOKUP(C81,Data!$A$4:$B$363,2,FALSE)</f>
        <v>28000</v>
      </c>
      <c r="F81" s="153">
        <f t="shared" si="12"/>
        <v>504000</v>
      </c>
      <c r="G81" s="154">
        <f>VLOOKUP(B81,Data!$A$4:$B$363,2,FALSE)</f>
        <v>550000</v>
      </c>
      <c r="H81" s="181">
        <f t="shared" si="13"/>
        <v>134550</v>
      </c>
      <c r="I81" s="162">
        <f t="shared" si="11"/>
        <v>134550</v>
      </c>
      <c r="J81" s="162">
        <f t="shared" si="7"/>
        <v>24353550</v>
      </c>
      <c r="K81" s="124"/>
    </row>
    <row r="82" spans="1:11" ht="14.25" hidden="1" customHeight="1" x14ac:dyDescent="0.25">
      <c r="A82" s="344"/>
      <c r="B82" s="154" t="s">
        <v>221</v>
      </c>
      <c r="C82" s="52" t="s">
        <v>232</v>
      </c>
      <c r="D82" s="52">
        <v>18</v>
      </c>
      <c r="E82" s="91">
        <f>VLOOKUP(C82,Data!$A$4:$B$363,2,FALSE)</f>
        <v>25500</v>
      </c>
      <c r="F82" s="153">
        <f t="shared" si="12"/>
        <v>459000</v>
      </c>
      <c r="G82" s="154">
        <f>VLOOKUP(B82,Data!$A$4:$B$363,2,FALSE)</f>
        <v>550000</v>
      </c>
      <c r="H82" s="181">
        <f t="shared" si="13"/>
        <v>179550</v>
      </c>
      <c r="I82" s="162">
        <f t="shared" si="11"/>
        <v>179550</v>
      </c>
      <c r="J82" s="162">
        <f t="shared" si="7"/>
        <v>32498550</v>
      </c>
      <c r="K82" s="124"/>
    </row>
    <row r="83" spans="1:11" ht="14.25" hidden="1" customHeight="1" x14ac:dyDescent="0.25">
      <c r="A83" s="344"/>
      <c r="B83" s="154" t="s">
        <v>221</v>
      </c>
      <c r="C83" s="52" t="s">
        <v>233</v>
      </c>
      <c r="D83" s="52">
        <v>18</v>
      </c>
      <c r="E83" s="91">
        <f>VLOOKUP(C83,Data!$A$4:$B$363,2,FALSE)</f>
        <v>36400</v>
      </c>
      <c r="F83" s="153">
        <f t="shared" si="12"/>
        <v>655200</v>
      </c>
      <c r="G83" s="154">
        <f>VLOOKUP(B83,Data!$A$4:$B$363,2,FALSE)</f>
        <v>550000</v>
      </c>
      <c r="H83" s="181">
        <f t="shared" si="13"/>
        <v>-16650</v>
      </c>
      <c r="I83" s="162">
        <f t="shared" si="11"/>
        <v>-16650</v>
      </c>
      <c r="J83" s="162">
        <f t="shared" si="7"/>
        <v>-3013650</v>
      </c>
      <c r="K83" s="124"/>
    </row>
    <row r="84" spans="1:11" ht="14.25" hidden="1" customHeight="1" x14ac:dyDescent="0.25">
      <c r="A84" s="344"/>
      <c r="B84" s="154" t="s">
        <v>221</v>
      </c>
      <c r="C84" s="52" t="s">
        <v>234</v>
      </c>
      <c r="D84" s="52">
        <v>15</v>
      </c>
      <c r="E84" s="91">
        <f>VLOOKUP(C84,Data!$A$4:$B$363,2,FALSE)</f>
        <v>31500</v>
      </c>
      <c r="F84" s="153">
        <f t="shared" si="12"/>
        <v>472500</v>
      </c>
      <c r="G84" s="154">
        <f>VLOOKUP(B84,Data!$A$4:$B$363,2,FALSE)</f>
        <v>550000</v>
      </c>
      <c r="H84" s="181">
        <f t="shared" si="13"/>
        <v>166050</v>
      </c>
      <c r="I84" s="162">
        <f t="shared" si="11"/>
        <v>166050</v>
      </c>
      <c r="J84" s="162">
        <f t="shared" si="7"/>
        <v>30055050</v>
      </c>
      <c r="K84" s="124"/>
    </row>
    <row r="85" spans="1:11" ht="14.25" hidden="1" customHeight="1" x14ac:dyDescent="0.25">
      <c r="A85" s="344"/>
      <c r="B85" s="154" t="s">
        <v>221</v>
      </c>
      <c r="C85" s="52" t="s">
        <v>235</v>
      </c>
      <c r="D85" s="52">
        <v>18</v>
      </c>
      <c r="E85" s="91">
        <f>VLOOKUP(C85,Data!$A$4:$B$363,2,FALSE)</f>
        <v>27300</v>
      </c>
      <c r="F85" s="153">
        <f t="shared" si="12"/>
        <v>491400</v>
      </c>
      <c r="G85" s="154">
        <f>VLOOKUP(B85,Data!$A$4:$B$363,2,FALSE)</f>
        <v>550000</v>
      </c>
      <c r="H85" s="181">
        <f t="shared" si="13"/>
        <v>147150</v>
      </c>
      <c r="I85" s="162">
        <f t="shared" si="11"/>
        <v>147150</v>
      </c>
      <c r="J85" s="162">
        <f t="shared" si="7"/>
        <v>26634150</v>
      </c>
      <c r="K85" s="124"/>
    </row>
    <row r="86" spans="1:11" ht="14.25" hidden="1" customHeight="1" x14ac:dyDescent="0.25">
      <c r="A86" s="344"/>
      <c r="B86" s="154" t="s">
        <v>221</v>
      </c>
      <c r="C86" s="52" t="s">
        <v>236</v>
      </c>
      <c r="D86" s="52">
        <v>15</v>
      </c>
      <c r="E86" s="91">
        <f>VLOOKUP(C86,Data!$A$4:$B$363,2,FALSE)</f>
        <v>39100</v>
      </c>
      <c r="F86" s="153">
        <f t="shared" si="12"/>
        <v>586500</v>
      </c>
      <c r="G86" s="154">
        <f>VLOOKUP(B86,Data!$A$4:$B$363,2,FALSE)</f>
        <v>550000</v>
      </c>
      <c r="H86" s="181">
        <f t="shared" si="13"/>
        <v>52050</v>
      </c>
      <c r="I86" s="162">
        <f t="shared" si="11"/>
        <v>52050</v>
      </c>
      <c r="J86" s="162">
        <f t="shared" si="7"/>
        <v>9421050</v>
      </c>
      <c r="K86" s="124"/>
    </row>
    <row r="87" spans="1:11" ht="14.25" hidden="1" customHeight="1" x14ac:dyDescent="0.25">
      <c r="A87" s="344"/>
      <c r="B87" s="154" t="s">
        <v>221</v>
      </c>
      <c r="C87" s="52" t="s">
        <v>237</v>
      </c>
      <c r="D87" s="52">
        <v>15</v>
      </c>
      <c r="E87" s="91">
        <f>VLOOKUP(C87,Data!$A$4:$B$363,2,FALSE)</f>
        <v>27100</v>
      </c>
      <c r="F87" s="153">
        <f t="shared" si="12"/>
        <v>406500</v>
      </c>
      <c r="G87" s="154">
        <f>VLOOKUP(B87,Data!$A$4:$B$363,2,FALSE)</f>
        <v>550000</v>
      </c>
      <c r="H87" s="181">
        <f t="shared" si="13"/>
        <v>232050</v>
      </c>
      <c r="I87" s="162">
        <f t="shared" si="11"/>
        <v>232050</v>
      </c>
      <c r="J87" s="162">
        <f t="shared" si="7"/>
        <v>42001050</v>
      </c>
      <c r="K87" s="124"/>
    </row>
    <row r="88" spans="1:11" ht="14.25" hidden="1" customHeight="1" thickBot="1" x14ac:dyDescent="0.3">
      <c r="A88" s="344"/>
      <c r="B88" s="165" t="s">
        <v>221</v>
      </c>
      <c r="C88" s="113" t="s">
        <v>326</v>
      </c>
      <c r="D88" s="113">
        <v>15</v>
      </c>
      <c r="E88" s="114">
        <f>VLOOKUP(C88,Data!$A$4:$B$363,2,FALSE)</f>
        <v>30700</v>
      </c>
      <c r="F88" s="164">
        <f t="shared" si="12"/>
        <v>460500</v>
      </c>
      <c r="G88" s="165">
        <f>VLOOKUP(B88,Data!$A$4:$B$363,2,FALSE)</f>
        <v>550000</v>
      </c>
      <c r="H88" s="182">
        <f t="shared" si="13"/>
        <v>178050</v>
      </c>
      <c r="I88" s="166">
        <f t="shared" si="11"/>
        <v>178050</v>
      </c>
      <c r="J88" s="162">
        <f t="shared" si="7"/>
        <v>32227050</v>
      </c>
      <c r="K88" s="124"/>
    </row>
    <row r="89" spans="1:11" ht="14.25" hidden="1" customHeight="1" x14ac:dyDescent="0.25">
      <c r="A89" s="344"/>
      <c r="B89" s="186" t="s">
        <v>238</v>
      </c>
      <c r="C89" s="187" t="s">
        <v>239</v>
      </c>
      <c r="D89" s="187">
        <v>33</v>
      </c>
      <c r="E89" s="188">
        <f>VLOOKUP(C89,Data!$A$4:$B$363,2,FALSE)</f>
        <v>21600</v>
      </c>
      <c r="F89" s="189">
        <f t="shared" si="12"/>
        <v>712800</v>
      </c>
      <c r="G89" s="189">
        <f>VLOOKUP(B89,Data!$A$4:$B$363,2,FALSE)</f>
        <v>800000</v>
      </c>
      <c r="H89" s="161">
        <f>$H$3*G89-(MIN(F89:F101))</f>
        <v>634400</v>
      </c>
      <c r="I89" s="167">
        <f t="shared" si="11"/>
        <v>634400</v>
      </c>
      <c r="J89" s="162">
        <f t="shared" si="7"/>
        <v>114826400</v>
      </c>
      <c r="K89" s="124"/>
    </row>
    <row r="90" spans="1:11" ht="14.25" hidden="1" customHeight="1" x14ac:dyDescent="0.25">
      <c r="A90" s="344"/>
      <c r="B90" s="155" t="s">
        <v>238</v>
      </c>
      <c r="C90" s="156" t="s">
        <v>240</v>
      </c>
      <c r="D90" s="156">
        <v>21</v>
      </c>
      <c r="E90" s="157">
        <f>VLOOKUP(C90,Data!$A$4:$B$363,2,FALSE)</f>
        <v>200000</v>
      </c>
      <c r="F90" s="158">
        <f t="shared" si="12"/>
        <v>4200000</v>
      </c>
      <c r="G90" s="155">
        <f>VLOOKUP(B90,Data!$A$4:$B$363,2,FALSE)</f>
        <v>800000</v>
      </c>
      <c r="H90" s="181">
        <f t="shared" ref="H90:H101" si="14">(G90*$H$2-F90)</f>
        <v>-3271200</v>
      </c>
      <c r="I90" s="162">
        <f t="shared" si="11"/>
        <v>-3271200</v>
      </c>
      <c r="J90" s="162">
        <f t="shared" si="7"/>
        <v>-592087200</v>
      </c>
      <c r="K90" s="124"/>
    </row>
    <row r="91" spans="1:11" ht="14.25" hidden="1" customHeight="1" x14ac:dyDescent="0.25">
      <c r="A91" s="344"/>
      <c r="B91" s="155" t="s">
        <v>238</v>
      </c>
      <c r="C91" s="156" t="s">
        <v>241</v>
      </c>
      <c r="D91" s="156">
        <v>21</v>
      </c>
      <c r="E91" s="157">
        <f>VLOOKUP(C91,Data!$A$4:$B$363,2,FALSE)</f>
        <v>56000</v>
      </c>
      <c r="F91" s="158">
        <f t="shared" si="12"/>
        <v>1176000</v>
      </c>
      <c r="G91" s="155">
        <f>VLOOKUP(B91,Data!$A$4:$B$363,2,FALSE)</f>
        <v>800000</v>
      </c>
      <c r="H91" s="181">
        <f t="shared" si="14"/>
        <v>-247200</v>
      </c>
      <c r="I91" s="162">
        <f t="shared" si="11"/>
        <v>-247200</v>
      </c>
      <c r="J91" s="162">
        <f t="shared" si="7"/>
        <v>-44743200</v>
      </c>
      <c r="K91" s="124"/>
    </row>
    <row r="92" spans="1:11" ht="14.25" hidden="1" customHeight="1" x14ac:dyDescent="0.25">
      <c r="A92" s="344"/>
      <c r="B92" s="155" t="s">
        <v>238</v>
      </c>
      <c r="C92" s="175" t="s">
        <v>242</v>
      </c>
      <c r="D92" s="175">
        <v>21</v>
      </c>
      <c r="E92" s="176">
        <f>VLOOKUP(C92,Data!$A$4:$B$363,2,FALSE)</f>
        <v>22900</v>
      </c>
      <c r="F92" s="177">
        <f t="shared" si="12"/>
        <v>480900</v>
      </c>
      <c r="G92" s="155">
        <f>VLOOKUP(B92,Data!$A$4:$B$363,2,FALSE)</f>
        <v>800000</v>
      </c>
      <c r="H92" s="181">
        <f t="shared" si="14"/>
        <v>447900</v>
      </c>
      <c r="I92" s="162">
        <f t="shared" si="11"/>
        <v>447900</v>
      </c>
      <c r="J92" s="162">
        <f t="shared" si="7"/>
        <v>81069900</v>
      </c>
      <c r="K92" s="124"/>
    </row>
    <row r="93" spans="1:11" ht="14.25" hidden="1" customHeight="1" x14ac:dyDescent="0.25">
      <c r="A93" s="344"/>
      <c r="B93" s="155" t="s">
        <v>238</v>
      </c>
      <c r="C93" s="175" t="s">
        <v>243</v>
      </c>
      <c r="D93" s="175">
        <v>18</v>
      </c>
      <c r="E93" s="176">
        <f>VLOOKUP(C93,Data!$A$4:$B$363,2,FALSE)</f>
        <v>25200</v>
      </c>
      <c r="F93" s="177">
        <f t="shared" si="12"/>
        <v>453600</v>
      </c>
      <c r="G93" s="155">
        <f>VLOOKUP(B93,Data!$A$4:$B$363,2,FALSE)</f>
        <v>800000</v>
      </c>
      <c r="H93" s="181">
        <f t="shared" si="14"/>
        <v>475200</v>
      </c>
      <c r="I93" s="162">
        <f t="shared" si="11"/>
        <v>475200</v>
      </c>
      <c r="J93" s="162">
        <f t="shared" si="7"/>
        <v>86011200</v>
      </c>
      <c r="K93" s="124"/>
    </row>
    <row r="94" spans="1:11" ht="14.25" hidden="1" customHeight="1" x14ac:dyDescent="0.25">
      <c r="A94" s="344"/>
      <c r="B94" s="155" t="s">
        <v>238</v>
      </c>
      <c r="C94" s="156" t="s">
        <v>244</v>
      </c>
      <c r="D94" s="156">
        <v>18</v>
      </c>
      <c r="E94" s="157">
        <f>VLOOKUP(C94,Data!$A$4:$B$363,2,FALSE)</f>
        <v>200000</v>
      </c>
      <c r="F94" s="158">
        <f t="shared" si="12"/>
        <v>3600000</v>
      </c>
      <c r="G94" s="155">
        <f>VLOOKUP(B94,Data!$A$4:$B$363,2,FALSE)</f>
        <v>800000</v>
      </c>
      <c r="H94" s="181">
        <f t="shared" si="14"/>
        <v>-2671200</v>
      </c>
      <c r="I94" s="162">
        <f t="shared" si="11"/>
        <v>-2671200</v>
      </c>
      <c r="J94" s="162">
        <f t="shared" si="7"/>
        <v>-483487200</v>
      </c>
      <c r="K94" s="124"/>
    </row>
    <row r="95" spans="1:11" ht="14.25" hidden="1" customHeight="1" x14ac:dyDescent="0.25">
      <c r="A95" s="344"/>
      <c r="B95" s="155" t="s">
        <v>238</v>
      </c>
      <c r="C95" s="156" t="s">
        <v>245</v>
      </c>
      <c r="D95" s="156">
        <v>18</v>
      </c>
      <c r="E95" s="157">
        <f>VLOOKUP(C95,Data!$A$4:$B$363,2,FALSE)</f>
        <v>29800</v>
      </c>
      <c r="F95" s="158">
        <f t="shared" si="12"/>
        <v>536400</v>
      </c>
      <c r="G95" s="155">
        <f>VLOOKUP(B95,Data!$A$4:$B$363,2,FALSE)</f>
        <v>800000</v>
      </c>
      <c r="H95" s="181">
        <f t="shared" si="14"/>
        <v>392400</v>
      </c>
      <c r="I95" s="162">
        <f t="shared" si="11"/>
        <v>392400</v>
      </c>
      <c r="J95" s="162">
        <f t="shared" si="7"/>
        <v>71024400</v>
      </c>
      <c r="K95" s="124"/>
    </row>
    <row r="96" spans="1:11" ht="14.25" hidden="1" customHeight="1" x14ac:dyDescent="0.25">
      <c r="A96" s="344"/>
      <c r="B96" s="155" t="s">
        <v>238</v>
      </c>
      <c r="C96" s="156" t="s">
        <v>246</v>
      </c>
      <c r="D96" s="156">
        <v>27</v>
      </c>
      <c r="E96" s="157">
        <f>VLOOKUP(C96,Data!$A$4:$B$363,2,FALSE)</f>
        <v>200000</v>
      </c>
      <c r="F96" s="158">
        <f t="shared" si="12"/>
        <v>5400000</v>
      </c>
      <c r="G96" s="155">
        <f>VLOOKUP(B96,Data!$A$4:$B$363,2,FALSE)</f>
        <v>800000</v>
      </c>
      <c r="H96" s="181">
        <f t="shared" si="14"/>
        <v>-4471200</v>
      </c>
      <c r="I96" s="162">
        <f t="shared" si="11"/>
        <v>-4471200</v>
      </c>
      <c r="J96" s="162">
        <f t="shared" si="7"/>
        <v>-809287200</v>
      </c>
      <c r="K96" s="124"/>
    </row>
    <row r="97" spans="1:11" ht="14.25" hidden="1" customHeight="1" x14ac:dyDescent="0.25">
      <c r="A97" s="344"/>
      <c r="B97" s="155" t="s">
        <v>238</v>
      </c>
      <c r="C97" s="175" t="s">
        <v>247</v>
      </c>
      <c r="D97" s="175">
        <v>18</v>
      </c>
      <c r="E97" s="176">
        <f>VLOOKUP(C97,Data!$A$4:$B$363,2,FALSE)</f>
        <v>25900</v>
      </c>
      <c r="F97" s="177">
        <f t="shared" si="12"/>
        <v>466200</v>
      </c>
      <c r="G97" s="155">
        <f>VLOOKUP(B97,Data!$A$4:$B$363,2,FALSE)</f>
        <v>800000</v>
      </c>
      <c r="H97" s="181">
        <f t="shared" si="14"/>
        <v>462600</v>
      </c>
      <c r="I97" s="162">
        <f t="shared" si="11"/>
        <v>462600</v>
      </c>
      <c r="J97" s="162">
        <f t="shared" si="7"/>
        <v>83730600</v>
      </c>
      <c r="K97" s="124"/>
    </row>
    <row r="98" spans="1:11" ht="14.25" hidden="1" customHeight="1" x14ac:dyDescent="0.25">
      <c r="A98" s="344"/>
      <c r="B98" s="155" t="s">
        <v>238</v>
      </c>
      <c r="C98" s="175" t="s">
        <v>248</v>
      </c>
      <c r="D98" s="175">
        <v>24</v>
      </c>
      <c r="E98" s="176">
        <f>VLOOKUP(C98,Data!$A$4:$B$363,2,FALSE)</f>
        <v>19300</v>
      </c>
      <c r="F98" s="177">
        <f t="shared" si="12"/>
        <v>463200</v>
      </c>
      <c r="G98" s="155">
        <f>VLOOKUP(B98,Data!$A$4:$B$363,2,FALSE)</f>
        <v>800000</v>
      </c>
      <c r="H98" s="181">
        <f t="shared" si="14"/>
        <v>465600</v>
      </c>
      <c r="I98" s="162">
        <f t="shared" si="11"/>
        <v>465600</v>
      </c>
      <c r="J98" s="162">
        <f t="shared" si="7"/>
        <v>84273600</v>
      </c>
      <c r="K98" s="124"/>
    </row>
    <row r="99" spans="1:11" ht="14.25" hidden="1" customHeight="1" x14ac:dyDescent="0.25">
      <c r="A99" s="344"/>
      <c r="B99" s="155" t="s">
        <v>238</v>
      </c>
      <c r="C99" s="156" t="s">
        <v>249</v>
      </c>
      <c r="D99" s="156">
        <v>15</v>
      </c>
      <c r="E99" s="157">
        <f>VLOOKUP(C99,Data!$A$4:$B$363,2,FALSE)</f>
        <v>36700</v>
      </c>
      <c r="F99" s="158">
        <f t="shared" si="12"/>
        <v>550500</v>
      </c>
      <c r="G99" s="155">
        <f>VLOOKUP(B99,Data!$A$4:$B$363,2,FALSE)</f>
        <v>800000</v>
      </c>
      <c r="H99" s="181">
        <f t="shared" si="14"/>
        <v>378300</v>
      </c>
      <c r="I99" s="162">
        <f t="shared" si="11"/>
        <v>378300</v>
      </c>
      <c r="J99" s="162">
        <f t="shared" si="7"/>
        <v>68472300</v>
      </c>
      <c r="K99" s="124"/>
    </row>
    <row r="100" spans="1:11" ht="14.25" hidden="1" customHeight="1" x14ac:dyDescent="0.25">
      <c r="A100" s="344"/>
      <c r="B100" s="155" t="s">
        <v>238</v>
      </c>
      <c r="C100" s="156" t="s">
        <v>250</v>
      </c>
      <c r="D100" s="156">
        <v>12</v>
      </c>
      <c r="E100" s="157">
        <f>VLOOKUP(C100,Data!$A$4:$B$363,2,FALSE)</f>
        <v>134000</v>
      </c>
      <c r="F100" s="158">
        <f t="shared" si="12"/>
        <v>1608000</v>
      </c>
      <c r="G100" s="155">
        <f>VLOOKUP(B100,Data!$A$4:$B$363,2,FALSE)</f>
        <v>800000</v>
      </c>
      <c r="H100" s="181">
        <f t="shared" si="14"/>
        <v>-679200</v>
      </c>
      <c r="I100" s="162">
        <f t="shared" si="11"/>
        <v>-679200</v>
      </c>
      <c r="J100" s="162">
        <f t="shared" si="7"/>
        <v>-122935200</v>
      </c>
      <c r="K100" s="124"/>
    </row>
    <row r="101" spans="1:11" ht="14.25" hidden="1" customHeight="1" thickBot="1" x14ac:dyDescent="0.3">
      <c r="A101" s="345"/>
      <c r="B101" s="190" t="s">
        <v>238</v>
      </c>
      <c r="C101" s="183" t="s">
        <v>251</v>
      </c>
      <c r="D101" s="183">
        <v>12</v>
      </c>
      <c r="E101" s="184">
        <f>VLOOKUP(C101,Data!$A$4:$B$363,2,FALSE)</f>
        <v>55000</v>
      </c>
      <c r="F101" s="185">
        <f t="shared" si="12"/>
        <v>660000</v>
      </c>
      <c r="G101" s="190">
        <f>VLOOKUP(B101,Data!$A$4:$B$363,2,FALSE)</f>
        <v>800000</v>
      </c>
      <c r="H101" s="182">
        <f t="shared" si="14"/>
        <v>268800</v>
      </c>
      <c r="I101" s="166">
        <f t="shared" si="11"/>
        <v>268800</v>
      </c>
      <c r="J101" s="162">
        <f t="shared" ref="J101" si="15">+H101*$J$3</f>
        <v>48652800</v>
      </c>
      <c r="K101" s="124"/>
    </row>
    <row r="102" spans="1:11" ht="14.25" customHeight="1" x14ac:dyDescent="0.2"/>
    <row r="103" spans="1:11" ht="14.25" customHeight="1" x14ac:dyDescent="0.2"/>
    <row r="104" spans="1:11" ht="14.25" customHeight="1" x14ac:dyDescent="0.2"/>
    <row r="105" spans="1:11" ht="14.25" customHeight="1" x14ac:dyDescent="0.2"/>
    <row r="106" spans="1:11" ht="14.25" customHeight="1" x14ac:dyDescent="0.2"/>
    <row r="107" spans="1:11" ht="14.25" customHeight="1" x14ac:dyDescent="0.2"/>
    <row r="108" spans="1:11" ht="14.25" customHeight="1" x14ac:dyDescent="0.2"/>
    <row r="109" spans="1:11" ht="14.25" customHeight="1" x14ac:dyDescent="0.2"/>
    <row r="110" spans="1:11" ht="14.25" customHeight="1" x14ac:dyDescent="0.2"/>
    <row r="111" spans="1:11" ht="14.25" customHeight="1" x14ac:dyDescent="0.2"/>
    <row r="112" spans="1:11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</sheetData>
  <autoFilter ref="A5:L101" xr:uid="{ABD7F024-0E43-484A-9F33-E34B994DE9C5}">
    <filterColumn colId="10">
      <filters>
        <filter val="Comprar"/>
        <filter val="Paquete Imperial"/>
      </filters>
    </filterColumn>
  </autoFilter>
  <mergeCells count="3">
    <mergeCell ref="B2:D2"/>
    <mergeCell ref="A40:A101"/>
    <mergeCell ref="A6:A39"/>
  </mergeCells>
  <conditionalFormatting sqref="H15:I15 K6:K101 I36:J101 I7:I35 J6:J35">
    <cfRule type="expression" dxfId="47" priority="35">
      <formula>H6&gt;0</formula>
    </cfRule>
  </conditionalFormatting>
  <conditionalFormatting sqref="H15:I15 K6:K101 I36:J101 I7:I35 J6:J35">
    <cfRule type="expression" dxfId="46" priority="36">
      <formula>H6&lt;0</formula>
    </cfRule>
  </conditionalFormatting>
  <conditionalFormatting sqref="H74">
    <cfRule type="expression" dxfId="45" priority="41">
      <formula>$H74&gt;0</formula>
    </cfRule>
  </conditionalFormatting>
  <conditionalFormatting sqref="H74">
    <cfRule type="expression" dxfId="44" priority="42">
      <formula>$H74&lt;0</formula>
    </cfRule>
  </conditionalFormatting>
  <conditionalFormatting sqref="H22:H39">
    <cfRule type="expression" dxfId="43" priority="31">
      <formula>H22&gt;0</formula>
    </cfRule>
  </conditionalFormatting>
  <conditionalFormatting sqref="H22:H39">
    <cfRule type="expression" dxfId="42" priority="32">
      <formula>H22&lt;0</formula>
    </cfRule>
  </conditionalFormatting>
  <conditionalFormatting sqref="H16:H21">
    <cfRule type="expression" dxfId="41" priority="29">
      <formula>H16&gt;0</formula>
    </cfRule>
  </conditionalFormatting>
  <conditionalFormatting sqref="H16:H21">
    <cfRule type="expression" dxfId="40" priority="30">
      <formula>H16&lt;0</formula>
    </cfRule>
  </conditionalFormatting>
  <conditionalFormatting sqref="H40:H55">
    <cfRule type="expression" dxfId="39" priority="27">
      <formula>H40&gt;0</formula>
    </cfRule>
  </conditionalFormatting>
  <conditionalFormatting sqref="H40:H55">
    <cfRule type="expression" dxfId="38" priority="28">
      <formula>H40&lt;0</formula>
    </cfRule>
  </conditionalFormatting>
  <conditionalFormatting sqref="H74:H88">
    <cfRule type="expression" dxfId="37" priority="13">
      <formula>H74&gt;0</formula>
    </cfRule>
  </conditionalFormatting>
  <conditionalFormatting sqref="H74:H88">
    <cfRule type="expression" dxfId="36" priority="14">
      <formula>H74&lt;0</formula>
    </cfRule>
  </conditionalFormatting>
  <conditionalFormatting sqref="H91:H101">
    <cfRule type="expression" dxfId="35" priority="9">
      <formula>H91&gt;0</formula>
    </cfRule>
  </conditionalFormatting>
  <conditionalFormatting sqref="H91:H101">
    <cfRule type="expression" dxfId="34" priority="10">
      <formula>H91&lt;0</formula>
    </cfRule>
  </conditionalFormatting>
  <conditionalFormatting sqref="H56:H57">
    <cfRule type="expression" dxfId="33" priority="19">
      <formula>H56&gt;0</formula>
    </cfRule>
  </conditionalFormatting>
  <conditionalFormatting sqref="H56:H57">
    <cfRule type="expression" dxfId="32" priority="20">
      <formula>H56&lt;0</formula>
    </cfRule>
  </conditionalFormatting>
  <conditionalFormatting sqref="H58:H71">
    <cfRule type="expression" dxfId="31" priority="17">
      <formula>H58&gt;0</formula>
    </cfRule>
  </conditionalFormatting>
  <conditionalFormatting sqref="H58:H71">
    <cfRule type="expression" dxfId="30" priority="18">
      <formula>H58&lt;0</formula>
    </cfRule>
  </conditionalFormatting>
  <conditionalFormatting sqref="H72:H73">
    <cfRule type="expression" dxfId="29" priority="15">
      <formula>H72&gt;0</formula>
    </cfRule>
  </conditionalFormatting>
  <conditionalFormatting sqref="H72:H73">
    <cfRule type="expression" dxfId="28" priority="16">
      <formula>H72&lt;0</formula>
    </cfRule>
  </conditionalFormatting>
  <conditionalFormatting sqref="H89:H90">
    <cfRule type="expression" dxfId="27" priority="11">
      <formula>H89&gt;0</formula>
    </cfRule>
  </conditionalFormatting>
  <conditionalFormatting sqref="H89:H90">
    <cfRule type="expression" dxfId="26" priority="12">
      <formula>H89&lt;0</formula>
    </cfRule>
  </conditionalFormatting>
  <conditionalFormatting sqref="H6:I6">
    <cfRule type="expression" dxfId="25" priority="5">
      <formula>H6&gt;0</formula>
    </cfRule>
  </conditionalFormatting>
  <conditionalFormatting sqref="H6:I6">
    <cfRule type="expression" dxfId="24" priority="6">
      <formula>H6&lt;0</formula>
    </cfRule>
  </conditionalFormatting>
  <conditionalFormatting sqref="H9:H14">
    <cfRule type="expression" dxfId="23" priority="3">
      <formula>H9&gt;0</formula>
    </cfRule>
  </conditionalFormatting>
  <conditionalFormatting sqref="H9:H14">
    <cfRule type="expression" dxfId="22" priority="4">
      <formula>H9&lt;0</formula>
    </cfRule>
  </conditionalFormatting>
  <conditionalFormatting sqref="H7:H8">
    <cfRule type="expression" dxfId="21" priority="1">
      <formula>H7&gt;0</formula>
    </cfRule>
  </conditionalFormatting>
  <conditionalFormatting sqref="H7:H8">
    <cfRule type="expression" dxfId="20" priority="2">
      <formula>H7&lt;0</formula>
    </cfRule>
  </conditionalFormatting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9244-0BC2-4A5C-8DEF-DFF101E9D8B3}">
  <dimension ref="A1:H298"/>
  <sheetViews>
    <sheetView zoomScale="70" zoomScaleNormal="70" workbookViewId="0">
      <selection activeCell="C32" sqref="C32"/>
    </sheetView>
  </sheetViews>
  <sheetFormatPr baseColWidth="10" defaultColWidth="12.625" defaultRowHeight="14.25" x14ac:dyDescent="0.2"/>
  <cols>
    <col min="1" max="1" width="11" customWidth="1"/>
    <col min="2" max="2" width="47" bestFit="1" customWidth="1"/>
    <col min="3" max="3" width="41.125" customWidth="1"/>
    <col min="4" max="4" width="11" customWidth="1"/>
    <col min="5" max="5" width="11.875" bestFit="1" customWidth="1"/>
    <col min="6" max="6" width="14" bestFit="1" customWidth="1"/>
    <col min="7" max="7" width="15.25" customWidth="1"/>
    <col min="8" max="8" width="11.875" bestFit="1" customWidth="1"/>
    <col min="9" max="26" width="7.625" customWidth="1"/>
  </cols>
  <sheetData>
    <row r="1" spans="1:8" ht="14.25" customHeight="1" thickBot="1" x14ac:dyDescent="0.25"/>
    <row r="2" spans="1:8" ht="14.25" customHeight="1" thickBot="1" x14ac:dyDescent="0.3">
      <c r="B2" s="299" t="s">
        <v>0</v>
      </c>
      <c r="C2" s="300"/>
      <c r="D2" s="301"/>
      <c r="G2" s="1" t="s">
        <v>1</v>
      </c>
      <c r="H2" s="2">
        <v>1</v>
      </c>
    </row>
    <row r="3" spans="1:8" ht="14.25" customHeight="1" thickBot="1" x14ac:dyDescent="0.25"/>
    <row r="4" spans="1:8" ht="14.25" customHeight="1" thickBot="1" x14ac:dyDescent="0.3">
      <c r="B4" s="30" t="s">
        <v>2</v>
      </c>
      <c r="C4" s="30" t="s">
        <v>3</v>
      </c>
      <c r="D4" s="30" t="s">
        <v>4</v>
      </c>
      <c r="E4" s="30" t="s">
        <v>5</v>
      </c>
      <c r="F4" s="30" t="s">
        <v>6</v>
      </c>
      <c r="G4" s="30" t="s">
        <v>7</v>
      </c>
      <c r="H4" s="30" t="s">
        <v>8</v>
      </c>
    </row>
    <row r="5" spans="1:8" ht="15" customHeight="1" x14ac:dyDescent="0.25">
      <c r="A5" s="341" t="s">
        <v>266</v>
      </c>
      <c r="B5" s="31" t="s">
        <v>271</v>
      </c>
      <c r="C5" s="5" t="s">
        <v>283</v>
      </c>
      <c r="D5" s="5">
        <v>1</v>
      </c>
      <c r="E5" s="6">
        <f>VLOOKUP(C5,Data!$A$4:$B$363,2,FALSE)</f>
        <v>80000</v>
      </c>
      <c r="F5" s="331">
        <f>SUM(E5*D5+E6*D6+E7*D7+E9*D9+D8*E8)</f>
        <v>730200</v>
      </c>
      <c r="G5" s="331">
        <f>VLOOKUP(B5,Data!$A$4:$B$363,2,FALSE)</f>
        <v>1010000</v>
      </c>
      <c r="H5" s="332">
        <f>G5*0.85*$H$2-F5</f>
        <v>128300</v>
      </c>
    </row>
    <row r="6" spans="1:8" ht="14.25" customHeight="1" x14ac:dyDescent="0.25">
      <c r="A6" s="324"/>
      <c r="B6" s="32"/>
      <c r="C6" s="10" t="s">
        <v>283</v>
      </c>
      <c r="D6" s="10">
        <v>1</v>
      </c>
      <c r="E6" s="11">
        <f>VLOOKUP(C6,Data!$A$4:$B$363,2,FALSE)</f>
        <v>80000</v>
      </c>
      <c r="F6" s="324"/>
      <c r="G6" s="324"/>
      <c r="H6" s="327"/>
    </row>
    <row r="7" spans="1:8" ht="14.25" customHeight="1" x14ac:dyDescent="0.25">
      <c r="A7" s="324"/>
      <c r="B7" s="32"/>
      <c r="C7" s="32" t="s">
        <v>154</v>
      </c>
      <c r="D7" s="10">
        <v>2</v>
      </c>
      <c r="E7" s="11">
        <f>VLOOKUP(C7,Data!$A$4:$B$363,2,FALSE)</f>
        <v>264000</v>
      </c>
      <c r="F7" s="324"/>
      <c r="G7" s="324"/>
      <c r="H7" s="327"/>
    </row>
    <row r="8" spans="1:8" ht="14.25" customHeight="1" x14ac:dyDescent="0.25">
      <c r="A8" s="329"/>
      <c r="B8" s="51"/>
      <c r="C8" s="51" t="s">
        <v>282</v>
      </c>
      <c r="D8" s="52">
        <v>2</v>
      </c>
      <c r="E8" s="11">
        <f>VLOOKUP(C8,Data!$A$4:$B$363,2,FALSE)</f>
        <v>13100</v>
      </c>
      <c r="F8" s="329"/>
      <c r="G8" s="329"/>
      <c r="H8" s="333"/>
    </row>
    <row r="9" spans="1:8" ht="14.25" customHeight="1" x14ac:dyDescent="0.25">
      <c r="A9" s="324"/>
      <c r="B9" s="32"/>
      <c r="C9" s="10" t="s">
        <v>173</v>
      </c>
      <c r="D9" s="10">
        <v>8</v>
      </c>
      <c r="E9" s="11">
        <f>VLOOKUP(C9,Data!$A$4:$B$363,2,FALSE)</f>
        <v>2000</v>
      </c>
      <c r="F9" s="339"/>
      <c r="G9" s="339"/>
      <c r="H9" s="340"/>
    </row>
    <row r="10" spans="1:8" ht="14.25" customHeight="1" x14ac:dyDescent="0.25">
      <c r="A10" s="324"/>
      <c r="B10" s="14" t="s">
        <v>272</v>
      </c>
      <c r="C10" s="14" t="s">
        <v>287</v>
      </c>
      <c r="D10" s="14">
        <v>1</v>
      </c>
      <c r="E10" s="15">
        <f>VLOOKUP(C10,Data!$A$4:$B$363,2,FALSE)</f>
        <v>18200</v>
      </c>
      <c r="F10" s="323">
        <f>SUM(E10*D10+E11*D11+E12*D12+E14*D14+D13*E13)</f>
        <v>303000</v>
      </c>
      <c r="G10" s="323">
        <f>VLOOKUP(B10,Data!$A$4:$B$363,2,FALSE)</f>
        <v>965000</v>
      </c>
      <c r="H10" s="325">
        <f>G10*0.85*$H$2-F10</f>
        <v>517250</v>
      </c>
    </row>
    <row r="11" spans="1:8" ht="14.25" customHeight="1" x14ac:dyDescent="0.25">
      <c r="A11" s="329"/>
      <c r="B11" s="53"/>
      <c r="C11" s="14" t="s">
        <v>287</v>
      </c>
      <c r="D11" s="53">
        <v>1</v>
      </c>
      <c r="E11" s="15">
        <f>VLOOKUP(C11,Data!$A$4:$B$363,2,FALSE)</f>
        <v>18200</v>
      </c>
      <c r="F11" s="323"/>
      <c r="G11" s="323"/>
      <c r="H11" s="326"/>
    </row>
    <row r="12" spans="1:8" ht="14.25" customHeight="1" x14ac:dyDescent="0.25">
      <c r="A12" s="324"/>
      <c r="B12" s="14"/>
      <c r="C12" s="14" t="s">
        <v>152</v>
      </c>
      <c r="D12" s="14">
        <v>2</v>
      </c>
      <c r="E12" s="15">
        <f>VLOOKUP(C12,Data!$A$4:$B$363,2,FALSE)</f>
        <v>49800</v>
      </c>
      <c r="F12" s="323"/>
      <c r="G12" s="324"/>
      <c r="H12" s="327"/>
    </row>
    <row r="13" spans="1:8" ht="14.25" customHeight="1" x14ac:dyDescent="0.25">
      <c r="A13" s="324"/>
      <c r="B13" s="14"/>
      <c r="C13" s="14" t="s">
        <v>284</v>
      </c>
      <c r="D13" s="14">
        <v>4</v>
      </c>
      <c r="E13" s="15">
        <f>VLOOKUP(C13,Data!$A$4:$B$363,2,FALSE)</f>
        <v>13500</v>
      </c>
      <c r="F13" s="323"/>
      <c r="G13" s="324"/>
      <c r="H13" s="327"/>
    </row>
    <row r="14" spans="1:8" ht="14.25" customHeight="1" x14ac:dyDescent="0.25">
      <c r="A14" s="324"/>
      <c r="B14" s="14"/>
      <c r="C14" s="14" t="s">
        <v>38</v>
      </c>
      <c r="D14" s="14">
        <v>2</v>
      </c>
      <c r="E14" s="15">
        <f>VLOOKUP(C14,Data!$A$4:$B$363,2,FALSE)</f>
        <v>56500</v>
      </c>
      <c r="F14" s="323"/>
      <c r="G14" s="339"/>
      <c r="H14" s="340"/>
    </row>
    <row r="15" spans="1:8" ht="14.25" customHeight="1" x14ac:dyDescent="0.25">
      <c r="A15" s="329"/>
      <c r="B15" s="10" t="s">
        <v>273</v>
      </c>
      <c r="C15" s="10" t="s">
        <v>283</v>
      </c>
      <c r="D15" s="10">
        <v>1</v>
      </c>
      <c r="E15" s="11">
        <f>VLOOKUP(C15,Data!$A$4:$B$363,2,FALSE)</f>
        <v>80000</v>
      </c>
      <c r="F15" s="330">
        <f>SUM(E15*D15+E16*D16+E17*D17+E19*D19+D18*E18)</f>
        <v>357500</v>
      </c>
      <c r="G15" s="330">
        <f>VLOOKUP(B15,Data!$A$4:$B$363,2,FALSE)</f>
        <v>770000</v>
      </c>
      <c r="H15" s="334">
        <f>G15*0.85*$H$2-F15</f>
        <v>297000</v>
      </c>
    </row>
    <row r="16" spans="1:8" ht="14.25" customHeight="1" x14ac:dyDescent="0.25">
      <c r="A16" s="329"/>
      <c r="B16" s="52"/>
      <c r="C16" s="52" t="s">
        <v>283</v>
      </c>
      <c r="D16" s="52">
        <v>1</v>
      </c>
      <c r="E16" s="11">
        <f>VLOOKUP(C16,Data!$A$4:$B$363,2,FALSE)</f>
        <v>80000</v>
      </c>
      <c r="F16" s="330"/>
      <c r="G16" s="330"/>
      <c r="H16" s="335"/>
    </row>
    <row r="17" spans="1:8" ht="14.25" customHeight="1" x14ac:dyDescent="0.25">
      <c r="A17" s="329"/>
      <c r="B17" s="10"/>
      <c r="C17" s="10" t="s">
        <v>35</v>
      </c>
      <c r="D17" s="10">
        <v>1</v>
      </c>
      <c r="E17" s="11">
        <f>VLOOKUP(C17,Data!$A$4:$B$363,2,FALSE)</f>
        <v>138000</v>
      </c>
      <c r="F17" s="330"/>
      <c r="G17" s="324"/>
      <c r="H17" s="327"/>
    </row>
    <row r="18" spans="1:8" ht="14.25" customHeight="1" x14ac:dyDescent="0.25">
      <c r="A18" s="329"/>
      <c r="B18" s="10"/>
      <c r="C18" s="10" t="s">
        <v>173</v>
      </c>
      <c r="D18" s="10">
        <v>8</v>
      </c>
      <c r="E18" s="11">
        <f>VLOOKUP(C18,Data!$A$4:$B$363,2,FALSE)</f>
        <v>2000</v>
      </c>
      <c r="F18" s="330"/>
      <c r="G18" s="324"/>
      <c r="H18" s="327"/>
    </row>
    <row r="19" spans="1:8" ht="14.25" customHeight="1" x14ac:dyDescent="0.25">
      <c r="A19" s="329"/>
      <c r="B19" s="10"/>
      <c r="C19" s="10" t="s">
        <v>22</v>
      </c>
      <c r="D19" s="10">
        <v>5</v>
      </c>
      <c r="E19" s="11">
        <f>VLOOKUP(C19,Data!$A$4:$B$363,2,FALSE)</f>
        <v>8700</v>
      </c>
      <c r="F19" s="330"/>
      <c r="G19" s="339"/>
      <c r="H19" s="340"/>
    </row>
    <row r="20" spans="1:8" ht="14.25" customHeight="1" x14ac:dyDescent="0.25">
      <c r="A20" s="329"/>
      <c r="B20" s="14" t="s">
        <v>274</v>
      </c>
      <c r="C20" s="14" t="s">
        <v>285</v>
      </c>
      <c r="D20" s="14">
        <v>1</v>
      </c>
      <c r="E20" s="15">
        <f>VLOOKUP(C20,Data!$A$4:$B$363,2,FALSE)</f>
        <v>23700</v>
      </c>
      <c r="F20" s="323">
        <f>SUM(E20*D20+E21*D21+E22*D22+E24*D24+D23*E23)</f>
        <v>288590</v>
      </c>
      <c r="G20" s="323">
        <f>VLOOKUP(B20,Data!$A$4:$B$363,2,FALSE)</f>
        <v>550000</v>
      </c>
      <c r="H20" s="325">
        <f>G20*0.85*$H$2-F20</f>
        <v>178910</v>
      </c>
    </row>
    <row r="21" spans="1:8" ht="14.25" customHeight="1" x14ac:dyDescent="0.25">
      <c r="A21" s="329"/>
      <c r="B21" s="53"/>
      <c r="C21" s="53" t="s">
        <v>156</v>
      </c>
      <c r="D21" s="53">
        <v>1</v>
      </c>
      <c r="E21" s="15">
        <f>VLOOKUP(C21,Data!$A$4:$B$363,2,FALSE)</f>
        <v>138000</v>
      </c>
      <c r="F21" s="323"/>
      <c r="G21" s="323"/>
      <c r="H21" s="326"/>
    </row>
    <row r="22" spans="1:8" ht="14.25" customHeight="1" x14ac:dyDescent="0.25">
      <c r="A22" s="329"/>
      <c r="B22" s="14"/>
      <c r="C22" s="14" t="s">
        <v>286</v>
      </c>
      <c r="D22" s="14">
        <v>7</v>
      </c>
      <c r="E22" s="15">
        <f>VLOOKUP(C22,Data!$A$4:$B$363,2,FALSE)</f>
        <v>1270</v>
      </c>
      <c r="F22" s="323"/>
      <c r="G22" s="324"/>
      <c r="H22" s="327"/>
    </row>
    <row r="23" spans="1:8" ht="14.25" customHeight="1" x14ac:dyDescent="0.25">
      <c r="A23" s="329"/>
      <c r="B23" s="14"/>
      <c r="C23" s="14" t="s">
        <v>18</v>
      </c>
      <c r="D23" s="14">
        <v>4</v>
      </c>
      <c r="E23" s="15">
        <f>VLOOKUP(C23,Data!$A$4:$B$363,2,FALSE)</f>
        <v>9500</v>
      </c>
      <c r="F23" s="323"/>
      <c r="G23" s="324"/>
      <c r="H23" s="327"/>
    </row>
    <row r="24" spans="1:8" ht="14.25" customHeight="1" thickBot="1" x14ac:dyDescent="0.3">
      <c r="A24" s="329"/>
      <c r="B24" s="14"/>
      <c r="C24" s="14" t="s">
        <v>283</v>
      </c>
      <c r="D24" s="14">
        <v>1</v>
      </c>
      <c r="E24" s="15">
        <f>VLOOKUP(C24,Data!$A$4:$B$363,2,FALSE)</f>
        <v>80000</v>
      </c>
      <c r="F24" s="346"/>
      <c r="G24" s="339"/>
      <c r="H24" s="340"/>
    </row>
    <row r="25" spans="1:8" ht="14.25" customHeight="1" x14ac:dyDescent="0.25">
      <c r="A25" s="324"/>
      <c r="B25" s="10" t="s">
        <v>277</v>
      </c>
      <c r="C25" s="10" t="s">
        <v>283</v>
      </c>
      <c r="D25" s="10">
        <v>1</v>
      </c>
      <c r="E25" s="11">
        <f>VLOOKUP(C25,Data!$A$4:$B$363,2,FALSE)</f>
        <v>80000</v>
      </c>
      <c r="F25" s="330">
        <f>SUM(E25*D25+E26*D26+E27*D27+E29*D29+D28*E28)</f>
        <v>354060</v>
      </c>
      <c r="G25" s="330">
        <f>VLOOKUP(B25,Data!$A$4:$B$363,2,FALSE)</f>
        <v>550000</v>
      </c>
      <c r="H25" s="334">
        <f>G25*0.85*$H$2-F25</f>
        <v>113440</v>
      </c>
    </row>
    <row r="26" spans="1:8" ht="14.25" customHeight="1" x14ac:dyDescent="0.25">
      <c r="A26" s="329"/>
      <c r="B26" s="52"/>
      <c r="C26" s="52" t="s">
        <v>283</v>
      </c>
      <c r="D26" s="52">
        <v>1</v>
      </c>
      <c r="E26" s="11">
        <f>VLOOKUP(C26,Data!$A$4:$B$363,2,FALSE)</f>
        <v>80000</v>
      </c>
      <c r="F26" s="330"/>
      <c r="G26" s="330"/>
      <c r="H26" s="335"/>
    </row>
    <row r="27" spans="1:8" ht="14.25" customHeight="1" x14ac:dyDescent="0.25">
      <c r="A27" s="324"/>
      <c r="B27" s="10"/>
      <c r="C27" s="10" t="s">
        <v>159</v>
      </c>
      <c r="D27" s="10">
        <v>1</v>
      </c>
      <c r="E27" s="11">
        <f>VLOOKUP(C27,Data!$A$4:$B$363,2,FALSE)</f>
        <v>138000</v>
      </c>
      <c r="F27" s="330"/>
      <c r="G27" s="324"/>
      <c r="H27" s="327"/>
    </row>
    <row r="28" spans="1:8" ht="14.25" customHeight="1" x14ac:dyDescent="0.25">
      <c r="A28" s="324"/>
      <c r="B28" s="10"/>
      <c r="C28" s="10" t="s">
        <v>307</v>
      </c>
      <c r="D28" s="10">
        <v>4</v>
      </c>
      <c r="E28" s="11">
        <f>VLOOKUP(C28,Data!$A$4:$B$363,2,FALSE)</f>
        <v>815</v>
      </c>
      <c r="F28" s="330"/>
      <c r="G28" s="324"/>
      <c r="H28" s="327"/>
    </row>
    <row r="29" spans="1:8" ht="14.25" customHeight="1" x14ac:dyDescent="0.25">
      <c r="A29" s="324"/>
      <c r="B29" s="10"/>
      <c r="C29" s="10" t="s">
        <v>308</v>
      </c>
      <c r="D29" s="10">
        <v>2</v>
      </c>
      <c r="E29" s="11">
        <f>VLOOKUP(C29,Data!$A$4:$B$363,2,FALSE)</f>
        <v>26400</v>
      </c>
      <c r="F29" s="330"/>
      <c r="G29" s="339"/>
      <c r="H29" s="340"/>
    </row>
    <row r="30" spans="1:8" ht="14.25" customHeight="1" x14ac:dyDescent="0.25">
      <c r="A30" s="324"/>
      <c r="B30" s="14"/>
      <c r="C30" s="14"/>
      <c r="D30" s="14"/>
      <c r="E30" s="15" t="e">
        <f>VLOOKUP(C30,Data!$A$4:$B$363,2,FALSE)</f>
        <v>#N/A</v>
      </c>
      <c r="F30" s="323" t="e">
        <f>SUM(E30*D30+E31*D31+E32*D32+E34*D34+D33*E33)</f>
        <v>#N/A</v>
      </c>
      <c r="G30" s="323" t="e">
        <f>VLOOKUP(B30,Data!$A$4:$B$363,2,FALSE)</f>
        <v>#N/A</v>
      </c>
      <c r="H30" s="325" t="e">
        <f>G30*0.85*$H$2-F30</f>
        <v>#N/A</v>
      </c>
    </row>
    <row r="31" spans="1:8" ht="14.25" customHeight="1" x14ac:dyDescent="0.25">
      <c r="A31" s="329"/>
      <c r="B31" s="53"/>
      <c r="C31" s="53"/>
      <c r="D31" s="53"/>
      <c r="E31" s="15" t="e">
        <f>VLOOKUP(C31,Data!$A$4:$B$363,2,FALSE)</f>
        <v>#N/A</v>
      </c>
      <c r="F31" s="323"/>
      <c r="G31" s="323"/>
      <c r="H31" s="326"/>
    </row>
    <row r="32" spans="1:8" ht="14.25" customHeight="1" x14ac:dyDescent="0.25">
      <c r="A32" s="324"/>
      <c r="B32" s="14"/>
      <c r="C32" s="14"/>
      <c r="D32" s="14"/>
      <c r="E32" s="15" t="e">
        <f>VLOOKUP(C32,Data!$A$4:$B$363,2,FALSE)</f>
        <v>#N/A</v>
      </c>
      <c r="F32" s="323"/>
      <c r="G32" s="324"/>
      <c r="H32" s="327"/>
    </row>
    <row r="33" spans="1:8" ht="14.25" customHeight="1" x14ac:dyDescent="0.25">
      <c r="A33" s="324"/>
      <c r="B33" s="14"/>
      <c r="C33" s="14"/>
      <c r="D33" s="14"/>
      <c r="E33" s="15" t="e">
        <f>VLOOKUP(C33,Data!$A$4:$B$363,2,FALSE)</f>
        <v>#N/A</v>
      </c>
      <c r="F33" s="323"/>
      <c r="G33" s="324"/>
      <c r="H33" s="327"/>
    </row>
    <row r="34" spans="1:8" ht="14.25" customHeight="1" thickBot="1" x14ac:dyDescent="0.3">
      <c r="A34" s="339"/>
      <c r="B34" s="14"/>
      <c r="C34" s="14"/>
      <c r="D34" s="14"/>
      <c r="E34" s="15" t="e">
        <f>VLOOKUP(C34,Data!$A$4:$B$363,2,FALSE)</f>
        <v>#N/A</v>
      </c>
      <c r="F34" s="346"/>
      <c r="G34" s="339"/>
      <c r="H34" s="340"/>
    </row>
    <row r="35" spans="1:8" ht="14.25" customHeight="1" x14ac:dyDescent="0.2"/>
    <row r="36" spans="1:8" ht="14.25" customHeight="1" x14ac:dyDescent="0.2"/>
    <row r="37" spans="1:8" ht="14.25" customHeight="1" x14ac:dyDescent="0.2"/>
    <row r="38" spans="1:8" ht="14.25" customHeight="1" x14ac:dyDescent="0.2"/>
    <row r="39" spans="1:8" ht="14.25" customHeight="1" x14ac:dyDescent="0.2"/>
    <row r="40" spans="1:8" ht="14.25" customHeight="1" x14ac:dyDescent="0.2"/>
    <row r="41" spans="1:8" ht="14.25" customHeight="1" x14ac:dyDescent="0.2"/>
    <row r="42" spans="1:8" ht="14.25" customHeight="1" x14ac:dyDescent="0.2"/>
    <row r="43" spans="1:8" ht="14.25" customHeight="1" x14ac:dyDescent="0.2"/>
    <row r="44" spans="1:8" ht="14.25" customHeight="1" x14ac:dyDescent="0.2"/>
    <row r="45" spans="1:8" ht="14.25" customHeight="1" x14ac:dyDescent="0.2"/>
    <row r="46" spans="1:8" ht="14.25" customHeight="1" x14ac:dyDescent="0.2"/>
    <row r="47" spans="1:8" ht="14.25" customHeight="1" x14ac:dyDescent="0.2"/>
    <row r="48" spans="1: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</sheetData>
  <mergeCells count="20">
    <mergeCell ref="H30:H34"/>
    <mergeCell ref="F15:F19"/>
    <mergeCell ref="G15:G19"/>
    <mergeCell ref="H15:H19"/>
    <mergeCell ref="F20:F24"/>
    <mergeCell ref="G20:G24"/>
    <mergeCell ref="H20:H24"/>
    <mergeCell ref="B2:D2"/>
    <mergeCell ref="A5:A34"/>
    <mergeCell ref="F5:F9"/>
    <mergeCell ref="G5:G9"/>
    <mergeCell ref="H5:H9"/>
    <mergeCell ref="F10:F14"/>
    <mergeCell ref="G10:G14"/>
    <mergeCell ref="H10:H14"/>
    <mergeCell ref="F25:F29"/>
    <mergeCell ref="G25:G29"/>
    <mergeCell ref="H25:H29"/>
    <mergeCell ref="F30:F34"/>
    <mergeCell ref="G30:G34"/>
  </mergeCells>
  <conditionalFormatting sqref="H5:H14">
    <cfRule type="expression" dxfId="19" priority="23">
      <formula>$H5&gt;0</formula>
    </cfRule>
  </conditionalFormatting>
  <conditionalFormatting sqref="H5:H14">
    <cfRule type="expression" dxfId="18" priority="24">
      <formula>$H5&lt;0</formula>
    </cfRule>
  </conditionalFormatting>
  <conditionalFormatting sqref="H25:H29">
    <cfRule type="expression" dxfId="17" priority="25">
      <formula>$H25&gt;0</formula>
    </cfRule>
  </conditionalFormatting>
  <conditionalFormatting sqref="H25:H29">
    <cfRule type="expression" dxfId="16" priority="26">
      <formula>$H25&lt;0</formula>
    </cfRule>
  </conditionalFormatting>
  <conditionalFormatting sqref="H30:H34">
    <cfRule type="expression" dxfId="15" priority="27">
      <formula>$H30&gt;0</formula>
    </cfRule>
  </conditionalFormatting>
  <conditionalFormatting sqref="H30:H34">
    <cfRule type="expression" dxfId="14" priority="28">
      <formula>$H30&lt;0</formula>
    </cfRule>
  </conditionalFormatting>
  <conditionalFormatting sqref="H15:H19">
    <cfRule type="expression" dxfId="13" priority="1">
      <formula>$H15&gt;0</formula>
    </cfRule>
  </conditionalFormatting>
  <conditionalFormatting sqref="H15:H19">
    <cfRule type="expression" dxfId="12" priority="2">
      <formula>$H15&lt;0</formula>
    </cfRule>
  </conditionalFormatting>
  <conditionalFormatting sqref="H20:H24">
    <cfRule type="expression" dxfId="11" priority="3">
      <formula>$H20&gt;0</formula>
    </cfRule>
  </conditionalFormatting>
  <conditionalFormatting sqref="H20:H24">
    <cfRule type="expression" dxfId="10" priority="4">
      <formula>$H20&lt;0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5627-A298-418D-931E-E0369FDA364D}">
  <dimension ref="A1:H1001"/>
  <sheetViews>
    <sheetView zoomScale="70" zoomScaleNormal="70" workbookViewId="0">
      <selection activeCell="N47" sqref="N47"/>
    </sheetView>
  </sheetViews>
  <sheetFormatPr baseColWidth="10" defaultColWidth="12.625" defaultRowHeight="14.25" x14ac:dyDescent="0.2"/>
  <cols>
    <col min="1" max="1" width="7.625" customWidth="1"/>
    <col min="2" max="2" width="19.5" customWidth="1"/>
    <col min="3" max="3" width="30.125" bestFit="1" customWidth="1"/>
    <col min="4" max="4" width="8" customWidth="1"/>
    <col min="5" max="5" width="10.875" bestFit="1" customWidth="1"/>
    <col min="6" max="6" width="12.375" bestFit="1" customWidth="1"/>
    <col min="7" max="7" width="22.125" bestFit="1" customWidth="1"/>
    <col min="8" max="8" width="14.625" customWidth="1"/>
    <col min="9" max="26" width="7.625" customWidth="1"/>
  </cols>
  <sheetData>
    <row r="1" spans="1:8" ht="14.25" customHeight="1" thickBot="1" x14ac:dyDescent="0.25"/>
    <row r="2" spans="1:8" ht="14.25" customHeight="1" thickBot="1" x14ac:dyDescent="0.3">
      <c r="B2" s="299" t="s">
        <v>309</v>
      </c>
      <c r="C2" s="300"/>
      <c r="D2" s="301"/>
      <c r="G2" s="1" t="s">
        <v>179</v>
      </c>
      <c r="H2" s="2">
        <v>2.1</v>
      </c>
    </row>
    <row r="3" spans="1:8" ht="14.25" customHeight="1" thickBot="1" x14ac:dyDescent="0.3">
      <c r="G3" s="1" t="s">
        <v>327</v>
      </c>
      <c r="H3" s="2">
        <v>1.4</v>
      </c>
    </row>
    <row r="4" spans="1:8" ht="14.25" customHeight="1" thickBot="1" x14ac:dyDescent="0.3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1:8" ht="14.25" customHeight="1" x14ac:dyDescent="0.25">
      <c r="A5" s="4"/>
      <c r="B5" s="5" t="s">
        <v>236</v>
      </c>
      <c r="C5" s="5" t="s">
        <v>220</v>
      </c>
      <c r="D5" s="5">
        <v>1</v>
      </c>
      <c r="E5" s="6">
        <f>VLOOKUP(C5,Data!$A$4:$B$363,2,FALSE)</f>
        <v>17500</v>
      </c>
      <c r="F5" s="7">
        <f>SUM(E5*D5+E6*D6+E7*D7+E8*D8)</f>
        <v>100800</v>
      </c>
      <c r="G5" s="7">
        <f>VLOOKUP(B5,Data!$A$4:$B$363,2,FALSE)</f>
        <v>39100</v>
      </c>
      <c r="H5" s="8">
        <f>G5*0.85*$H$2-F5</f>
        <v>-31006.5</v>
      </c>
    </row>
    <row r="6" spans="1:8" ht="14.25" customHeight="1" x14ac:dyDescent="0.25">
      <c r="A6" s="9"/>
      <c r="B6" s="10"/>
      <c r="C6" s="10" t="s">
        <v>201</v>
      </c>
      <c r="D6" s="10">
        <v>1</v>
      </c>
      <c r="E6" s="11">
        <f>VLOOKUP(C6,Data!$A$4:$B$363,2,FALSE)</f>
        <v>4300</v>
      </c>
      <c r="F6" s="12"/>
      <c r="G6" s="12"/>
      <c r="H6" s="13"/>
    </row>
    <row r="7" spans="1:8" ht="14.25" customHeight="1" x14ac:dyDescent="0.25">
      <c r="A7" s="9"/>
      <c r="B7" s="10"/>
      <c r="C7" s="10" t="s">
        <v>320</v>
      </c>
      <c r="D7" s="10">
        <v>5</v>
      </c>
      <c r="E7" s="11">
        <f>VLOOKUP(C7,Data!$A$4:$B$363,2,FALSE)</f>
        <v>2500</v>
      </c>
      <c r="F7" s="12"/>
      <c r="G7" s="12"/>
      <c r="H7" s="13"/>
    </row>
    <row r="8" spans="1:8" ht="14.25" customHeight="1" x14ac:dyDescent="0.25">
      <c r="A8" s="9"/>
      <c r="B8" s="10"/>
      <c r="C8" s="10" t="s">
        <v>18</v>
      </c>
      <c r="D8" s="10">
        <v>7</v>
      </c>
      <c r="E8" s="11">
        <f>VLOOKUP(C8,Data!$A$4:$B$363,2,FALSE)</f>
        <v>9500</v>
      </c>
      <c r="F8" s="12"/>
      <c r="G8" s="12"/>
      <c r="H8" s="13"/>
    </row>
    <row r="9" spans="1:8" ht="14.25" customHeight="1" x14ac:dyDescent="0.25">
      <c r="A9" s="9"/>
      <c r="B9" s="14" t="s">
        <v>249</v>
      </c>
      <c r="C9" s="14" t="s">
        <v>236</v>
      </c>
      <c r="D9" s="14">
        <v>1</v>
      </c>
      <c r="E9" s="15">
        <f>VLOOKUP(C9,Data!$A$4:$B$363,2,FALSE)</f>
        <v>39100</v>
      </c>
      <c r="F9" s="17">
        <f>SUM(E9*D9+E10*D10+E11*D11+E13*D13+E12*D12)</f>
        <v>130960</v>
      </c>
      <c r="G9" s="17">
        <f>VLOOKUP(B9,Data!$A$4:$B$363,2,FALSE)</f>
        <v>36700</v>
      </c>
      <c r="H9" s="13">
        <f>G9*0.85*$H$2-F9</f>
        <v>-65450.5</v>
      </c>
    </row>
    <row r="10" spans="1:8" ht="14.25" customHeight="1" x14ac:dyDescent="0.25">
      <c r="A10" s="9"/>
      <c r="B10" s="14"/>
      <c r="C10" s="14" t="s">
        <v>220</v>
      </c>
      <c r="D10" s="14">
        <v>1</v>
      </c>
      <c r="E10" s="15">
        <f>VLOOKUP(C10,Data!$A$4:$B$363,2,FALSE)</f>
        <v>17500</v>
      </c>
      <c r="F10" s="16"/>
      <c r="G10" s="17"/>
      <c r="H10" s="13"/>
    </row>
    <row r="11" spans="1:8" ht="14.25" customHeight="1" x14ac:dyDescent="0.25">
      <c r="A11" s="9"/>
      <c r="B11" s="14"/>
      <c r="C11" s="14" t="s">
        <v>215</v>
      </c>
      <c r="D11" s="14">
        <v>2</v>
      </c>
      <c r="E11" s="15">
        <f>VLOOKUP(C11,Data!$A$4:$B$363,2,FALSE)</f>
        <v>17000</v>
      </c>
      <c r="F11" s="16"/>
      <c r="G11" s="17"/>
      <c r="H11" s="13"/>
    </row>
    <row r="12" spans="1:8" ht="14.25" customHeight="1" x14ac:dyDescent="0.25">
      <c r="A12" s="71"/>
      <c r="B12" s="53"/>
      <c r="C12" s="14" t="s">
        <v>321</v>
      </c>
      <c r="D12" s="14">
        <v>1</v>
      </c>
      <c r="E12" s="15">
        <f>VLOOKUP(C12,Data!$A$4:$B$363,2,FALSE)</f>
        <v>2960</v>
      </c>
      <c r="F12" s="73"/>
      <c r="G12" s="66"/>
      <c r="H12" s="67"/>
    </row>
    <row r="13" spans="1:8" ht="14.25" customHeight="1" x14ac:dyDescent="0.25">
      <c r="A13" s="9"/>
      <c r="B13" s="14"/>
      <c r="C13" s="14" t="s">
        <v>230</v>
      </c>
      <c r="D13" s="14">
        <v>2</v>
      </c>
      <c r="E13" s="15">
        <f>VLOOKUP(C13,Data!$A$4:$B$363,2,FALSE)</f>
        <v>18700</v>
      </c>
      <c r="F13" s="16"/>
      <c r="G13" s="17"/>
      <c r="H13" s="13"/>
    </row>
    <row r="14" spans="1:8" ht="14.25" customHeight="1" x14ac:dyDescent="0.25">
      <c r="A14" s="9"/>
      <c r="B14" s="10" t="s">
        <v>322</v>
      </c>
      <c r="C14" s="10" t="s">
        <v>245</v>
      </c>
      <c r="D14" s="10">
        <v>1</v>
      </c>
      <c r="E14" s="11">
        <f>VLOOKUP(C14,Data!$A$4:$B$363,2,FALSE)</f>
        <v>29800</v>
      </c>
      <c r="F14" s="12">
        <f>SUM(E14*D14+E15*D15+E16*D16+E17*D17)</f>
        <v>265500</v>
      </c>
      <c r="G14" s="12">
        <f>VLOOKUP(B14,Data!$A$4:$B$363,2,FALSE)</f>
        <v>338000</v>
      </c>
      <c r="H14" s="13">
        <f>G14*0.85*H3-F14</f>
        <v>136720</v>
      </c>
    </row>
    <row r="15" spans="1:8" ht="14.25" customHeight="1" x14ac:dyDescent="0.25">
      <c r="A15" s="9"/>
      <c r="B15" s="10"/>
      <c r="C15" s="10" t="s">
        <v>249</v>
      </c>
      <c r="D15" s="10">
        <v>3</v>
      </c>
      <c r="E15" s="11">
        <f>VLOOKUP(C15,Data!$A$4:$B$363,2,FALSE)</f>
        <v>36700</v>
      </c>
      <c r="F15" s="12"/>
      <c r="G15" s="12"/>
      <c r="H15" s="13"/>
    </row>
    <row r="16" spans="1:8" ht="14.25" customHeight="1" x14ac:dyDescent="0.25">
      <c r="A16" s="9"/>
      <c r="B16" s="10"/>
      <c r="C16" s="10" t="s">
        <v>243</v>
      </c>
      <c r="D16" s="10">
        <v>3</v>
      </c>
      <c r="E16" s="11">
        <f>VLOOKUP(C16,Data!$A$4:$B$363,2,FALSE)</f>
        <v>25200</v>
      </c>
      <c r="F16" s="12"/>
      <c r="G16" s="12"/>
      <c r="H16" s="13"/>
    </row>
    <row r="17" spans="1:8" ht="14.25" customHeight="1" x14ac:dyDescent="0.25">
      <c r="A17" s="9"/>
      <c r="B17" s="10"/>
      <c r="C17" s="10" t="s">
        <v>323</v>
      </c>
      <c r="D17" s="10">
        <v>1</v>
      </c>
      <c r="E17" s="11">
        <f>VLOOKUP(C17,Data!$A$4:$B$363,2,FALSE)</f>
        <v>50000</v>
      </c>
      <c r="F17" s="12"/>
      <c r="G17" s="12"/>
      <c r="H17" s="13"/>
    </row>
    <row r="18" spans="1:8" ht="14.25" customHeight="1" x14ac:dyDescent="0.25">
      <c r="A18" s="9"/>
      <c r="B18" s="14" t="s">
        <v>324</v>
      </c>
      <c r="C18" s="14" t="s">
        <v>248</v>
      </c>
      <c r="D18" s="14">
        <v>3</v>
      </c>
      <c r="E18" s="15">
        <f>VLOOKUP(C18,Data!$A$4:$B$363,2,FALSE)</f>
        <v>19300</v>
      </c>
      <c r="F18" s="17">
        <f>SUM(E18*D18+E19*D19+E20*D20+E21*D21)</f>
        <v>225000</v>
      </c>
      <c r="G18" s="17">
        <f>VLOOKUP(B18,Data!$A$4:$B$363,2,FALSE)</f>
        <v>267000</v>
      </c>
      <c r="H18" s="13">
        <f>G18*0.85*H3-F18</f>
        <v>92730</v>
      </c>
    </row>
    <row r="19" spans="1:8" ht="14.25" customHeight="1" x14ac:dyDescent="0.25">
      <c r="A19" s="9"/>
      <c r="B19" s="14"/>
      <c r="C19" s="14" t="s">
        <v>247</v>
      </c>
      <c r="D19" s="14">
        <v>3</v>
      </c>
      <c r="E19" s="15">
        <f>VLOOKUP(C19,Data!$A$4:$B$363,2,FALSE)</f>
        <v>25900</v>
      </c>
      <c r="F19" s="17"/>
      <c r="G19" s="17"/>
      <c r="H19" s="13"/>
    </row>
    <row r="20" spans="1:8" ht="14.25" customHeight="1" x14ac:dyDescent="0.25">
      <c r="A20" s="9"/>
      <c r="B20" s="14"/>
      <c r="C20" s="14" t="s">
        <v>325</v>
      </c>
      <c r="D20" s="14">
        <v>1</v>
      </c>
      <c r="E20" s="15">
        <f>VLOOKUP(C20,Data!$A$4:$B$363,2,FALSE)</f>
        <v>39400</v>
      </c>
      <c r="F20" s="17"/>
      <c r="G20" s="17"/>
      <c r="H20" s="13"/>
    </row>
    <row r="21" spans="1:8" ht="14.25" customHeight="1" x14ac:dyDescent="0.25">
      <c r="A21" s="9"/>
      <c r="B21" s="14"/>
      <c r="C21" s="14" t="s">
        <v>323</v>
      </c>
      <c r="D21" s="14">
        <v>1</v>
      </c>
      <c r="E21" s="15">
        <f>VLOOKUP(C21,Data!$A$4:$B$363,2,FALSE)</f>
        <v>50000</v>
      </c>
      <c r="F21" s="17"/>
      <c r="G21" s="17"/>
      <c r="H21" s="13"/>
    </row>
    <row r="22" spans="1:8" ht="14.25" customHeight="1" x14ac:dyDescent="0.25">
      <c r="A22" s="9"/>
      <c r="B22" s="10" t="s">
        <v>230</v>
      </c>
      <c r="C22" s="10" t="s">
        <v>437</v>
      </c>
      <c r="D22" s="10">
        <v>8</v>
      </c>
      <c r="E22" s="11">
        <f>VLOOKUP(C22,Data!$A$4:$B$363,2,FALSE)</f>
        <v>8800</v>
      </c>
      <c r="F22" s="12">
        <f>SUM(E22*D22+E23*D23+E24*D24+E25*D25)</f>
        <v>86060</v>
      </c>
      <c r="G22" s="12">
        <f>VLOOKUP(B22,Data!$A$4:$B$363,2,FALSE)</f>
        <v>18700</v>
      </c>
      <c r="H22" s="13">
        <f>G22*0.85*$H$2-F22</f>
        <v>-52680.5</v>
      </c>
    </row>
    <row r="23" spans="1:8" ht="14.25" customHeight="1" x14ac:dyDescent="0.25">
      <c r="A23" s="9"/>
      <c r="B23" s="10"/>
      <c r="C23" s="10" t="s">
        <v>438</v>
      </c>
      <c r="D23" s="10">
        <v>3</v>
      </c>
      <c r="E23" s="11">
        <f>VLOOKUP(C23,Data!$A$4:$B$363,2,FALSE)</f>
        <v>2550</v>
      </c>
      <c r="F23" s="12"/>
      <c r="G23" s="12"/>
      <c r="H23" s="13"/>
    </row>
    <row r="24" spans="1:8" ht="14.25" customHeight="1" x14ac:dyDescent="0.25">
      <c r="A24" s="9"/>
      <c r="B24" s="10"/>
      <c r="C24" s="10" t="s">
        <v>441</v>
      </c>
      <c r="D24" s="10">
        <v>2</v>
      </c>
      <c r="E24" s="11">
        <f>VLOOKUP(C24,Data!$A$4:$B$363,2,FALSE)</f>
        <v>5</v>
      </c>
      <c r="F24" s="12"/>
      <c r="G24" s="12"/>
      <c r="H24" s="13"/>
    </row>
    <row r="25" spans="1:8" ht="14.25" customHeight="1" thickBot="1" x14ac:dyDescent="0.3">
      <c r="A25" s="19"/>
      <c r="B25" s="10"/>
      <c r="C25" s="10" t="s">
        <v>440</v>
      </c>
      <c r="D25" s="10">
        <v>4</v>
      </c>
      <c r="E25" s="11">
        <f>VLOOKUP(C25,Data!$A$4:$B$363,2,FALSE)</f>
        <v>2000</v>
      </c>
      <c r="F25" s="12"/>
      <c r="G25" s="12"/>
      <c r="H25" s="13"/>
    </row>
    <row r="26" spans="1:8" ht="14.25" customHeight="1" x14ac:dyDescent="0.25">
      <c r="A26" s="4"/>
      <c r="B26" s="14" t="s">
        <v>201</v>
      </c>
      <c r="C26" s="14" t="s">
        <v>439</v>
      </c>
      <c r="D26" s="14">
        <v>4</v>
      </c>
      <c r="E26" s="15">
        <f>VLOOKUP(C26,Data!$A$4:$B$363,2,FALSE)</f>
        <v>1740</v>
      </c>
      <c r="F26" s="17">
        <f>SUM(E26*D26+E27*D27+E28*D28+E29*D29)</f>
        <v>16650</v>
      </c>
      <c r="G26" s="17">
        <f>VLOOKUP(B26,Data!$A$4:$B$363,2,FALSE)</f>
        <v>4300</v>
      </c>
      <c r="H26" s="13">
        <f>G26*0.85*$H$2-F26</f>
        <v>-8974.5</v>
      </c>
    </row>
    <row r="27" spans="1:8" ht="14.25" customHeight="1" x14ac:dyDescent="0.25">
      <c r="A27" s="9"/>
      <c r="B27" s="14"/>
      <c r="C27" s="14" t="s">
        <v>442</v>
      </c>
      <c r="D27" s="14">
        <v>8</v>
      </c>
      <c r="E27" s="15">
        <f>VLOOKUP(C27,Data!$A$4:$B$363,2,FALSE)</f>
        <v>1210</v>
      </c>
      <c r="F27" s="17"/>
      <c r="G27" s="17"/>
      <c r="H27" s="13"/>
    </row>
    <row r="28" spans="1:8" ht="14.25" customHeight="1" x14ac:dyDescent="0.25">
      <c r="A28" s="9"/>
      <c r="B28" s="14"/>
      <c r="C28" s="14" t="s">
        <v>441</v>
      </c>
      <c r="D28" s="14">
        <v>1</v>
      </c>
      <c r="E28" s="15">
        <f>VLOOKUP(C28,Data!$A$4:$B$363,2,FALSE)</f>
        <v>5</v>
      </c>
      <c r="F28" s="17"/>
      <c r="G28" s="17"/>
      <c r="H28" s="13"/>
    </row>
    <row r="29" spans="1:8" ht="14.25" customHeight="1" x14ac:dyDescent="0.25">
      <c r="A29" s="9"/>
      <c r="B29" s="14"/>
      <c r="C29" s="14" t="s">
        <v>441</v>
      </c>
      <c r="D29" s="14">
        <v>1</v>
      </c>
      <c r="E29" s="15">
        <f>VLOOKUP(C29,Data!$A$4:$B$363,2,FALSE)</f>
        <v>5</v>
      </c>
      <c r="F29" s="17"/>
      <c r="G29" s="17"/>
      <c r="H29" s="13"/>
    </row>
    <row r="30" spans="1:8" ht="14.25" customHeight="1" x14ac:dyDescent="0.25">
      <c r="A30" s="9"/>
      <c r="B30" s="10" t="s">
        <v>439</v>
      </c>
      <c r="C30" s="10" t="s">
        <v>443</v>
      </c>
      <c r="D30" s="10">
        <v>1</v>
      </c>
      <c r="E30" s="11">
        <f>VLOOKUP(C30,Data!$A$4:$B$363,2,FALSE)</f>
        <v>1690</v>
      </c>
      <c r="F30" s="12">
        <f>SUM(E30*D30+E31*D31+E32*D32+E33*D33)</f>
        <v>3700</v>
      </c>
      <c r="G30" s="12">
        <f>VLOOKUP(B30,Data!$A$4:$B$363,2,FALSE)</f>
        <v>1740</v>
      </c>
      <c r="H30" s="13">
        <f>G30*0.85*$H$2-F30</f>
        <v>-594.09999999999991</v>
      </c>
    </row>
    <row r="31" spans="1:8" ht="14.25" customHeight="1" x14ac:dyDescent="0.25">
      <c r="A31" s="9"/>
      <c r="B31" s="10"/>
      <c r="C31" s="10" t="s">
        <v>444</v>
      </c>
      <c r="D31" s="10">
        <v>1</v>
      </c>
      <c r="E31" s="11">
        <f>VLOOKUP(C31,Data!$A$4:$B$363,2,FALSE)</f>
        <v>2000</v>
      </c>
      <c r="F31" s="12"/>
      <c r="G31" s="12"/>
      <c r="H31" s="13"/>
    </row>
    <row r="32" spans="1:8" ht="14.25" customHeight="1" x14ac:dyDescent="0.25">
      <c r="A32" s="9"/>
      <c r="B32" s="10"/>
      <c r="C32" s="10" t="s">
        <v>441</v>
      </c>
      <c r="D32" s="10">
        <v>1</v>
      </c>
      <c r="E32" s="11">
        <f>VLOOKUP(C32,Data!$A$4:$B$363,2,FALSE)</f>
        <v>5</v>
      </c>
      <c r="F32" s="12"/>
      <c r="G32" s="12"/>
      <c r="H32" s="13"/>
    </row>
    <row r="33" spans="1:8" ht="14.1" customHeight="1" x14ac:dyDescent="0.25">
      <c r="A33" s="9"/>
      <c r="B33" s="10"/>
      <c r="C33" s="10" t="s">
        <v>441</v>
      </c>
      <c r="D33" s="10">
        <v>1</v>
      </c>
      <c r="E33" s="11">
        <f>VLOOKUP(C33,Data!$A$4:$B$363,2,FALSE)</f>
        <v>5</v>
      </c>
      <c r="F33" s="12"/>
      <c r="G33" s="12"/>
      <c r="H33" s="13"/>
    </row>
    <row r="34" spans="1:8" ht="14.25" customHeight="1" x14ac:dyDescent="0.25">
      <c r="A34" s="9"/>
      <c r="B34" s="14" t="s">
        <v>445</v>
      </c>
      <c r="C34" s="14" t="s">
        <v>447</v>
      </c>
      <c r="D34" s="14">
        <v>2</v>
      </c>
      <c r="E34" s="15">
        <f>VLOOKUP(C34,Data!$A$4:$B$363,2,FALSE)</f>
        <v>2620</v>
      </c>
      <c r="F34" s="17">
        <f>SUM(E34*D34+E35*D35+E36*D36+E37*D37)</f>
        <v>5285</v>
      </c>
      <c r="G34" s="17">
        <f>VLOOKUP(B34,Data!$A$4:$B$363,2,FALSE)</f>
        <v>1170</v>
      </c>
      <c r="H34" s="13">
        <f>G34*0.85*$H$2-F34</f>
        <v>-3196.5499999999997</v>
      </c>
    </row>
    <row r="35" spans="1:8" ht="14.25" customHeight="1" x14ac:dyDescent="0.25">
      <c r="A35" s="9"/>
      <c r="B35" s="14"/>
      <c r="C35" s="14" t="s">
        <v>441</v>
      </c>
      <c r="D35" s="14">
        <v>6</v>
      </c>
      <c r="E35" s="15">
        <f>VLOOKUP(C35,Data!$A$4:$B$363,2,FALSE)</f>
        <v>5</v>
      </c>
      <c r="F35" s="17"/>
      <c r="G35" s="17"/>
      <c r="H35" s="13"/>
    </row>
    <row r="36" spans="1:8" ht="14.25" customHeight="1" x14ac:dyDescent="0.25">
      <c r="A36" s="9"/>
      <c r="B36" s="14"/>
      <c r="C36" s="14" t="s">
        <v>441</v>
      </c>
      <c r="D36" s="14">
        <v>2</v>
      </c>
      <c r="E36" s="15">
        <f>VLOOKUP(C36,Data!$A$4:$B$363,2,FALSE)</f>
        <v>5</v>
      </c>
      <c r="F36" s="17"/>
      <c r="G36" s="17"/>
      <c r="H36" s="13"/>
    </row>
    <row r="37" spans="1:8" ht="14.25" customHeight="1" x14ac:dyDescent="0.25">
      <c r="A37" s="9"/>
      <c r="B37" s="14"/>
      <c r="C37" s="14" t="s">
        <v>441</v>
      </c>
      <c r="D37" s="14">
        <v>1</v>
      </c>
      <c r="E37" s="15">
        <f>VLOOKUP(C37,Data!$A$4:$B$363,2,FALSE)</f>
        <v>5</v>
      </c>
      <c r="F37" s="17"/>
      <c r="G37" s="17"/>
      <c r="H37" s="13"/>
    </row>
    <row r="38" spans="1:8" ht="14.25" customHeight="1" x14ac:dyDescent="0.25">
      <c r="A38" s="9"/>
      <c r="B38" s="10" t="s">
        <v>448</v>
      </c>
      <c r="C38" s="10" t="s">
        <v>449</v>
      </c>
      <c r="D38" s="10">
        <v>6</v>
      </c>
      <c r="E38" s="11">
        <f>VLOOKUP(C38,Data!$A$4:$B$363,2,FALSE)</f>
        <v>2380</v>
      </c>
      <c r="F38" s="12">
        <f>SUM(E38*D38+E39*D39+E40*D40+E41*D41)</f>
        <v>56685</v>
      </c>
      <c r="G38" s="12">
        <f>VLOOKUP(B38,Data!$A$4:$B$363,2,FALSE)</f>
        <v>18700</v>
      </c>
      <c r="H38" s="13">
        <f>G38*0.85*$H$2-F38</f>
        <v>-23305.5</v>
      </c>
    </row>
    <row r="39" spans="1:8" ht="14.25" customHeight="1" x14ac:dyDescent="0.25">
      <c r="A39" s="9"/>
      <c r="B39" s="10"/>
      <c r="C39" s="10" t="s">
        <v>450</v>
      </c>
      <c r="D39" s="10">
        <v>2</v>
      </c>
      <c r="E39" s="11">
        <f>VLOOKUP(C39,Data!$A$4:$B$363,2,FALSE)</f>
        <v>5000</v>
      </c>
      <c r="F39" s="12"/>
      <c r="G39" s="12"/>
      <c r="H39" s="13"/>
    </row>
    <row r="40" spans="1:8" ht="14.25" customHeight="1" x14ac:dyDescent="0.25">
      <c r="A40" s="9"/>
      <c r="B40" s="10"/>
      <c r="C40" s="10" t="s">
        <v>451</v>
      </c>
      <c r="D40" s="10">
        <v>3</v>
      </c>
      <c r="E40" s="11">
        <f>VLOOKUP(C40,Data!$A$4:$B$363,2,FALSE)</f>
        <v>10800</v>
      </c>
      <c r="F40" s="12"/>
      <c r="G40" s="12"/>
      <c r="H40" s="13"/>
    </row>
    <row r="41" spans="1:8" ht="14.25" customHeight="1" x14ac:dyDescent="0.25">
      <c r="A41" s="9"/>
      <c r="B41" s="10"/>
      <c r="C41" s="10" t="s">
        <v>441</v>
      </c>
      <c r="D41" s="10">
        <v>1</v>
      </c>
      <c r="E41" s="11">
        <f>VLOOKUP(C41,Data!$A$4:$B$363,2,FALSE)</f>
        <v>5</v>
      </c>
      <c r="F41" s="12"/>
      <c r="G41" s="12"/>
      <c r="H41" s="13"/>
    </row>
    <row r="42" spans="1:8" ht="14.25" customHeight="1" x14ac:dyDescent="0.25">
      <c r="A42" s="9"/>
      <c r="B42" s="14" t="s">
        <v>463</v>
      </c>
      <c r="C42" s="14" t="s">
        <v>451</v>
      </c>
      <c r="D42" s="14">
        <v>3</v>
      </c>
      <c r="E42" s="15">
        <f>VLOOKUP(C42,Data!$A$4:$B$363,2,FALSE)</f>
        <v>10800</v>
      </c>
      <c r="F42" s="17">
        <f>SUM(E42*D42+E43*D43+E44*D44+E45*D45)</f>
        <v>60785</v>
      </c>
      <c r="G42" s="17">
        <f>VLOOKUP(B42,Data!$A$4:$B$363,2,FALSE)</f>
        <v>23600</v>
      </c>
      <c r="H42" s="13">
        <f>G42*0.85*$H$2-F42</f>
        <v>-18659</v>
      </c>
    </row>
    <row r="43" spans="1:8" ht="14.25" customHeight="1" x14ac:dyDescent="0.25">
      <c r="A43" s="9"/>
      <c r="B43" s="14"/>
      <c r="C43" s="14" t="s">
        <v>464</v>
      </c>
      <c r="D43" s="14">
        <v>2</v>
      </c>
      <c r="E43" s="15">
        <f>VLOOKUP(C43,Data!$A$4:$B$363,2,FALSE)</f>
        <v>9500</v>
      </c>
      <c r="F43" s="17"/>
      <c r="G43" s="17"/>
      <c r="H43" s="13"/>
    </row>
    <row r="44" spans="1:8" ht="14.25" customHeight="1" x14ac:dyDescent="0.25">
      <c r="A44" s="9"/>
      <c r="B44" s="14"/>
      <c r="C44" s="14" t="s">
        <v>465</v>
      </c>
      <c r="D44" s="14">
        <v>2</v>
      </c>
      <c r="E44" s="15">
        <f>VLOOKUP(C44,Data!$A$4:$B$363,2,FALSE)</f>
        <v>4690</v>
      </c>
      <c r="F44" s="17"/>
      <c r="G44" s="17"/>
      <c r="H44" s="13"/>
    </row>
    <row r="45" spans="1:8" ht="14.25" customHeight="1" x14ac:dyDescent="0.25">
      <c r="A45" s="9"/>
      <c r="B45" s="14"/>
      <c r="C45" s="14" t="s">
        <v>441</v>
      </c>
      <c r="D45" s="14">
        <v>1</v>
      </c>
      <c r="E45" s="15">
        <f>VLOOKUP(C45,Data!$A$4:$B$363,2,FALSE)</f>
        <v>5</v>
      </c>
      <c r="F45" s="17"/>
      <c r="G45" s="17"/>
      <c r="H45" s="13"/>
    </row>
    <row r="46" spans="1:8" ht="14.25" customHeight="1" x14ac:dyDescent="0.25">
      <c r="A46" s="9"/>
      <c r="B46" s="10" t="s">
        <v>243</v>
      </c>
      <c r="C46" s="10"/>
      <c r="D46" s="10">
        <v>1</v>
      </c>
      <c r="E46" s="11" t="e">
        <f>VLOOKUP(C46,Data!$A$4:$B$363,2,FALSE)</f>
        <v>#N/A</v>
      </c>
      <c r="F46" s="12" t="e">
        <f>SUM(E46*D46+E47*D47+E48*D48+E49*D49)</f>
        <v>#N/A</v>
      </c>
      <c r="G46" s="12">
        <f>VLOOKUP(B46,Data!$A$4:$B$363,2,FALSE)</f>
        <v>25200</v>
      </c>
      <c r="H46" s="13" t="e">
        <f>G46*0.85*$H$2-F46</f>
        <v>#N/A</v>
      </c>
    </row>
    <row r="47" spans="1:8" ht="14.25" customHeight="1" x14ac:dyDescent="0.25">
      <c r="A47" s="9"/>
      <c r="B47" s="10"/>
      <c r="C47" s="10"/>
      <c r="D47" s="10">
        <v>1</v>
      </c>
      <c r="E47" s="11" t="e">
        <f>VLOOKUP(C47,Data!$A$4:$B$363,2,FALSE)</f>
        <v>#N/A</v>
      </c>
      <c r="F47" s="12"/>
      <c r="G47" s="12"/>
      <c r="H47" s="13"/>
    </row>
    <row r="48" spans="1:8" ht="14.25" customHeight="1" x14ac:dyDescent="0.25">
      <c r="A48" s="9"/>
      <c r="B48" s="10"/>
      <c r="C48" s="10"/>
      <c r="D48" s="10">
        <v>1</v>
      </c>
      <c r="E48" s="11" t="e">
        <f>VLOOKUP(C48,Data!$A$4:$B$363,2,FALSE)</f>
        <v>#N/A</v>
      </c>
      <c r="F48" s="12"/>
      <c r="G48" s="12"/>
      <c r="H48" s="13"/>
    </row>
    <row r="49" spans="1:8" ht="14.25" customHeight="1" x14ac:dyDescent="0.25">
      <c r="A49" s="9"/>
      <c r="B49" s="10"/>
      <c r="C49" s="10"/>
      <c r="D49" s="10">
        <v>1</v>
      </c>
      <c r="E49" s="11" t="e">
        <f>VLOOKUP(C49,Data!$A$4:$B$363,2,FALSE)</f>
        <v>#N/A</v>
      </c>
      <c r="F49" s="12"/>
      <c r="G49" s="12"/>
      <c r="H49" s="13"/>
    </row>
    <row r="50" spans="1:8" ht="14.25" customHeight="1" x14ac:dyDescent="0.25">
      <c r="A50" s="9"/>
      <c r="B50" s="14" t="s">
        <v>247</v>
      </c>
      <c r="C50" s="14"/>
      <c r="D50" s="14">
        <v>1</v>
      </c>
      <c r="E50" s="15" t="e">
        <f>VLOOKUP(C50,Data!$A$4:$B$363,2,FALSE)</f>
        <v>#N/A</v>
      </c>
      <c r="F50" s="17" t="e">
        <f>SUM(E50*D50+E51*D51+E52*D52+E53*D53)</f>
        <v>#N/A</v>
      </c>
      <c r="G50" s="17">
        <f>VLOOKUP(B50,Data!$A$4:$B$363,2,FALSE)</f>
        <v>25900</v>
      </c>
      <c r="H50" s="13" t="e">
        <f>G50*0.85*$H$2-F50</f>
        <v>#N/A</v>
      </c>
    </row>
    <row r="51" spans="1:8" ht="14.25" customHeight="1" x14ac:dyDescent="0.25">
      <c r="A51" s="9"/>
      <c r="B51" s="14"/>
      <c r="C51" s="14"/>
      <c r="D51" s="14">
        <v>1</v>
      </c>
      <c r="E51" s="15" t="e">
        <f>VLOOKUP(C51,Data!$A$4:$B$363,2,FALSE)</f>
        <v>#N/A</v>
      </c>
      <c r="F51" s="17"/>
      <c r="G51" s="17"/>
      <c r="H51" s="13"/>
    </row>
    <row r="52" spans="1:8" ht="14.25" customHeight="1" x14ac:dyDescent="0.25">
      <c r="A52" s="9"/>
      <c r="B52" s="14"/>
      <c r="C52" s="14"/>
      <c r="D52" s="14">
        <v>1</v>
      </c>
      <c r="E52" s="15" t="e">
        <f>VLOOKUP(C52,Data!$A$4:$B$363,2,FALSE)</f>
        <v>#N/A</v>
      </c>
      <c r="F52" s="17"/>
      <c r="G52" s="17"/>
      <c r="H52" s="13"/>
    </row>
    <row r="53" spans="1:8" ht="14.25" customHeight="1" thickBot="1" x14ac:dyDescent="0.3">
      <c r="A53" s="86"/>
      <c r="B53" s="14"/>
      <c r="C53" s="14"/>
      <c r="D53" s="14">
        <v>1</v>
      </c>
      <c r="E53" s="15" t="e">
        <f>VLOOKUP(C53,Data!$A$4:$B$363,2,FALSE)</f>
        <v>#N/A</v>
      </c>
      <c r="F53" s="17"/>
      <c r="G53" s="17"/>
      <c r="H53" s="13"/>
    </row>
    <row r="54" spans="1:8" ht="14.25" customHeight="1" x14ac:dyDescent="0.25">
      <c r="A54" s="9"/>
      <c r="B54" s="10" t="s">
        <v>248</v>
      </c>
      <c r="C54" s="10"/>
      <c r="D54" s="10">
        <v>1</v>
      </c>
      <c r="E54" s="11" t="e">
        <f>VLOOKUP(C54,Data!$A$4:$B$363,2,FALSE)</f>
        <v>#N/A</v>
      </c>
      <c r="F54" s="12" t="e">
        <f>SUM(E54*D54+E55*D55+E56*D56+E57*D57)</f>
        <v>#N/A</v>
      </c>
      <c r="G54" s="12">
        <f>VLOOKUP(B54,Data!$A$4:$B$363,2,FALSE)</f>
        <v>19300</v>
      </c>
      <c r="H54" s="13" t="e">
        <f>G54*0.85*$H$2-F54</f>
        <v>#N/A</v>
      </c>
    </row>
    <row r="55" spans="1:8" ht="14.25" customHeight="1" x14ac:dyDescent="0.25">
      <c r="A55" s="9"/>
      <c r="B55" s="10"/>
      <c r="C55" s="10"/>
      <c r="D55" s="10">
        <v>1</v>
      </c>
      <c r="E55" s="11" t="e">
        <f>VLOOKUP(C55,Data!$A$4:$B$363,2,FALSE)</f>
        <v>#N/A</v>
      </c>
      <c r="F55" s="12"/>
      <c r="G55" s="12"/>
      <c r="H55" s="13"/>
    </row>
    <row r="56" spans="1:8" ht="14.25" customHeight="1" x14ac:dyDescent="0.25">
      <c r="A56" s="9"/>
      <c r="B56" s="10"/>
      <c r="C56" s="10"/>
      <c r="D56" s="10">
        <v>1</v>
      </c>
      <c r="E56" s="11" t="e">
        <f>VLOOKUP(C56,Data!$A$4:$B$363,2,FALSE)</f>
        <v>#N/A</v>
      </c>
      <c r="F56" s="12"/>
      <c r="G56" s="12"/>
      <c r="H56" s="13"/>
    </row>
    <row r="57" spans="1:8" ht="14.25" customHeight="1" thickBot="1" x14ac:dyDescent="0.3">
      <c r="A57" s="86"/>
      <c r="B57" s="10"/>
      <c r="C57" s="10"/>
      <c r="D57" s="10">
        <v>1</v>
      </c>
      <c r="E57" s="11" t="e">
        <f>VLOOKUP(C57,Data!$A$4:$B$363,2,FALSE)</f>
        <v>#N/A</v>
      </c>
      <c r="F57" s="12"/>
      <c r="G57" s="12"/>
      <c r="H57" s="13"/>
    </row>
    <row r="58" spans="1:8" ht="14.25" customHeight="1" x14ac:dyDescent="0.2"/>
    <row r="59" spans="1:8" ht="14.25" customHeight="1" x14ac:dyDescent="0.2"/>
    <row r="60" spans="1:8" ht="14.25" customHeight="1" x14ac:dyDescent="0.2"/>
    <row r="61" spans="1:8" ht="14.25" customHeight="1" x14ac:dyDescent="0.2"/>
    <row r="62" spans="1:8" ht="14.25" customHeight="1" x14ac:dyDescent="0.2"/>
    <row r="63" spans="1:8" ht="14.25" customHeight="1" x14ac:dyDescent="0.2"/>
    <row r="64" spans="1:8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mergeCells count="1">
    <mergeCell ref="B2:D2"/>
  </mergeCells>
  <conditionalFormatting sqref="H5:H21">
    <cfRule type="expression" dxfId="9" priority="11">
      <formula>$H5&gt;0</formula>
    </cfRule>
  </conditionalFormatting>
  <conditionalFormatting sqref="H5:H21">
    <cfRule type="expression" dxfId="8" priority="12">
      <formula>$H5&lt;0</formula>
    </cfRule>
  </conditionalFormatting>
  <conditionalFormatting sqref="H22:H41">
    <cfRule type="expression" dxfId="7" priority="9">
      <formula>$H22&gt;0</formula>
    </cfRule>
  </conditionalFormatting>
  <conditionalFormatting sqref="H22:H41">
    <cfRule type="expression" dxfId="6" priority="10">
      <formula>$H22&lt;0</formula>
    </cfRule>
  </conditionalFormatting>
  <conditionalFormatting sqref="H50:H53">
    <cfRule type="expression" dxfId="5" priority="5">
      <formula>$H50&gt;0</formula>
    </cfRule>
  </conditionalFormatting>
  <conditionalFormatting sqref="H50:H53">
    <cfRule type="expression" dxfId="4" priority="6">
      <formula>$H50&lt;0</formula>
    </cfRule>
  </conditionalFormatting>
  <conditionalFormatting sqref="H54:H57">
    <cfRule type="expression" dxfId="3" priority="3">
      <formula>$H54&gt;0</formula>
    </cfRule>
  </conditionalFormatting>
  <conditionalFormatting sqref="H54:H57">
    <cfRule type="expression" dxfId="2" priority="4">
      <formula>$H54&lt;0</formula>
    </cfRule>
  </conditionalFormatting>
  <conditionalFormatting sqref="H42:H49">
    <cfRule type="expression" dxfId="1" priority="1">
      <formula>$H42&gt;0</formula>
    </cfRule>
  </conditionalFormatting>
  <conditionalFormatting sqref="H42:H49">
    <cfRule type="expression" dxfId="0" priority="2">
      <formula>$H42&lt;0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DD32-18E5-4D06-B2B4-2E704E60B8F4}">
  <dimension ref="A1:O999"/>
  <sheetViews>
    <sheetView topLeftCell="B1" workbookViewId="0">
      <selection activeCell="C6" sqref="C6"/>
    </sheetView>
  </sheetViews>
  <sheetFormatPr baseColWidth="10" defaultColWidth="12.625" defaultRowHeight="14.25" x14ac:dyDescent="0.2"/>
  <cols>
    <col min="2" max="2" width="14.5" customWidth="1"/>
    <col min="3" max="3" width="33.625" bestFit="1" customWidth="1"/>
    <col min="4" max="4" width="30.125" bestFit="1" customWidth="1"/>
    <col min="5" max="5" width="8" customWidth="1"/>
    <col min="6" max="6" width="10.875" customWidth="1"/>
    <col min="7" max="7" width="12.375" hidden="1" customWidth="1"/>
    <col min="8" max="8" width="22.25" bestFit="1" customWidth="1"/>
    <col min="9" max="9" width="15" customWidth="1"/>
    <col min="10" max="10" width="15.25" bestFit="1" customWidth="1"/>
    <col min="11" max="11" width="19.5" customWidth="1"/>
    <col min="12" max="12" width="22.125" bestFit="1" customWidth="1"/>
    <col min="13" max="13" width="21.125" customWidth="1"/>
    <col min="14" max="29" width="7.625" customWidth="1"/>
  </cols>
  <sheetData>
    <row r="1" spans="1:15" ht="14.25" customHeight="1" thickBot="1" x14ac:dyDescent="0.25"/>
    <row r="2" spans="1:15" ht="14.25" customHeight="1" thickBot="1" x14ac:dyDescent="0.3">
      <c r="C2" s="299" t="s">
        <v>329</v>
      </c>
      <c r="D2" s="300"/>
      <c r="E2" s="301"/>
      <c r="H2" s="1" t="s">
        <v>334</v>
      </c>
      <c r="I2" s="2">
        <v>2.6</v>
      </c>
      <c r="J2" s="105"/>
      <c r="K2" s="105"/>
      <c r="N2" s="3" t="s">
        <v>310</v>
      </c>
      <c r="O2" s="3" t="s">
        <v>4</v>
      </c>
    </row>
    <row r="3" spans="1:15" ht="14.25" customHeight="1" thickBot="1" x14ac:dyDescent="0.3">
      <c r="N3" s="1" t="s">
        <v>335</v>
      </c>
      <c r="O3" s="2">
        <v>178</v>
      </c>
    </row>
    <row r="4" spans="1:15" ht="14.25" customHeight="1" thickBot="1" x14ac:dyDescent="0.3"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339</v>
      </c>
      <c r="J4" s="3" t="s">
        <v>577</v>
      </c>
      <c r="K4" s="3" t="s">
        <v>470</v>
      </c>
      <c r="L4" s="3" t="s">
        <v>328</v>
      </c>
      <c r="N4" s="1" t="s">
        <v>336</v>
      </c>
      <c r="O4" s="2">
        <v>162</v>
      </c>
    </row>
    <row r="5" spans="1:15" ht="14.25" customHeight="1" thickBot="1" x14ac:dyDescent="0.3">
      <c r="A5" s="312" t="s">
        <v>427</v>
      </c>
      <c r="B5" s="302" t="s">
        <v>368</v>
      </c>
      <c r="C5" s="284" t="s">
        <v>330</v>
      </c>
      <c r="D5" s="284" t="s">
        <v>331</v>
      </c>
      <c r="E5" s="284">
        <v>5</v>
      </c>
      <c r="F5" s="292">
        <f>VLOOKUP(D5,Data!$A$4:$B$363,2,FALSE)</f>
        <v>800</v>
      </c>
      <c r="G5" s="285">
        <f>SUM(F5*E5)</f>
        <v>4000</v>
      </c>
      <c r="H5" s="285">
        <f>VLOOKUP(C5,Data!$A$4:$B$363,2,FALSE)</f>
        <v>2000</v>
      </c>
      <c r="I5" s="96">
        <f>(H5*0.85*$I$2-G5)*$O$3*50</f>
        <v>3738000</v>
      </c>
      <c r="J5" s="208">
        <f>(H5*$I$2-G5)*$O$3*50</f>
        <v>10680000</v>
      </c>
      <c r="K5" s="208">
        <f>+I5*10</f>
        <v>37380000</v>
      </c>
      <c r="L5" s="286" t="s">
        <v>567</v>
      </c>
      <c r="M5" s="104"/>
      <c r="N5" s="1" t="s">
        <v>337</v>
      </c>
      <c r="O5" s="2"/>
    </row>
    <row r="6" spans="1:15" ht="14.25" customHeight="1" thickBot="1" x14ac:dyDescent="0.3">
      <c r="A6" s="313"/>
      <c r="B6" s="303"/>
      <c r="C6" s="151" t="s">
        <v>332</v>
      </c>
      <c r="D6" s="151" t="s">
        <v>330</v>
      </c>
      <c r="E6" s="151">
        <v>5</v>
      </c>
      <c r="F6" s="277">
        <f>VLOOKUP(D6,Data!$A$4:$B$363,2,FALSE)</f>
        <v>2000</v>
      </c>
      <c r="G6" s="278">
        <f>SUM(F6*E6+E7*F7)</f>
        <v>16000</v>
      </c>
      <c r="H6" s="278">
        <f>VLOOKUP(C6,Data!$A$4:$B$363,2,FALSE)</f>
        <v>8500</v>
      </c>
      <c r="I6" s="96">
        <f t="shared" ref="I6:I60" si="0">(H6*0.85*$I$2-G6)*$O$3*50</f>
        <v>24786500</v>
      </c>
      <c r="J6" s="208">
        <f t="shared" ref="J6:J33" si="1">(H6*$I$2-G6)*$O$3*50</f>
        <v>54290000</v>
      </c>
      <c r="K6" s="208">
        <f>+I6*10</f>
        <v>247865000</v>
      </c>
      <c r="L6" s="286" t="s">
        <v>567</v>
      </c>
      <c r="M6" s="104"/>
      <c r="N6" s="1" t="s">
        <v>338</v>
      </c>
      <c r="O6" s="2">
        <f>+O4</f>
        <v>162</v>
      </c>
    </row>
    <row r="7" spans="1:15" ht="14.25" customHeight="1" thickBot="1" x14ac:dyDescent="0.3">
      <c r="A7" s="313"/>
      <c r="B7" s="304"/>
      <c r="C7" s="151"/>
      <c r="D7" s="151" t="s">
        <v>333</v>
      </c>
      <c r="E7" s="151">
        <v>5</v>
      </c>
      <c r="F7" s="277">
        <f>VLOOKUP(D7,Data!$A$4:$B$363,2,FALSE)</f>
        <v>1200</v>
      </c>
      <c r="G7" s="278"/>
      <c r="H7" s="278"/>
      <c r="I7" s="96">
        <f t="shared" si="0"/>
        <v>0</v>
      </c>
      <c r="J7" s="208">
        <f t="shared" si="1"/>
        <v>0</v>
      </c>
      <c r="K7" s="208">
        <f t="shared" ref="K7:K60" si="2">+I7*10</f>
        <v>0</v>
      </c>
      <c r="L7" s="286" t="s">
        <v>567</v>
      </c>
      <c r="M7" s="104"/>
    </row>
    <row r="8" spans="1:15" ht="14.25" customHeight="1" thickBot="1" x14ac:dyDescent="0.3">
      <c r="A8" s="313"/>
      <c r="B8" s="302" t="s">
        <v>369</v>
      </c>
      <c r="C8" s="5" t="s">
        <v>340</v>
      </c>
      <c r="D8" s="5" t="s">
        <v>341</v>
      </c>
      <c r="E8" s="5">
        <v>5</v>
      </c>
      <c r="F8" s="6">
        <f>VLOOKUP(D8,Data!$A$4:$B$363,2,FALSE)</f>
        <v>2410</v>
      </c>
      <c r="G8" s="7">
        <f t="shared" ref="G8:G60" si="3">SUM(F8*E8)</f>
        <v>12050</v>
      </c>
      <c r="H8" s="7">
        <f>VLOOKUP(C8,Data!$A$4:$B$363,2,FALSE)</f>
        <v>8100</v>
      </c>
      <c r="I8" s="70">
        <f t="shared" si="0"/>
        <v>52073900</v>
      </c>
      <c r="J8" s="287">
        <f t="shared" si="1"/>
        <v>80189000</v>
      </c>
      <c r="K8" s="122">
        <f t="shared" si="2"/>
        <v>520739000</v>
      </c>
      <c r="L8" s="84" t="s">
        <v>566</v>
      </c>
      <c r="M8" s="104"/>
      <c r="O8" s="77"/>
    </row>
    <row r="9" spans="1:15" ht="14.25" customHeight="1" thickBot="1" x14ac:dyDescent="0.3">
      <c r="A9" s="313"/>
      <c r="B9" s="304"/>
      <c r="C9" s="14" t="s">
        <v>342</v>
      </c>
      <c r="D9" s="14" t="s">
        <v>340</v>
      </c>
      <c r="E9" s="14">
        <v>10</v>
      </c>
      <c r="F9" s="15">
        <f>VLOOKUP(D9,Data!$A$4:$B$363,2,FALSE)</f>
        <v>8100</v>
      </c>
      <c r="G9" s="17">
        <f t="shared" si="3"/>
        <v>81000</v>
      </c>
      <c r="H9" s="74">
        <f>VLOOKUP(C9,Data!$A$4:$B$363,2,FALSE)</f>
        <v>62000</v>
      </c>
      <c r="I9" s="70">
        <f t="shared" si="0"/>
        <v>498578000</v>
      </c>
      <c r="J9" s="287">
        <f t="shared" si="1"/>
        <v>713780000</v>
      </c>
      <c r="K9" s="122">
        <f t="shared" si="2"/>
        <v>4985780000</v>
      </c>
      <c r="L9" s="84" t="s">
        <v>566</v>
      </c>
      <c r="M9" s="104"/>
    </row>
    <row r="10" spans="1:15" ht="14.25" customHeight="1" thickBot="1" x14ac:dyDescent="0.3">
      <c r="A10" s="313"/>
      <c r="B10" s="302" t="s">
        <v>370</v>
      </c>
      <c r="C10" s="5" t="s">
        <v>343</v>
      </c>
      <c r="D10" s="5" t="s">
        <v>344</v>
      </c>
      <c r="E10" s="5">
        <v>5</v>
      </c>
      <c r="F10" s="6">
        <f>VLOOKUP(D10,Data!$A$4:$B$363,2,FALSE)</f>
        <v>411</v>
      </c>
      <c r="G10" s="7">
        <f t="shared" si="3"/>
        <v>2055</v>
      </c>
      <c r="H10" s="7">
        <f>VLOOKUP(C10,Data!$A$4:$B$363,2,FALSE)</f>
        <v>1200</v>
      </c>
      <c r="I10" s="70">
        <f t="shared" si="0"/>
        <v>5313300</v>
      </c>
      <c r="J10" s="287">
        <f t="shared" si="1"/>
        <v>9478500</v>
      </c>
      <c r="K10" s="122">
        <f t="shared" si="2"/>
        <v>53133000</v>
      </c>
      <c r="L10" s="83"/>
      <c r="M10" s="104"/>
    </row>
    <row r="11" spans="1:15" ht="14.25" customHeight="1" thickBot="1" x14ac:dyDescent="0.3">
      <c r="A11" s="313"/>
      <c r="B11" s="303"/>
      <c r="C11" s="14" t="s">
        <v>345</v>
      </c>
      <c r="D11" s="14" t="s">
        <v>343</v>
      </c>
      <c r="E11" s="14">
        <v>10</v>
      </c>
      <c r="F11" s="15">
        <f>VLOOKUP(D11,Data!$A$4:$B$363,2,FALSE)</f>
        <v>1200</v>
      </c>
      <c r="G11" s="17">
        <f t="shared" si="3"/>
        <v>12000</v>
      </c>
      <c r="H11" s="74">
        <f>VLOOKUP(C11,Data!$A$4:$B$363,2,FALSE)</f>
        <v>8400</v>
      </c>
      <c r="I11" s="70">
        <f t="shared" si="0"/>
        <v>58419600</v>
      </c>
      <c r="J11" s="287">
        <f t="shared" si="1"/>
        <v>87576000</v>
      </c>
      <c r="K11" s="122">
        <f t="shared" si="2"/>
        <v>584196000</v>
      </c>
      <c r="L11" s="83"/>
      <c r="M11" s="104"/>
    </row>
    <row r="12" spans="1:15" ht="14.25" customHeight="1" thickBot="1" x14ac:dyDescent="0.3">
      <c r="A12" s="313"/>
      <c r="B12" s="303"/>
      <c r="C12" s="5" t="s">
        <v>435</v>
      </c>
      <c r="D12" s="5" t="s">
        <v>343</v>
      </c>
      <c r="E12" s="5">
        <v>5</v>
      </c>
      <c r="F12" s="6">
        <f>VLOOKUP(D12,Data!$A$4:$B$363,2,FALSE)</f>
        <v>1200</v>
      </c>
      <c r="G12" s="7">
        <f>SUM(F12*E12+E13*F13)</f>
        <v>33000</v>
      </c>
      <c r="H12" s="7">
        <f>VLOOKUP(C12,Data!$A$4:$B$363,2,FALSE)</f>
        <v>19000</v>
      </c>
      <c r="I12" s="92">
        <f t="shared" si="0"/>
        <v>80011000</v>
      </c>
      <c r="J12" s="287">
        <f t="shared" si="1"/>
        <v>145960000</v>
      </c>
      <c r="K12" s="122">
        <f t="shared" si="2"/>
        <v>800110000</v>
      </c>
      <c r="L12" s="83"/>
      <c r="M12" s="104"/>
    </row>
    <row r="13" spans="1:15" ht="14.25" customHeight="1" thickBot="1" x14ac:dyDescent="0.3">
      <c r="A13" s="313"/>
      <c r="B13" s="303"/>
      <c r="C13" s="52"/>
      <c r="D13" s="52" t="s">
        <v>355</v>
      </c>
      <c r="E13" s="52">
        <v>5</v>
      </c>
      <c r="F13" s="91">
        <f>VLOOKUP(D13,Data!$A$4:$B$363,2,FALSE)</f>
        <v>5400</v>
      </c>
      <c r="G13" s="68"/>
      <c r="H13" s="68"/>
      <c r="I13" s="70">
        <f t="shared" si="0"/>
        <v>0</v>
      </c>
      <c r="J13" s="287">
        <f t="shared" si="1"/>
        <v>0</v>
      </c>
      <c r="K13" s="122">
        <f t="shared" si="2"/>
        <v>0</v>
      </c>
      <c r="L13" s="83"/>
      <c r="M13" s="104"/>
    </row>
    <row r="14" spans="1:15" ht="12.95" customHeight="1" thickBot="1" x14ac:dyDescent="0.3">
      <c r="A14" s="313"/>
      <c r="B14" s="303"/>
      <c r="C14" s="14" t="s">
        <v>436</v>
      </c>
      <c r="D14" s="14" t="s">
        <v>343</v>
      </c>
      <c r="E14" s="14">
        <v>5</v>
      </c>
      <c r="F14" s="15">
        <f>VLOOKUP(D14,Data!$A$4:$B$363,2,FALSE)</f>
        <v>1200</v>
      </c>
      <c r="G14" s="7">
        <f>SUM(F14*E14+E15*F15)</f>
        <v>28500</v>
      </c>
      <c r="H14" s="74">
        <f>VLOOKUP(C14,Data!$A$4:$B$363,2,FALSE)</f>
        <v>18900</v>
      </c>
      <c r="I14" s="70">
        <f t="shared" si="0"/>
        <v>118094100</v>
      </c>
      <c r="J14" s="287">
        <f t="shared" si="1"/>
        <v>183696000</v>
      </c>
      <c r="K14" s="122">
        <f t="shared" si="2"/>
        <v>1180941000</v>
      </c>
      <c r="L14" s="83"/>
      <c r="M14" s="104"/>
    </row>
    <row r="15" spans="1:15" ht="12.95" customHeight="1" thickBot="1" x14ac:dyDescent="0.3">
      <c r="A15" s="313"/>
      <c r="B15" s="304"/>
      <c r="C15" s="53"/>
      <c r="D15" s="53" t="s">
        <v>352</v>
      </c>
      <c r="E15" s="53">
        <v>5</v>
      </c>
      <c r="F15" s="72">
        <f>VLOOKUP(D15,Data!$A$4:$B$363,2,FALSE)</f>
        <v>4500</v>
      </c>
      <c r="G15" s="69"/>
      <c r="H15" s="82"/>
      <c r="I15" s="70">
        <f t="shared" si="0"/>
        <v>0</v>
      </c>
      <c r="J15" s="287">
        <f t="shared" si="1"/>
        <v>0</v>
      </c>
      <c r="K15" s="122">
        <f t="shared" si="2"/>
        <v>0</v>
      </c>
      <c r="L15" s="83"/>
      <c r="M15" s="104"/>
    </row>
    <row r="16" spans="1:15" ht="14.25" customHeight="1" thickBot="1" x14ac:dyDescent="0.3">
      <c r="A16" s="313"/>
      <c r="B16" s="302" t="s">
        <v>371</v>
      </c>
      <c r="C16" s="284" t="s">
        <v>346</v>
      </c>
      <c r="D16" s="284" t="s">
        <v>347</v>
      </c>
      <c r="E16" s="284">
        <v>5</v>
      </c>
      <c r="F16" s="292">
        <f>VLOOKUP(D16,Data!$A$4:$B$363,2,FALSE)</f>
        <v>1500</v>
      </c>
      <c r="G16" s="285">
        <f t="shared" si="3"/>
        <v>7500</v>
      </c>
      <c r="H16" s="285">
        <v>3900</v>
      </c>
      <c r="I16" s="96">
        <f t="shared" si="0"/>
        <v>9959100</v>
      </c>
      <c r="J16" s="208">
        <f t="shared" si="1"/>
        <v>23496000</v>
      </c>
      <c r="K16" s="208">
        <f t="shared" si="2"/>
        <v>99591000</v>
      </c>
      <c r="L16" s="286" t="s">
        <v>578</v>
      </c>
      <c r="M16" s="104"/>
    </row>
    <row r="17" spans="1:13" ht="14.25" customHeight="1" thickBot="1" x14ac:dyDescent="0.3">
      <c r="A17" s="313"/>
      <c r="B17" s="304"/>
      <c r="C17" s="151" t="s">
        <v>348</v>
      </c>
      <c r="D17" s="151" t="s">
        <v>346</v>
      </c>
      <c r="E17" s="151">
        <v>10</v>
      </c>
      <c r="F17" s="277">
        <f>VLOOKUP(D17,Data!$A$4:$B$363,2,FALSE)</f>
        <v>4000</v>
      </c>
      <c r="G17" s="278">
        <f t="shared" si="3"/>
        <v>40000</v>
      </c>
      <c r="H17" s="293">
        <f>VLOOKUP(C17,Data!$A$4:$B$363,2,FALSE)</f>
        <v>18000</v>
      </c>
      <c r="I17" s="96">
        <f t="shared" si="0"/>
        <v>-1958000</v>
      </c>
      <c r="J17" s="208">
        <f t="shared" si="1"/>
        <v>60520000</v>
      </c>
      <c r="K17" s="208">
        <f t="shared" si="2"/>
        <v>-19580000</v>
      </c>
      <c r="L17" s="286" t="s">
        <v>578</v>
      </c>
      <c r="M17" s="294"/>
    </row>
    <row r="18" spans="1:13" ht="14.25" customHeight="1" thickBot="1" x14ac:dyDescent="0.3">
      <c r="A18" s="313"/>
      <c r="B18" s="302" t="s">
        <v>372</v>
      </c>
      <c r="C18" s="5" t="s">
        <v>349</v>
      </c>
      <c r="D18" s="5" t="s">
        <v>350</v>
      </c>
      <c r="E18" s="5">
        <v>5</v>
      </c>
      <c r="F18" s="6">
        <v>2700</v>
      </c>
      <c r="G18" s="7">
        <f t="shared" si="3"/>
        <v>13500</v>
      </c>
      <c r="H18" s="76">
        <v>7000</v>
      </c>
      <c r="I18" s="70">
        <f t="shared" si="0"/>
        <v>17533000</v>
      </c>
      <c r="J18" s="287">
        <f t="shared" si="1"/>
        <v>41830000</v>
      </c>
      <c r="K18" s="122">
        <f t="shared" si="2"/>
        <v>175330000</v>
      </c>
      <c r="L18" s="83"/>
      <c r="M18" s="104"/>
    </row>
    <row r="19" spans="1:13" ht="14.25" customHeight="1" thickBot="1" x14ac:dyDescent="0.3">
      <c r="A19" s="313"/>
      <c r="B19" s="304"/>
      <c r="C19" s="14" t="s">
        <v>351</v>
      </c>
      <c r="D19" s="14" t="s">
        <v>349</v>
      </c>
      <c r="E19" s="14">
        <v>10</v>
      </c>
      <c r="F19" s="15">
        <v>7000</v>
      </c>
      <c r="G19" s="17">
        <f t="shared" si="3"/>
        <v>70000</v>
      </c>
      <c r="H19" s="75">
        <v>40000</v>
      </c>
      <c r="I19" s="70">
        <f t="shared" si="0"/>
        <v>163760000</v>
      </c>
      <c r="J19" s="287">
        <f t="shared" si="1"/>
        <v>302600000</v>
      </c>
      <c r="K19" s="122">
        <f t="shared" si="2"/>
        <v>1637600000</v>
      </c>
      <c r="L19" s="83"/>
      <c r="M19" s="104"/>
    </row>
    <row r="20" spans="1:13" ht="14.25" customHeight="1" thickBot="1" x14ac:dyDescent="0.3">
      <c r="A20" s="313"/>
      <c r="B20" s="302" t="s">
        <v>458</v>
      </c>
      <c r="C20" s="5" t="s">
        <v>459</v>
      </c>
      <c r="D20" s="5" t="s">
        <v>460</v>
      </c>
      <c r="E20" s="5">
        <v>5</v>
      </c>
      <c r="F20" s="6">
        <f>VLOOKUP(D20,Data!$A$4:$B$363,2,FALSE)</f>
        <v>1950</v>
      </c>
      <c r="G20" s="7">
        <f>SUM(F20*E20)</f>
        <v>9750</v>
      </c>
      <c r="H20" s="76">
        <f>VLOOKUP(C20,Data!$A$4:$B$363,2,FALSE)</f>
        <v>1270</v>
      </c>
      <c r="I20" s="93">
        <f t="shared" si="0"/>
        <v>-61795369.999999993</v>
      </c>
      <c r="J20" s="287">
        <f t="shared" si="1"/>
        <v>-57387200</v>
      </c>
      <c r="K20" s="122">
        <f t="shared" si="2"/>
        <v>-617953699.99999988</v>
      </c>
      <c r="L20" s="83"/>
      <c r="M20" s="104"/>
    </row>
    <row r="21" spans="1:13" ht="14.25" customHeight="1" thickBot="1" x14ac:dyDescent="0.3">
      <c r="A21" s="313"/>
      <c r="B21" s="304"/>
      <c r="C21" s="14" t="s">
        <v>461</v>
      </c>
      <c r="D21" s="14" t="s">
        <v>459</v>
      </c>
      <c r="E21" s="14">
        <v>10</v>
      </c>
      <c r="F21" s="15">
        <f>VLOOKUP(D21,Data!$A$4:$B$363,2,FALSE)</f>
        <v>1270</v>
      </c>
      <c r="G21" s="17">
        <f>SUM(F21*E21)</f>
        <v>12700</v>
      </c>
      <c r="H21" s="75">
        <f>VLOOKUP(C21,Data!$A$4:$B$363,2,FALSE)</f>
        <v>8850</v>
      </c>
      <c r="I21" s="93">
        <f t="shared" si="0"/>
        <v>61040650</v>
      </c>
      <c r="J21" s="287">
        <f t="shared" si="1"/>
        <v>91759000</v>
      </c>
      <c r="K21" s="122">
        <f t="shared" si="2"/>
        <v>610406500</v>
      </c>
      <c r="L21" s="83"/>
      <c r="M21" s="104"/>
    </row>
    <row r="22" spans="1:13" ht="14.25" customHeight="1" thickBot="1" x14ac:dyDescent="0.3">
      <c r="A22" s="313"/>
      <c r="B22" s="302" t="s">
        <v>373</v>
      </c>
      <c r="C22" s="5" t="s">
        <v>352</v>
      </c>
      <c r="D22" s="5" t="s">
        <v>353</v>
      </c>
      <c r="E22" s="5">
        <v>5</v>
      </c>
      <c r="F22" s="6">
        <f>VLOOKUP(D22,Data!$A$4:$B$363,2,FALSE)</f>
        <v>1510</v>
      </c>
      <c r="G22" s="7">
        <f t="shared" si="3"/>
        <v>7550</v>
      </c>
      <c r="H22" s="76">
        <f>VLOOKUP(C22,Data!$A$4:$B$363,2,FALSE)</f>
        <v>4500</v>
      </c>
      <c r="I22" s="70">
        <f t="shared" si="0"/>
        <v>21315500</v>
      </c>
      <c r="J22" s="287">
        <f t="shared" si="1"/>
        <v>36935000</v>
      </c>
      <c r="K22" s="122">
        <f t="shared" si="2"/>
        <v>213155000</v>
      </c>
      <c r="L22" s="83"/>
      <c r="M22" s="104"/>
    </row>
    <row r="23" spans="1:13" ht="14.25" customHeight="1" thickBot="1" x14ac:dyDescent="0.3">
      <c r="A23" s="313"/>
      <c r="B23" s="304"/>
      <c r="C23" s="14" t="s">
        <v>354</v>
      </c>
      <c r="D23" s="14" t="s">
        <v>352</v>
      </c>
      <c r="E23" s="14">
        <v>10</v>
      </c>
      <c r="F23" s="15">
        <f>VLOOKUP(D23,Data!$A$4:$B$363,2,FALSE)</f>
        <v>4500</v>
      </c>
      <c r="G23" s="17">
        <f t="shared" si="3"/>
        <v>45000</v>
      </c>
      <c r="H23" s="75">
        <f>VLOOKUP(C23,Data!$A$4:$B$363,2,FALSE)</f>
        <v>8500</v>
      </c>
      <c r="I23" s="70">
        <f t="shared" si="0"/>
        <v>-233313500</v>
      </c>
      <c r="J23" s="287">
        <f t="shared" si="1"/>
        <v>-203810000</v>
      </c>
      <c r="K23" s="122">
        <f t="shared" si="2"/>
        <v>-2333135000</v>
      </c>
      <c r="L23" s="83"/>
      <c r="M23" s="104"/>
    </row>
    <row r="24" spans="1:13" ht="14.25" customHeight="1" thickBot="1" x14ac:dyDescent="0.3">
      <c r="A24" s="313"/>
      <c r="B24" s="302" t="s">
        <v>374</v>
      </c>
      <c r="C24" s="5" t="s">
        <v>355</v>
      </c>
      <c r="D24" s="5" t="s">
        <v>357</v>
      </c>
      <c r="E24" s="5">
        <v>5</v>
      </c>
      <c r="F24" s="6">
        <v>2400</v>
      </c>
      <c r="G24" s="7">
        <f t="shared" si="3"/>
        <v>12000</v>
      </c>
      <c r="H24" s="76">
        <f>VLOOKUP(C24,Data!$A$4:$B$363,2,FALSE)</f>
        <v>5400</v>
      </c>
      <c r="I24" s="70">
        <f t="shared" si="0"/>
        <v>-587400</v>
      </c>
      <c r="J24" s="287">
        <f t="shared" si="1"/>
        <v>18156000</v>
      </c>
      <c r="K24" s="122">
        <f t="shared" si="2"/>
        <v>-5874000</v>
      </c>
      <c r="L24" s="83"/>
      <c r="M24" s="104"/>
    </row>
    <row r="25" spans="1:13" ht="14.25" customHeight="1" thickBot="1" x14ac:dyDescent="0.3">
      <c r="A25" s="313"/>
      <c r="B25" s="304"/>
      <c r="C25" s="14" t="s">
        <v>356</v>
      </c>
      <c r="D25" s="14" t="s">
        <v>355</v>
      </c>
      <c r="E25" s="14">
        <v>10</v>
      </c>
      <c r="F25" s="15">
        <f>VLOOKUP(D25,Data!$A$4:$B$363,2,FALSE)</f>
        <v>5400</v>
      </c>
      <c r="G25" s="17">
        <f t="shared" si="3"/>
        <v>54000</v>
      </c>
      <c r="H25" s="74">
        <f>VLOOKUP(C25,Data!$A$4:$B$363,2,FALSE)</f>
        <v>34300</v>
      </c>
      <c r="I25" s="70">
        <f t="shared" si="0"/>
        <v>194046700</v>
      </c>
      <c r="J25" s="287">
        <f t="shared" si="1"/>
        <v>313102000</v>
      </c>
      <c r="K25" s="122">
        <f t="shared" si="2"/>
        <v>1940467000</v>
      </c>
      <c r="L25" s="83"/>
      <c r="M25" s="104"/>
    </row>
    <row r="26" spans="1:13" ht="14.25" customHeight="1" thickBot="1" x14ac:dyDescent="0.3">
      <c r="A26" s="313"/>
      <c r="B26" s="302" t="s">
        <v>375</v>
      </c>
      <c r="C26" s="5" t="s">
        <v>366</v>
      </c>
      <c r="D26" s="5" t="s">
        <v>358</v>
      </c>
      <c r="E26" s="5">
        <v>5</v>
      </c>
      <c r="F26" s="6">
        <f>VLOOKUP(D26,Data!$A$4:$B$363,2,FALSE)</f>
        <v>1050</v>
      </c>
      <c r="G26" s="7">
        <f t="shared" si="3"/>
        <v>5250</v>
      </c>
      <c r="H26" s="76">
        <f>VLOOKUP(C26,Data!$A$4:$B$363,2,FALSE)</f>
        <v>2020</v>
      </c>
      <c r="I26" s="70">
        <f t="shared" si="0"/>
        <v>-6993620.0000000009</v>
      </c>
      <c r="J26" s="287">
        <f t="shared" si="1"/>
        <v>17800</v>
      </c>
      <c r="K26" s="122">
        <f t="shared" si="2"/>
        <v>-69936200.000000015</v>
      </c>
      <c r="L26" s="83"/>
      <c r="M26" s="104"/>
    </row>
    <row r="27" spans="1:13" ht="14.25" customHeight="1" thickBot="1" x14ac:dyDescent="0.3">
      <c r="A27" s="313"/>
      <c r="B27" s="304"/>
      <c r="C27" s="14" t="s">
        <v>359</v>
      </c>
      <c r="D27" s="14" t="s">
        <v>366</v>
      </c>
      <c r="E27" s="14">
        <v>10</v>
      </c>
      <c r="F27" s="15">
        <f>VLOOKUP(D27,Data!$A$4:$B$363,2,FALSE)</f>
        <v>2020</v>
      </c>
      <c r="G27" s="17">
        <f t="shared" si="3"/>
        <v>20200</v>
      </c>
      <c r="H27" s="74">
        <f>VLOOKUP(C27,Data!$A$4:$B$363,2,FALSE)</f>
        <v>17900</v>
      </c>
      <c r="I27" s="70">
        <f t="shared" si="0"/>
        <v>172295100</v>
      </c>
      <c r="J27" s="287">
        <f t="shared" si="1"/>
        <v>234426000</v>
      </c>
      <c r="K27" s="122">
        <f t="shared" si="2"/>
        <v>1722951000</v>
      </c>
      <c r="L27" s="84"/>
      <c r="M27" s="104"/>
    </row>
    <row r="28" spans="1:13" ht="14.25" customHeight="1" thickBot="1" x14ac:dyDescent="0.3">
      <c r="A28" s="313"/>
      <c r="B28" s="302" t="s">
        <v>376</v>
      </c>
      <c r="C28" s="5" t="s">
        <v>453</v>
      </c>
      <c r="D28" s="5" t="s">
        <v>360</v>
      </c>
      <c r="E28" s="5">
        <v>5</v>
      </c>
      <c r="F28" s="6">
        <v>9000</v>
      </c>
      <c r="G28" s="7">
        <f t="shared" si="3"/>
        <v>45000</v>
      </c>
      <c r="H28" s="76">
        <f>VLOOKUP(C28,Data!$A$4:$B$363,2,FALSE)</f>
        <v>26400</v>
      </c>
      <c r="I28" s="70">
        <f t="shared" si="0"/>
        <v>118761600</v>
      </c>
      <c r="J28" s="287">
        <f t="shared" si="1"/>
        <v>210396000</v>
      </c>
      <c r="K28" s="122">
        <f t="shared" si="2"/>
        <v>1187616000</v>
      </c>
      <c r="L28" s="84" t="s">
        <v>566</v>
      </c>
      <c r="M28" s="104"/>
    </row>
    <row r="29" spans="1:13" ht="14.25" customHeight="1" thickBot="1" x14ac:dyDescent="0.3">
      <c r="A29" s="313"/>
      <c r="B29" s="304"/>
      <c r="C29" s="14" t="s">
        <v>361</v>
      </c>
      <c r="D29" s="14" t="s">
        <v>453</v>
      </c>
      <c r="E29" s="14">
        <v>10</v>
      </c>
      <c r="F29" s="15">
        <f>VLOOKUP(D29,Data!$A$4:$B$363,2,FALSE)</f>
        <v>26400</v>
      </c>
      <c r="G29" s="17">
        <f t="shared" si="3"/>
        <v>264000</v>
      </c>
      <c r="H29" s="75">
        <v>72000</v>
      </c>
      <c r="I29" s="280">
        <f>(H29*0.85*$I$2-G29)*$O$3*50</f>
        <v>-933432000</v>
      </c>
      <c r="J29" s="287">
        <f t="shared" si="1"/>
        <v>-683520000</v>
      </c>
      <c r="K29" s="122">
        <f t="shared" si="2"/>
        <v>-9334320000</v>
      </c>
      <c r="L29" s="84" t="s">
        <v>566</v>
      </c>
      <c r="M29" s="104"/>
    </row>
    <row r="30" spans="1:13" ht="14.25" customHeight="1" thickBot="1" x14ac:dyDescent="0.3">
      <c r="A30" s="313"/>
      <c r="B30" s="302" t="s">
        <v>574</v>
      </c>
      <c r="C30" s="5" t="s">
        <v>265</v>
      </c>
      <c r="D30" s="5" t="s">
        <v>575</v>
      </c>
      <c r="E30" s="5">
        <v>5</v>
      </c>
      <c r="F30" s="290">
        <f>VLOOKUP(D30,Data!$A$4:$B$364,2,FALSE)</f>
        <v>1400</v>
      </c>
      <c r="G30" s="7">
        <f t="shared" ref="G30" si="4">SUM(F30*E30)</f>
        <v>7000</v>
      </c>
      <c r="H30" s="291">
        <f>VLOOKUP(C30,Data!$A$4:$B$364,2,FALSE)</f>
        <v>6500</v>
      </c>
      <c r="I30" s="289">
        <f t="shared" ref="I30" si="5">(H30*0.85*$I$2-G30)*$O$3*50</f>
        <v>65548500</v>
      </c>
      <c r="J30" s="288">
        <f t="shared" si="1"/>
        <v>88110000</v>
      </c>
      <c r="K30" s="288">
        <f t="shared" ref="K30" si="6">+I30*10</f>
        <v>655485000</v>
      </c>
      <c r="L30" s="84" t="s">
        <v>576</v>
      </c>
      <c r="M30" s="104"/>
    </row>
    <row r="31" spans="1:13" ht="14.25" customHeight="1" thickBot="1" x14ac:dyDescent="0.3">
      <c r="A31" s="313"/>
      <c r="B31" s="303"/>
      <c r="C31" s="53"/>
      <c r="D31" s="53"/>
      <c r="E31" s="53"/>
      <c r="F31" s="72"/>
      <c r="G31" s="283"/>
      <c r="H31" s="78"/>
      <c r="I31" s="282"/>
      <c r="J31" s="287">
        <f t="shared" si="1"/>
        <v>0</v>
      </c>
      <c r="K31" s="281"/>
      <c r="L31" s="84" t="s">
        <v>566</v>
      </c>
      <c r="M31" s="104"/>
    </row>
    <row r="32" spans="1:13" ht="14.25" customHeight="1" thickBot="1" x14ac:dyDescent="0.3">
      <c r="A32" s="313"/>
      <c r="B32" s="302" t="s">
        <v>377</v>
      </c>
      <c r="C32" s="5" t="s">
        <v>362</v>
      </c>
      <c r="D32" s="5" t="s">
        <v>363</v>
      </c>
      <c r="E32" s="5">
        <v>5</v>
      </c>
      <c r="F32" s="6">
        <f>VLOOKUP(D32,Data!$A$4:$B$363,2,FALSE)</f>
        <v>6500</v>
      </c>
      <c r="G32" s="7">
        <f t="shared" si="3"/>
        <v>32500</v>
      </c>
      <c r="H32" s="76">
        <v>13000</v>
      </c>
      <c r="I32" s="70">
        <f t="shared" si="0"/>
        <v>-33553000</v>
      </c>
      <c r="J32" s="287">
        <f t="shared" si="1"/>
        <v>11570000</v>
      </c>
      <c r="K32" s="122">
        <f t="shared" si="2"/>
        <v>-335530000</v>
      </c>
      <c r="L32" s="84" t="s">
        <v>566</v>
      </c>
      <c r="M32" s="104"/>
    </row>
    <row r="33" spans="1:13" ht="14.25" customHeight="1" thickBot="1" x14ac:dyDescent="0.3">
      <c r="A33" s="313"/>
      <c r="B33" s="303"/>
      <c r="C33" s="53" t="s">
        <v>364</v>
      </c>
      <c r="D33" s="53" t="s">
        <v>362</v>
      </c>
      <c r="E33" s="53">
        <v>10</v>
      </c>
      <c r="F33" s="72">
        <f>VLOOKUP(D33,Data!$A$4:$B$363,2,FALSE)</f>
        <v>12000</v>
      </c>
      <c r="G33" s="66">
        <f t="shared" si="3"/>
        <v>120000</v>
      </c>
      <c r="H33" s="78">
        <f>VLOOKUP(C33,Data!$A$4:$B$363,2,FALSE)</f>
        <v>55000</v>
      </c>
      <c r="I33" s="70">
        <f>(H33*0.85*$I$2-G33)*$O$3*50</f>
        <v>13795000</v>
      </c>
      <c r="J33" s="287">
        <f t="shared" si="1"/>
        <v>204700000</v>
      </c>
      <c r="K33" s="122">
        <f t="shared" si="2"/>
        <v>137950000</v>
      </c>
      <c r="L33" s="84" t="s">
        <v>566</v>
      </c>
      <c r="M33" s="104"/>
    </row>
    <row r="34" spans="1:13" ht="14.25" customHeight="1" thickBot="1" x14ac:dyDescent="0.3">
      <c r="A34" s="309" t="s">
        <v>428</v>
      </c>
      <c r="B34" s="297" t="s">
        <v>381</v>
      </c>
      <c r="C34" s="107" t="s">
        <v>378</v>
      </c>
      <c r="D34" s="107" t="s">
        <v>379</v>
      </c>
      <c r="E34" s="107">
        <v>5</v>
      </c>
      <c r="F34" s="108">
        <f>VLOOKUP(D34,Data!$A$4:$B$363,2,FALSE)</f>
        <v>495</v>
      </c>
      <c r="G34" s="109">
        <f t="shared" si="3"/>
        <v>2475</v>
      </c>
      <c r="H34" s="110">
        <f>VLOOKUP(C34,Data!$A$4:$B$363,2,FALSE)</f>
        <v>1180</v>
      </c>
      <c r="I34" s="120">
        <f>(H34*0.85*$I$2-G34)*$O$4*50</f>
        <v>1075680.0000000014</v>
      </c>
      <c r="J34" s="295">
        <f t="shared" ref="J34:J60" si="7">(H34*$I$2-G34)*$O$4*50</f>
        <v>4803300</v>
      </c>
      <c r="K34" s="122">
        <f t="shared" si="2"/>
        <v>10756800.000000015</v>
      </c>
      <c r="L34" s="83" t="s">
        <v>564</v>
      </c>
      <c r="M34" s="104"/>
    </row>
    <row r="35" spans="1:13" ht="14.25" customHeight="1" thickBot="1" x14ac:dyDescent="0.3">
      <c r="A35" s="310"/>
      <c r="B35" s="298"/>
      <c r="C35" s="53" t="s">
        <v>380</v>
      </c>
      <c r="D35" s="53" t="s">
        <v>378</v>
      </c>
      <c r="E35" s="53">
        <v>10</v>
      </c>
      <c r="F35" s="72">
        <f>VLOOKUP(D35,Data!$A$4:$B$363,2,FALSE)</f>
        <v>1180</v>
      </c>
      <c r="G35" s="121">
        <f t="shared" si="3"/>
        <v>11800</v>
      </c>
      <c r="H35" s="82">
        <f>VLOOKUP(C35,Data!$A$4:$B$363,2,FALSE)</f>
        <v>8800</v>
      </c>
      <c r="I35" s="120">
        <f>(H35*0.85*$I$2-G35)*$O$4*50</f>
        <v>61948800</v>
      </c>
      <c r="J35" s="295">
        <f t="shared" si="7"/>
        <v>89748000</v>
      </c>
      <c r="K35" s="122">
        <f t="shared" si="2"/>
        <v>619488000</v>
      </c>
      <c r="L35" s="83" t="s">
        <v>564</v>
      </c>
      <c r="M35" s="104"/>
    </row>
    <row r="36" spans="1:13" ht="14.25" customHeight="1" thickBot="1" x14ac:dyDescent="0.3">
      <c r="A36" s="310"/>
      <c r="B36" s="314" t="s">
        <v>382</v>
      </c>
      <c r="C36" s="79" t="s">
        <v>393</v>
      </c>
      <c r="D36" s="79" t="s">
        <v>394</v>
      </c>
      <c r="E36" s="79">
        <v>5</v>
      </c>
      <c r="F36" s="80">
        <f>VLOOKUP(D36,Data!$A$4:$B$363,2,FALSE)</f>
        <v>895</v>
      </c>
      <c r="G36" s="120">
        <f t="shared" si="3"/>
        <v>4475</v>
      </c>
      <c r="H36" s="81">
        <f>VLOOKUP(C36,Data!$A$4:$B$363,2,FALSE)</f>
        <v>1720</v>
      </c>
      <c r="I36" s="296">
        <f t="shared" ref="I36:I57" si="8">(H36*0.85*$I$2-G36)*$O$4*50</f>
        <v>-5457779.9999999981</v>
      </c>
      <c r="J36" s="287">
        <f>(H36*$I$2-G36)*$O$4*50</f>
        <v>-24300</v>
      </c>
      <c r="K36" s="122">
        <f t="shared" si="2"/>
        <v>-54577799.999999985</v>
      </c>
      <c r="L36" s="83" t="s">
        <v>564</v>
      </c>
      <c r="M36" s="104"/>
    </row>
    <row r="37" spans="1:13" ht="14.25" customHeight="1" thickBot="1" x14ac:dyDescent="0.3">
      <c r="A37" s="310"/>
      <c r="B37" s="298"/>
      <c r="C37" s="53" t="s">
        <v>395</v>
      </c>
      <c r="D37" s="53" t="s">
        <v>393</v>
      </c>
      <c r="E37" s="53">
        <v>10</v>
      </c>
      <c r="F37" s="72">
        <f>VLOOKUP(D37,Data!$A$4:$B$363,2,FALSE)</f>
        <v>1720</v>
      </c>
      <c r="G37" s="121">
        <f t="shared" si="3"/>
        <v>17200</v>
      </c>
      <c r="H37" s="82">
        <f>VLOOKUP(C37,Data!$A$4:$B$363,2,FALSE)</f>
        <v>9450</v>
      </c>
      <c r="I37" s="296">
        <f t="shared" si="8"/>
        <v>29844450</v>
      </c>
      <c r="J37" s="295">
        <f t="shared" si="7"/>
        <v>59697000</v>
      </c>
      <c r="K37" s="122">
        <f t="shared" si="2"/>
        <v>298444500</v>
      </c>
      <c r="L37" s="83" t="s">
        <v>564</v>
      </c>
      <c r="M37" s="104"/>
    </row>
    <row r="38" spans="1:13" ht="14.25" customHeight="1" thickBot="1" x14ac:dyDescent="0.3">
      <c r="A38" s="310"/>
      <c r="B38" s="315" t="s">
        <v>383</v>
      </c>
      <c r="C38" s="79" t="s">
        <v>396</v>
      </c>
      <c r="D38" s="79" t="s">
        <v>397</v>
      </c>
      <c r="E38" s="79">
        <v>5</v>
      </c>
      <c r="F38" s="80">
        <f>VLOOKUP(D38,Data!$A$4:$B$363,2,FALSE)</f>
        <v>680</v>
      </c>
      <c r="G38" s="65">
        <f t="shared" si="3"/>
        <v>3400</v>
      </c>
      <c r="H38" s="81">
        <f>VLOOKUP(C38,Data!$A$4:$B$363,2,FALSE)</f>
        <v>1550</v>
      </c>
      <c r="I38" s="296">
        <f t="shared" si="8"/>
        <v>206550</v>
      </c>
      <c r="J38" s="295">
        <f t="shared" si="7"/>
        <v>5103000</v>
      </c>
      <c r="K38" s="122">
        <f t="shared" si="2"/>
        <v>2065500</v>
      </c>
      <c r="L38" s="83"/>
      <c r="M38" s="104"/>
    </row>
    <row r="39" spans="1:13" ht="14.25" customHeight="1" thickBot="1" x14ac:dyDescent="0.3">
      <c r="A39" s="310"/>
      <c r="B39" s="316"/>
      <c r="C39" s="53" t="s">
        <v>398</v>
      </c>
      <c r="D39" s="53" t="s">
        <v>396</v>
      </c>
      <c r="E39" s="53">
        <v>10</v>
      </c>
      <c r="F39" s="72">
        <f>VLOOKUP(D39,Data!$A$4:$B$363,2,FALSE)</f>
        <v>1550</v>
      </c>
      <c r="G39" s="66">
        <f t="shared" si="3"/>
        <v>15500</v>
      </c>
      <c r="H39" s="82">
        <f>VLOOKUP(C39,Data!$A$4:$B$363,2,FALSE)</f>
        <v>11300</v>
      </c>
      <c r="I39" s="296">
        <f t="shared" si="8"/>
        <v>76731300</v>
      </c>
      <c r="J39" s="295">
        <f t="shared" si="7"/>
        <v>112428000</v>
      </c>
      <c r="K39" s="122">
        <f t="shared" si="2"/>
        <v>767313000</v>
      </c>
      <c r="L39" s="83"/>
      <c r="M39" s="104"/>
    </row>
    <row r="40" spans="1:13" ht="14.25" customHeight="1" thickBot="1" x14ac:dyDescent="0.3">
      <c r="A40" s="310"/>
      <c r="B40" s="315" t="s">
        <v>384</v>
      </c>
      <c r="C40" s="100" t="s">
        <v>399</v>
      </c>
      <c r="D40" s="100" t="s">
        <v>400</v>
      </c>
      <c r="E40" s="100">
        <v>5</v>
      </c>
      <c r="F40" s="101">
        <f>VLOOKUP(D40,Data!$A$4:$B$363,2,FALSE)</f>
        <v>755</v>
      </c>
      <c r="G40" s="96">
        <f t="shared" si="3"/>
        <v>3775</v>
      </c>
      <c r="H40" s="102">
        <f>VLOOKUP(C40,Data!$A$4:$B$363,2,FALSE)</f>
        <v>1880</v>
      </c>
      <c r="I40" s="296">
        <f t="shared" si="8"/>
        <v>3076380.0000000014</v>
      </c>
      <c r="J40" s="295">
        <f t="shared" si="7"/>
        <v>9015300</v>
      </c>
      <c r="K40" s="122">
        <f t="shared" si="2"/>
        <v>30763800.000000015</v>
      </c>
      <c r="L40" s="83" t="s">
        <v>565</v>
      </c>
      <c r="M40" s="104"/>
    </row>
    <row r="41" spans="1:13" ht="14.25" customHeight="1" thickBot="1" x14ac:dyDescent="0.3">
      <c r="A41" s="310"/>
      <c r="B41" s="316"/>
      <c r="C41" s="97" t="s">
        <v>401</v>
      </c>
      <c r="D41" s="97" t="s">
        <v>399</v>
      </c>
      <c r="E41" s="97">
        <v>10</v>
      </c>
      <c r="F41" s="98">
        <f>VLOOKUP(D41,Data!$A$4:$B$363,2,FALSE)</f>
        <v>1880</v>
      </c>
      <c r="G41" s="99">
        <f t="shared" si="3"/>
        <v>18800</v>
      </c>
      <c r="H41" s="103">
        <f>VLOOKUP(C41,Data!$A$4:$B$363,2,FALSE)</f>
        <v>10100</v>
      </c>
      <c r="I41" s="296">
        <f t="shared" si="8"/>
        <v>28520100</v>
      </c>
      <c r="J41" s="295">
        <f t="shared" si="7"/>
        <v>60426000</v>
      </c>
      <c r="K41" s="122">
        <f t="shared" si="2"/>
        <v>285201000</v>
      </c>
      <c r="L41" s="83" t="s">
        <v>565</v>
      </c>
      <c r="M41" s="104"/>
    </row>
    <row r="42" spans="1:13" ht="14.25" customHeight="1" thickBot="1" x14ac:dyDescent="0.3">
      <c r="A42" s="310"/>
      <c r="B42" s="315" t="s">
        <v>385</v>
      </c>
      <c r="C42" s="100" t="s">
        <v>402</v>
      </c>
      <c r="D42" s="100" t="s">
        <v>403</v>
      </c>
      <c r="E42" s="100">
        <v>5</v>
      </c>
      <c r="F42" s="101">
        <f>VLOOKUP(D42,Data!$A$4:$B$363,2,FALSE)</f>
        <v>1310</v>
      </c>
      <c r="G42" s="96">
        <f t="shared" si="3"/>
        <v>6550</v>
      </c>
      <c r="H42" s="102">
        <f>VLOOKUP(C42,Data!$A$4:$B$363,2,FALSE)</f>
        <v>2410</v>
      </c>
      <c r="I42" s="296">
        <f t="shared" si="8"/>
        <v>-9913589.9999999963</v>
      </c>
      <c r="J42" s="295">
        <f t="shared" si="7"/>
        <v>-2300400</v>
      </c>
      <c r="K42" s="122">
        <f t="shared" si="2"/>
        <v>-99135899.99999997</v>
      </c>
      <c r="L42" s="83" t="s">
        <v>565</v>
      </c>
      <c r="M42" s="104"/>
    </row>
    <row r="43" spans="1:13" ht="14.25" customHeight="1" thickBot="1" x14ac:dyDescent="0.3">
      <c r="A43" s="310"/>
      <c r="B43" s="316"/>
      <c r="C43" s="97" t="s">
        <v>404</v>
      </c>
      <c r="D43" s="97" t="s">
        <v>402</v>
      </c>
      <c r="E43" s="97">
        <v>10</v>
      </c>
      <c r="F43" s="98">
        <f>VLOOKUP(D43,Data!$A$4:$B$363,2,FALSE)</f>
        <v>2410</v>
      </c>
      <c r="G43" s="99">
        <f t="shared" si="3"/>
        <v>24100</v>
      </c>
      <c r="H43" s="103">
        <f>VLOOKUP(C43,Data!$A$4:$B$363,2,FALSE)</f>
        <v>10700</v>
      </c>
      <c r="I43" s="296">
        <f t="shared" si="8"/>
        <v>-3669300</v>
      </c>
      <c r="J43" s="295">
        <f t="shared" si="7"/>
        <v>30132000</v>
      </c>
      <c r="K43" s="122">
        <f t="shared" si="2"/>
        <v>-36693000</v>
      </c>
      <c r="L43" s="83" t="s">
        <v>565</v>
      </c>
      <c r="M43" s="104"/>
    </row>
    <row r="44" spans="1:13" ht="14.25" customHeight="1" thickBot="1" x14ac:dyDescent="0.3">
      <c r="A44" s="310"/>
      <c r="B44" s="315" t="s">
        <v>386</v>
      </c>
      <c r="C44" s="100" t="s">
        <v>405</v>
      </c>
      <c r="D44" s="100" t="s">
        <v>406</v>
      </c>
      <c r="E44" s="100">
        <v>5</v>
      </c>
      <c r="F44" s="101">
        <f>VLOOKUP(D44,Data!$A$4:$B$363,2,FALSE)</f>
        <v>1290</v>
      </c>
      <c r="G44" s="96">
        <f t="shared" si="3"/>
        <v>6450</v>
      </c>
      <c r="H44" s="102">
        <f>VLOOKUP(C44,Data!$A$4:$B$363,2,FALSE)</f>
        <v>3000</v>
      </c>
      <c r="I44" s="296">
        <f t="shared" si="8"/>
        <v>1458000</v>
      </c>
      <c r="J44" s="295">
        <f t="shared" si="7"/>
        <v>10935000</v>
      </c>
      <c r="K44" s="122">
        <f t="shared" si="2"/>
        <v>14580000</v>
      </c>
      <c r="L44" s="83" t="s">
        <v>565</v>
      </c>
      <c r="M44" s="104"/>
    </row>
    <row r="45" spans="1:13" ht="14.25" customHeight="1" thickBot="1" x14ac:dyDescent="0.3">
      <c r="A45" s="310"/>
      <c r="B45" s="316"/>
      <c r="C45" s="97" t="s">
        <v>407</v>
      </c>
      <c r="D45" s="97" t="s">
        <v>405</v>
      </c>
      <c r="E45" s="97">
        <v>10</v>
      </c>
      <c r="F45" s="98">
        <f>VLOOKUP(D45,Data!$A$4:$B$363,2,FALSE)</f>
        <v>3000</v>
      </c>
      <c r="G45" s="99">
        <f t="shared" si="3"/>
        <v>30000</v>
      </c>
      <c r="H45" s="103">
        <f>VLOOKUP(C45,Data!$A$4:$B$363,2,FALSE)</f>
        <v>15000</v>
      </c>
      <c r="I45" s="296">
        <f t="shared" si="8"/>
        <v>25515000</v>
      </c>
      <c r="J45" s="295">
        <f t="shared" si="7"/>
        <v>72900000</v>
      </c>
      <c r="K45" s="122">
        <f t="shared" si="2"/>
        <v>255150000</v>
      </c>
      <c r="L45" s="83" t="s">
        <v>565</v>
      </c>
      <c r="M45" s="104"/>
    </row>
    <row r="46" spans="1:13" ht="14.25" customHeight="1" thickBot="1" x14ac:dyDescent="0.3">
      <c r="A46" s="310"/>
      <c r="B46" s="314" t="s">
        <v>387</v>
      </c>
      <c r="C46" s="79" t="s">
        <v>408</v>
      </c>
      <c r="D46" s="79" t="s">
        <v>409</v>
      </c>
      <c r="E46" s="79">
        <v>5</v>
      </c>
      <c r="F46" s="80">
        <f>VLOOKUP(D46,Data!$A$4:$B$363,2,FALSE)</f>
        <v>590</v>
      </c>
      <c r="G46" s="120">
        <f t="shared" si="3"/>
        <v>2950</v>
      </c>
      <c r="H46" s="81" t="e">
        <f>VLOOKUP(C46,Data!$A$4:$B$363,2,FALSE)</f>
        <v>#N/A</v>
      </c>
      <c r="I46" s="296" t="e">
        <f t="shared" si="8"/>
        <v>#N/A</v>
      </c>
      <c r="J46" s="295" t="e">
        <f t="shared" si="7"/>
        <v>#N/A</v>
      </c>
      <c r="K46" s="122" t="e">
        <f t="shared" si="2"/>
        <v>#N/A</v>
      </c>
      <c r="L46" s="84"/>
      <c r="M46" s="104"/>
    </row>
    <row r="47" spans="1:13" ht="14.25" customHeight="1" thickBot="1" x14ac:dyDescent="0.3">
      <c r="A47" s="310"/>
      <c r="B47" s="298"/>
      <c r="C47" s="53" t="s">
        <v>410</v>
      </c>
      <c r="D47" s="53" t="s">
        <v>408</v>
      </c>
      <c r="E47" s="53">
        <v>10</v>
      </c>
      <c r="F47" s="72" t="e">
        <f>VLOOKUP(D47,Data!$A$4:$B$363,2,FALSE)</f>
        <v>#N/A</v>
      </c>
      <c r="G47" s="121" t="e">
        <f t="shared" si="3"/>
        <v>#N/A</v>
      </c>
      <c r="H47" s="82">
        <f>VLOOKUP(C47,Data!$A$4:$B$363,2,FALSE)</f>
        <v>12600</v>
      </c>
      <c r="I47" s="296" t="e">
        <f t="shared" si="8"/>
        <v>#N/A</v>
      </c>
      <c r="J47" s="295" t="e">
        <f t="shared" si="7"/>
        <v>#N/A</v>
      </c>
      <c r="K47" s="122" t="e">
        <f t="shared" si="2"/>
        <v>#N/A</v>
      </c>
      <c r="L47" s="84"/>
      <c r="M47" s="104"/>
    </row>
    <row r="48" spans="1:13" ht="14.25" customHeight="1" thickBot="1" x14ac:dyDescent="0.3">
      <c r="A48" s="310"/>
      <c r="B48" s="314" t="s">
        <v>388</v>
      </c>
      <c r="C48" s="79" t="s">
        <v>411</v>
      </c>
      <c r="D48" s="79" t="s">
        <v>412</v>
      </c>
      <c r="E48" s="79">
        <v>5</v>
      </c>
      <c r="F48" s="80">
        <f>VLOOKUP(D48,Data!$A$4:$B$363,2,FALSE)</f>
        <v>1320</v>
      </c>
      <c r="G48" s="120">
        <f t="shared" si="3"/>
        <v>6600</v>
      </c>
      <c r="H48" s="81">
        <f>VLOOKUP(C48,Data!$A$4:$B$363,2,FALSE)</f>
        <v>3890</v>
      </c>
      <c r="I48" s="296">
        <f t="shared" si="8"/>
        <v>16174889.999999996</v>
      </c>
      <c r="J48" s="295">
        <f t="shared" si="7"/>
        <v>28463400</v>
      </c>
      <c r="K48" s="122">
        <f t="shared" si="2"/>
        <v>161748899.99999997</v>
      </c>
      <c r="L48" s="84"/>
      <c r="M48" s="104"/>
    </row>
    <row r="49" spans="1:13" ht="14.25" customHeight="1" thickBot="1" x14ac:dyDescent="0.3">
      <c r="A49" s="310"/>
      <c r="B49" s="298"/>
      <c r="C49" s="53" t="s">
        <v>413</v>
      </c>
      <c r="D49" s="53" t="s">
        <v>411</v>
      </c>
      <c r="E49" s="53">
        <v>10</v>
      </c>
      <c r="F49" s="72">
        <f>VLOOKUP(D49,Data!$A$4:$B$363,2,FALSE)</f>
        <v>3890</v>
      </c>
      <c r="G49" s="121">
        <f t="shared" si="3"/>
        <v>38900</v>
      </c>
      <c r="H49" s="78">
        <f>VLOOKUP(C49,Data!$A$4:$B$363,2,FALSE)</f>
        <v>17900</v>
      </c>
      <c r="I49" s="296">
        <f t="shared" si="8"/>
        <v>5337900</v>
      </c>
      <c r="J49" s="295">
        <f t="shared" si="7"/>
        <v>61884000</v>
      </c>
      <c r="K49" s="122">
        <f t="shared" si="2"/>
        <v>53379000</v>
      </c>
      <c r="L49" s="84"/>
      <c r="M49" s="104"/>
    </row>
    <row r="50" spans="1:13" ht="14.25" customHeight="1" thickBot="1" x14ac:dyDescent="0.3">
      <c r="A50" s="310"/>
      <c r="B50" s="315" t="s">
        <v>389</v>
      </c>
      <c r="C50" s="79" t="s">
        <v>414</v>
      </c>
      <c r="D50" s="79" t="s">
        <v>415</v>
      </c>
      <c r="E50" s="79">
        <v>5</v>
      </c>
      <c r="F50" s="80">
        <f>VLOOKUP(D50,Data!$A$4:$B$363,2,FALSE)</f>
        <v>398</v>
      </c>
      <c r="G50" s="65">
        <f t="shared" si="3"/>
        <v>1990</v>
      </c>
      <c r="H50" s="81">
        <f>VLOOKUP(C50,Data!$A$4:$B$363,2,FALSE)</f>
        <v>1590</v>
      </c>
      <c r="I50" s="296">
        <f t="shared" si="8"/>
        <v>12343590</v>
      </c>
      <c r="J50" s="295">
        <f t="shared" si="7"/>
        <v>17366400</v>
      </c>
      <c r="K50" s="122">
        <f t="shared" si="2"/>
        <v>123435900</v>
      </c>
      <c r="L50" s="83"/>
      <c r="M50" s="104"/>
    </row>
    <row r="51" spans="1:13" ht="14.25" customHeight="1" thickBot="1" x14ac:dyDescent="0.3">
      <c r="A51" s="310"/>
      <c r="B51" s="316"/>
      <c r="C51" s="53" t="s">
        <v>416</v>
      </c>
      <c r="D51" s="53" t="s">
        <v>414</v>
      </c>
      <c r="E51" s="53">
        <v>10</v>
      </c>
      <c r="F51" s="72">
        <f>VLOOKUP(D51,Data!$A$4:$B$363,2,FALSE)</f>
        <v>1590</v>
      </c>
      <c r="G51" s="66">
        <f t="shared" si="3"/>
        <v>15900</v>
      </c>
      <c r="H51" s="82">
        <f>VLOOKUP(C51,Data!$A$4:$B$363,2,FALSE)</f>
        <v>12700</v>
      </c>
      <c r="I51" s="296">
        <f t="shared" si="8"/>
        <v>98552700</v>
      </c>
      <c r="J51" s="295">
        <f t="shared" si="7"/>
        <v>138672000</v>
      </c>
      <c r="K51" s="122">
        <f t="shared" si="2"/>
        <v>985527000</v>
      </c>
      <c r="L51" s="83" t="s">
        <v>429</v>
      </c>
      <c r="M51" s="104"/>
    </row>
    <row r="52" spans="1:13" ht="14.25" customHeight="1" thickBot="1" x14ac:dyDescent="0.3">
      <c r="A52" s="310"/>
      <c r="B52" s="315" t="s">
        <v>390</v>
      </c>
      <c r="C52" s="79" t="s">
        <v>417</v>
      </c>
      <c r="D52" s="79" t="s">
        <v>418</v>
      </c>
      <c r="E52" s="79">
        <v>5</v>
      </c>
      <c r="F52" s="80">
        <f>VLOOKUP(D52,Data!$A$4:$B$363,2,FALSE)</f>
        <v>425</v>
      </c>
      <c r="G52" s="65">
        <f t="shared" si="3"/>
        <v>2125</v>
      </c>
      <c r="H52" s="81">
        <f>VLOOKUP(C52,Data!$A$4:$B$363,2,FALSE)</f>
        <v>1360</v>
      </c>
      <c r="I52" s="296">
        <f t="shared" si="8"/>
        <v>7132859.9999999991</v>
      </c>
      <c r="J52" s="295">
        <f t="shared" si="7"/>
        <v>11429100</v>
      </c>
      <c r="K52" s="122">
        <f t="shared" si="2"/>
        <v>71328599.999999985</v>
      </c>
      <c r="L52" s="83"/>
      <c r="M52" s="104"/>
    </row>
    <row r="53" spans="1:13" ht="14.25" customHeight="1" thickBot="1" x14ac:dyDescent="0.3">
      <c r="A53" s="310"/>
      <c r="B53" s="316"/>
      <c r="C53" s="53" t="s">
        <v>419</v>
      </c>
      <c r="D53" s="53" t="s">
        <v>417</v>
      </c>
      <c r="E53" s="53">
        <v>10</v>
      </c>
      <c r="F53" s="72">
        <f>VLOOKUP(D53,Data!$A$4:$B$363,2,FALSE)</f>
        <v>1360</v>
      </c>
      <c r="G53" s="66">
        <f t="shared" si="3"/>
        <v>13600</v>
      </c>
      <c r="H53" s="82">
        <f>VLOOKUP(C53,Data!$A$4:$B$363,2,FALSE)</f>
        <v>13600</v>
      </c>
      <c r="I53" s="296">
        <f t="shared" si="8"/>
        <v>133293600</v>
      </c>
      <c r="J53" s="295">
        <f t="shared" si="7"/>
        <v>176256000</v>
      </c>
      <c r="K53" s="122">
        <f t="shared" si="2"/>
        <v>1332936000</v>
      </c>
      <c r="L53" s="83"/>
      <c r="M53" s="104"/>
    </row>
    <row r="54" spans="1:13" ht="14.25" customHeight="1" thickBot="1" x14ac:dyDescent="0.3">
      <c r="A54" s="310"/>
      <c r="B54" s="315" t="s">
        <v>391</v>
      </c>
      <c r="C54" s="79" t="s">
        <v>426</v>
      </c>
      <c r="D54" s="79" t="s">
        <v>420</v>
      </c>
      <c r="E54" s="79">
        <v>5</v>
      </c>
      <c r="F54" s="80">
        <f>VLOOKUP(D54,Data!$A$4:$B$363,2,FALSE)</f>
        <v>955</v>
      </c>
      <c r="G54" s="65">
        <f t="shared" si="3"/>
        <v>4775</v>
      </c>
      <c r="H54" s="85">
        <f>VLOOKUP(C54,Data!$A$4:$B$363,2,FALSE)</f>
        <v>9200</v>
      </c>
      <c r="I54" s="296">
        <f t="shared" si="8"/>
        <v>126011700</v>
      </c>
      <c r="J54" s="295">
        <f t="shared" si="7"/>
        <v>155074500</v>
      </c>
      <c r="K54" s="122">
        <f t="shared" si="2"/>
        <v>1260117000</v>
      </c>
      <c r="L54" s="83" t="s">
        <v>429</v>
      </c>
      <c r="M54" s="104"/>
    </row>
    <row r="55" spans="1:13" ht="14.25" customHeight="1" thickBot="1" x14ac:dyDescent="0.3">
      <c r="A55" s="310"/>
      <c r="B55" s="316"/>
      <c r="C55" s="53" t="s">
        <v>425</v>
      </c>
      <c r="D55" s="53" t="s">
        <v>426</v>
      </c>
      <c r="E55" s="53">
        <v>10</v>
      </c>
      <c r="F55" s="72">
        <f>VLOOKUP(D55,Data!$A$4:$B$363,2,FALSE)</f>
        <v>9200</v>
      </c>
      <c r="G55" s="66">
        <f t="shared" si="3"/>
        <v>92000</v>
      </c>
      <c r="H55" s="78">
        <f>VLOOKUP(C55,Data!$A$4:$B$363,2,FALSE)</f>
        <v>14300</v>
      </c>
      <c r="I55" s="296">
        <f t="shared" si="8"/>
        <v>-489215700</v>
      </c>
      <c r="J55" s="295">
        <f t="shared" si="7"/>
        <v>-444042000</v>
      </c>
      <c r="K55" s="122">
        <f t="shared" si="2"/>
        <v>-4892157000</v>
      </c>
      <c r="L55" s="83"/>
      <c r="M55" s="104"/>
    </row>
    <row r="56" spans="1:13" ht="14.25" customHeight="1" thickBot="1" x14ac:dyDescent="0.3">
      <c r="A56" s="310"/>
      <c r="B56" s="315" t="s">
        <v>392</v>
      </c>
      <c r="C56" s="79" t="s">
        <v>421</v>
      </c>
      <c r="D56" s="79" t="s">
        <v>422</v>
      </c>
      <c r="E56" s="79">
        <v>5</v>
      </c>
      <c r="F56" s="80">
        <f>VLOOKUP(D56,Data!$A$4:$B$363,2,FALSE)</f>
        <v>540</v>
      </c>
      <c r="G56" s="65">
        <f t="shared" si="3"/>
        <v>2700</v>
      </c>
      <c r="H56" s="81">
        <f>VLOOKUP(C56,Data!$A$4:$B$363,2,FALSE)</f>
        <v>1810</v>
      </c>
      <c r="I56" s="296">
        <f t="shared" si="8"/>
        <v>10530810.000000004</v>
      </c>
      <c r="J56" s="295">
        <f t="shared" si="7"/>
        <v>16248600</v>
      </c>
      <c r="K56" s="122">
        <f t="shared" si="2"/>
        <v>105308100.00000003</v>
      </c>
      <c r="L56" s="83"/>
      <c r="M56" s="104"/>
    </row>
    <row r="57" spans="1:13" ht="14.25" customHeight="1" thickBot="1" x14ac:dyDescent="0.3">
      <c r="A57" s="311"/>
      <c r="B57" s="317"/>
      <c r="C57" s="53" t="s">
        <v>423</v>
      </c>
      <c r="D57" s="53" t="s">
        <v>421</v>
      </c>
      <c r="E57" s="53">
        <v>10</v>
      </c>
      <c r="F57" s="72">
        <f>VLOOKUP(D57,Data!$A$4:$B$363,2,FALSE)</f>
        <v>1810</v>
      </c>
      <c r="G57" s="94">
        <f t="shared" si="3"/>
        <v>18100</v>
      </c>
      <c r="H57" s="82">
        <f>VLOOKUP(C57,Data!$A$4:$B$363,2,FALSE)</f>
        <v>14700</v>
      </c>
      <c r="I57" s="296">
        <f t="shared" si="8"/>
        <v>116534700</v>
      </c>
      <c r="J57" s="295">
        <f t="shared" si="7"/>
        <v>162972000</v>
      </c>
      <c r="K57" s="122">
        <f t="shared" si="2"/>
        <v>1165347000</v>
      </c>
      <c r="L57" s="83" t="s">
        <v>429</v>
      </c>
      <c r="M57" s="104"/>
    </row>
    <row r="58" spans="1:13" ht="14.25" customHeight="1" x14ac:dyDescent="0.25">
      <c r="A58" s="305" t="s">
        <v>454</v>
      </c>
      <c r="B58" s="307" t="s">
        <v>455</v>
      </c>
      <c r="C58" s="107" t="s">
        <v>456</v>
      </c>
      <c r="D58" s="107" t="s">
        <v>457</v>
      </c>
      <c r="E58" s="107">
        <v>5</v>
      </c>
      <c r="F58" s="108">
        <f>VLOOKUP(D58,Data!$A$4:$B$363,2,FALSE)</f>
        <v>400</v>
      </c>
      <c r="G58" s="109">
        <f>SUM(F58*E58)</f>
        <v>2000</v>
      </c>
      <c r="H58" s="110">
        <f>VLOOKUP(C58,Data!$A$4:$B$363,2,FALSE)</f>
        <v>13200</v>
      </c>
      <c r="I58" s="109">
        <f t="shared" si="0"/>
        <v>241830800</v>
      </c>
      <c r="J58" s="295">
        <f t="shared" si="7"/>
        <v>261792000</v>
      </c>
      <c r="K58" s="122">
        <f t="shared" si="2"/>
        <v>2418308000</v>
      </c>
      <c r="L58" s="83" t="s">
        <v>429</v>
      </c>
      <c r="M58" s="104"/>
    </row>
    <row r="59" spans="1:13" ht="14.25" customHeight="1" thickBot="1" x14ac:dyDescent="0.3">
      <c r="A59" s="306"/>
      <c r="B59" s="308"/>
      <c r="C59" s="52" t="s">
        <v>462</v>
      </c>
      <c r="D59" s="52" t="s">
        <v>456</v>
      </c>
      <c r="E59" s="52">
        <v>10</v>
      </c>
      <c r="F59" s="91">
        <f>VLOOKUP(D59,Data!$A$4:$B$363,2,FALSE)</f>
        <v>13200</v>
      </c>
      <c r="G59" s="95">
        <f>SUM(F59*E59)</f>
        <v>132000</v>
      </c>
      <c r="H59" s="106">
        <f>VLOOKUP(C59,Data!$A$4:$B$363,2,FALSE)</f>
        <v>57000</v>
      </c>
      <c r="I59" s="95">
        <f t="shared" si="0"/>
        <v>-53667000</v>
      </c>
      <c r="J59" s="295">
        <f t="shared" si="7"/>
        <v>131220000</v>
      </c>
      <c r="K59" s="122">
        <f t="shared" si="2"/>
        <v>-536670000</v>
      </c>
      <c r="L59" s="83"/>
      <c r="M59" s="104"/>
    </row>
    <row r="60" spans="1:13" ht="14.25" customHeight="1" thickBot="1" x14ac:dyDescent="0.3">
      <c r="A60" s="306"/>
      <c r="B60" s="111" t="s">
        <v>430</v>
      </c>
      <c r="C60" s="53" t="s">
        <v>432</v>
      </c>
      <c r="D60" s="53" t="s">
        <v>431</v>
      </c>
      <c r="E60" s="53">
        <v>5</v>
      </c>
      <c r="F60" s="72">
        <f>VLOOKUP(D60,Data!$A$4:$B$363,2,FALSE)</f>
        <v>2200</v>
      </c>
      <c r="G60" s="94">
        <f t="shared" si="3"/>
        <v>11000</v>
      </c>
      <c r="H60" s="82">
        <f>VLOOKUP(C60,Data!$A$4:$B$363,2,FALSE)</f>
        <v>4240</v>
      </c>
      <c r="I60" s="93">
        <f t="shared" si="0"/>
        <v>-14503440.000000002</v>
      </c>
      <c r="J60" s="295">
        <f t="shared" si="7"/>
        <v>194400</v>
      </c>
      <c r="K60" s="122">
        <f t="shared" si="2"/>
        <v>-145034400.00000003</v>
      </c>
      <c r="L60" s="83"/>
      <c r="M60" s="104"/>
    </row>
    <row r="61" spans="1:13" ht="14.25" customHeight="1" thickBot="1" x14ac:dyDescent="0.3">
      <c r="A61" s="306"/>
      <c r="B61" s="112" t="s">
        <v>433</v>
      </c>
      <c r="C61" s="113" t="s">
        <v>72</v>
      </c>
      <c r="D61" s="113" t="s">
        <v>434</v>
      </c>
      <c r="E61" s="113">
        <v>1</v>
      </c>
      <c r="F61" s="114">
        <f>VLOOKUP(D61,Data!$A$4:$B$363,2,FALSE)</f>
        <v>6250</v>
      </c>
      <c r="G61" s="115">
        <f>SUM(F61*E61)</f>
        <v>6250</v>
      </c>
      <c r="H61" s="116">
        <f>VLOOKUP(C61,Data!$A$4:$B$363,2,FALSE)</f>
        <v>5000</v>
      </c>
      <c r="I61" s="296">
        <f t="shared" ref="I61" si="9">(H61*0.85*$I$2-G61)*$O$4*50</f>
        <v>38880000</v>
      </c>
      <c r="J61" s="295">
        <f>(H61*$I$2-G61)*$O$4*50</f>
        <v>54675000</v>
      </c>
      <c r="K61" s="122">
        <f>+I61*10</f>
        <v>388800000</v>
      </c>
      <c r="L61" s="271" t="s">
        <v>180</v>
      </c>
      <c r="M61" s="104"/>
    </row>
    <row r="62" spans="1:13" ht="14.25" customHeight="1" x14ac:dyDescent="0.2"/>
    <row r="63" spans="1:13" ht="14.25" customHeight="1" x14ac:dyDescent="0.2"/>
    <row r="64" spans="1:13" ht="14.25" customHeight="1" x14ac:dyDescent="0.2"/>
    <row r="65" spans="12:12" ht="14.25" customHeight="1" x14ac:dyDescent="0.2"/>
    <row r="66" spans="12:12" ht="14.25" customHeight="1" x14ac:dyDescent="0.2"/>
    <row r="67" spans="12:12" ht="14.25" customHeight="1" x14ac:dyDescent="0.2"/>
    <row r="68" spans="12:12" ht="14.25" customHeight="1" x14ac:dyDescent="0.2"/>
    <row r="69" spans="12:12" ht="14.25" customHeight="1" x14ac:dyDescent="0.2">
      <c r="L69">
        <f>90*3000</f>
        <v>270000</v>
      </c>
    </row>
    <row r="70" spans="12:12" ht="14.25" customHeight="1" x14ac:dyDescent="0.2"/>
    <row r="71" spans="12:12" ht="14.25" customHeight="1" x14ac:dyDescent="0.2"/>
    <row r="72" spans="12:12" ht="14.25" customHeight="1" x14ac:dyDescent="0.2"/>
    <row r="73" spans="12:12" ht="14.25" customHeight="1" x14ac:dyDescent="0.2"/>
    <row r="74" spans="12:12" ht="14.25" customHeight="1" x14ac:dyDescent="0.2"/>
    <row r="75" spans="12:12" ht="14.25" customHeight="1" x14ac:dyDescent="0.2"/>
    <row r="76" spans="12:12" ht="14.25" customHeight="1" x14ac:dyDescent="0.2"/>
    <row r="77" spans="12:12" ht="14.25" customHeight="1" x14ac:dyDescent="0.2"/>
    <row r="78" spans="12:12" ht="14.25" customHeight="1" x14ac:dyDescent="0.2"/>
    <row r="79" spans="12:12" ht="14.25" customHeight="1" x14ac:dyDescent="0.2"/>
    <row r="80" spans="12:1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autoFilter ref="C4:L61" xr:uid="{41B51BA3-8F64-4EBF-8CF1-0937A4D5C840}"/>
  <mergeCells count="29">
    <mergeCell ref="A58:A61"/>
    <mergeCell ref="B20:B21"/>
    <mergeCell ref="B58:B59"/>
    <mergeCell ref="A34:A57"/>
    <mergeCell ref="A5:A33"/>
    <mergeCell ref="B48:B49"/>
    <mergeCell ref="B50:B51"/>
    <mergeCell ref="B52:B53"/>
    <mergeCell ref="B54:B55"/>
    <mergeCell ref="B56:B57"/>
    <mergeCell ref="B36:B37"/>
    <mergeCell ref="B38:B39"/>
    <mergeCell ref="B40:B41"/>
    <mergeCell ref="B42:B43"/>
    <mergeCell ref="B44:B45"/>
    <mergeCell ref="B46:B47"/>
    <mergeCell ref="B34:B35"/>
    <mergeCell ref="C2:E2"/>
    <mergeCell ref="B5:B7"/>
    <mergeCell ref="B8:B9"/>
    <mergeCell ref="B16:B17"/>
    <mergeCell ref="B18:B19"/>
    <mergeCell ref="B10:B15"/>
    <mergeCell ref="B22:B23"/>
    <mergeCell ref="B24:B25"/>
    <mergeCell ref="B26:B27"/>
    <mergeCell ref="B28:B29"/>
    <mergeCell ref="B32:B33"/>
    <mergeCell ref="B30:B31"/>
  </mergeCells>
  <conditionalFormatting sqref="I5:J5 I22:I29 I6:I19 J6:J61 I32:I57 I61">
    <cfRule type="colorScale" priority="9">
      <colorScale>
        <cfvo type="min"/>
        <cfvo type="num" val="0"/>
        <cfvo type="percentile" val="70"/>
        <color rgb="FFF8696B"/>
        <color theme="0"/>
        <color rgb="FF63BE7B"/>
      </colorScale>
    </cfRule>
  </conditionalFormatting>
  <conditionalFormatting sqref="K5:K29 K32:K61">
    <cfRule type="colorScale" priority="8">
      <colorScale>
        <cfvo type="min"/>
        <cfvo type="num" val="0"/>
        <cfvo type="percentile" val="80"/>
        <color theme="7" tint="0.79998168889431442"/>
        <color theme="0"/>
        <color theme="9"/>
      </colorScale>
    </cfRule>
  </conditionalFormatting>
  <conditionalFormatting sqref="I58:I60">
    <cfRule type="colorScale" priority="6">
      <colorScale>
        <cfvo type="min"/>
        <cfvo type="num" val="0"/>
        <cfvo type="percentile" val="70"/>
        <color rgb="FFF8696B"/>
        <color theme="0"/>
        <color rgb="FF63BE7B"/>
      </colorScale>
    </cfRule>
  </conditionalFormatting>
  <conditionalFormatting sqref="I20:I21">
    <cfRule type="colorScale" priority="4">
      <colorScale>
        <cfvo type="min"/>
        <cfvo type="num" val="0"/>
        <cfvo type="percentile" val="70"/>
        <color rgb="FFF8696B"/>
        <color theme="0"/>
        <color rgb="FF63BE7B"/>
      </colorScale>
    </cfRule>
  </conditionalFormatting>
  <conditionalFormatting sqref="I30:I31">
    <cfRule type="colorScale" priority="2">
      <colorScale>
        <cfvo type="min"/>
        <cfvo type="num" val="0"/>
        <cfvo type="percentile" val="70"/>
        <color rgb="FFF8696B"/>
        <color theme="0"/>
        <color rgb="FF63BE7B"/>
      </colorScale>
    </cfRule>
  </conditionalFormatting>
  <conditionalFormatting sqref="K30:K31">
    <cfRule type="colorScale" priority="1">
      <colorScale>
        <cfvo type="min"/>
        <cfvo type="num" val="0"/>
        <cfvo type="percentile" val="80"/>
        <color theme="7" tint="0.79998168889431442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6676-16EA-44E1-82A6-DF8136B63FDE}">
  <sheetPr filterMode="1"/>
  <dimension ref="A1:T946"/>
  <sheetViews>
    <sheetView topLeftCell="C1" zoomScale="85" zoomScaleNormal="85" workbookViewId="0">
      <selection activeCell="D72" sqref="A1:T946"/>
    </sheetView>
  </sheetViews>
  <sheetFormatPr baseColWidth="10" defaultColWidth="12.625" defaultRowHeight="14.25" x14ac:dyDescent="0.2"/>
  <cols>
    <col min="2" max="2" width="19.625" customWidth="1"/>
    <col min="3" max="3" width="35.75" bestFit="1" customWidth="1"/>
    <col min="4" max="4" width="15.125" bestFit="1" customWidth="1"/>
    <col min="5" max="5" width="7.875" customWidth="1"/>
    <col min="6" max="6" width="12.875" customWidth="1"/>
    <col min="7" max="7" width="13.5" bestFit="1" customWidth="1"/>
    <col min="8" max="8" width="13.25" bestFit="1" customWidth="1"/>
    <col min="9" max="9" width="14" customWidth="1"/>
    <col min="10" max="10" width="13.25" customWidth="1"/>
    <col min="11" max="11" width="20.75" bestFit="1" customWidth="1"/>
    <col min="12" max="12" width="22.25" customWidth="1"/>
    <col min="13" max="13" width="18.5" bestFit="1" customWidth="1"/>
    <col min="14" max="14" width="22.125" bestFit="1" customWidth="1"/>
    <col min="15" max="16" width="17.125" customWidth="1"/>
    <col min="17" max="17" width="16.625" customWidth="1"/>
    <col min="18" max="18" width="20.625" hidden="1" customWidth="1"/>
    <col min="19" max="19" width="22.125" bestFit="1" customWidth="1"/>
    <col min="20" max="20" width="21.125" customWidth="1"/>
    <col min="21" max="36" width="7.625" customWidth="1"/>
  </cols>
  <sheetData>
    <row r="1" spans="1:20" ht="14.25" customHeight="1" thickBot="1" x14ac:dyDescent="0.25"/>
    <row r="2" spans="1:20" ht="14.25" customHeight="1" thickBot="1" x14ac:dyDescent="0.3">
      <c r="C2" s="299" t="s">
        <v>502</v>
      </c>
      <c r="D2" s="300"/>
      <c r="E2" s="300"/>
      <c r="F2" s="300"/>
      <c r="G2" s="301"/>
      <c r="J2" s="123"/>
      <c r="K2" s="1" t="s">
        <v>480</v>
      </c>
      <c r="L2" s="2">
        <v>7</v>
      </c>
      <c r="M2" s="105"/>
      <c r="N2" s="105"/>
      <c r="O2" s="1" t="s">
        <v>508</v>
      </c>
      <c r="P2" s="2">
        <v>50</v>
      </c>
      <c r="S2" s="1" t="s">
        <v>544</v>
      </c>
      <c r="T2" s="2">
        <v>1900</v>
      </c>
    </row>
    <row r="3" spans="1:20" ht="14.25" customHeight="1" thickBot="1" x14ac:dyDescent="0.25">
      <c r="P3" t="s">
        <v>563</v>
      </c>
    </row>
    <row r="4" spans="1:20" ht="14.25" customHeight="1" x14ac:dyDescent="0.25">
      <c r="C4" s="3" t="s">
        <v>2</v>
      </c>
      <c r="D4" s="3" t="s">
        <v>545</v>
      </c>
      <c r="E4" s="3" t="s">
        <v>473</v>
      </c>
      <c r="F4" s="62" t="s">
        <v>501</v>
      </c>
      <c r="G4" s="3" t="s">
        <v>472</v>
      </c>
      <c r="H4" s="3" t="s">
        <v>5</v>
      </c>
      <c r="I4" s="62" t="s">
        <v>505</v>
      </c>
      <c r="J4" s="62" t="s">
        <v>6</v>
      </c>
      <c r="K4" s="3" t="s">
        <v>7</v>
      </c>
      <c r="L4" s="62" t="s">
        <v>503</v>
      </c>
      <c r="M4" s="3" t="s">
        <v>504</v>
      </c>
      <c r="N4" s="62" t="s">
        <v>506</v>
      </c>
      <c r="O4" s="62" t="s">
        <v>479</v>
      </c>
      <c r="P4" s="62" t="s">
        <v>482</v>
      </c>
      <c r="Q4" s="62" t="s">
        <v>507</v>
      </c>
      <c r="R4" s="3" t="s">
        <v>328</v>
      </c>
    </row>
    <row r="5" spans="1:20" ht="14.25" hidden="1" customHeight="1" x14ac:dyDescent="0.25">
      <c r="A5" s="318" t="s">
        <v>471</v>
      </c>
      <c r="B5" s="223" t="s">
        <v>483</v>
      </c>
      <c r="C5" s="5" t="s">
        <v>478</v>
      </c>
      <c r="D5" s="5" t="s">
        <v>474</v>
      </c>
      <c r="E5" s="79">
        <v>20</v>
      </c>
      <c r="F5" s="134">
        <f t="shared" ref="F5:F44" si="0">(350*$P$2)*E5^2/40^2</f>
        <v>4375</v>
      </c>
      <c r="G5" s="5">
        <v>0.71</v>
      </c>
      <c r="H5" s="138">
        <v>101000</v>
      </c>
      <c r="I5" s="145">
        <f>((H5*2)/G5)+F5</f>
        <v>288882.04225352115</v>
      </c>
      <c r="J5" s="145">
        <f>((H5*2)/G5)+F5</f>
        <v>288882.04225352115</v>
      </c>
      <c r="K5" s="139">
        <f>+H6</f>
        <v>330000</v>
      </c>
      <c r="L5" s="140">
        <f t="shared" ref="L5:L44" si="1">K5-J5</f>
        <v>41117.957746478845</v>
      </c>
      <c r="M5" s="140">
        <f t="shared" ref="M5:M44" si="2">K5*0.85-J5</f>
        <v>-8382.0422535211546</v>
      </c>
      <c r="N5" s="140">
        <f t="shared" ref="N5:N29" si="3">K5*0.85-I5</f>
        <v>-8382.0422535211546</v>
      </c>
      <c r="O5" s="139">
        <f t="shared" ref="O5:O44" si="4">H5*$L$2</f>
        <v>707000</v>
      </c>
      <c r="P5" s="130">
        <f t="shared" ref="P5:P44" si="5">M5/O5</f>
        <v>-1.1855788194513656E-2</v>
      </c>
      <c r="Q5" s="130">
        <f t="shared" ref="Q5:Q44" si="6">N5/O5</f>
        <v>-1.1855788194513656E-2</v>
      </c>
      <c r="R5" s="83"/>
      <c r="S5" s="104"/>
    </row>
    <row r="6" spans="1:20" ht="14.25" hidden="1" customHeight="1" x14ac:dyDescent="0.25">
      <c r="A6" s="319"/>
      <c r="B6" s="224" t="str">
        <f t="shared" ref="B6:B16" si="7">+B5</f>
        <v>ANILLO</v>
      </c>
      <c r="C6" s="132" t="str">
        <f>C5</f>
        <v xml:space="preserve">Anillo Tungrad </v>
      </c>
      <c r="D6" s="52" t="s">
        <v>475</v>
      </c>
      <c r="E6" s="52">
        <v>40</v>
      </c>
      <c r="F6" s="135">
        <f t="shared" si="0"/>
        <v>17500</v>
      </c>
      <c r="G6" s="52">
        <v>0.5</v>
      </c>
      <c r="H6" s="135">
        <v>330000</v>
      </c>
      <c r="I6" s="135">
        <f>((I5+H5)/G6)+F6</f>
        <v>797264.08450704231</v>
      </c>
      <c r="J6" s="145">
        <f>((H6+H5)/G6)+F6</f>
        <v>879500</v>
      </c>
      <c r="K6" s="140">
        <f>H7</f>
        <v>915000</v>
      </c>
      <c r="L6" s="140">
        <f t="shared" si="1"/>
        <v>35500</v>
      </c>
      <c r="M6" s="140">
        <f t="shared" si="2"/>
        <v>-101750</v>
      </c>
      <c r="N6" s="140">
        <f t="shared" si="3"/>
        <v>-19514.084507042309</v>
      </c>
      <c r="O6" s="140">
        <f t="shared" si="4"/>
        <v>2310000</v>
      </c>
      <c r="P6" s="130">
        <f t="shared" si="5"/>
        <v>-4.4047619047619051E-2</v>
      </c>
      <c r="Q6" s="130">
        <f t="shared" si="6"/>
        <v>-8.4476556307542458E-3</v>
      </c>
      <c r="R6" s="83"/>
      <c r="S6" s="104"/>
    </row>
    <row r="7" spans="1:20" ht="14.25" hidden="1" customHeight="1" x14ac:dyDescent="0.25">
      <c r="A7" s="319"/>
      <c r="B7" s="224" t="str">
        <f t="shared" si="7"/>
        <v>ANILLO</v>
      </c>
      <c r="C7" s="132" t="str">
        <f>C5</f>
        <v xml:space="preserve">Anillo Tungrad </v>
      </c>
      <c r="D7" s="52" t="s">
        <v>476</v>
      </c>
      <c r="E7" s="52">
        <v>44</v>
      </c>
      <c r="F7" s="135">
        <f t="shared" si="0"/>
        <v>21175</v>
      </c>
      <c r="G7" s="129">
        <v>0.40500000000000003</v>
      </c>
      <c r="H7" s="135">
        <v>915000</v>
      </c>
      <c r="I7" s="135">
        <f>((I6+H5)/G7)+F7</f>
        <v>2239111.0111284992</v>
      </c>
      <c r="J7" s="145">
        <f>((H7+H5)/G7)+F7</f>
        <v>2529816.9753086418</v>
      </c>
      <c r="K7" s="140">
        <f>H8</f>
        <v>2440000</v>
      </c>
      <c r="L7" s="140">
        <f t="shared" si="1"/>
        <v>-89816.975308641791</v>
      </c>
      <c r="M7" s="140">
        <f t="shared" si="2"/>
        <v>-455816.97530864179</v>
      </c>
      <c r="N7" s="140">
        <f t="shared" si="3"/>
        <v>-165111.01112849917</v>
      </c>
      <c r="O7" s="140">
        <f t="shared" si="4"/>
        <v>6405000</v>
      </c>
      <c r="P7" s="130">
        <f t="shared" si="5"/>
        <v>-7.1165804107516287E-2</v>
      </c>
      <c r="Q7" s="130">
        <f t="shared" si="6"/>
        <v>-2.5778456070023291E-2</v>
      </c>
      <c r="R7" s="83"/>
      <c r="S7" s="104"/>
    </row>
    <row r="8" spans="1:20" ht="14.25" customHeight="1" x14ac:dyDescent="0.25">
      <c r="A8" s="319"/>
      <c r="B8" s="224" t="str">
        <f t="shared" si="7"/>
        <v>ANILLO</v>
      </c>
      <c r="C8" s="251" t="str">
        <f>C5</f>
        <v xml:space="preserve">Anillo Tungrad </v>
      </c>
      <c r="D8" s="52" t="s">
        <v>477</v>
      </c>
      <c r="E8" s="52">
        <v>110</v>
      </c>
      <c r="F8" s="135">
        <f t="shared" si="0"/>
        <v>132343.75</v>
      </c>
      <c r="G8" s="52">
        <v>0.3</v>
      </c>
      <c r="H8" s="135">
        <v>2440000</v>
      </c>
      <c r="I8" s="135">
        <f>((I7+H5)/G8)+F8</f>
        <v>7932713.7870949972</v>
      </c>
      <c r="J8" s="145">
        <f>((H8+H5)/G8)+F8</f>
        <v>8602343.75</v>
      </c>
      <c r="K8" s="140">
        <v>10900000</v>
      </c>
      <c r="L8" s="140">
        <f t="shared" si="1"/>
        <v>2297656.25</v>
      </c>
      <c r="M8" s="140">
        <f t="shared" si="2"/>
        <v>662656.25</v>
      </c>
      <c r="N8" s="140">
        <f t="shared" si="3"/>
        <v>1332286.2129050028</v>
      </c>
      <c r="O8" s="140">
        <f t="shared" si="4"/>
        <v>17080000</v>
      </c>
      <c r="P8" s="130">
        <f t="shared" si="5"/>
        <v>3.8797204332552696E-2</v>
      </c>
      <c r="Q8" s="130">
        <f t="shared" si="6"/>
        <v>7.8002705673595005E-2</v>
      </c>
      <c r="R8" s="83"/>
      <c r="S8" s="104"/>
    </row>
    <row r="9" spans="1:20" ht="14.25" hidden="1" customHeight="1" x14ac:dyDescent="0.25">
      <c r="A9" s="319"/>
      <c r="B9" s="224" t="str">
        <f t="shared" si="7"/>
        <v>ANILLO</v>
      </c>
      <c r="C9" s="126" t="s">
        <v>481</v>
      </c>
      <c r="D9" s="126" t="s">
        <v>474</v>
      </c>
      <c r="E9" s="127">
        <v>20</v>
      </c>
      <c r="F9" s="136">
        <f t="shared" si="0"/>
        <v>4375</v>
      </c>
      <c r="G9" s="126">
        <v>0.71</v>
      </c>
      <c r="H9" s="141">
        <v>31300</v>
      </c>
      <c r="I9" s="136">
        <f>((H9*2)/G9)+F9</f>
        <v>92544.014084507042</v>
      </c>
      <c r="J9" s="146">
        <f>((H9*2)/G9)+F9</f>
        <v>92544.014084507042</v>
      </c>
      <c r="K9" s="142">
        <f>+H10</f>
        <v>93500</v>
      </c>
      <c r="L9" s="143">
        <f t="shared" si="1"/>
        <v>955.98591549295816</v>
      </c>
      <c r="M9" s="143">
        <f t="shared" si="2"/>
        <v>-13069.014084507042</v>
      </c>
      <c r="N9" s="143">
        <f t="shared" si="3"/>
        <v>-13069.014084507042</v>
      </c>
      <c r="O9" s="142">
        <f t="shared" si="4"/>
        <v>219100</v>
      </c>
      <c r="P9" s="130">
        <f t="shared" si="5"/>
        <v>-5.9648626583783851E-2</v>
      </c>
      <c r="Q9" s="130">
        <f t="shared" si="6"/>
        <v>-5.9648626583783851E-2</v>
      </c>
      <c r="R9" s="83"/>
      <c r="S9" s="104"/>
    </row>
    <row r="10" spans="1:20" ht="14.25" hidden="1" customHeight="1" x14ac:dyDescent="0.25">
      <c r="A10" s="319"/>
      <c r="B10" s="224" t="str">
        <f t="shared" si="7"/>
        <v>ANILLO</v>
      </c>
      <c r="C10" s="246" t="str">
        <f>C9</f>
        <v>Anillo del Guardian de Luna Creciente</v>
      </c>
      <c r="D10" s="254" t="s">
        <v>475</v>
      </c>
      <c r="E10" s="254">
        <v>40</v>
      </c>
      <c r="F10" s="137">
        <f t="shared" si="0"/>
        <v>17500</v>
      </c>
      <c r="G10" s="255">
        <v>0.5</v>
      </c>
      <c r="H10" s="256">
        <v>93500</v>
      </c>
      <c r="I10" s="137">
        <f>((I9+H9)/G10)+F10</f>
        <v>265188.02816901408</v>
      </c>
      <c r="J10" s="147">
        <f>((H10+H9)/G10)+F10</f>
        <v>267100</v>
      </c>
      <c r="K10" s="257">
        <f>H11</f>
        <v>385000</v>
      </c>
      <c r="L10" s="257">
        <f t="shared" si="1"/>
        <v>117900</v>
      </c>
      <c r="M10" s="257">
        <f t="shared" si="2"/>
        <v>60150</v>
      </c>
      <c r="N10" s="257">
        <f t="shared" si="3"/>
        <v>62061.971830985916</v>
      </c>
      <c r="O10" s="257">
        <f t="shared" si="4"/>
        <v>654500</v>
      </c>
      <c r="P10" s="258">
        <f t="shared" si="5"/>
        <v>9.1902215431627202E-2</v>
      </c>
      <c r="Q10" s="258">
        <f t="shared" si="6"/>
        <v>9.4823486372782151E-2</v>
      </c>
      <c r="R10" s="83"/>
      <c r="S10" s="104"/>
    </row>
    <row r="11" spans="1:20" ht="14.25" hidden="1" customHeight="1" x14ac:dyDescent="0.25">
      <c r="A11" s="319"/>
      <c r="B11" s="224" t="str">
        <f t="shared" si="7"/>
        <v>ANILLO</v>
      </c>
      <c r="C11" s="133" t="str">
        <f>C9</f>
        <v>Anillo del Guardian de Luna Creciente</v>
      </c>
      <c r="D11" s="128" t="s">
        <v>476</v>
      </c>
      <c r="E11" s="128">
        <v>44</v>
      </c>
      <c r="F11" s="137">
        <f t="shared" si="0"/>
        <v>21175</v>
      </c>
      <c r="G11" s="235">
        <v>0.40500000000000003</v>
      </c>
      <c r="H11" s="137">
        <v>385000</v>
      </c>
      <c r="I11" s="137">
        <f>((I10+H9)/G11)+F11</f>
        <v>753244.20535559033</v>
      </c>
      <c r="J11" s="147">
        <f>((H11+H9)/G11)+F11</f>
        <v>1049076.2345679011</v>
      </c>
      <c r="K11" s="144">
        <f>H12</f>
        <v>1100000</v>
      </c>
      <c r="L11" s="144">
        <f t="shared" si="1"/>
        <v>50923.76543209888</v>
      </c>
      <c r="M11" s="144">
        <f t="shared" si="2"/>
        <v>-114076.23456790112</v>
      </c>
      <c r="N11" s="144">
        <f t="shared" si="3"/>
        <v>181755.79464440967</v>
      </c>
      <c r="O11" s="144">
        <f t="shared" si="4"/>
        <v>2695000</v>
      </c>
      <c r="P11" s="130">
        <f t="shared" si="5"/>
        <v>-4.2328843995510616E-2</v>
      </c>
      <c r="Q11" s="130">
        <f t="shared" si="6"/>
        <v>6.7441853300337543E-2</v>
      </c>
      <c r="R11" s="83"/>
      <c r="S11" s="104"/>
    </row>
    <row r="12" spans="1:20" ht="14.25" customHeight="1" x14ac:dyDescent="0.25">
      <c r="A12" s="319"/>
      <c r="B12" s="224" t="str">
        <f t="shared" si="7"/>
        <v>ANILLO</v>
      </c>
      <c r="C12" s="246" t="str">
        <f>C9</f>
        <v>Anillo del Guardian de Luna Creciente</v>
      </c>
      <c r="D12" s="128" t="s">
        <v>477</v>
      </c>
      <c r="E12" s="128">
        <v>110</v>
      </c>
      <c r="F12" s="137">
        <f t="shared" si="0"/>
        <v>132343.75</v>
      </c>
      <c r="G12" s="128">
        <v>0.3</v>
      </c>
      <c r="H12" s="137">
        <v>1100000</v>
      </c>
      <c r="I12" s="137">
        <f>((I11+H9)/G12)+F12</f>
        <v>2747491.1011853013</v>
      </c>
      <c r="J12" s="147">
        <f>((H12+H9)/G12)+F12</f>
        <v>3903343.75</v>
      </c>
      <c r="K12" s="144">
        <v>4890000</v>
      </c>
      <c r="L12" s="144">
        <f t="shared" si="1"/>
        <v>986656.25</v>
      </c>
      <c r="M12" s="144">
        <f t="shared" si="2"/>
        <v>253156.25</v>
      </c>
      <c r="N12" s="144">
        <f t="shared" si="3"/>
        <v>1409008.8988146987</v>
      </c>
      <c r="O12" s="144">
        <f t="shared" si="4"/>
        <v>7700000</v>
      </c>
      <c r="P12" s="130">
        <f t="shared" si="5"/>
        <v>3.2877435064935068E-2</v>
      </c>
      <c r="Q12" s="130">
        <f t="shared" si="6"/>
        <v>0.18298816867723358</v>
      </c>
      <c r="R12" s="83"/>
      <c r="S12" s="104"/>
    </row>
    <row r="13" spans="1:20" ht="14.25" hidden="1" customHeight="1" x14ac:dyDescent="0.25">
      <c r="A13" s="319"/>
      <c r="B13" s="224" t="str">
        <f t="shared" si="7"/>
        <v>ANILLO</v>
      </c>
      <c r="C13" s="5" t="s">
        <v>485</v>
      </c>
      <c r="D13" s="5" t="s">
        <v>474</v>
      </c>
      <c r="E13" s="79">
        <v>20</v>
      </c>
      <c r="F13" s="134">
        <f t="shared" si="0"/>
        <v>4375</v>
      </c>
      <c r="G13" s="5">
        <v>0.71</v>
      </c>
      <c r="H13" s="138">
        <v>36500</v>
      </c>
      <c r="I13" s="145">
        <f>((H13*2)/G13)+F13</f>
        <v>107191.90140845071</v>
      </c>
      <c r="J13" s="145">
        <f>((H13*2)/G13)+F13</f>
        <v>107191.90140845071</v>
      </c>
      <c r="K13" s="139">
        <f>+H14</f>
        <v>116000</v>
      </c>
      <c r="L13" s="140">
        <f t="shared" si="1"/>
        <v>8808.0985915492929</v>
      </c>
      <c r="M13" s="140">
        <f t="shared" si="2"/>
        <v>-8591.9014084507071</v>
      </c>
      <c r="N13" s="140">
        <f t="shared" si="3"/>
        <v>-8591.9014084507071</v>
      </c>
      <c r="O13" s="139">
        <f t="shared" si="4"/>
        <v>255500</v>
      </c>
      <c r="P13" s="130">
        <f t="shared" si="5"/>
        <v>-3.3627794162233687E-2</v>
      </c>
      <c r="Q13" s="130">
        <f t="shared" si="6"/>
        <v>-3.3627794162233687E-2</v>
      </c>
      <c r="R13" s="83"/>
      <c r="S13" s="104"/>
    </row>
    <row r="14" spans="1:20" ht="14.25" hidden="1" customHeight="1" x14ac:dyDescent="0.25">
      <c r="A14" s="319"/>
      <c r="B14" s="224" t="str">
        <f t="shared" si="7"/>
        <v>ANILLO</v>
      </c>
      <c r="C14" s="251" t="str">
        <f>C13</f>
        <v>Anillo de Pupila de las Ruinas</v>
      </c>
      <c r="D14" s="52" t="s">
        <v>475</v>
      </c>
      <c r="E14" s="52">
        <v>40</v>
      </c>
      <c r="F14" s="135">
        <f t="shared" si="0"/>
        <v>17500</v>
      </c>
      <c r="G14" s="129">
        <v>0.5</v>
      </c>
      <c r="H14" s="135">
        <v>116000</v>
      </c>
      <c r="I14" s="135">
        <f>((I13+H13)/G14)+F14</f>
        <v>304883.80281690141</v>
      </c>
      <c r="J14" s="145">
        <f>((H14+H13)/G14)+F14</f>
        <v>322500</v>
      </c>
      <c r="K14" s="140">
        <f>H15</f>
        <v>423000</v>
      </c>
      <c r="L14" s="140">
        <f t="shared" si="1"/>
        <v>100500</v>
      </c>
      <c r="M14" s="140">
        <f t="shared" si="2"/>
        <v>37050</v>
      </c>
      <c r="N14" s="140">
        <f t="shared" si="3"/>
        <v>54666.197183098586</v>
      </c>
      <c r="O14" s="140">
        <f t="shared" si="4"/>
        <v>812000</v>
      </c>
      <c r="P14" s="130">
        <f t="shared" si="5"/>
        <v>4.5628078817733987E-2</v>
      </c>
      <c r="Q14" s="130">
        <f t="shared" si="6"/>
        <v>6.7322902934850479E-2</v>
      </c>
      <c r="R14" s="83"/>
      <c r="S14" s="104"/>
    </row>
    <row r="15" spans="1:20" ht="14.25" hidden="1" customHeight="1" x14ac:dyDescent="0.25">
      <c r="A15" s="319"/>
      <c r="B15" s="224" t="str">
        <f t="shared" si="7"/>
        <v>ANILLO</v>
      </c>
      <c r="C15" s="132" t="str">
        <f>C13</f>
        <v>Anillo de Pupila de las Ruinas</v>
      </c>
      <c r="D15" s="52" t="s">
        <v>476</v>
      </c>
      <c r="E15" s="52">
        <v>44</v>
      </c>
      <c r="F15" s="135">
        <f t="shared" si="0"/>
        <v>21175</v>
      </c>
      <c r="G15" s="129">
        <v>0.40500000000000003</v>
      </c>
      <c r="H15" s="135">
        <v>423000</v>
      </c>
      <c r="I15" s="135">
        <f>((I14+H13)/G15)+F15</f>
        <v>864097.96991827502</v>
      </c>
      <c r="J15" s="145">
        <f>((H15+H13)/G15)+F15</f>
        <v>1155742.9012345679</v>
      </c>
      <c r="K15" s="140">
        <f>H16</f>
        <v>1190000</v>
      </c>
      <c r="L15" s="140">
        <f t="shared" si="1"/>
        <v>34257.098765432136</v>
      </c>
      <c r="M15" s="140">
        <f t="shared" si="2"/>
        <v>-144242.90123456786</v>
      </c>
      <c r="N15" s="140">
        <f t="shared" si="3"/>
        <v>147402.03008172498</v>
      </c>
      <c r="O15" s="140">
        <f t="shared" si="4"/>
        <v>2961000</v>
      </c>
      <c r="P15" s="130">
        <f t="shared" si="5"/>
        <v>-4.8714252358854397E-2</v>
      </c>
      <c r="Q15" s="130">
        <f t="shared" si="6"/>
        <v>4.9781165174510297E-2</v>
      </c>
      <c r="R15" s="83"/>
      <c r="S15" s="104"/>
    </row>
    <row r="16" spans="1:20" ht="14.25" customHeight="1" x14ac:dyDescent="0.25">
      <c r="A16" s="319"/>
      <c r="B16" s="224" t="str">
        <f t="shared" si="7"/>
        <v>ANILLO</v>
      </c>
      <c r="C16" s="251" t="str">
        <f>C13</f>
        <v>Anillo de Pupila de las Ruinas</v>
      </c>
      <c r="D16" s="52" t="s">
        <v>477</v>
      </c>
      <c r="E16" s="52">
        <v>110</v>
      </c>
      <c r="F16" s="135">
        <f t="shared" si="0"/>
        <v>132343.75</v>
      </c>
      <c r="G16" s="52">
        <v>0.3</v>
      </c>
      <c r="H16" s="135">
        <v>1190000</v>
      </c>
      <c r="I16" s="135">
        <f>((I15+H13)/G16)+F16</f>
        <v>3134336.9830609169</v>
      </c>
      <c r="J16" s="145">
        <f>((H16+H13)/G16)+F16</f>
        <v>4220677.083333334</v>
      </c>
      <c r="K16" s="140">
        <v>5500000</v>
      </c>
      <c r="L16" s="140">
        <f t="shared" si="1"/>
        <v>1279322.916666666</v>
      </c>
      <c r="M16" s="140">
        <f t="shared" si="2"/>
        <v>454322.91666666605</v>
      </c>
      <c r="N16" s="140">
        <f t="shared" si="3"/>
        <v>1540663.0169390831</v>
      </c>
      <c r="O16" s="140">
        <f t="shared" si="4"/>
        <v>8330000</v>
      </c>
      <c r="P16" s="130">
        <f t="shared" si="5"/>
        <v>5.4540566226490519E-2</v>
      </c>
      <c r="Q16" s="130">
        <f t="shared" si="6"/>
        <v>0.18495354345007001</v>
      </c>
      <c r="R16" s="83"/>
      <c r="S16" s="104"/>
    </row>
    <row r="17" spans="1:19" ht="14.25" hidden="1" customHeight="1" x14ac:dyDescent="0.25">
      <c r="A17" s="319"/>
      <c r="B17" s="220" t="s">
        <v>484</v>
      </c>
      <c r="C17" s="126" t="s">
        <v>572</v>
      </c>
      <c r="D17" s="126" t="s">
        <v>474</v>
      </c>
      <c r="E17" s="127">
        <v>20</v>
      </c>
      <c r="F17" s="136">
        <f t="shared" ref="F17:F24" si="8">(350*$P$2)*E17^2/40^2</f>
        <v>4375</v>
      </c>
      <c r="G17" s="126">
        <v>0.71</v>
      </c>
      <c r="H17" s="141">
        <v>116000</v>
      </c>
      <c r="I17" s="136">
        <f>((H17*2)/G17)+F17</f>
        <v>331135.56338028173</v>
      </c>
      <c r="J17" s="146">
        <f>((H17*2)/G17)+F17</f>
        <v>331135.56338028173</v>
      </c>
      <c r="K17" s="142">
        <f>+H18</f>
        <v>497000</v>
      </c>
      <c r="L17" s="143">
        <f t="shared" ref="L17:L24" si="9">K17-J17</f>
        <v>165864.43661971827</v>
      </c>
      <c r="M17" s="143">
        <f t="shared" ref="M17:M24" si="10">K17*0.85-J17</f>
        <v>91314.436619718268</v>
      </c>
      <c r="N17" s="143">
        <f t="shared" ref="N17:N21" si="11">K17*0.85-I17</f>
        <v>91314.436619718268</v>
      </c>
      <c r="O17" s="142">
        <f t="shared" ref="O17:O24" si="12">H17*$L$2</f>
        <v>812000</v>
      </c>
      <c r="P17" s="130">
        <f t="shared" ref="P17:P24" si="13">M17/O17</f>
        <v>0.11245620273364319</v>
      </c>
      <c r="Q17" s="130">
        <f t="shared" ref="Q17:Q24" si="14">N17/O17</f>
        <v>0.11245620273364319</v>
      </c>
      <c r="R17" s="83"/>
      <c r="S17" s="104"/>
    </row>
    <row r="18" spans="1:19" ht="14.25" hidden="1" customHeight="1" x14ac:dyDescent="0.25">
      <c r="A18" s="319"/>
      <c r="B18" s="224" t="str">
        <f t="shared" ref="B18:B25" si="15">+B17</f>
        <v>COLLAR</v>
      </c>
      <c r="C18" s="133" t="str">
        <f>C17</f>
        <v>Collar de la Luna Despierta</v>
      </c>
      <c r="D18" s="128" t="s">
        <v>475</v>
      </c>
      <c r="E18" s="128">
        <v>40</v>
      </c>
      <c r="F18" s="137">
        <f t="shared" si="8"/>
        <v>17500</v>
      </c>
      <c r="G18" s="235">
        <v>0.5</v>
      </c>
      <c r="H18" s="137">
        <v>497000</v>
      </c>
      <c r="I18" s="137">
        <f>((I17+H17)/G18)+F18</f>
        <v>911771.12676056346</v>
      </c>
      <c r="J18" s="147">
        <f>((H18+H17)/G18)+F18</f>
        <v>1243500</v>
      </c>
      <c r="K18" s="144">
        <f>H19</f>
        <v>1350000</v>
      </c>
      <c r="L18" s="144">
        <f t="shared" si="9"/>
        <v>106500</v>
      </c>
      <c r="M18" s="144">
        <f t="shared" si="10"/>
        <v>-96000</v>
      </c>
      <c r="N18" s="144">
        <f t="shared" si="11"/>
        <v>235728.87323943654</v>
      </c>
      <c r="O18" s="144">
        <f t="shared" si="12"/>
        <v>3479000</v>
      </c>
      <c r="P18" s="130">
        <f t="shared" si="13"/>
        <v>-2.7594136246047715E-2</v>
      </c>
      <c r="Q18" s="130">
        <f t="shared" si="14"/>
        <v>6.7757652555170036E-2</v>
      </c>
      <c r="R18" s="83"/>
      <c r="S18" s="104"/>
    </row>
    <row r="19" spans="1:19" ht="14.25" hidden="1" customHeight="1" x14ac:dyDescent="0.25">
      <c r="A19" s="319"/>
      <c r="B19" s="224" t="str">
        <f t="shared" si="15"/>
        <v>COLLAR</v>
      </c>
      <c r="C19" s="133" t="str">
        <f>C17</f>
        <v>Collar de la Luna Despierta</v>
      </c>
      <c r="D19" s="128" t="s">
        <v>476</v>
      </c>
      <c r="E19" s="128">
        <v>44</v>
      </c>
      <c r="F19" s="137">
        <f t="shared" si="8"/>
        <v>21175</v>
      </c>
      <c r="G19" s="128">
        <v>0.40500000000000003</v>
      </c>
      <c r="H19" s="137">
        <v>1350000</v>
      </c>
      <c r="I19" s="137">
        <f>((I18+H17)/G19)+F19</f>
        <v>2558881.4858285515</v>
      </c>
      <c r="J19" s="147">
        <f>((H19+H17)/G19)+F19</f>
        <v>3640928.0864197528</v>
      </c>
      <c r="K19" s="144">
        <f>H20</f>
        <v>3600000</v>
      </c>
      <c r="L19" s="144">
        <f t="shared" si="9"/>
        <v>-40928.086419752799</v>
      </c>
      <c r="M19" s="144">
        <f t="shared" si="10"/>
        <v>-580928.0864197528</v>
      </c>
      <c r="N19" s="144">
        <f t="shared" si="11"/>
        <v>501118.51417144854</v>
      </c>
      <c r="O19" s="144">
        <f t="shared" si="12"/>
        <v>9450000</v>
      </c>
      <c r="P19" s="130">
        <f t="shared" si="13"/>
        <v>-6.1473871578809819E-2</v>
      </c>
      <c r="Q19" s="130">
        <f t="shared" si="14"/>
        <v>5.3028414198036881E-2</v>
      </c>
      <c r="R19" s="83"/>
      <c r="S19" s="104"/>
    </row>
    <row r="20" spans="1:19" ht="14.25" customHeight="1" x14ac:dyDescent="0.25">
      <c r="A20" s="319"/>
      <c r="B20" s="224" t="str">
        <f t="shared" si="15"/>
        <v>COLLAR</v>
      </c>
      <c r="C20" s="133" t="str">
        <f>C17</f>
        <v>Collar de la Luna Despierta</v>
      </c>
      <c r="D20" s="128" t="s">
        <v>477</v>
      </c>
      <c r="E20" s="128">
        <v>110</v>
      </c>
      <c r="F20" s="137">
        <f t="shared" si="8"/>
        <v>132343.75</v>
      </c>
      <c r="G20" s="128">
        <v>0.3</v>
      </c>
      <c r="H20" s="137">
        <v>3600000</v>
      </c>
      <c r="I20" s="137">
        <f>((I19+H17)/G20)+F20</f>
        <v>9048615.3694285061</v>
      </c>
      <c r="J20" s="147">
        <f>((H20+H17)/G20)+F20</f>
        <v>12519010.416666668</v>
      </c>
      <c r="K20" s="144">
        <v>17900000</v>
      </c>
      <c r="L20" s="144">
        <f t="shared" si="9"/>
        <v>5380989.5833333321</v>
      </c>
      <c r="M20" s="144">
        <f t="shared" si="10"/>
        <v>2695989.5833333321</v>
      </c>
      <c r="N20" s="144">
        <f t="shared" si="11"/>
        <v>6166384.6305714939</v>
      </c>
      <c r="O20" s="144">
        <f t="shared" si="12"/>
        <v>25200000</v>
      </c>
      <c r="P20" s="130">
        <f t="shared" si="13"/>
        <v>0.10698371362433858</v>
      </c>
      <c r="Q20" s="130">
        <f t="shared" si="14"/>
        <v>0.24469780280045611</v>
      </c>
      <c r="R20" s="83"/>
      <c r="S20" s="104"/>
    </row>
    <row r="21" spans="1:19" ht="14.25" hidden="1" customHeight="1" x14ac:dyDescent="0.25">
      <c r="A21" s="319"/>
      <c r="B21" s="224" t="str">
        <f t="shared" si="15"/>
        <v>COLLAR</v>
      </c>
      <c r="C21" s="5" t="s">
        <v>573</v>
      </c>
      <c r="D21" s="5" t="s">
        <v>474</v>
      </c>
      <c r="E21" s="79">
        <v>20</v>
      </c>
      <c r="F21" s="134">
        <f t="shared" si="8"/>
        <v>4375</v>
      </c>
      <c r="G21" s="5">
        <v>0.71</v>
      </c>
      <c r="H21" s="138">
        <v>525000</v>
      </c>
      <c r="I21" s="145">
        <f>((H21*2)/G21)+F21</f>
        <v>1483248.2394366197</v>
      </c>
      <c r="J21" s="145">
        <f>((H21*2)/G21)+F21</f>
        <v>1483248.2394366197</v>
      </c>
      <c r="K21" s="139">
        <f>+H22</f>
        <v>1290000</v>
      </c>
      <c r="L21" s="140">
        <f t="shared" si="9"/>
        <v>-193248.23943661968</v>
      </c>
      <c r="M21" s="140">
        <f t="shared" si="10"/>
        <v>-386748.23943661968</v>
      </c>
      <c r="N21" s="140">
        <f t="shared" si="11"/>
        <v>-386748.23943661968</v>
      </c>
      <c r="O21" s="139">
        <f t="shared" si="12"/>
        <v>3675000</v>
      </c>
      <c r="P21" s="130">
        <f t="shared" si="13"/>
        <v>-0.10523761617322984</v>
      </c>
      <c r="Q21" s="130">
        <f t="shared" si="14"/>
        <v>-0.10523761617322984</v>
      </c>
      <c r="R21" s="83"/>
      <c r="S21" s="104"/>
    </row>
    <row r="22" spans="1:19" ht="14.25" hidden="1" customHeight="1" x14ac:dyDescent="0.25">
      <c r="A22" s="319"/>
      <c r="B22" s="224" t="str">
        <f t="shared" si="15"/>
        <v>COLLAR</v>
      </c>
      <c r="C22" s="132" t="str">
        <f>C21</f>
        <v>Collar Devoreka</v>
      </c>
      <c r="D22" s="52" t="s">
        <v>475</v>
      </c>
      <c r="E22" s="52">
        <v>40</v>
      </c>
      <c r="F22" s="135">
        <f t="shared" si="8"/>
        <v>17500</v>
      </c>
      <c r="G22" s="52">
        <v>0.5</v>
      </c>
      <c r="H22" s="135">
        <v>1290000</v>
      </c>
      <c r="I22" s="135">
        <f>((I21+H21)/G22)+F22</f>
        <v>4033996.4788732394</v>
      </c>
      <c r="J22" s="145">
        <f>((H22+H21)/G22)+F22</f>
        <v>3647500</v>
      </c>
      <c r="K22" s="140">
        <f>H23</f>
        <v>4190000</v>
      </c>
      <c r="L22" s="140">
        <f t="shared" si="9"/>
        <v>542500</v>
      </c>
      <c r="M22" s="140">
        <f t="shared" si="10"/>
        <v>-86000</v>
      </c>
      <c r="N22" s="140">
        <f>+M22</f>
        <v>-86000</v>
      </c>
      <c r="O22" s="140">
        <f t="shared" si="12"/>
        <v>9030000</v>
      </c>
      <c r="P22" s="130">
        <f t="shared" si="13"/>
        <v>-9.5238095238095247E-3</v>
      </c>
      <c r="Q22" s="130">
        <f t="shared" si="14"/>
        <v>-9.5238095238095247E-3</v>
      </c>
      <c r="R22" s="83"/>
      <c r="S22" s="104"/>
    </row>
    <row r="23" spans="1:19" ht="14.25" hidden="1" customHeight="1" x14ac:dyDescent="0.25">
      <c r="A23" s="319"/>
      <c r="B23" s="224" t="str">
        <f t="shared" si="15"/>
        <v>COLLAR</v>
      </c>
      <c r="C23" s="132" t="str">
        <f>C21</f>
        <v>Collar Devoreka</v>
      </c>
      <c r="D23" s="52" t="s">
        <v>476</v>
      </c>
      <c r="E23" s="52">
        <v>44</v>
      </c>
      <c r="F23" s="135">
        <f t="shared" si="8"/>
        <v>21175</v>
      </c>
      <c r="G23" s="129">
        <v>0.40500000000000003</v>
      </c>
      <c r="H23" s="135">
        <v>4190000</v>
      </c>
      <c r="I23" s="135">
        <f>((I22+H21)/G23)+F23</f>
        <v>11277956.42931664</v>
      </c>
      <c r="J23" s="145">
        <f>((H23+H21)/G23)+F23</f>
        <v>11663150.308641974</v>
      </c>
      <c r="K23" s="140">
        <f>H24</f>
        <v>10100000</v>
      </c>
      <c r="L23" s="140">
        <f t="shared" si="9"/>
        <v>-1563150.3086419739</v>
      </c>
      <c r="M23" s="140">
        <f t="shared" si="10"/>
        <v>-3078150.3086419739</v>
      </c>
      <c r="N23" s="140">
        <f t="shared" ref="N23:N24" si="16">K23*0.85-I23</f>
        <v>-2692956.4293166399</v>
      </c>
      <c r="O23" s="140">
        <f t="shared" si="12"/>
        <v>29330000</v>
      </c>
      <c r="P23" s="130">
        <f t="shared" si="13"/>
        <v>-0.1049488683478341</v>
      </c>
      <c r="Q23" s="130">
        <f t="shared" si="14"/>
        <v>-9.1815766427434026E-2</v>
      </c>
      <c r="R23" s="83"/>
      <c r="S23" s="104"/>
    </row>
    <row r="24" spans="1:19" ht="14.25" customHeight="1" x14ac:dyDescent="0.25">
      <c r="A24" s="319"/>
      <c r="B24" s="224" t="str">
        <f t="shared" si="15"/>
        <v>COLLAR</v>
      </c>
      <c r="C24" s="132" t="str">
        <f>C21</f>
        <v>Collar Devoreka</v>
      </c>
      <c r="D24" s="52" t="s">
        <v>477</v>
      </c>
      <c r="E24" s="52">
        <v>110</v>
      </c>
      <c r="F24" s="135">
        <f t="shared" si="8"/>
        <v>132343.75</v>
      </c>
      <c r="G24" s="52">
        <v>0.3</v>
      </c>
      <c r="H24" s="135">
        <v>10100000</v>
      </c>
      <c r="I24" s="135">
        <f>((I23+H21)/G24)+F24</f>
        <v>39475531.847722135</v>
      </c>
      <c r="J24" s="145">
        <f>((H24+H21)/G24)+F24</f>
        <v>35549010.416666672</v>
      </c>
      <c r="K24" s="140">
        <v>46000000</v>
      </c>
      <c r="L24" s="140">
        <f t="shared" si="9"/>
        <v>10450989.583333328</v>
      </c>
      <c r="M24" s="140">
        <f t="shared" si="10"/>
        <v>3550989.5833333284</v>
      </c>
      <c r="N24" s="140">
        <f t="shared" si="16"/>
        <v>-375531.84772213548</v>
      </c>
      <c r="O24" s="140">
        <f t="shared" si="12"/>
        <v>70700000</v>
      </c>
      <c r="P24" s="130">
        <f t="shared" si="13"/>
        <v>5.0226161008957972E-2</v>
      </c>
      <c r="Q24" s="130">
        <f t="shared" si="14"/>
        <v>-5.3116244373710821E-3</v>
      </c>
      <c r="R24" s="83"/>
      <c r="S24" s="104"/>
    </row>
    <row r="25" spans="1:19" ht="14.25" hidden="1" customHeight="1" x14ac:dyDescent="0.25">
      <c r="A25" s="319"/>
      <c r="B25" s="224" t="str">
        <f t="shared" si="15"/>
        <v>COLLAR</v>
      </c>
      <c r="C25" s="126" t="s">
        <v>486</v>
      </c>
      <c r="D25" s="126" t="s">
        <v>474</v>
      </c>
      <c r="E25" s="127">
        <v>20</v>
      </c>
      <c r="F25" s="136">
        <f t="shared" si="0"/>
        <v>4375</v>
      </c>
      <c r="G25" s="126">
        <v>0.71</v>
      </c>
      <c r="H25" s="141">
        <v>107000</v>
      </c>
      <c r="I25" s="136">
        <f>((H25*2)/G25)+F25</f>
        <v>305783.45070422534</v>
      </c>
      <c r="J25" s="146">
        <f>((H25*2)/G25)+F25</f>
        <v>305783.45070422534</v>
      </c>
      <c r="K25" s="142">
        <f>+H26</f>
        <v>338000</v>
      </c>
      <c r="L25" s="143">
        <f t="shared" si="1"/>
        <v>32216.549295774661</v>
      </c>
      <c r="M25" s="143">
        <f t="shared" si="2"/>
        <v>-18483.450704225339</v>
      </c>
      <c r="N25" s="143">
        <f t="shared" si="3"/>
        <v>-18483.450704225339</v>
      </c>
      <c r="O25" s="142">
        <f t="shared" si="4"/>
        <v>749000</v>
      </c>
      <c r="P25" s="130">
        <f t="shared" si="5"/>
        <v>-2.4677504278004459E-2</v>
      </c>
      <c r="Q25" s="130">
        <f t="shared" si="6"/>
        <v>-2.4677504278004459E-2</v>
      </c>
      <c r="R25" s="83"/>
      <c r="S25" s="104"/>
    </row>
    <row r="26" spans="1:19" ht="14.25" hidden="1" customHeight="1" x14ac:dyDescent="0.25">
      <c r="A26" s="319"/>
      <c r="B26" s="224" t="str">
        <f t="shared" ref="B26:B40" si="17">+B25</f>
        <v>COLLAR</v>
      </c>
      <c r="C26" s="133" t="str">
        <f>C25</f>
        <v>Collar Tungrad</v>
      </c>
      <c r="D26" s="128" t="s">
        <v>475</v>
      </c>
      <c r="E26" s="128">
        <v>40</v>
      </c>
      <c r="F26" s="137">
        <f t="shared" si="0"/>
        <v>17500</v>
      </c>
      <c r="G26" s="235">
        <v>0.5</v>
      </c>
      <c r="H26" s="137">
        <v>338000</v>
      </c>
      <c r="I26" s="137">
        <f>((I25+H25)/G26)+F26</f>
        <v>843066.90140845068</v>
      </c>
      <c r="J26" s="147">
        <f>((H26+H25)/G26)+F26</f>
        <v>907500</v>
      </c>
      <c r="K26" s="144">
        <f>H27</f>
        <v>1070000</v>
      </c>
      <c r="L26" s="144">
        <f t="shared" si="1"/>
        <v>162500</v>
      </c>
      <c r="M26" s="144">
        <f t="shared" si="2"/>
        <v>2000</v>
      </c>
      <c r="N26" s="144">
        <f t="shared" si="3"/>
        <v>66433.098591549322</v>
      </c>
      <c r="O26" s="144">
        <f t="shared" si="4"/>
        <v>2366000</v>
      </c>
      <c r="P26" s="130">
        <f t="shared" si="5"/>
        <v>8.4530853761622987E-4</v>
      </c>
      <c r="Q26" s="130">
        <f t="shared" si="6"/>
        <v>2.807823270986869E-2</v>
      </c>
      <c r="R26" s="83"/>
      <c r="S26" s="104"/>
    </row>
    <row r="27" spans="1:19" ht="14.25" hidden="1" customHeight="1" x14ac:dyDescent="0.25">
      <c r="A27" s="319"/>
      <c r="B27" s="224" t="str">
        <f t="shared" si="17"/>
        <v>COLLAR</v>
      </c>
      <c r="C27" s="133" t="str">
        <f>C25</f>
        <v>Collar Tungrad</v>
      </c>
      <c r="D27" s="128" t="s">
        <v>476</v>
      </c>
      <c r="E27" s="128">
        <v>44</v>
      </c>
      <c r="F27" s="137">
        <f t="shared" si="0"/>
        <v>21175</v>
      </c>
      <c r="G27" s="128">
        <v>0.40500000000000003</v>
      </c>
      <c r="H27" s="137">
        <v>1070000</v>
      </c>
      <c r="I27" s="137">
        <f>((I26+H25)/G27)+F27</f>
        <v>2367019.2010085201</v>
      </c>
      <c r="J27" s="147">
        <f>((H27+H25)/G27)+F27</f>
        <v>2927347.8395061726</v>
      </c>
      <c r="K27" s="144">
        <f>H28</f>
        <v>2990000</v>
      </c>
      <c r="L27" s="144">
        <f t="shared" si="1"/>
        <v>62652.160493827425</v>
      </c>
      <c r="M27" s="144">
        <f t="shared" si="2"/>
        <v>-385847.83950617258</v>
      </c>
      <c r="N27" s="144">
        <f t="shared" si="3"/>
        <v>174480.79899147991</v>
      </c>
      <c r="O27" s="144">
        <f t="shared" si="4"/>
        <v>7490000</v>
      </c>
      <c r="P27" s="130">
        <f t="shared" si="5"/>
        <v>-5.1515065354629179E-2</v>
      </c>
      <c r="Q27" s="130">
        <f t="shared" si="6"/>
        <v>2.3295166754536703E-2</v>
      </c>
      <c r="R27" s="83"/>
      <c r="S27" s="104"/>
    </row>
    <row r="28" spans="1:19" ht="14.25" hidden="1" customHeight="1" thickBot="1" x14ac:dyDescent="0.3">
      <c r="A28" s="319"/>
      <c r="B28" s="224" t="str">
        <f t="shared" si="17"/>
        <v>COLLAR</v>
      </c>
      <c r="C28" s="133" t="str">
        <f>C25</f>
        <v>Collar Tungrad</v>
      </c>
      <c r="D28" s="128" t="s">
        <v>477</v>
      </c>
      <c r="E28" s="128">
        <v>110</v>
      </c>
      <c r="F28" s="137">
        <f t="shared" si="0"/>
        <v>132343.75</v>
      </c>
      <c r="G28" s="128">
        <v>0.3</v>
      </c>
      <c r="H28" s="137">
        <v>2990000</v>
      </c>
      <c r="I28" s="137">
        <f>((I27+H25)/G28)+F28</f>
        <v>8379074.4200284006</v>
      </c>
      <c r="J28" s="147">
        <f>((H28+H25)/G28)+F28</f>
        <v>10455677.083333334</v>
      </c>
      <c r="K28" s="144">
        <v>11400000</v>
      </c>
      <c r="L28" s="144">
        <f t="shared" si="1"/>
        <v>944322.91666666605</v>
      </c>
      <c r="M28" s="144">
        <f t="shared" si="2"/>
        <v>-765677.08333333395</v>
      </c>
      <c r="N28" s="144">
        <f t="shared" si="3"/>
        <v>1310925.5799715994</v>
      </c>
      <c r="O28" s="144">
        <f t="shared" si="4"/>
        <v>20930000</v>
      </c>
      <c r="P28" s="130">
        <f t="shared" si="5"/>
        <v>-3.6582756012103868E-2</v>
      </c>
      <c r="Q28" s="130">
        <f t="shared" si="6"/>
        <v>6.2633806974276132E-2</v>
      </c>
      <c r="R28" s="83"/>
      <c r="S28" s="104"/>
    </row>
    <row r="29" spans="1:19" ht="14.25" hidden="1" customHeight="1" x14ac:dyDescent="0.25">
      <c r="A29" s="319"/>
      <c r="B29" s="224" t="str">
        <f t="shared" si="17"/>
        <v>COLLAR</v>
      </c>
      <c r="C29" s="5" t="s">
        <v>487</v>
      </c>
      <c r="D29" s="5" t="s">
        <v>474</v>
      </c>
      <c r="E29" s="79">
        <v>20</v>
      </c>
      <c r="F29" s="134">
        <f t="shared" si="0"/>
        <v>4375</v>
      </c>
      <c r="G29" s="5">
        <v>0.71</v>
      </c>
      <c r="H29" s="138">
        <v>82000</v>
      </c>
      <c r="I29" s="145">
        <f>((H29*2)/G29)+F29</f>
        <v>235360.91549295775</v>
      </c>
      <c r="J29" s="145">
        <f>((H29*2)/G29)+F29</f>
        <v>235360.91549295775</v>
      </c>
      <c r="K29" s="139">
        <f>+H30</f>
        <v>240000</v>
      </c>
      <c r="L29" s="140">
        <f t="shared" si="1"/>
        <v>4639.0845070422511</v>
      </c>
      <c r="M29" s="140">
        <f t="shared" si="2"/>
        <v>-31360.915492957749</v>
      </c>
      <c r="N29" s="140">
        <f t="shared" si="3"/>
        <v>-31360.915492957749</v>
      </c>
      <c r="O29" s="139">
        <f t="shared" si="4"/>
        <v>574000</v>
      </c>
      <c r="P29" s="130">
        <f t="shared" si="5"/>
        <v>-5.4635741276929876E-2</v>
      </c>
      <c r="Q29" s="130">
        <f t="shared" si="6"/>
        <v>-5.4635741276929876E-2</v>
      </c>
      <c r="R29" s="83"/>
      <c r="S29" s="104"/>
    </row>
    <row r="30" spans="1:19" ht="14.25" hidden="1" customHeight="1" x14ac:dyDescent="0.25">
      <c r="A30" s="319"/>
      <c r="B30" s="224" t="str">
        <f t="shared" si="17"/>
        <v>COLLAR</v>
      </c>
      <c r="C30" s="132" t="str">
        <f>C29</f>
        <v>Anillo de Ogro</v>
      </c>
      <c r="D30" s="52" t="s">
        <v>475</v>
      </c>
      <c r="E30" s="52">
        <v>40</v>
      </c>
      <c r="F30" s="135">
        <f t="shared" si="0"/>
        <v>17500</v>
      </c>
      <c r="G30" s="52">
        <v>0.5</v>
      </c>
      <c r="H30" s="135">
        <v>240000</v>
      </c>
      <c r="I30" s="135">
        <f>((I29+H29)/G30)+F30</f>
        <v>652221.8309859155</v>
      </c>
      <c r="J30" s="145">
        <f>((H30+H29)/G30)+F30</f>
        <v>661500</v>
      </c>
      <c r="K30" s="140">
        <f>H31</f>
        <v>785000</v>
      </c>
      <c r="L30" s="140">
        <f t="shared" si="1"/>
        <v>123500</v>
      </c>
      <c r="M30" s="140">
        <f t="shared" si="2"/>
        <v>5750</v>
      </c>
      <c r="N30" s="140">
        <f>+M30</f>
        <v>5750</v>
      </c>
      <c r="O30" s="140">
        <f t="shared" si="4"/>
        <v>1680000</v>
      </c>
      <c r="P30" s="130">
        <f t="shared" si="5"/>
        <v>3.4226190476190476E-3</v>
      </c>
      <c r="Q30" s="130">
        <f t="shared" si="6"/>
        <v>3.4226190476190476E-3</v>
      </c>
      <c r="R30" s="83"/>
      <c r="S30" s="104"/>
    </row>
    <row r="31" spans="1:19" ht="14.25" hidden="1" customHeight="1" x14ac:dyDescent="0.25">
      <c r="A31" s="319"/>
      <c r="B31" s="224" t="str">
        <f t="shared" si="17"/>
        <v>COLLAR</v>
      </c>
      <c r="C31" s="132" t="str">
        <f>C29</f>
        <v>Anillo de Ogro</v>
      </c>
      <c r="D31" s="52" t="s">
        <v>476</v>
      </c>
      <c r="E31" s="52">
        <v>44</v>
      </c>
      <c r="F31" s="135">
        <f t="shared" si="0"/>
        <v>21175</v>
      </c>
      <c r="G31" s="129">
        <v>0.40500000000000003</v>
      </c>
      <c r="H31" s="135">
        <v>785000</v>
      </c>
      <c r="I31" s="135">
        <f>((I30+H29)/G31)+F31</f>
        <v>1834068.4098417666</v>
      </c>
      <c r="J31" s="145">
        <f>((H31+H29)/G31)+F31</f>
        <v>2161915.7407407407</v>
      </c>
      <c r="K31" s="140">
        <f>H32</f>
        <v>2310000</v>
      </c>
      <c r="L31" s="140">
        <f t="shared" si="1"/>
        <v>148084.25925925933</v>
      </c>
      <c r="M31" s="140">
        <f t="shared" si="2"/>
        <v>-198415.74074074067</v>
      </c>
      <c r="N31" s="140">
        <f t="shared" ref="N31:N76" si="18">K31*0.85-I31</f>
        <v>129431.59015823342</v>
      </c>
      <c r="O31" s="140">
        <f t="shared" si="4"/>
        <v>5495000</v>
      </c>
      <c r="P31" s="130">
        <f t="shared" si="5"/>
        <v>-3.6108415057459632E-2</v>
      </c>
      <c r="Q31" s="130">
        <f t="shared" si="6"/>
        <v>2.3554429510142569E-2</v>
      </c>
      <c r="R31" s="84" t="s">
        <v>500</v>
      </c>
      <c r="S31" s="104"/>
    </row>
    <row r="32" spans="1:19" ht="14.25" hidden="1" customHeight="1" thickBot="1" x14ac:dyDescent="0.3">
      <c r="A32" s="319"/>
      <c r="B32" s="224" t="str">
        <f t="shared" si="17"/>
        <v>COLLAR</v>
      </c>
      <c r="C32" s="132" t="str">
        <f>C29</f>
        <v>Anillo de Ogro</v>
      </c>
      <c r="D32" s="52" t="s">
        <v>477</v>
      </c>
      <c r="E32" s="52">
        <v>110</v>
      </c>
      <c r="F32" s="135">
        <f t="shared" si="0"/>
        <v>132343.75</v>
      </c>
      <c r="G32" s="52">
        <v>0.3</v>
      </c>
      <c r="H32" s="135">
        <v>2310000</v>
      </c>
      <c r="I32" s="135">
        <f>((I31+H29)/G32)+F32</f>
        <v>6519238.4494725559</v>
      </c>
      <c r="J32" s="145">
        <f>((H32+H29)/G32)+F32</f>
        <v>8105677.083333334</v>
      </c>
      <c r="K32" s="140">
        <v>9500000</v>
      </c>
      <c r="L32" s="140">
        <f t="shared" si="1"/>
        <v>1394322.916666666</v>
      </c>
      <c r="M32" s="140">
        <f t="shared" si="2"/>
        <v>-30677.083333333954</v>
      </c>
      <c r="N32" s="140">
        <f t="shared" si="18"/>
        <v>1555761.5505274441</v>
      </c>
      <c r="O32" s="140">
        <f t="shared" si="4"/>
        <v>16170000</v>
      </c>
      <c r="P32" s="130">
        <f t="shared" si="5"/>
        <v>-1.8971603793032749E-3</v>
      </c>
      <c r="Q32" s="130">
        <f t="shared" si="6"/>
        <v>9.6212835530454177E-2</v>
      </c>
      <c r="R32" s="83"/>
      <c r="S32" s="104"/>
    </row>
    <row r="33" spans="1:19" ht="14.25" hidden="1" customHeight="1" x14ac:dyDescent="0.25">
      <c r="A33" s="319"/>
      <c r="B33" s="224" t="str">
        <f t="shared" si="17"/>
        <v>COLLAR</v>
      </c>
      <c r="C33" s="126" t="s">
        <v>488</v>
      </c>
      <c r="D33" s="126" t="s">
        <v>474</v>
      </c>
      <c r="E33" s="127">
        <v>20</v>
      </c>
      <c r="F33" s="136">
        <f t="shared" si="0"/>
        <v>4375</v>
      </c>
      <c r="G33" s="126">
        <v>0.71</v>
      </c>
      <c r="H33" s="141">
        <v>82000</v>
      </c>
      <c r="I33" s="136">
        <f>((H33*2)/G33)+F33</f>
        <v>235360.91549295775</v>
      </c>
      <c r="J33" s="146">
        <f>((H33*2)/G33)+F33</f>
        <v>235360.91549295775</v>
      </c>
      <c r="K33" s="142">
        <f>+H34</f>
        <v>248000</v>
      </c>
      <c r="L33" s="143">
        <f t="shared" si="1"/>
        <v>12639.084507042251</v>
      </c>
      <c r="M33" s="143">
        <f t="shared" si="2"/>
        <v>-24560.915492957749</v>
      </c>
      <c r="N33" s="143">
        <f t="shared" si="18"/>
        <v>-24560.915492957749</v>
      </c>
      <c r="O33" s="142">
        <f t="shared" si="4"/>
        <v>574000</v>
      </c>
      <c r="P33" s="130">
        <f t="shared" si="5"/>
        <v>-4.2789051381459491E-2</v>
      </c>
      <c r="Q33" s="130">
        <f t="shared" si="6"/>
        <v>-4.2789051381459491E-2</v>
      </c>
      <c r="R33" s="83"/>
      <c r="S33" s="104"/>
    </row>
    <row r="34" spans="1:19" ht="14.25" hidden="1" customHeight="1" x14ac:dyDescent="0.25">
      <c r="A34" s="319"/>
      <c r="B34" s="224" t="str">
        <f t="shared" si="17"/>
        <v>COLLAR</v>
      </c>
      <c r="C34" s="133" t="str">
        <f>C33</f>
        <v>Piedra de Poder de Laytenn</v>
      </c>
      <c r="D34" s="128" t="s">
        <v>475</v>
      </c>
      <c r="E34" s="128">
        <v>40</v>
      </c>
      <c r="F34" s="137">
        <f t="shared" si="0"/>
        <v>17500</v>
      </c>
      <c r="G34" s="128">
        <v>0.5</v>
      </c>
      <c r="H34" s="137">
        <v>248000</v>
      </c>
      <c r="I34" s="137">
        <f>((I33+H33)/G34)+F34</f>
        <v>652221.8309859155</v>
      </c>
      <c r="J34" s="147">
        <f>((H34+H33)/G34)+F34</f>
        <v>677500</v>
      </c>
      <c r="K34" s="144">
        <f>H35</f>
        <v>760000</v>
      </c>
      <c r="L34" s="144">
        <f t="shared" si="1"/>
        <v>82500</v>
      </c>
      <c r="M34" s="144">
        <f t="shared" si="2"/>
        <v>-31500</v>
      </c>
      <c r="N34" s="144">
        <f t="shared" si="18"/>
        <v>-6221.8309859154979</v>
      </c>
      <c r="O34" s="144">
        <f t="shared" si="4"/>
        <v>1736000</v>
      </c>
      <c r="P34" s="130">
        <f t="shared" si="5"/>
        <v>-1.8145161290322582E-2</v>
      </c>
      <c r="Q34" s="130">
        <f t="shared" si="6"/>
        <v>-3.5840040241448719E-3</v>
      </c>
      <c r="R34" s="83"/>
      <c r="S34" s="104"/>
    </row>
    <row r="35" spans="1:19" ht="14.25" hidden="1" customHeight="1" x14ac:dyDescent="0.25">
      <c r="A35" s="319"/>
      <c r="B35" s="224" t="str">
        <f t="shared" si="17"/>
        <v>COLLAR</v>
      </c>
      <c r="C35" s="133" t="str">
        <f>C33</f>
        <v>Piedra de Poder de Laytenn</v>
      </c>
      <c r="D35" s="128" t="s">
        <v>476</v>
      </c>
      <c r="E35" s="128">
        <v>44</v>
      </c>
      <c r="F35" s="137">
        <f t="shared" si="0"/>
        <v>21175</v>
      </c>
      <c r="G35" s="128">
        <v>0.40500000000000003</v>
      </c>
      <c r="H35" s="137">
        <v>760000</v>
      </c>
      <c r="I35" s="137">
        <f>((I34+H33)/G35)+F35</f>
        <v>1834068.4098417666</v>
      </c>
      <c r="J35" s="147">
        <f>((H35+H33)/G35)+F35</f>
        <v>2100187.3456790121</v>
      </c>
      <c r="K35" s="144">
        <f>H36</f>
        <v>2200000</v>
      </c>
      <c r="L35" s="144">
        <f t="shared" si="1"/>
        <v>99812.654320987873</v>
      </c>
      <c r="M35" s="144">
        <f t="shared" si="2"/>
        <v>-230187.34567901213</v>
      </c>
      <c r="N35" s="144">
        <f t="shared" si="18"/>
        <v>35931.590158233419</v>
      </c>
      <c r="O35" s="144">
        <f t="shared" si="4"/>
        <v>5320000</v>
      </c>
      <c r="P35" s="130">
        <f t="shared" si="5"/>
        <v>-4.3268298059964683E-2</v>
      </c>
      <c r="Q35" s="130">
        <f t="shared" si="6"/>
        <v>6.754058300419816E-3</v>
      </c>
      <c r="R35" s="83"/>
      <c r="S35" s="104"/>
    </row>
    <row r="36" spans="1:19" ht="13.5" customHeight="1" x14ac:dyDescent="0.25">
      <c r="A36" s="319"/>
      <c r="B36" s="224" t="str">
        <f t="shared" si="17"/>
        <v>COLLAR</v>
      </c>
      <c r="C36" s="246" t="str">
        <f>C33</f>
        <v>Piedra de Poder de Laytenn</v>
      </c>
      <c r="D36" s="128" t="s">
        <v>477</v>
      </c>
      <c r="E36" s="128">
        <v>110</v>
      </c>
      <c r="F36" s="137">
        <f t="shared" si="0"/>
        <v>132343.75</v>
      </c>
      <c r="G36" s="128">
        <v>0.3</v>
      </c>
      <c r="H36" s="137">
        <v>2200000</v>
      </c>
      <c r="I36" s="137">
        <f>((I35+H33)/G36)+F36</f>
        <v>6519238.4494725559</v>
      </c>
      <c r="J36" s="147">
        <f>((H36+H33)/G36)+F36</f>
        <v>7739010.416666667</v>
      </c>
      <c r="K36" s="144">
        <v>9700000</v>
      </c>
      <c r="L36" s="144">
        <f t="shared" si="1"/>
        <v>1960989.583333333</v>
      </c>
      <c r="M36" s="144">
        <f t="shared" si="2"/>
        <v>505989.58333333302</v>
      </c>
      <c r="N36" s="144">
        <f t="shared" si="18"/>
        <v>1725761.5505274441</v>
      </c>
      <c r="O36" s="144">
        <f t="shared" si="4"/>
        <v>15400000</v>
      </c>
      <c r="P36" s="130">
        <f t="shared" si="5"/>
        <v>3.2856466450216427E-2</v>
      </c>
      <c r="Q36" s="130">
        <f t="shared" si="6"/>
        <v>0.11206243834593793</v>
      </c>
      <c r="R36" s="83"/>
      <c r="S36" s="104"/>
    </row>
    <row r="37" spans="1:19" ht="14.25" hidden="1" customHeight="1" x14ac:dyDescent="0.25">
      <c r="A37" s="319"/>
      <c r="B37" s="224" t="str">
        <f t="shared" si="17"/>
        <v>COLLAR</v>
      </c>
      <c r="C37" s="5" t="s">
        <v>509</v>
      </c>
      <c r="D37" s="5" t="s">
        <v>474</v>
      </c>
      <c r="E37" s="79">
        <v>15</v>
      </c>
      <c r="F37" s="134">
        <f t="shared" si="0"/>
        <v>2460.9375</v>
      </c>
      <c r="G37" s="5">
        <v>0.625</v>
      </c>
      <c r="H37" s="138">
        <v>5750</v>
      </c>
      <c r="I37" s="145">
        <f>((H37*2)/G37)+F37</f>
        <v>20860.9375</v>
      </c>
      <c r="J37" s="145">
        <f>((H37*2)/G37)+F37</f>
        <v>20860.9375</v>
      </c>
      <c r="K37" s="139">
        <f>+H38</f>
        <v>14400</v>
      </c>
      <c r="L37" s="140">
        <f t="shared" si="1"/>
        <v>-6460.9375</v>
      </c>
      <c r="M37" s="140">
        <f t="shared" si="2"/>
        <v>-8620.9375</v>
      </c>
      <c r="N37" s="140">
        <f t="shared" si="18"/>
        <v>-8620.9375</v>
      </c>
      <c r="O37" s="139">
        <f t="shared" si="4"/>
        <v>40250</v>
      </c>
      <c r="P37" s="130">
        <f t="shared" si="5"/>
        <v>-0.21418478260869564</v>
      </c>
      <c r="Q37" s="130">
        <f t="shared" si="6"/>
        <v>-0.21418478260869564</v>
      </c>
      <c r="R37" s="83"/>
      <c r="S37" s="104"/>
    </row>
    <row r="38" spans="1:19" ht="14.25" hidden="1" customHeight="1" x14ac:dyDescent="0.25">
      <c r="A38" s="319"/>
      <c r="B38" s="224" t="str">
        <f t="shared" si="17"/>
        <v>COLLAR</v>
      </c>
      <c r="C38" s="132" t="str">
        <f>C37</f>
        <v>Collar de Serap</v>
      </c>
      <c r="D38" s="52" t="s">
        <v>475</v>
      </c>
      <c r="E38" s="52">
        <v>40</v>
      </c>
      <c r="F38" s="135">
        <f t="shared" si="0"/>
        <v>17500</v>
      </c>
      <c r="G38" s="129">
        <v>0.5</v>
      </c>
      <c r="H38" s="135">
        <v>14400</v>
      </c>
      <c r="I38" s="135">
        <f>((I37+H37)/G38)+F38</f>
        <v>70721.875</v>
      </c>
      <c r="J38" s="145">
        <f>((H38+H37)/G38)+F38</f>
        <v>57800</v>
      </c>
      <c r="K38" s="140">
        <f>H39</f>
        <v>64500</v>
      </c>
      <c r="L38" s="140">
        <f t="shared" si="1"/>
        <v>6700</v>
      </c>
      <c r="M38" s="140">
        <f t="shared" si="2"/>
        <v>-2975</v>
      </c>
      <c r="N38" s="140">
        <f t="shared" si="18"/>
        <v>-15896.875</v>
      </c>
      <c r="O38" s="140">
        <f t="shared" si="4"/>
        <v>100800</v>
      </c>
      <c r="P38" s="130">
        <f t="shared" si="5"/>
        <v>-2.9513888888888888E-2</v>
      </c>
      <c r="Q38" s="130">
        <f t="shared" si="6"/>
        <v>-0.15770709325396826</v>
      </c>
      <c r="R38" s="83"/>
      <c r="S38" s="104"/>
    </row>
    <row r="39" spans="1:19" ht="14.25" hidden="1" customHeight="1" x14ac:dyDescent="0.25">
      <c r="A39" s="319"/>
      <c r="B39" s="224" t="str">
        <f t="shared" si="17"/>
        <v>COLLAR</v>
      </c>
      <c r="C39" s="132" t="str">
        <f>C37</f>
        <v>Collar de Serap</v>
      </c>
      <c r="D39" s="52" t="s">
        <v>476</v>
      </c>
      <c r="E39" s="52">
        <v>44</v>
      </c>
      <c r="F39" s="135">
        <f t="shared" si="0"/>
        <v>21175</v>
      </c>
      <c r="G39" s="129">
        <v>0.40500000000000003</v>
      </c>
      <c r="H39" s="135">
        <v>64500</v>
      </c>
      <c r="I39" s="135">
        <f>((I38+H37)/G39)+F39</f>
        <v>209994.44444444444</v>
      </c>
      <c r="J39" s="145">
        <f>((H39+H37)/G39)+F39</f>
        <v>194631.79012345677</v>
      </c>
      <c r="K39" s="140">
        <f>H40</f>
        <v>244000</v>
      </c>
      <c r="L39" s="140">
        <f t="shared" si="1"/>
        <v>49368.209876543231</v>
      </c>
      <c r="M39" s="140">
        <f t="shared" si="2"/>
        <v>12768.209876543231</v>
      </c>
      <c r="N39" s="140">
        <f t="shared" si="18"/>
        <v>-2594.444444444438</v>
      </c>
      <c r="O39" s="140">
        <f t="shared" si="4"/>
        <v>451500</v>
      </c>
      <c r="P39" s="130">
        <f t="shared" si="5"/>
        <v>2.8279534610284013E-2</v>
      </c>
      <c r="Q39" s="130">
        <f t="shared" si="6"/>
        <v>-5.746277839301081E-3</v>
      </c>
      <c r="R39" s="83"/>
      <c r="S39" s="104"/>
    </row>
    <row r="40" spans="1:19" ht="14.25" customHeight="1" x14ac:dyDescent="0.25">
      <c r="A40" s="319"/>
      <c r="B40" s="224" t="str">
        <f t="shared" si="17"/>
        <v>COLLAR</v>
      </c>
      <c r="C40" s="132" t="str">
        <f>C37</f>
        <v>Collar de Serap</v>
      </c>
      <c r="D40" s="52" t="s">
        <v>477</v>
      </c>
      <c r="E40" s="52">
        <v>110</v>
      </c>
      <c r="F40" s="135">
        <f t="shared" si="0"/>
        <v>132343.75</v>
      </c>
      <c r="G40" s="52">
        <v>0.3</v>
      </c>
      <c r="H40" s="135">
        <v>244000</v>
      </c>
      <c r="I40" s="135">
        <f>((I39+H37)/G40)+F40</f>
        <v>851491.8981481482</v>
      </c>
      <c r="J40" s="145">
        <f>((H40+H37)/G40)+F40</f>
        <v>964843.75</v>
      </c>
      <c r="K40" s="140">
        <v>1190000</v>
      </c>
      <c r="L40" s="140">
        <f t="shared" si="1"/>
        <v>225156.25</v>
      </c>
      <c r="M40" s="140">
        <f t="shared" si="2"/>
        <v>46656.25</v>
      </c>
      <c r="N40" s="140">
        <f t="shared" si="18"/>
        <v>160008.1018518518</v>
      </c>
      <c r="O40" s="140">
        <f t="shared" si="4"/>
        <v>1708000</v>
      </c>
      <c r="P40" s="130">
        <f t="shared" si="5"/>
        <v>2.73163056206089E-2</v>
      </c>
      <c r="Q40" s="130">
        <f t="shared" si="6"/>
        <v>9.3681558461271547E-2</v>
      </c>
      <c r="R40" s="83"/>
      <c r="S40" s="104"/>
    </row>
    <row r="41" spans="1:19" ht="14.25" hidden="1" customHeight="1" x14ac:dyDescent="0.25">
      <c r="A41" s="319"/>
      <c r="B41" s="220" t="s">
        <v>489</v>
      </c>
      <c r="C41" s="126" t="s">
        <v>490</v>
      </c>
      <c r="D41" s="126" t="s">
        <v>474</v>
      </c>
      <c r="E41" s="127">
        <v>20</v>
      </c>
      <c r="F41" s="136">
        <f t="shared" si="0"/>
        <v>4375</v>
      </c>
      <c r="G41" s="126">
        <v>0.71</v>
      </c>
      <c r="H41" s="141">
        <v>302000</v>
      </c>
      <c r="I41" s="136">
        <f>((H41*2)/G41)+F41</f>
        <v>855079.22535211267</v>
      </c>
      <c r="J41" s="146">
        <f>((H41*2)/G41)+F41</f>
        <v>855079.22535211267</v>
      </c>
      <c r="K41" s="142">
        <v>840000</v>
      </c>
      <c r="L41" s="143">
        <f t="shared" si="1"/>
        <v>-15079.225352112669</v>
      </c>
      <c r="M41" s="143">
        <f t="shared" si="2"/>
        <v>-141079.22535211267</v>
      </c>
      <c r="N41" s="143">
        <f t="shared" si="18"/>
        <v>-141079.22535211267</v>
      </c>
      <c r="O41" s="142">
        <f t="shared" si="4"/>
        <v>2114000</v>
      </c>
      <c r="P41" s="130">
        <f t="shared" si="5"/>
        <v>-6.6735678974509299E-2</v>
      </c>
      <c r="Q41" s="130">
        <f t="shared" si="6"/>
        <v>-6.6735678974509299E-2</v>
      </c>
      <c r="R41" s="83"/>
      <c r="S41" s="104"/>
    </row>
    <row r="42" spans="1:19" ht="14.25" hidden="1" customHeight="1" x14ac:dyDescent="0.25">
      <c r="A42" s="319"/>
      <c r="B42" s="224" t="str">
        <f t="shared" ref="B42:B60" si="19">+B41</f>
        <v>ARETE</v>
      </c>
      <c r="C42" s="133" t="str">
        <f>C41</f>
        <v>Aretes de la Erosion Negra</v>
      </c>
      <c r="D42" s="128" t="s">
        <v>475</v>
      </c>
      <c r="E42" s="128">
        <v>40</v>
      </c>
      <c r="F42" s="137">
        <f t="shared" si="0"/>
        <v>17500</v>
      </c>
      <c r="G42" s="128">
        <v>0.5</v>
      </c>
      <c r="H42" s="137">
        <v>965000</v>
      </c>
      <c r="I42" s="137">
        <f>((I41+H41)/G42)+F42</f>
        <v>2331658.4507042253</v>
      </c>
      <c r="J42" s="147">
        <f>((H42+H41)/G42)+F42</f>
        <v>2551500</v>
      </c>
      <c r="K42" s="144">
        <f>H43</f>
        <v>2790000</v>
      </c>
      <c r="L42" s="144">
        <f t="shared" si="1"/>
        <v>238500</v>
      </c>
      <c r="M42" s="144">
        <f t="shared" si="2"/>
        <v>-180000</v>
      </c>
      <c r="N42" s="144">
        <f t="shared" si="18"/>
        <v>39841.549295774661</v>
      </c>
      <c r="O42" s="144">
        <f t="shared" si="4"/>
        <v>6755000</v>
      </c>
      <c r="P42" s="130">
        <f t="shared" si="5"/>
        <v>-2.6646928201332347E-2</v>
      </c>
      <c r="Q42" s="130">
        <f t="shared" si="6"/>
        <v>5.8980827973019482E-3</v>
      </c>
      <c r="R42" s="83"/>
      <c r="S42" s="104"/>
    </row>
    <row r="43" spans="1:19" ht="14.25" hidden="1" customHeight="1" x14ac:dyDescent="0.25">
      <c r="A43" s="319"/>
      <c r="B43" s="224" t="str">
        <f t="shared" si="19"/>
        <v>ARETE</v>
      </c>
      <c r="C43" s="133" t="str">
        <f>C41</f>
        <v>Aretes de la Erosion Negra</v>
      </c>
      <c r="D43" s="128" t="s">
        <v>476</v>
      </c>
      <c r="E43" s="128">
        <v>44</v>
      </c>
      <c r="F43" s="137">
        <f t="shared" si="0"/>
        <v>21175</v>
      </c>
      <c r="G43" s="235">
        <v>0.40500000000000003</v>
      </c>
      <c r="H43" s="137">
        <v>2790000</v>
      </c>
      <c r="I43" s="137">
        <f>((I42+H41)/G43)+F43</f>
        <v>6524035.372109198</v>
      </c>
      <c r="J43" s="147">
        <f>((H43+H41)/G43)+F43</f>
        <v>7655742.9012345672</v>
      </c>
      <c r="K43" s="144">
        <v>7900000</v>
      </c>
      <c r="L43" s="144">
        <f t="shared" si="1"/>
        <v>244257.09876543283</v>
      </c>
      <c r="M43" s="144">
        <f t="shared" si="2"/>
        <v>-940742.90123456717</v>
      </c>
      <c r="N43" s="144">
        <f t="shared" si="18"/>
        <v>190964.62789080199</v>
      </c>
      <c r="O43" s="144">
        <f t="shared" si="4"/>
        <v>19530000</v>
      </c>
      <c r="P43" s="130">
        <f t="shared" si="5"/>
        <v>-4.8169119366849318E-2</v>
      </c>
      <c r="Q43" s="130">
        <f t="shared" si="6"/>
        <v>9.7780147409524832E-3</v>
      </c>
      <c r="R43" s="83"/>
      <c r="S43" s="104"/>
    </row>
    <row r="44" spans="1:19" ht="14.25" hidden="1" customHeight="1" thickBot="1" x14ac:dyDescent="0.3">
      <c r="A44" s="319"/>
      <c r="B44" s="224" t="str">
        <f t="shared" si="19"/>
        <v>ARETE</v>
      </c>
      <c r="C44" s="133" t="str">
        <f>C41</f>
        <v>Aretes de la Erosion Negra</v>
      </c>
      <c r="D44" s="128" t="s">
        <v>477</v>
      </c>
      <c r="E44" s="128">
        <v>110</v>
      </c>
      <c r="F44" s="137">
        <f t="shared" si="0"/>
        <v>132343.75</v>
      </c>
      <c r="G44" s="128">
        <v>0.3</v>
      </c>
      <c r="H44" s="137">
        <v>6850000</v>
      </c>
      <c r="I44" s="137">
        <f>((I43+H41)/G44)+F44</f>
        <v>22885794.990363993</v>
      </c>
      <c r="J44" s="147">
        <f>((H44+H41)/G44)+F44</f>
        <v>23972343.75</v>
      </c>
      <c r="K44" s="144">
        <v>22400000</v>
      </c>
      <c r="L44" s="144">
        <f t="shared" si="1"/>
        <v>-1572343.75</v>
      </c>
      <c r="M44" s="144">
        <f t="shared" si="2"/>
        <v>-4932343.75</v>
      </c>
      <c r="N44" s="144">
        <f t="shared" si="18"/>
        <v>-3845794.9903639928</v>
      </c>
      <c r="O44" s="144">
        <f t="shared" si="4"/>
        <v>47950000</v>
      </c>
      <c r="P44" s="130">
        <f t="shared" si="5"/>
        <v>-0.1028643117831074</v>
      </c>
      <c r="Q44" s="130">
        <f t="shared" si="6"/>
        <v>-8.0204275085797555E-2</v>
      </c>
      <c r="R44" s="83"/>
      <c r="S44" s="104"/>
    </row>
    <row r="45" spans="1:19" ht="14.25" hidden="1" customHeight="1" x14ac:dyDescent="0.25">
      <c r="A45" s="319"/>
      <c r="B45" s="224" t="str">
        <f t="shared" si="19"/>
        <v>ARETE</v>
      </c>
      <c r="C45" s="253" t="s">
        <v>491</v>
      </c>
      <c r="D45" s="5" t="s">
        <v>474</v>
      </c>
      <c r="E45" s="79">
        <v>20</v>
      </c>
      <c r="F45" s="134">
        <f t="shared" ref="F45:F76" si="20">(350*$P$2)*E45^2/40^2</f>
        <v>4375</v>
      </c>
      <c r="G45" s="5">
        <v>0.71</v>
      </c>
      <c r="H45" s="138">
        <v>53500</v>
      </c>
      <c r="I45" s="145">
        <f>((H45*2)/G45)+F45</f>
        <v>155079.22535211267</v>
      </c>
      <c r="J45" s="145">
        <f>((H45*2)/G45)+F45</f>
        <v>155079.22535211267</v>
      </c>
      <c r="K45" s="139">
        <f>+H46</f>
        <v>276000</v>
      </c>
      <c r="L45" s="140">
        <f t="shared" ref="L45:L76" si="21">K45-J45</f>
        <v>120920.77464788733</v>
      </c>
      <c r="M45" s="140">
        <f t="shared" ref="M45:M76" si="22">K45*0.85-J45</f>
        <v>79520.774647887331</v>
      </c>
      <c r="N45" s="140">
        <f t="shared" si="18"/>
        <v>79520.774647887331</v>
      </c>
      <c r="O45" s="139">
        <f t="shared" ref="O45:O72" si="23">H45*$L$2</f>
        <v>374500</v>
      </c>
      <c r="P45" s="130">
        <f t="shared" ref="P45:P76" si="24">M45/O45</f>
        <v>0.2123385170838113</v>
      </c>
      <c r="Q45" s="130">
        <f t="shared" ref="Q45:Q76" si="25">N45/O45</f>
        <v>0.2123385170838113</v>
      </c>
      <c r="R45" s="83"/>
      <c r="S45" s="104"/>
    </row>
    <row r="46" spans="1:19" ht="14.25" hidden="1" customHeight="1" x14ac:dyDescent="0.25">
      <c r="A46" s="319"/>
      <c r="B46" s="224" t="str">
        <f t="shared" si="19"/>
        <v>ARETE</v>
      </c>
      <c r="C46" s="251" t="str">
        <f>C45</f>
        <v>Aretes de la Ilusion</v>
      </c>
      <c r="D46" s="52" t="s">
        <v>475</v>
      </c>
      <c r="E46" s="52">
        <v>40</v>
      </c>
      <c r="F46" s="135">
        <f t="shared" si="20"/>
        <v>17500</v>
      </c>
      <c r="G46" s="52">
        <v>0.5</v>
      </c>
      <c r="H46" s="135">
        <v>276000</v>
      </c>
      <c r="I46" s="135">
        <f>((I45+H45)/G46)+F46</f>
        <v>434658.45070422534</v>
      </c>
      <c r="J46" s="145">
        <f>((H46+H45)/G46)+F46</f>
        <v>676500</v>
      </c>
      <c r="K46" s="140">
        <f>H47</f>
        <v>955000</v>
      </c>
      <c r="L46" s="140">
        <f t="shared" si="21"/>
        <v>278500</v>
      </c>
      <c r="M46" s="140">
        <f t="shared" si="22"/>
        <v>135250</v>
      </c>
      <c r="N46" s="140">
        <f t="shared" si="18"/>
        <v>377091.54929577466</v>
      </c>
      <c r="O46" s="140">
        <f t="shared" si="23"/>
        <v>1932000</v>
      </c>
      <c r="P46" s="130">
        <f t="shared" si="24"/>
        <v>7.0005175983436849E-2</v>
      </c>
      <c r="Q46" s="130">
        <f t="shared" si="25"/>
        <v>0.19518196133321669</v>
      </c>
      <c r="R46" s="83"/>
      <c r="S46" s="104"/>
    </row>
    <row r="47" spans="1:19" ht="14.25" hidden="1" customHeight="1" x14ac:dyDescent="0.25">
      <c r="A47" s="319"/>
      <c r="B47" s="224" t="str">
        <f t="shared" si="19"/>
        <v>ARETE</v>
      </c>
      <c r="C47" s="132" t="str">
        <f>C45</f>
        <v>Aretes de la Ilusion</v>
      </c>
      <c r="D47" s="52" t="s">
        <v>476</v>
      </c>
      <c r="E47" s="52">
        <v>44</v>
      </c>
      <c r="F47" s="135">
        <f t="shared" si="20"/>
        <v>21175</v>
      </c>
      <c r="G47" s="129">
        <v>0.40500000000000003</v>
      </c>
      <c r="H47" s="135">
        <v>955000</v>
      </c>
      <c r="I47" s="135">
        <f>((I46+H45)/G47)+F47</f>
        <v>1226504.5079116675</v>
      </c>
      <c r="J47" s="145">
        <f>((H47+H45)/G47)+F47</f>
        <v>2511298.4567901231</v>
      </c>
      <c r="K47" s="140">
        <f>H48</f>
        <v>2440000</v>
      </c>
      <c r="L47" s="140">
        <f t="shared" si="21"/>
        <v>-71298.456790123135</v>
      </c>
      <c r="M47" s="140">
        <f t="shared" si="22"/>
        <v>-437298.45679012313</v>
      </c>
      <c r="N47" s="140">
        <f t="shared" si="18"/>
        <v>847495.49208833254</v>
      </c>
      <c r="O47" s="140">
        <f t="shared" si="23"/>
        <v>6685000</v>
      </c>
      <c r="P47" s="130">
        <f t="shared" si="24"/>
        <v>-6.5414877605104435E-2</v>
      </c>
      <c r="Q47" s="130">
        <f t="shared" si="25"/>
        <v>0.12677569066392408</v>
      </c>
      <c r="R47" s="83"/>
      <c r="S47" s="104"/>
    </row>
    <row r="48" spans="1:19" ht="14.25" hidden="1" customHeight="1" thickBot="1" x14ac:dyDescent="0.3">
      <c r="A48" s="319"/>
      <c r="B48" s="224" t="str">
        <f t="shared" si="19"/>
        <v>ARETE</v>
      </c>
      <c r="C48" s="132" t="str">
        <f>C45</f>
        <v>Aretes de la Ilusion</v>
      </c>
      <c r="D48" s="52" t="s">
        <v>477</v>
      </c>
      <c r="E48" s="52">
        <v>110</v>
      </c>
      <c r="F48" s="135">
        <f t="shared" si="20"/>
        <v>132343.75</v>
      </c>
      <c r="G48" s="52">
        <v>0.3</v>
      </c>
      <c r="H48" s="135">
        <v>2440000</v>
      </c>
      <c r="I48" s="135">
        <f>((I47+H45)/G48)+F48</f>
        <v>4399025.443038892</v>
      </c>
      <c r="J48" s="145">
        <f>((H48+H45)/G48)+F48</f>
        <v>8444010.4166666679</v>
      </c>
      <c r="K48" s="140">
        <v>9550000</v>
      </c>
      <c r="L48" s="140">
        <f t="shared" si="21"/>
        <v>1105989.5833333321</v>
      </c>
      <c r="M48" s="140">
        <f t="shared" si="22"/>
        <v>-326510.41666666791</v>
      </c>
      <c r="N48" s="140">
        <f t="shared" si="18"/>
        <v>3718474.556961108</v>
      </c>
      <c r="O48" s="140">
        <f t="shared" si="23"/>
        <v>17080000</v>
      </c>
      <c r="P48" s="130">
        <f t="shared" si="24"/>
        <v>-1.9116534933645662E-2</v>
      </c>
      <c r="Q48" s="130">
        <f t="shared" si="25"/>
        <v>0.21770928319444427</v>
      </c>
      <c r="R48" s="83"/>
      <c r="S48" s="104"/>
    </row>
    <row r="49" spans="1:19" ht="14.25" hidden="1" customHeight="1" x14ac:dyDescent="0.25">
      <c r="A49" s="319"/>
      <c r="B49" s="224" t="str">
        <f t="shared" si="19"/>
        <v>ARETE</v>
      </c>
      <c r="C49" s="126" t="s">
        <v>492</v>
      </c>
      <c r="D49" s="126" t="s">
        <v>474</v>
      </c>
      <c r="E49" s="127">
        <v>20</v>
      </c>
      <c r="F49" s="136">
        <f t="shared" si="20"/>
        <v>4375</v>
      </c>
      <c r="G49" s="126">
        <v>0.71</v>
      </c>
      <c r="H49" s="141">
        <v>178000</v>
      </c>
      <c r="I49" s="136">
        <f>((H49*2)/G49)+F49</f>
        <v>505783.4507042254</v>
      </c>
      <c r="J49" s="146">
        <f>((H49*2)/G49)+F49</f>
        <v>505783.4507042254</v>
      </c>
      <c r="K49" s="142">
        <f>+H50</f>
        <v>492000</v>
      </c>
      <c r="L49" s="143">
        <f t="shared" si="21"/>
        <v>-13783.450704225397</v>
      </c>
      <c r="M49" s="143">
        <f t="shared" si="22"/>
        <v>-87583.450704225397</v>
      </c>
      <c r="N49" s="143">
        <f t="shared" si="18"/>
        <v>-87583.450704225397</v>
      </c>
      <c r="O49" s="142">
        <f t="shared" si="23"/>
        <v>1246000</v>
      </c>
      <c r="P49" s="130">
        <f t="shared" si="24"/>
        <v>-7.029169398412953E-2</v>
      </c>
      <c r="Q49" s="130">
        <f t="shared" si="25"/>
        <v>-7.029169398412953E-2</v>
      </c>
      <c r="R49" s="83"/>
      <c r="S49" s="104"/>
    </row>
    <row r="50" spans="1:19" ht="14.25" hidden="1" customHeight="1" x14ac:dyDescent="0.25">
      <c r="A50" s="319"/>
      <c r="B50" s="224" t="str">
        <f t="shared" si="19"/>
        <v>ARETE</v>
      </c>
      <c r="C50" s="133" t="str">
        <f>C49</f>
        <v>Aretes de la Aurora</v>
      </c>
      <c r="D50" s="128" t="s">
        <v>475</v>
      </c>
      <c r="E50" s="128">
        <v>40</v>
      </c>
      <c r="F50" s="137">
        <f t="shared" si="20"/>
        <v>17500</v>
      </c>
      <c r="G50" s="128">
        <v>0.5</v>
      </c>
      <c r="H50" s="137">
        <v>492000</v>
      </c>
      <c r="I50" s="137">
        <f>((I49+H49)/G50)+F50</f>
        <v>1385066.9014084507</v>
      </c>
      <c r="J50" s="147">
        <f>((H50+H49)/G50)+F50</f>
        <v>1357500</v>
      </c>
      <c r="K50" s="144">
        <f>H51</f>
        <v>1380000</v>
      </c>
      <c r="L50" s="144">
        <f t="shared" si="21"/>
        <v>22500</v>
      </c>
      <c r="M50" s="144">
        <f t="shared" si="22"/>
        <v>-184500</v>
      </c>
      <c r="N50" s="144">
        <f t="shared" si="18"/>
        <v>-212066.90140845068</v>
      </c>
      <c r="O50" s="144">
        <f t="shared" si="23"/>
        <v>3444000</v>
      </c>
      <c r="P50" s="130">
        <f t="shared" si="24"/>
        <v>-5.3571428571428568E-2</v>
      </c>
      <c r="Q50" s="130">
        <f t="shared" si="25"/>
        <v>-6.1575755345078594E-2</v>
      </c>
      <c r="R50" s="83"/>
      <c r="S50" s="104"/>
    </row>
    <row r="51" spans="1:19" ht="14.25" hidden="1" customHeight="1" x14ac:dyDescent="0.25">
      <c r="A51" s="319"/>
      <c r="B51" s="224" t="str">
        <f t="shared" si="19"/>
        <v>ARETE</v>
      </c>
      <c r="C51" s="133" t="str">
        <f>C49</f>
        <v>Aretes de la Aurora</v>
      </c>
      <c r="D51" s="128" t="s">
        <v>476</v>
      </c>
      <c r="E51" s="128">
        <v>44</v>
      </c>
      <c r="F51" s="137">
        <f t="shared" si="20"/>
        <v>21175</v>
      </c>
      <c r="G51" s="128">
        <v>0.40500000000000003</v>
      </c>
      <c r="H51" s="137">
        <v>1380000</v>
      </c>
      <c r="I51" s="137">
        <f>((I50+H49)/G51)+F51</f>
        <v>3880599.4479221003</v>
      </c>
      <c r="J51" s="147">
        <f>((H51+H49)/G51)+F51</f>
        <v>3868088.5802469132</v>
      </c>
      <c r="K51" s="144">
        <f>H52</f>
        <v>3360000</v>
      </c>
      <c r="L51" s="144">
        <f t="shared" si="21"/>
        <v>-508088.58024691325</v>
      </c>
      <c r="M51" s="144">
        <f t="shared" si="22"/>
        <v>-1012088.5802469132</v>
      </c>
      <c r="N51" s="144">
        <f t="shared" si="18"/>
        <v>-1024599.4479221003</v>
      </c>
      <c r="O51" s="144">
        <f t="shared" si="23"/>
        <v>9660000</v>
      </c>
      <c r="P51" s="130">
        <f t="shared" si="24"/>
        <v>-0.10477107455972187</v>
      </c>
      <c r="Q51" s="130">
        <f t="shared" si="25"/>
        <v>-0.10606619543707042</v>
      </c>
      <c r="R51" s="83"/>
      <c r="S51" s="104"/>
    </row>
    <row r="52" spans="1:19" ht="14.25" customHeight="1" x14ac:dyDescent="0.25">
      <c r="A52" s="319"/>
      <c r="B52" s="224" t="str">
        <f t="shared" si="19"/>
        <v>ARETE</v>
      </c>
      <c r="C52" s="133" t="str">
        <f>C49</f>
        <v>Aretes de la Aurora</v>
      </c>
      <c r="D52" s="128" t="s">
        <v>477</v>
      </c>
      <c r="E52" s="128">
        <v>110</v>
      </c>
      <c r="F52" s="137">
        <f t="shared" si="20"/>
        <v>132343.75</v>
      </c>
      <c r="G52" s="128">
        <v>0.3</v>
      </c>
      <c r="H52" s="137">
        <v>3360000</v>
      </c>
      <c r="I52" s="137">
        <f>((I51+H49)/G52)+F52</f>
        <v>13661008.576407002</v>
      </c>
      <c r="J52" s="147">
        <f>((H52+H49)/G52)+F52</f>
        <v>11925677.083333334</v>
      </c>
      <c r="K52" s="144">
        <v>14400000</v>
      </c>
      <c r="L52" s="144">
        <f t="shared" si="21"/>
        <v>2474322.916666666</v>
      </c>
      <c r="M52" s="144">
        <f t="shared" si="22"/>
        <v>314322.91666666605</v>
      </c>
      <c r="N52" s="144">
        <f t="shared" si="18"/>
        <v>-1421008.5764070023</v>
      </c>
      <c r="O52" s="144">
        <f t="shared" si="23"/>
        <v>23520000</v>
      </c>
      <c r="P52" s="130">
        <f t="shared" si="24"/>
        <v>1.3364069586167773E-2</v>
      </c>
      <c r="Q52" s="130">
        <f t="shared" si="25"/>
        <v>-6.0417031309821526E-2</v>
      </c>
      <c r="R52" s="83"/>
      <c r="S52" s="104"/>
    </row>
    <row r="53" spans="1:19" ht="14.25" hidden="1" customHeight="1" x14ac:dyDescent="0.25">
      <c r="A53" s="319"/>
      <c r="B53" s="224" t="str">
        <f t="shared" si="19"/>
        <v>ARETE</v>
      </c>
      <c r="C53" s="5" t="s">
        <v>493</v>
      </c>
      <c r="D53" s="5" t="s">
        <v>474</v>
      </c>
      <c r="E53" s="79">
        <v>20</v>
      </c>
      <c r="F53" s="134">
        <f t="shared" si="20"/>
        <v>4375</v>
      </c>
      <c r="G53" s="5">
        <v>0.71</v>
      </c>
      <c r="H53" s="138">
        <v>65000</v>
      </c>
      <c r="I53" s="145">
        <f>((H53*2)/G53)+F53</f>
        <v>187473.59154929579</v>
      </c>
      <c r="J53" s="145">
        <f>((H53*2)/G53)+F53</f>
        <v>187473.59154929579</v>
      </c>
      <c r="K53" s="139">
        <f>+H54</f>
        <v>207000</v>
      </c>
      <c r="L53" s="140">
        <f t="shared" si="21"/>
        <v>19526.408450704213</v>
      </c>
      <c r="M53" s="140">
        <f t="shared" si="22"/>
        <v>-11523.591549295787</v>
      </c>
      <c r="N53" s="140">
        <f t="shared" si="18"/>
        <v>-11523.591549295787</v>
      </c>
      <c r="O53" s="139">
        <f t="shared" si="23"/>
        <v>455000</v>
      </c>
      <c r="P53" s="130">
        <f t="shared" si="24"/>
        <v>-2.5326574833617114E-2</v>
      </c>
      <c r="Q53" s="130">
        <f t="shared" si="25"/>
        <v>-2.5326574833617114E-2</v>
      </c>
      <c r="R53" s="83"/>
      <c r="S53" s="104"/>
    </row>
    <row r="54" spans="1:19" ht="14.25" hidden="1" customHeight="1" x14ac:dyDescent="0.25">
      <c r="A54" s="319"/>
      <c r="B54" s="224" t="str">
        <f t="shared" si="19"/>
        <v>ARETE</v>
      </c>
      <c r="C54" s="132" t="str">
        <f>C53</f>
        <v>Aretes Tungrad</v>
      </c>
      <c r="D54" s="52" t="s">
        <v>475</v>
      </c>
      <c r="E54" s="52">
        <v>40</v>
      </c>
      <c r="F54" s="135">
        <f t="shared" si="20"/>
        <v>17500</v>
      </c>
      <c r="G54" s="129">
        <v>0.5</v>
      </c>
      <c r="H54" s="135">
        <v>207000</v>
      </c>
      <c r="I54" s="135">
        <f>((I53+H53)/G54)+F54</f>
        <v>522447.18309859157</v>
      </c>
      <c r="J54" s="145">
        <f>((H54+H53)/G54)+F54</f>
        <v>561500</v>
      </c>
      <c r="K54" s="140">
        <f>H55</f>
        <v>655000</v>
      </c>
      <c r="L54" s="140">
        <f t="shared" si="21"/>
        <v>93500</v>
      </c>
      <c r="M54" s="140">
        <f t="shared" si="22"/>
        <v>-4750</v>
      </c>
      <c r="N54" s="140">
        <f t="shared" si="18"/>
        <v>34302.816901408427</v>
      </c>
      <c r="O54" s="140">
        <f t="shared" si="23"/>
        <v>1449000</v>
      </c>
      <c r="P54" s="130">
        <f t="shared" si="24"/>
        <v>-3.2781228433402345E-3</v>
      </c>
      <c r="Q54" s="130">
        <f t="shared" si="25"/>
        <v>2.3673441615878831E-2</v>
      </c>
      <c r="R54" s="83"/>
      <c r="S54" s="104"/>
    </row>
    <row r="55" spans="1:19" ht="14.25" hidden="1" customHeight="1" x14ac:dyDescent="0.25">
      <c r="A55" s="319"/>
      <c r="B55" s="224" t="str">
        <f t="shared" si="19"/>
        <v>ARETE</v>
      </c>
      <c r="C55" s="132" t="str">
        <f>C53</f>
        <v>Aretes Tungrad</v>
      </c>
      <c r="D55" s="52" t="s">
        <v>476</v>
      </c>
      <c r="E55" s="52">
        <v>44</v>
      </c>
      <c r="F55" s="135">
        <f t="shared" si="20"/>
        <v>21175</v>
      </c>
      <c r="G55" s="129">
        <v>0.40500000000000003</v>
      </c>
      <c r="H55" s="135">
        <v>655000</v>
      </c>
      <c r="I55" s="135">
        <f>((I54+H53)/G55)+F55</f>
        <v>1471661.8718483744</v>
      </c>
      <c r="J55" s="145">
        <f>((H55+H53)/G55)+F55</f>
        <v>1798952.7777777778</v>
      </c>
      <c r="K55" s="140">
        <f>H56</f>
        <v>1950000</v>
      </c>
      <c r="L55" s="140">
        <f t="shared" si="21"/>
        <v>151047.22222222225</v>
      </c>
      <c r="M55" s="140">
        <f t="shared" si="22"/>
        <v>-141452.77777777775</v>
      </c>
      <c r="N55" s="140">
        <f t="shared" si="18"/>
        <v>185838.12815162563</v>
      </c>
      <c r="O55" s="140">
        <f t="shared" si="23"/>
        <v>4585000</v>
      </c>
      <c r="P55" s="130">
        <f t="shared" si="24"/>
        <v>-3.0851205622197984E-2</v>
      </c>
      <c r="Q55" s="130">
        <f t="shared" si="25"/>
        <v>4.0531761865131001E-2</v>
      </c>
      <c r="R55" s="83"/>
      <c r="S55" s="104"/>
    </row>
    <row r="56" spans="1:19" ht="14.25" hidden="1" customHeight="1" thickBot="1" x14ac:dyDescent="0.3">
      <c r="A56" s="319"/>
      <c r="B56" s="224" t="str">
        <f t="shared" si="19"/>
        <v>ARETE</v>
      </c>
      <c r="C56" s="132" t="str">
        <f>C53</f>
        <v>Aretes Tungrad</v>
      </c>
      <c r="D56" s="52" t="s">
        <v>477</v>
      </c>
      <c r="E56" s="52">
        <v>110</v>
      </c>
      <c r="F56" s="135">
        <f t="shared" si="20"/>
        <v>132343.75</v>
      </c>
      <c r="G56" s="52">
        <v>0.3</v>
      </c>
      <c r="H56" s="135">
        <v>1950000</v>
      </c>
      <c r="I56" s="135">
        <f>((I55+H53)/G56)+F56</f>
        <v>5254549.9894945817</v>
      </c>
      <c r="J56" s="145">
        <f>((H56+H53)/G56)+F56</f>
        <v>6849010.416666667</v>
      </c>
      <c r="K56" s="140">
        <v>7400000</v>
      </c>
      <c r="L56" s="140">
        <f t="shared" si="21"/>
        <v>550989.58333333302</v>
      </c>
      <c r="M56" s="140">
        <f t="shared" si="22"/>
        <v>-559010.41666666698</v>
      </c>
      <c r="N56" s="140">
        <f t="shared" si="18"/>
        <v>1035450.0105054183</v>
      </c>
      <c r="O56" s="140">
        <f t="shared" si="23"/>
        <v>13650000</v>
      </c>
      <c r="P56" s="130">
        <f t="shared" si="24"/>
        <v>-4.0953144078144099E-2</v>
      </c>
      <c r="Q56" s="130">
        <f t="shared" si="25"/>
        <v>7.5857143626770568E-2</v>
      </c>
      <c r="R56" s="83"/>
      <c r="S56" s="104"/>
    </row>
    <row r="57" spans="1:19" ht="14.25" hidden="1" customHeight="1" x14ac:dyDescent="0.25">
      <c r="A57" s="319"/>
      <c r="B57" s="224" t="str">
        <f t="shared" si="19"/>
        <v>ARETE</v>
      </c>
      <c r="C57" s="126" t="s">
        <v>494</v>
      </c>
      <c r="D57" s="126" t="s">
        <v>474</v>
      </c>
      <c r="E57" s="127">
        <v>20</v>
      </c>
      <c r="F57" s="136">
        <f t="shared" si="20"/>
        <v>4375</v>
      </c>
      <c r="G57" s="236">
        <v>0.71</v>
      </c>
      <c r="H57" s="141">
        <v>20100</v>
      </c>
      <c r="I57" s="136">
        <f>((H57*2)/G57)+F57</f>
        <v>60994.718309859156</v>
      </c>
      <c r="J57" s="146">
        <f>((H57*2)/G57)+F57</f>
        <v>60994.718309859156</v>
      </c>
      <c r="K57" s="142">
        <f>+H58</f>
        <v>73000</v>
      </c>
      <c r="L57" s="143">
        <f t="shared" si="21"/>
        <v>12005.281690140844</v>
      </c>
      <c r="M57" s="143">
        <f t="shared" si="22"/>
        <v>1055.2816901408441</v>
      </c>
      <c r="N57" s="143">
        <f t="shared" si="18"/>
        <v>1055.2816901408441</v>
      </c>
      <c r="O57" s="142">
        <f t="shared" si="23"/>
        <v>140700</v>
      </c>
      <c r="P57" s="130">
        <f t="shared" si="24"/>
        <v>7.5002252319889421E-3</v>
      </c>
      <c r="Q57" s="130">
        <f t="shared" si="25"/>
        <v>7.5002252319889421E-3</v>
      </c>
      <c r="R57" s="83"/>
      <c r="S57" s="104"/>
    </row>
    <row r="58" spans="1:19" ht="14.25" hidden="1" customHeight="1" x14ac:dyDescent="0.25">
      <c r="A58" s="319"/>
      <c r="B58" s="224" t="str">
        <f t="shared" si="19"/>
        <v>ARETE</v>
      </c>
      <c r="C58" s="252" t="str">
        <f>C57</f>
        <v>Accesorio de Oreja Narc</v>
      </c>
      <c r="D58" s="128" t="s">
        <v>475</v>
      </c>
      <c r="E58" s="128">
        <v>40</v>
      </c>
      <c r="F58" s="137">
        <f t="shared" si="20"/>
        <v>17500</v>
      </c>
      <c r="G58" s="235">
        <v>0.5</v>
      </c>
      <c r="H58" s="137">
        <v>73000</v>
      </c>
      <c r="I58" s="137">
        <f>((I57+H57)/G58)+F58</f>
        <v>179689.43661971833</v>
      </c>
      <c r="J58" s="147">
        <f>((H58+H57)/G58)+F58</f>
        <v>203700</v>
      </c>
      <c r="K58" s="144">
        <f>H59</f>
        <v>275000</v>
      </c>
      <c r="L58" s="144">
        <f t="shared" si="21"/>
        <v>71300</v>
      </c>
      <c r="M58" s="144">
        <f t="shared" si="22"/>
        <v>30050</v>
      </c>
      <c r="N58" s="144">
        <f t="shared" si="18"/>
        <v>54060.563380281674</v>
      </c>
      <c r="O58" s="144">
        <f t="shared" si="23"/>
        <v>511000</v>
      </c>
      <c r="P58" s="130">
        <f t="shared" si="24"/>
        <v>5.8806262230919767E-2</v>
      </c>
      <c r="Q58" s="130">
        <f t="shared" si="25"/>
        <v>0.10579366610622637</v>
      </c>
      <c r="R58" s="83"/>
      <c r="S58" s="104"/>
    </row>
    <row r="59" spans="1:19" ht="14.25" hidden="1" customHeight="1" x14ac:dyDescent="0.25">
      <c r="A59" s="319"/>
      <c r="B59" s="224" t="str">
        <f t="shared" si="19"/>
        <v>ARETE</v>
      </c>
      <c r="C59" s="133" t="str">
        <f>C57</f>
        <v>Accesorio de Oreja Narc</v>
      </c>
      <c r="D59" s="128" t="s">
        <v>476</v>
      </c>
      <c r="E59" s="128">
        <v>44</v>
      </c>
      <c r="F59" s="137">
        <f t="shared" si="20"/>
        <v>21175</v>
      </c>
      <c r="G59" s="235">
        <v>0.40500000000000003</v>
      </c>
      <c r="H59" s="137">
        <v>275000</v>
      </c>
      <c r="I59" s="137">
        <f>((I58+H57)/G59)+F59</f>
        <v>514482.25091288472</v>
      </c>
      <c r="J59" s="147">
        <f>((H59+H57)/G59)+F59</f>
        <v>749816.97530864191</v>
      </c>
      <c r="K59" s="144">
        <f>H60</f>
        <v>780000</v>
      </c>
      <c r="L59" s="144">
        <f t="shared" si="21"/>
        <v>30183.024691358092</v>
      </c>
      <c r="M59" s="144">
        <f t="shared" si="22"/>
        <v>-86816.975308641908</v>
      </c>
      <c r="N59" s="144">
        <f t="shared" si="18"/>
        <v>148517.74908711528</v>
      </c>
      <c r="O59" s="144">
        <f t="shared" si="23"/>
        <v>1925000</v>
      </c>
      <c r="P59" s="130">
        <f t="shared" si="24"/>
        <v>-4.5099727433060732E-2</v>
      </c>
      <c r="Q59" s="130">
        <f t="shared" si="25"/>
        <v>7.7152077447852102E-2</v>
      </c>
      <c r="R59" s="83"/>
      <c r="S59" s="104"/>
    </row>
    <row r="60" spans="1:19" ht="14.25" customHeight="1" x14ac:dyDescent="0.25">
      <c r="A60" s="319"/>
      <c r="B60" s="224" t="str">
        <f t="shared" si="19"/>
        <v>ARETE</v>
      </c>
      <c r="C60" s="252" t="str">
        <f>C57</f>
        <v>Accesorio de Oreja Narc</v>
      </c>
      <c r="D60" s="128" t="s">
        <v>477</v>
      </c>
      <c r="E60" s="128">
        <v>110</v>
      </c>
      <c r="F60" s="137">
        <f t="shared" si="20"/>
        <v>132343.75</v>
      </c>
      <c r="G60" s="128">
        <v>0.3</v>
      </c>
      <c r="H60" s="137">
        <v>780000</v>
      </c>
      <c r="I60" s="137">
        <f>((I59+H57)/G60)+F60</f>
        <v>1914284.5863762824</v>
      </c>
      <c r="J60" s="147">
        <f>((H60+H57)/G60)+F60</f>
        <v>2799343.75</v>
      </c>
      <c r="K60" s="144">
        <v>3790000</v>
      </c>
      <c r="L60" s="144">
        <f t="shared" si="21"/>
        <v>990656.25</v>
      </c>
      <c r="M60" s="144">
        <f t="shared" si="22"/>
        <v>422156.25</v>
      </c>
      <c r="N60" s="144">
        <f t="shared" si="18"/>
        <v>1307215.4136237176</v>
      </c>
      <c r="O60" s="144">
        <f t="shared" si="23"/>
        <v>5460000</v>
      </c>
      <c r="P60" s="130">
        <f t="shared" si="24"/>
        <v>7.7317994505494508E-2</v>
      </c>
      <c r="Q60" s="130">
        <f t="shared" si="25"/>
        <v>0.23941674242192632</v>
      </c>
      <c r="R60" s="83"/>
      <c r="S60" s="104"/>
    </row>
    <row r="61" spans="1:19" ht="14.25" hidden="1" customHeight="1" x14ac:dyDescent="0.25">
      <c r="A61" s="232"/>
      <c r="B61" s="149" t="s">
        <v>495</v>
      </c>
      <c r="C61" s="79" t="s">
        <v>496</v>
      </c>
      <c r="D61" s="79" t="s">
        <v>474</v>
      </c>
      <c r="E61" s="79">
        <v>20</v>
      </c>
      <c r="F61" s="134">
        <f t="shared" si="20"/>
        <v>4375</v>
      </c>
      <c r="G61" s="79">
        <v>0.71</v>
      </c>
      <c r="H61" s="134">
        <v>93500</v>
      </c>
      <c r="I61" s="145">
        <f>((H61*2)/G61)+F61</f>
        <v>267755.28169014084</v>
      </c>
      <c r="J61" s="145">
        <f>((H61*2)/G61)+F61</f>
        <v>267755.28169014084</v>
      </c>
      <c r="K61" s="233">
        <f>+H62</f>
        <v>227000</v>
      </c>
      <c r="L61" s="140">
        <f t="shared" si="21"/>
        <v>-40755.281690140837</v>
      </c>
      <c r="M61" s="140">
        <f t="shared" si="22"/>
        <v>-74805.281690140837</v>
      </c>
      <c r="N61" s="140">
        <f t="shared" si="18"/>
        <v>-74805.281690140837</v>
      </c>
      <c r="O61" s="233">
        <f t="shared" si="23"/>
        <v>654500</v>
      </c>
      <c r="P61" s="130">
        <f t="shared" si="24"/>
        <v>-0.11429378409494398</v>
      </c>
      <c r="Q61" s="130">
        <f t="shared" si="25"/>
        <v>-0.11429378409494398</v>
      </c>
      <c r="R61" s="83"/>
      <c r="S61" s="104"/>
    </row>
    <row r="62" spans="1:19" ht="14.25" hidden="1" customHeight="1" x14ac:dyDescent="0.25">
      <c r="A62" s="232"/>
      <c r="B62" s="224" t="str">
        <f t="shared" ref="B62:B76" si="26">+B61</f>
        <v>CINTURON</v>
      </c>
      <c r="C62" s="132" t="str">
        <f>C61</f>
        <v>Cinturon Tungrad</v>
      </c>
      <c r="D62" s="52" t="s">
        <v>475</v>
      </c>
      <c r="E62" s="52">
        <v>40</v>
      </c>
      <c r="F62" s="135">
        <f t="shared" si="20"/>
        <v>17500</v>
      </c>
      <c r="G62" s="52">
        <v>0.5</v>
      </c>
      <c r="H62" s="135">
        <v>227000</v>
      </c>
      <c r="I62" s="135">
        <f>((I61+H61)/G62)+F62</f>
        <v>740010.56338028167</v>
      </c>
      <c r="J62" s="145">
        <f>((H62+H61)/G62)+F62</f>
        <v>658500</v>
      </c>
      <c r="K62" s="140">
        <f>H63</f>
        <v>800000</v>
      </c>
      <c r="L62" s="140">
        <f t="shared" si="21"/>
        <v>141500</v>
      </c>
      <c r="M62" s="140">
        <f t="shared" si="22"/>
        <v>21500</v>
      </c>
      <c r="N62" s="140">
        <f t="shared" si="18"/>
        <v>-60010.563380281674</v>
      </c>
      <c r="O62" s="140">
        <f t="shared" si="23"/>
        <v>1589000</v>
      </c>
      <c r="P62" s="130">
        <f t="shared" si="24"/>
        <v>1.3530522341095029E-2</v>
      </c>
      <c r="Q62" s="130">
        <f t="shared" si="25"/>
        <v>-3.7766245047376759E-2</v>
      </c>
      <c r="R62" s="83"/>
      <c r="S62" s="104"/>
    </row>
    <row r="63" spans="1:19" ht="14.25" hidden="1" customHeight="1" x14ac:dyDescent="0.25">
      <c r="A63" s="232"/>
      <c r="B63" s="224" t="str">
        <f t="shared" si="26"/>
        <v>CINTURON</v>
      </c>
      <c r="C63" s="132" t="str">
        <f>C61</f>
        <v>Cinturon Tungrad</v>
      </c>
      <c r="D63" s="52" t="s">
        <v>476</v>
      </c>
      <c r="E63" s="52">
        <v>44</v>
      </c>
      <c r="F63" s="135">
        <f t="shared" si="20"/>
        <v>21175</v>
      </c>
      <c r="G63" s="129">
        <v>0.40500000000000003</v>
      </c>
      <c r="H63" s="135">
        <v>800000</v>
      </c>
      <c r="I63" s="135">
        <f>((I62+H61)/G63)+F63</f>
        <v>2079225.773778473</v>
      </c>
      <c r="J63" s="145">
        <f>((H63+H61)/G63)+F63</f>
        <v>2227347.8395061726</v>
      </c>
      <c r="K63" s="140">
        <f>H64</f>
        <v>2230000</v>
      </c>
      <c r="L63" s="140">
        <f t="shared" si="21"/>
        <v>2652.1604938274249</v>
      </c>
      <c r="M63" s="140">
        <f t="shared" si="22"/>
        <v>-331847.83950617258</v>
      </c>
      <c r="N63" s="140">
        <f t="shared" si="18"/>
        <v>-183725.77377847303</v>
      </c>
      <c r="O63" s="140">
        <f t="shared" si="23"/>
        <v>5600000</v>
      </c>
      <c r="P63" s="130">
        <f t="shared" si="24"/>
        <v>-5.9258542768959387E-2</v>
      </c>
      <c r="Q63" s="130">
        <f t="shared" si="25"/>
        <v>-3.280817388901304E-2</v>
      </c>
      <c r="R63" s="83"/>
      <c r="S63" s="104"/>
    </row>
    <row r="64" spans="1:19" ht="14.25" hidden="1" customHeight="1" thickBot="1" x14ac:dyDescent="0.3">
      <c r="A64" s="232"/>
      <c r="B64" s="224" t="str">
        <f t="shared" si="26"/>
        <v>CINTURON</v>
      </c>
      <c r="C64" s="132" t="str">
        <f>C61</f>
        <v>Cinturon Tungrad</v>
      </c>
      <c r="D64" s="52" t="s">
        <v>477</v>
      </c>
      <c r="E64" s="52">
        <v>110</v>
      </c>
      <c r="F64" s="135">
        <f t="shared" si="20"/>
        <v>132343.75</v>
      </c>
      <c r="G64" s="52">
        <v>0.3</v>
      </c>
      <c r="H64" s="135">
        <v>2230000</v>
      </c>
      <c r="I64" s="135">
        <f>((I63+H61)/G64)+F64</f>
        <v>7374762.9959282437</v>
      </c>
      <c r="J64" s="145">
        <f>((H64+H61)/G64)+F64</f>
        <v>7877343.75</v>
      </c>
      <c r="K64" s="140">
        <v>8900000</v>
      </c>
      <c r="L64" s="140">
        <f t="shared" si="21"/>
        <v>1022656.25</v>
      </c>
      <c r="M64" s="140">
        <f t="shared" si="22"/>
        <v>-312343.75</v>
      </c>
      <c r="N64" s="140">
        <f t="shared" si="18"/>
        <v>190237.00407175627</v>
      </c>
      <c r="O64" s="140">
        <f t="shared" si="23"/>
        <v>15610000</v>
      </c>
      <c r="P64" s="130">
        <f t="shared" si="24"/>
        <v>-2.0009208840486868E-2</v>
      </c>
      <c r="Q64" s="130">
        <f t="shared" si="25"/>
        <v>1.2186867653539799E-2</v>
      </c>
      <c r="R64" s="83"/>
      <c r="S64" s="104"/>
    </row>
    <row r="65" spans="1:19" ht="14.25" hidden="1" customHeight="1" x14ac:dyDescent="0.25">
      <c r="A65" s="232"/>
      <c r="B65" s="224" t="str">
        <f t="shared" si="26"/>
        <v>CINTURON</v>
      </c>
      <c r="C65" s="127" t="s">
        <v>497</v>
      </c>
      <c r="D65" s="127" t="s">
        <v>474</v>
      </c>
      <c r="E65" s="127">
        <v>20</v>
      </c>
      <c r="F65" s="136">
        <f t="shared" si="20"/>
        <v>4375</v>
      </c>
      <c r="G65" s="127">
        <v>0.71</v>
      </c>
      <c r="H65" s="136">
        <v>17400</v>
      </c>
      <c r="I65" s="136">
        <f>((H65*2)/G65)+F65</f>
        <v>53389.084507042258</v>
      </c>
      <c r="J65" s="146">
        <f>((H65*2)/G65)+F65</f>
        <v>53389.084507042258</v>
      </c>
      <c r="K65" s="143">
        <f>+H66</f>
        <v>60000</v>
      </c>
      <c r="L65" s="143">
        <f t="shared" si="21"/>
        <v>6610.9154929577417</v>
      </c>
      <c r="M65" s="143">
        <f t="shared" si="22"/>
        <v>-2389.0845070422583</v>
      </c>
      <c r="N65" s="143">
        <f t="shared" si="18"/>
        <v>-2389.0845070422583</v>
      </c>
      <c r="O65" s="143">
        <f t="shared" si="23"/>
        <v>121800</v>
      </c>
      <c r="P65" s="130">
        <f t="shared" si="24"/>
        <v>-1.9614815328754174E-2</v>
      </c>
      <c r="Q65" s="130">
        <f t="shared" si="25"/>
        <v>-1.9614815328754174E-2</v>
      </c>
      <c r="R65" s="83"/>
      <c r="S65" s="104"/>
    </row>
    <row r="66" spans="1:19" ht="14.25" hidden="1" customHeight="1" x14ac:dyDescent="0.25">
      <c r="A66" s="232"/>
      <c r="B66" s="224" t="str">
        <f t="shared" si="26"/>
        <v>CINTURON</v>
      </c>
      <c r="C66" s="133" t="str">
        <f>C65</f>
        <v>Cinturon de Luz Escondida</v>
      </c>
      <c r="D66" s="128" t="s">
        <v>475</v>
      </c>
      <c r="E66" s="128">
        <v>40</v>
      </c>
      <c r="F66" s="137">
        <f t="shared" si="20"/>
        <v>17500</v>
      </c>
      <c r="G66" s="235">
        <v>0.5</v>
      </c>
      <c r="H66" s="137">
        <v>60000</v>
      </c>
      <c r="I66" s="137">
        <f>((I65+H65)/G66)+F66</f>
        <v>159078.1690140845</v>
      </c>
      <c r="J66" s="147">
        <f>((H66+H65)/G66)+F66</f>
        <v>172300</v>
      </c>
      <c r="K66" s="144">
        <f>H67</f>
        <v>216000</v>
      </c>
      <c r="L66" s="144">
        <f t="shared" si="21"/>
        <v>43700</v>
      </c>
      <c r="M66" s="144">
        <f t="shared" si="22"/>
        <v>11300</v>
      </c>
      <c r="N66" s="144">
        <f t="shared" si="18"/>
        <v>24521.830985915498</v>
      </c>
      <c r="O66" s="144">
        <f t="shared" si="23"/>
        <v>420000</v>
      </c>
      <c r="P66" s="130">
        <f t="shared" si="24"/>
        <v>2.6904761904761904E-2</v>
      </c>
      <c r="Q66" s="130">
        <f t="shared" si="25"/>
        <v>5.8385311871227377E-2</v>
      </c>
      <c r="R66" s="83"/>
      <c r="S66" s="104"/>
    </row>
    <row r="67" spans="1:19" ht="14.25" hidden="1" customHeight="1" x14ac:dyDescent="0.25">
      <c r="A67" s="232"/>
      <c r="B67" s="224" t="str">
        <f t="shared" si="26"/>
        <v>CINTURON</v>
      </c>
      <c r="C67" s="133" t="str">
        <f>C65</f>
        <v>Cinturon de Luz Escondida</v>
      </c>
      <c r="D67" s="128" t="s">
        <v>476</v>
      </c>
      <c r="E67" s="128">
        <v>44</v>
      </c>
      <c r="F67" s="137">
        <f t="shared" si="20"/>
        <v>21175</v>
      </c>
      <c r="G67" s="235">
        <v>0.40500000000000003</v>
      </c>
      <c r="H67" s="137">
        <v>216000</v>
      </c>
      <c r="I67" s="137">
        <f>((I66+H65)/G67)+F67</f>
        <v>456923.56546687527</v>
      </c>
      <c r="J67" s="147">
        <f>((H67+H65)/G67)+F67</f>
        <v>597471.29629629629</v>
      </c>
      <c r="K67" s="144">
        <f>H68</f>
        <v>700000</v>
      </c>
      <c r="L67" s="144">
        <f t="shared" si="21"/>
        <v>102528.70370370371</v>
      </c>
      <c r="M67" s="144">
        <f t="shared" si="22"/>
        <v>-2471.296296296292</v>
      </c>
      <c r="N67" s="144">
        <f t="shared" si="18"/>
        <v>138076.43453312473</v>
      </c>
      <c r="O67" s="144">
        <f t="shared" si="23"/>
        <v>1512000</v>
      </c>
      <c r="P67" s="130">
        <f t="shared" si="24"/>
        <v>-1.6344552224181825E-3</v>
      </c>
      <c r="Q67" s="130">
        <f t="shared" si="25"/>
        <v>9.1320393209738573E-2</v>
      </c>
      <c r="R67" s="83"/>
      <c r="S67" s="104"/>
    </row>
    <row r="68" spans="1:19" ht="14.25" customHeight="1" x14ac:dyDescent="0.25">
      <c r="A68" s="232"/>
      <c r="B68" s="224" t="str">
        <f t="shared" si="26"/>
        <v>CINTURON</v>
      </c>
      <c r="C68" s="252" t="str">
        <f>C65</f>
        <v>Cinturon de Luz Escondida</v>
      </c>
      <c r="D68" s="128" t="s">
        <v>477</v>
      </c>
      <c r="E68" s="128">
        <v>110</v>
      </c>
      <c r="F68" s="137">
        <f t="shared" si="20"/>
        <v>132343.75</v>
      </c>
      <c r="G68" s="128">
        <v>0.3</v>
      </c>
      <c r="H68" s="137">
        <v>700000</v>
      </c>
      <c r="I68" s="137">
        <f>((I67+H65)/G68)+F68</f>
        <v>1713422.301556251</v>
      </c>
      <c r="J68" s="147">
        <f>((H68+H65)/G68)+F68</f>
        <v>2523677.0833333335</v>
      </c>
      <c r="K68" s="144">
        <v>3320000</v>
      </c>
      <c r="L68" s="144">
        <f t="shared" si="21"/>
        <v>796322.91666666651</v>
      </c>
      <c r="M68" s="144">
        <f t="shared" si="22"/>
        <v>298322.91666666651</v>
      </c>
      <c r="N68" s="144">
        <f t="shared" si="18"/>
        <v>1108577.698443749</v>
      </c>
      <c r="O68" s="144">
        <f t="shared" si="23"/>
        <v>4900000</v>
      </c>
      <c r="P68" s="130">
        <f t="shared" si="24"/>
        <v>6.088222789115643E-2</v>
      </c>
      <c r="Q68" s="130">
        <f t="shared" si="25"/>
        <v>0.22624034662117326</v>
      </c>
      <c r="R68" s="83"/>
      <c r="S68" s="104"/>
    </row>
    <row r="69" spans="1:19" ht="14.25" hidden="1" customHeight="1" x14ac:dyDescent="0.25">
      <c r="A69" s="232"/>
      <c r="B69" s="224" t="str">
        <f t="shared" si="26"/>
        <v>CINTURON</v>
      </c>
      <c r="C69" s="100" t="s">
        <v>498</v>
      </c>
      <c r="D69" s="79" t="s">
        <v>474</v>
      </c>
      <c r="E69" s="79">
        <v>20</v>
      </c>
      <c r="F69" s="134">
        <f t="shared" si="20"/>
        <v>4375</v>
      </c>
      <c r="G69" s="79">
        <v>0.71</v>
      </c>
      <c r="H69" s="134">
        <v>14900</v>
      </c>
      <c r="I69" s="145">
        <f>((H69*2)/G69)+F69</f>
        <v>46346.830985915498</v>
      </c>
      <c r="J69" s="145">
        <f>((H69*2)/G69)+F69</f>
        <v>46346.830985915498</v>
      </c>
      <c r="K69" s="233">
        <f>+H70</f>
        <v>42200</v>
      </c>
      <c r="L69" s="140">
        <f t="shared" si="21"/>
        <v>-4146.8309859154979</v>
      </c>
      <c r="M69" s="140">
        <f t="shared" si="22"/>
        <v>-10476.830985915498</v>
      </c>
      <c r="N69" s="140">
        <f t="shared" si="18"/>
        <v>-10476.830985915498</v>
      </c>
      <c r="O69" s="233">
        <f t="shared" si="23"/>
        <v>104300</v>
      </c>
      <c r="P69" s="130">
        <f t="shared" si="24"/>
        <v>-0.10044900274127994</v>
      </c>
      <c r="Q69" s="130">
        <f t="shared" si="25"/>
        <v>-0.10044900274127994</v>
      </c>
      <c r="R69" s="83"/>
      <c r="S69" s="104"/>
    </row>
    <row r="70" spans="1:19" ht="14.25" hidden="1" customHeight="1" x14ac:dyDescent="0.25">
      <c r="A70" s="232"/>
      <c r="B70" s="224" t="str">
        <f t="shared" si="26"/>
        <v>CINTURON</v>
      </c>
      <c r="C70" s="245" t="str">
        <f>C69</f>
        <v>Cinturon de Basilisco</v>
      </c>
      <c r="D70" s="163" t="s">
        <v>475</v>
      </c>
      <c r="E70" s="163">
        <v>40</v>
      </c>
      <c r="F70" s="135">
        <f t="shared" si="20"/>
        <v>17500</v>
      </c>
      <c r="G70" s="242">
        <v>0.5</v>
      </c>
      <c r="H70" s="243">
        <v>42200</v>
      </c>
      <c r="I70" s="135">
        <f>((I69+H69)/G70)+F70</f>
        <v>139993.661971831</v>
      </c>
      <c r="J70" s="145">
        <f>((H70+H69)/G70)+F70</f>
        <v>131700</v>
      </c>
      <c r="K70" s="244">
        <f>H71</f>
        <v>196000</v>
      </c>
      <c r="L70" s="244">
        <f t="shared" si="21"/>
        <v>64300</v>
      </c>
      <c r="M70" s="244">
        <f t="shared" si="22"/>
        <v>34900</v>
      </c>
      <c r="N70" s="244">
        <f t="shared" si="18"/>
        <v>26606.338028169004</v>
      </c>
      <c r="O70" s="140">
        <f t="shared" si="23"/>
        <v>295400</v>
      </c>
      <c r="P70" s="130">
        <f t="shared" si="24"/>
        <v>0.11814488828706839</v>
      </c>
      <c r="Q70" s="130">
        <f t="shared" si="25"/>
        <v>9.0068849113639146E-2</v>
      </c>
      <c r="R70" s="83"/>
      <c r="S70" s="104"/>
    </row>
    <row r="71" spans="1:19" ht="14.25" hidden="1" customHeight="1" x14ac:dyDescent="0.25">
      <c r="A71" s="232"/>
      <c r="B71" s="224" t="str">
        <f t="shared" si="26"/>
        <v>CINTURON</v>
      </c>
      <c r="C71" s="241" t="str">
        <f>C69</f>
        <v>Cinturon de Basilisco</v>
      </c>
      <c r="D71" s="163" t="s">
        <v>476</v>
      </c>
      <c r="E71" s="163">
        <v>44</v>
      </c>
      <c r="F71" s="135">
        <f t="shared" si="20"/>
        <v>21175</v>
      </c>
      <c r="G71" s="242">
        <v>0.40500000000000003</v>
      </c>
      <c r="H71" s="243">
        <v>196000</v>
      </c>
      <c r="I71" s="135">
        <f>((I70+H69)/G71)+F71</f>
        <v>403628.48635019996</v>
      </c>
      <c r="J71" s="145">
        <f>((H71+H69)/G71)+F71</f>
        <v>541915.74074074067</v>
      </c>
      <c r="K71" s="244">
        <f>H72</f>
        <v>605000</v>
      </c>
      <c r="L71" s="244">
        <f t="shared" si="21"/>
        <v>63084.259259259328</v>
      </c>
      <c r="M71" s="244">
        <f t="shared" si="22"/>
        <v>-27665.740740740672</v>
      </c>
      <c r="N71" s="244">
        <f t="shared" si="18"/>
        <v>110621.51364980004</v>
      </c>
      <c r="O71" s="140">
        <f t="shared" si="23"/>
        <v>1372000</v>
      </c>
      <c r="P71" s="130">
        <f t="shared" si="24"/>
        <v>-2.0164534067595243E-2</v>
      </c>
      <c r="Q71" s="130">
        <f t="shared" si="25"/>
        <v>8.0627925400728884E-2</v>
      </c>
      <c r="R71" s="83"/>
      <c r="S71" s="104"/>
    </row>
    <row r="72" spans="1:19" ht="14.25" customHeight="1" x14ac:dyDescent="0.25">
      <c r="A72" s="232"/>
      <c r="B72" s="224" t="str">
        <f t="shared" si="26"/>
        <v>CINTURON</v>
      </c>
      <c r="C72" s="245" t="str">
        <f>C69</f>
        <v>Cinturon de Basilisco</v>
      </c>
      <c r="D72" s="163" t="s">
        <v>477</v>
      </c>
      <c r="E72" s="163">
        <v>110</v>
      </c>
      <c r="F72" s="135">
        <f t="shared" si="20"/>
        <v>132343.75</v>
      </c>
      <c r="G72" s="163">
        <v>0.3</v>
      </c>
      <c r="H72" s="243">
        <v>605000</v>
      </c>
      <c r="I72" s="135">
        <f>((I71+H69)/G72)+F72</f>
        <v>1527438.7045006666</v>
      </c>
      <c r="J72" s="145">
        <f>((H72+H69)/G72)+F72</f>
        <v>2198677.0833333335</v>
      </c>
      <c r="K72" s="244">
        <v>2800000</v>
      </c>
      <c r="L72" s="244">
        <f t="shared" si="21"/>
        <v>601322.91666666651</v>
      </c>
      <c r="M72" s="244">
        <f t="shared" si="22"/>
        <v>181322.91666666651</v>
      </c>
      <c r="N72" s="244">
        <f t="shared" si="18"/>
        <v>852561.29549933341</v>
      </c>
      <c r="O72" s="140">
        <f t="shared" si="23"/>
        <v>4235000</v>
      </c>
      <c r="P72" s="130">
        <f t="shared" si="24"/>
        <v>4.2815328610783118E-2</v>
      </c>
      <c r="Q72" s="130">
        <f t="shared" si="25"/>
        <v>0.20131317485226291</v>
      </c>
      <c r="R72" s="83"/>
      <c r="S72" s="104"/>
    </row>
    <row r="73" spans="1:19" ht="14.25" hidden="1" customHeight="1" x14ac:dyDescent="0.25">
      <c r="A73" s="232"/>
      <c r="B73" s="224" t="str">
        <f t="shared" si="26"/>
        <v>CINTURON</v>
      </c>
      <c r="C73" s="127" t="s">
        <v>499</v>
      </c>
      <c r="D73" s="127" t="s">
        <v>474</v>
      </c>
      <c r="E73" s="127">
        <v>20</v>
      </c>
      <c r="F73" s="136">
        <f t="shared" si="20"/>
        <v>4375</v>
      </c>
      <c r="G73" s="127">
        <v>0.71</v>
      </c>
      <c r="H73" s="136">
        <v>10400</v>
      </c>
      <c r="I73" s="136">
        <f>((H73*2)/G73)+F73</f>
        <v>33670.774647887331</v>
      </c>
      <c r="J73" s="146">
        <f>((H73*2)/G73)+F73</f>
        <v>33670.774647887331</v>
      </c>
      <c r="K73" s="143">
        <f>+H74</f>
        <v>27500</v>
      </c>
      <c r="L73" s="143">
        <f t="shared" si="21"/>
        <v>-6170.7746478873305</v>
      </c>
      <c r="M73" s="143">
        <f t="shared" si="22"/>
        <v>-10295.774647887331</v>
      </c>
      <c r="N73" s="143">
        <f t="shared" si="18"/>
        <v>-10295.774647887331</v>
      </c>
      <c r="O73" s="143">
        <f>H73*$L$2</f>
        <v>72800</v>
      </c>
      <c r="P73" s="130">
        <f t="shared" si="24"/>
        <v>-0.14142547593251828</v>
      </c>
      <c r="Q73" s="130">
        <f t="shared" si="25"/>
        <v>-0.14142547593251828</v>
      </c>
      <c r="R73" s="83"/>
      <c r="S73" s="104"/>
    </row>
    <row r="74" spans="1:19" ht="14.25" hidden="1" customHeight="1" x14ac:dyDescent="0.25">
      <c r="A74" s="232"/>
      <c r="B74" s="224" t="str">
        <f t="shared" si="26"/>
        <v>CINTURON</v>
      </c>
      <c r="C74" s="252" t="str">
        <f>C73</f>
        <v>Cinturon de Orkinrad</v>
      </c>
      <c r="D74" s="128" t="s">
        <v>475</v>
      </c>
      <c r="E74" s="128">
        <v>40</v>
      </c>
      <c r="F74" s="137">
        <f t="shared" si="20"/>
        <v>17500</v>
      </c>
      <c r="G74" s="235">
        <v>0.5</v>
      </c>
      <c r="H74" s="137">
        <v>27500</v>
      </c>
      <c r="I74" s="137">
        <f>((I73+H73)/G74)+F74</f>
        <v>105641.54929577466</v>
      </c>
      <c r="J74" s="147">
        <f>((H74+H73)/G74)+F74</f>
        <v>93300</v>
      </c>
      <c r="K74" s="144">
        <f>H75</f>
        <v>127000</v>
      </c>
      <c r="L74" s="144">
        <f t="shared" si="21"/>
        <v>33700</v>
      </c>
      <c r="M74" s="144">
        <f t="shared" si="22"/>
        <v>14650</v>
      </c>
      <c r="N74" s="144">
        <f t="shared" si="18"/>
        <v>2308.450704225339</v>
      </c>
      <c r="O74" s="144">
        <f>H74*$L$2</f>
        <v>192500</v>
      </c>
      <c r="P74" s="130">
        <f t="shared" si="24"/>
        <v>7.6103896103896104E-2</v>
      </c>
      <c r="Q74" s="130">
        <f t="shared" si="25"/>
        <v>1.1991951710261501E-2</v>
      </c>
      <c r="R74" s="83"/>
      <c r="S74" s="104"/>
    </row>
    <row r="75" spans="1:19" ht="14.25" hidden="1" customHeight="1" x14ac:dyDescent="0.25">
      <c r="A75" s="232"/>
      <c r="B75" s="224" t="str">
        <f t="shared" si="26"/>
        <v>CINTURON</v>
      </c>
      <c r="C75" s="133" t="str">
        <f>C73</f>
        <v>Cinturon de Orkinrad</v>
      </c>
      <c r="D75" s="128" t="s">
        <v>476</v>
      </c>
      <c r="E75" s="128">
        <v>44</v>
      </c>
      <c r="F75" s="137">
        <f t="shared" si="20"/>
        <v>21175</v>
      </c>
      <c r="G75" s="235">
        <v>0.40500000000000003</v>
      </c>
      <c r="H75" s="137">
        <v>127000</v>
      </c>
      <c r="I75" s="137">
        <f>((I74+H73)/G75)+F75</f>
        <v>307697.34394018434</v>
      </c>
      <c r="J75" s="147">
        <f>((H75+H73)/G75)+F75</f>
        <v>360434.25925925921</v>
      </c>
      <c r="K75" s="144">
        <f>H76</f>
        <v>360000</v>
      </c>
      <c r="L75" s="144">
        <f t="shared" si="21"/>
        <v>-434.25925925921183</v>
      </c>
      <c r="M75" s="144">
        <f t="shared" si="22"/>
        <v>-54434.259259259212</v>
      </c>
      <c r="N75" s="144">
        <f t="shared" si="18"/>
        <v>-1697.3439401843352</v>
      </c>
      <c r="O75" s="144">
        <f>H75*$L$2</f>
        <v>889000</v>
      </c>
      <c r="P75" s="130">
        <f t="shared" si="24"/>
        <v>-6.1230887805690901E-2</v>
      </c>
      <c r="Q75" s="130">
        <f t="shared" si="25"/>
        <v>-1.9092732735481836E-3</v>
      </c>
      <c r="R75" s="83"/>
      <c r="S75" s="104"/>
    </row>
    <row r="76" spans="1:19" ht="14.25" customHeight="1" x14ac:dyDescent="0.25">
      <c r="A76" s="232"/>
      <c r="B76" s="224" t="str">
        <f t="shared" si="26"/>
        <v>CINTURON</v>
      </c>
      <c r="C76" s="133" t="str">
        <f>C73</f>
        <v>Cinturon de Orkinrad</v>
      </c>
      <c r="D76" s="128" t="s">
        <v>477</v>
      </c>
      <c r="E76" s="128">
        <v>110</v>
      </c>
      <c r="F76" s="137">
        <f t="shared" si="20"/>
        <v>132343.75</v>
      </c>
      <c r="G76" s="128">
        <v>0.3</v>
      </c>
      <c r="H76" s="137">
        <v>360000</v>
      </c>
      <c r="I76" s="137">
        <f>((I75+H73)/G76)+F76</f>
        <v>1192668.2298006145</v>
      </c>
      <c r="J76" s="147">
        <f>((H76+H73)/G76)+F76</f>
        <v>1367010.4166666667</v>
      </c>
      <c r="K76" s="144">
        <v>1630000</v>
      </c>
      <c r="L76" s="144">
        <f t="shared" si="21"/>
        <v>262989.58333333326</v>
      </c>
      <c r="M76" s="144">
        <f t="shared" si="22"/>
        <v>18489.583333333256</v>
      </c>
      <c r="N76" s="144">
        <f t="shared" si="18"/>
        <v>192831.77019938547</v>
      </c>
      <c r="O76" s="144">
        <f>H76*$L$2</f>
        <v>2520000</v>
      </c>
      <c r="P76" s="130">
        <f t="shared" si="24"/>
        <v>7.3371362433862124E-3</v>
      </c>
      <c r="Q76" s="130">
        <f t="shared" si="25"/>
        <v>7.6520543729914875E-2</v>
      </c>
      <c r="R76" s="83"/>
      <c r="S76" s="104"/>
    </row>
    <row r="77" spans="1:19" ht="14.25" hidden="1" customHeight="1" x14ac:dyDescent="0.25">
      <c r="A77" s="149"/>
      <c r="B77" s="149" t="s">
        <v>562</v>
      </c>
      <c r="C77" s="5" t="s">
        <v>297</v>
      </c>
      <c r="D77" s="5" t="s">
        <v>474</v>
      </c>
      <c r="E77" s="79">
        <v>0</v>
      </c>
      <c r="F77" s="134">
        <v>0</v>
      </c>
      <c r="G77" s="5">
        <v>0.75</v>
      </c>
      <c r="H77" s="138">
        <v>214000</v>
      </c>
      <c r="I77" s="135">
        <f>(H77+13*8200)/G77</f>
        <v>427466.66666666669</v>
      </c>
      <c r="J77" s="145">
        <f>(H77+13*8200)/G77</f>
        <v>427466.66666666669</v>
      </c>
      <c r="K77" s="139">
        <f>+H78</f>
        <v>414000</v>
      </c>
      <c r="L77" s="140">
        <f t="shared" ref="L77:L92" si="27">K77-J77</f>
        <v>-13466.666666666686</v>
      </c>
      <c r="M77" s="140">
        <f t="shared" ref="M77:M92" si="28">K77*0.85-J77</f>
        <v>-75566.666666666686</v>
      </c>
      <c r="N77" s="140">
        <f t="shared" ref="N77:N92" si="29">K77*0.85-I77</f>
        <v>-75566.666666666686</v>
      </c>
      <c r="O77" s="139">
        <f t="shared" ref="O77:O92" si="30">H77*$L$2</f>
        <v>1498000</v>
      </c>
      <c r="P77" s="130">
        <f t="shared" ref="P77:P98" si="31">M77/O77</f>
        <v>-5.0445037828215411E-2</v>
      </c>
      <c r="Q77" s="130">
        <f t="shared" ref="Q77:Q98" si="32">N77/O77</f>
        <v>-5.0445037828215411E-2</v>
      </c>
      <c r="R77" s="83"/>
      <c r="S77" s="104"/>
    </row>
    <row r="78" spans="1:19" ht="14.25" hidden="1" customHeight="1" x14ac:dyDescent="0.25">
      <c r="A78" s="149"/>
      <c r="B78" s="224" t="str">
        <f t="shared" ref="B78:B92" si="33">+B77</f>
        <v>MANOS</v>
      </c>
      <c r="C78" s="132" t="str">
        <f>C77</f>
        <v>Cinturon de Manos</v>
      </c>
      <c r="D78" s="52" t="s">
        <v>475</v>
      </c>
      <c r="E78" s="52">
        <v>0</v>
      </c>
      <c r="F78" s="135">
        <v>0</v>
      </c>
      <c r="G78" s="52">
        <v>0.45</v>
      </c>
      <c r="H78" s="135">
        <v>414000</v>
      </c>
      <c r="I78" s="135">
        <f>(I77+13*8200)/G78</f>
        <v>1186814.8148148151</v>
      </c>
      <c r="J78" s="145">
        <f>((H78+H77)/G78)+F78</f>
        <v>1395555.5555555555</v>
      </c>
      <c r="K78" s="140">
        <f>H79</f>
        <v>1100000</v>
      </c>
      <c r="L78" s="140">
        <f t="shared" si="27"/>
        <v>-295555.5555555555</v>
      </c>
      <c r="M78" s="140">
        <f t="shared" si="28"/>
        <v>-460555.5555555555</v>
      </c>
      <c r="N78" s="140">
        <f t="shared" si="29"/>
        <v>-251814.81481481506</v>
      </c>
      <c r="O78" s="140">
        <f t="shared" si="30"/>
        <v>2898000</v>
      </c>
      <c r="P78" s="130">
        <f t="shared" si="31"/>
        <v>-0.15892186182041254</v>
      </c>
      <c r="Q78" s="130">
        <f t="shared" si="32"/>
        <v>-8.6892620709045923E-2</v>
      </c>
      <c r="R78" s="83"/>
      <c r="S78" s="104"/>
    </row>
    <row r="79" spans="1:19" ht="14.25" hidden="1" customHeight="1" x14ac:dyDescent="0.25">
      <c r="A79" s="149"/>
      <c r="B79" s="224" t="str">
        <f t="shared" si="33"/>
        <v>MANOS</v>
      </c>
      <c r="C79" s="132" t="str">
        <f>C77</f>
        <v>Cinturon de Manos</v>
      </c>
      <c r="D79" s="52" t="s">
        <v>476</v>
      </c>
      <c r="E79" s="52">
        <v>0</v>
      </c>
      <c r="F79" s="135">
        <v>0</v>
      </c>
      <c r="G79" s="129">
        <v>0.3</v>
      </c>
      <c r="H79" s="135">
        <v>1100000</v>
      </c>
      <c r="I79" s="135">
        <f>(I78+13*8200)/G79</f>
        <v>4311382.7160493834</v>
      </c>
      <c r="J79" s="145">
        <f>((H79+H77)/G79)+F79</f>
        <v>4380000</v>
      </c>
      <c r="K79" s="140">
        <f>H80</f>
        <v>4170000</v>
      </c>
      <c r="L79" s="140">
        <f t="shared" si="27"/>
        <v>-210000</v>
      </c>
      <c r="M79" s="140">
        <f t="shared" si="28"/>
        <v>-835500</v>
      </c>
      <c r="N79" s="140">
        <f t="shared" si="29"/>
        <v>-766882.71604938339</v>
      </c>
      <c r="O79" s="140">
        <f t="shared" si="30"/>
        <v>7700000</v>
      </c>
      <c r="P79" s="130">
        <f t="shared" si="31"/>
        <v>-0.10850649350649351</v>
      </c>
      <c r="Q79" s="130">
        <f t="shared" si="32"/>
        <v>-9.9595157928491357E-2</v>
      </c>
      <c r="R79" s="83"/>
      <c r="S79" s="104"/>
    </row>
    <row r="80" spans="1:19" ht="14.25" hidden="1" customHeight="1" thickBot="1" x14ac:dyDescent="0.3">
      <c r="A80" s="131"/>
      <c r="B80" s="224" t="str">
        <f t="shared" si="33"/>
        <v>MANOS</v>
      </c>
      <c r="C80" s="132" t="str">
        <f>C77</f>
        <v>Cinturon de Manos</v>
      </c>
      <c r="D80" s="52" t="s">
        <v>477</v>
      </c>
      <c r="E80" s="52">
        <v>0</v>
      </c>
      <c r="F80" s="135">
        <v>0</v>
      </c>
      <c r="G80" s="52">
        <v>0.15</v>
      </c>
      <c r="H80" s="135">
        <v>4170000</v>
      </c>
      <c r="I80" s="135">
        <f>(I79+13*8200)/G80</f>
        <v>29453218.106995892</v>
      </c>
      <c r="J80" s="145">
        <f>((H80+H77)/G80)+F80</f>
        <v>29226666.666666668</v>
      </c>
      <c r="K80" s="140">
        <v>19400000</v>
      </c>
      <c r="L80" s="140">
        <f t="shared" si="27"/>
        <v>-9826666.6666666679</v>
      </c>
      <c r="M80" s="140">
        <f t="shared" si="28"/>
        <v>-12736666.666666668</v>
      </c>
      <c r="N80" s="140">
        <f t="shared" si="29"/>
        <v>-12963218.106995892</v>
      </c>
      <c r="O80" s="140">
        <f t="shared" si="30"/>
        <v>29190000</v>
      </c>
      <c r="P80" s="130">
        <f t="shared" si="31"/>
        <v>-0.43633664496973856</v>
      </c>
      <c r="Q80" s="130">
        <f t="shared" si="32"/>
        <v>-0.44409791390873216</v>
      </c>
      <c r="R80" s="83"/>
      <c r="S80" s="104"/>
    </row>
    <row r="81" spans="1:19" ht="14.25" hidden="1" customHeight="1" x14ac:dyDescent="0.25">
      <c r="A81" s="131"/>
      <c r="B81" s="224" t="str">
        <f t="shared" si="33"/>
        <v>MANOS</v>
      </c>
      <c r="C81" s="126" t="s">
        <v>298</v>
      </c>
      <c r="D81" s="126" t="s">
        <v>474</v>
      </c>
      <c r="E81" s="127">
        <v>0</v>
      </c>
      <c r="F81" s="136">
        <v>0</v>
      </c>
      <c r="G81" s="126">
        <v>0.75</v>
      </c>
      <c r="H81" s="141">
        <v>210000</v>
      </c>
      <c r="I81" s="136">
        <f>(H81+13*8200)/G81</f>
        <v>422133.33333333331</v>
      </c>
      <c r="J81" s="146">
        <f>(H81+13*8200)/G81</f>
        <v>422133.33333333331</v>
      </c>
      <c r="K81" s="142">
        <f>+H82</f>
        <v>421000</v>
      </c>
      <c r="L81" s="143">
        <f>K81-J81</f>
        <v>-1133.3333333333139</v>
      </c>
      <c r="M81" s="143">
        <f t="shared" si="28"/>
        <v>-64283.333333333314</v>
      </c>
      <c r="N81" s="143">
        <f t="shared" si="29"/>
        <v>-64283.333333333314</v>
      </c>
      <c r="O81" s="142">
        <f t="shared" si="30"/>
        <v>1470000</v>
      </c>
      <c r="P81" s="130">
        <f t="shared" si="31"/>
        <v>-4.3730158730158716E-2</v>
      </c>
      <c r="Q81" s="130">
        <f t="shared" si="32"/>
        <v>-4.3730158730158716E-2</v>
      </c>
      <c r="R81" s="83"/>
      <c r="S81" s="104"/>
    </row>
    <row r="82" spans="1:19" ht="14.25" hidden="1" customHeight="1" x14ac:dyDescent="0.25">
      <c r="A82" s="131"/>
      <c r="B82" s="224" t="str">
        <f t="shared" si="33"/>
        <v>MANOS</v>
      </c>
      <c r="C82" s="133" t="str">
        <f>C81</f>
        <v>Arete de Manos</v>
      </c>
      <c r="D82" s="128" t="s">
        <v>475</v>
      </c>
      <c r="E82" s="128">
        <v>0</v>
      </c>
      <c r="F82" s="137">
        <v>0</v>
      </c>
      <c r="G82" s="128">
        <v>0.45</v>
      </c>
      <c r="H82" s="137">
        <v>421000</v>
      </c>
      <c r="I82" s="137">
        <f>(I81+13*8200)/G82</f>
        <v>1174962.9629629627</v>
      </c>
      <c r="J82" s="147">
        <f>((H82+H81)/G82)+F82</f>
        <v>1402222.2222222222</v>
      </c>
      <c r="K82" s="144">
        <f>H83</f>
        <v>1120000</v>
      </c>
      <c r="L82" s="144">
        <f t="shared" si="27"/>
        <v>-282222.22222222225</v>
      </c>
      <c r="M82" s="144">
        <f t="shared" si="28"/>
        <v>-450222.22222222225</v>
      </c>
      <c r="N82" s="144">
        <f t="shared" si="29"/>
        <v>-222962.96296296269</v>
      </c>
      <c r="O82" s="144">
        <f t="shared" si="30"/>
        <v>2947000</v>
      </c>
      <c r="P82" s="130">
        <f t="shared" si="31"/>
        <v>-0.15277306488707915</v>
      </c>
      <c r="Q82" s="130">
        <f t="shared" si="32"/>
        <v>-7.5657605348816659E-2</v>
      </c>
      <c r="R82" s="83"/>
      <c r="S82" s="104"/>
    </row>
    <row r="83" spans="1:19" ht="14.25" hidden="1" customHeight="1" x14ac:dyDescent="0.25">
      <c r="A83" s="131"/>
      <c r="B83" s="224" t="str">
        <f t="shared" si="33"/>
        <v>MANOS</v>
      </c>
      <c r="C83" s="133" t="str">
        <f>C81</f>
        <v>Arete de Manos</v>
      </c>
      <c r="D83" s="128" t="s">
        <v>476</v>
      </c>
      <c r="E83" s="128">
        <v>0</v>
      </c>
      <c r="F83" s="137">
        <v>0</v>
      </c>
      <c r="G83" s="128">
        <v>0.3</v>
      </c>
      <c r="H83" s="137">
        <v>1120000</v>
      </c>
      <c r="I83" s="137">
        <f>(I82+13*8200)/G83</f>
        <v>4271876.5432098759</v>
      </c>
      <c r="J83" s="147">
        <f>((H83+H81)/G83)+F83</f>
        <v>4433333.333333334</v>
      </c>
      <c r="K83" s="144">
        <f>H84</f>
        <v>4160000</v>
      </c>
      <c r="L83" s="144">
        <f t="shared" si="27"/>
        <v>-273333.33333333395</v>
      </c>
      <c r="M83" s="144">
        <f t="shared" si="28"/>
        <v>-897333.33333333395</v>
      </c>
      <c r="N83" s="144">
        <f t="shared" si="29"/>
        <v>-735876.54320987593</v>
      </c>
      <c r="O83" s="144">
        <f t="shared" si="30"/>
        <v>7840000</v>
      </c>
      <c r="P83" s="130">
        <f t="shared" si="31"/>
        <v>-0.11445578231292525</v>
      </c>
      <c r="Q83" s="130">
        <f t="shared" si="32"/>
        <v>-9.3861803980851519E-2</v>
      </c>
      <c r="R83" s="83"/>
      <c r="S83" s="104"/>
    </row>
    <row r="84" spans="1:19" ht="14.25" hidden="1" customHeight="1" thickBot="1" x14ac:dyDescent="0.3">
      <c r="A84" s="131"/>
      <c r="B84" s="224" t="str">
        <f t="shared" si="33"/>
        <v>MANOS</v>
      </c>
      <c r="C84" s="133" t="str">
        <f>C81</f>
        <v>Arete de Manos</v>
      </c>
      <c r="D84" s="128" t="s">
        <v>477</v>
      </c>
      <c r="E84" s="128">
        <v>0</v>
      </c>
      <c r="F84" s="137">
        <v>0</v>
      </c>
      <c r="G84" s="128">
        <v>0.15</v>
      </c>
      <c r="H84" s="137">
        <v>4160000</v>
      </c>
      <c r="I84" s="137">
        <f>(I83+13*8200)/G84</f>
        <v>29189843.621399175</v>
      </c>
      <c r="J84" s="147">
        <f>((H84+H81)/G84)+F84</f>
        <v>29133333.333333336</v>
      </c>
      <c r="K84" s="144">
        <v>17400000</v>
      </c>
      <c r="L84" s="144">
        <f t="shared" si="27"/>
        <v>-11733333.333333336</v>
      </c>
      <c r="M84" s="144">
        <f t="shared" si="28"/>
        <v>-14343333.333333336</v>
      </c>
      <c r="N84" s="144">
        <f t="shared" si="29"/>
        <v>-14399843.621399175</v>
      </c>
      <c r="O84" s="144">
        <f t="shared" si="30"/>
        <v>29120000</v>
      </c>
      <c r="P84" s="130">
        <f t="shared" si="31"/>
        <v>-0.49255952380952389</v>
      </c>
      <c r="Q84" s="130">
        <f t="shared" si="32"/>
        <v>-0.49450012436123542</v>
      </c>
      <c r="R84" s="83"/>
      <c r="S84" s="104"/>
    </row>
    <row r="85" spans="1:19" ht="14.25" hidden="1" customHeight="1" x14ac:dyDescent="0.25">
      <c r="A85" s="131"/>
      <c r="B85" s="224" t="str">
        <f t="shared" si="33"/>
        <v>MANOS</v>
      </c>
      <c r="C85" s="5" t="s">
        <v>296</v>
      </c>
      <c r="D85" s="5" t="s">
        <v>474</v>
      </c>
      <c r="E85" s="79">
        <v>0</v>
      </c>
      <c r="F85" s="134">
        <v>0</v>
      </c>
      <c r="G85" s="5">
        <v>0.75</v>
      </c>
      <c r="H85" s="138">
        <v>204000</v>
      </c>
      <c r="I85" s="145">
        <f>(H85+13*8200)/G85</f>
        <v>414133.33333333331</v>
      </c>
      <c r="J85" s="145">
        <f>(H85+13*8200)/G85</f>
        <v>414133.33333333331</v>
      </c>
      <c r="K85" s="139">
        <f>+H86</f>
        <v>393000</v>
      </c>
      <c r="L85" s="140">
        <f t="shared" si="27"/>
        <v>-21133.333333333314</v>
      </c>
      <c r="M85" s="140">
        <f t="shared" si="28"/>
        <v>-80083.333333333314</v>
      </c>
      <c r="N85" s="140">
        <f t="shared" si="29"/>
        <v>-80083.333333333314</v>
      </c>
      <c r="O85" s="139">
        <f t="shared" si="30"/>
        <v>1428000</v>
      </c>
      <c r="P85" s="130">
        <f t="shared" si="31"/>
        <v>-5.6080765639589157E-2</v>
      </c>
      <c r="Q85" s="130">
        <f t="shared" si="32"/>
        <v>-5.6080765639589157E-2</v>
      </c>
      <c r="R85" s="83"/>
      <c r="S85" s="104"/>
    </row>
    <row r="86" spans="1:19" ht="14.25" hidden="1" customHeight="1" x14ac:dyDescent="0.25">
      <c r="A86" s="131"/>
      <c r="B86" s="224" t="str">
        <f t="shared" si="33"/>
        <v>MANOS</v>
      </c>
      <c r="C86" s="132" t="str">
        <f>C85</f>
        <v>Collar de Manos</v>
      </c>
      <c r="D86" s="52" t="s">
        <v>475</v>
      </c>
      <c r="E86" s="52">
        <v>0</v>
      </c>
      <c r="F86" s="135">
        <v>0</v>
      </c>
      <c r="G86" s="52">
        <v>0.45</v>
      </c>
      <c r="H86" s="135">
        <v>393000</v>
      </c>
      <c r="I86" s="135">
        <f>(I85+13*8200)/G86</f>
        <v>1157185.1851851852</v>
      </c>
      <c r="J86" s="145">
        <f>((H86+H85)/G86)+F86</f>
        <v>1326666.6666666667</v>
      </c>
      <c r="K86" s="140">
        <f>H87</f>
        <v>1020000</v>
      </c>
      <c r="L86" s="140">
        <f t="shared" si="27"/>
        <v>-306666.66666666674</v>
      </c>
      <c r="M86" s="140">
        <f t="shared" si="28"/>
        <v>-459666.66666666674</v>
      </c>
      <c r="N86" s="140">
        <f t="shared" si="29"/>
        <v>-290185.18518518517</v>
      </c>
      <c r="O86" s="140">
        <f t="shared" si="30"/>
        <v>2751000</v>
      </c>
      <c r="P86" s="130">
        <f t="shared" si="31"/>
        <v>-0.16709075487701444</v>
      </c>
      <c r="Q86" s="130">
        <f t="shared" si="32"/>
        <v>-0.10548352787538537</v>
      </c>
      <c r="R86" s="83"/>
      <c r="S86" s="104"/>
    </row>
    <row r="87" spans="1:19" ht="14.25" hidden="1" customHeight="1" x14ac:dyDescent="0.25">
      <c r="A87" s="131"/>
      <c r="B87" s="224" t="str">
        <f t="shared" si="33"/>
        <v>MANOS</v>
      </c>
      <c r="C87" s="132" t="str">
        <f>C85</f>
        <v>Collar de Manos</v>
      </c>
      <c r="D87" s="52" t="s">
        <v>476</v>
      </c>
      <c r="E87" s="52">
        <v>0</v>
      </c>
      <c r="F87" s="135">
        <v>0</v>
      </c>
      <c r="G87" s="129">
        <v>0.3</v>
      </c>
      <c r="H87" s="135">
        <v>1020000</v>
      </c>
      <c r="I87" s="135">
        <f>(I86+13*8200)/G87</f>
        <v>4212617.2839506175</v>
      </c>
      <c r="J87" s="145">
        <f>((H87+H85)/G87)+F87</f>
        <v>4080000</v>
      </c>
      <c r="K87" s="140">
        <f>H88</f>
        <v>3920000</v>
      </c>
      <c r="L87" s="140">
        <f t="shared" si="27"/>
        <v>-160000</v>
      </c>
      <c r="M87" s="140">
        <f t="shared" si="28"/>
        <v>-748000</v>
      </c>
      <c r="N87" s="140">
        <f t="shared" si="29"/>
        <v>-880617.28395061754</v>
      </c>
      <c r="O87" s="140">
        <f t="shared" si="30"/>
        <v>7140000</v>
      </c>
      <c r="P87" s="130">
        <f t="shared" si="31"/>
        <v>-0.10476190476190476</v>
      </c>
      <c r="Q87" s="130">
        <f t="shared" si="32"/>
        <v>-0.12333575405470834</v>
      </c>
      <c r="R87" s="83"/>
      <c r="S87" s="104"/>
    </row>
    <row r="88" spans="1:19" ht="14.25" hidden="1" customHeight="1" thickBot="1" x14ac:dyDescent="0.3">
      <c r="A88" s="131"/>
      <c r="B88" s="224" t="str">
        <f t="shared" si="33"/>
        <v>MANOS</v>
      </c>
      <c r="C88" s="132" t="str">
        <f>C85</f>
        <v>Collar de Manos</v>
      </c>
      <c r="D88" s="52" t="s">
        <v>477</v>
      </c>
      <c r="E88" s="52">
        <v>0</v>
      </c>
      <c r="F88" s="135">
        <v>0</v>
      </c>
      <c r="G88" s="52">
        <v>0.15</v>
      </c>
      <c r="H88" s="135">
        <v>3920000</v>
      </c>
      <c r="I88" s="135">
        <f>(I87+13*8200)/G88</f>
        <v>28794781.893004119</v>
      </c>
      <c r="J88" s="145">
        <f>((H88+H85)/G88)+F88</f>
        <v>27493333.333333336</v>
      </c>
      <c r="K88" s="140">
        <v>7750000</v>
      </c>
      <c r="L88" s="140">
        <f t="shared" si="27"/>
        <v>-19743333.333333336</v>
      </c>
      <c r="M88" s="140">
        <f t="shared" si="28"/>
        <v>-20905833.333333336</v>
      </c>
      <c r="N88" s="140">
        <f t="shared" si="29"/>
        <v>-22207281.893004119</v>
      </c>
      <c r="O88" s="140">
        <f t="shared" si="30"/>
        <v>27440000</v>
      </c>
      <c r="P88" s="130">
        <f t="shared" si="31"/>
        <v>-0.76187439261418866</v>
      </c>
      <c r="Q88" s="130">
        <f t="shared" si="32"/>
        <v>-0.80930327598411511</v>
      </c>
      <c r="R88" s="83"/>
      <c r="S88" s="104"/>
    </row>
    <row r="89" spans="1:19" ht="14.25" hidden="1" customHeight="1" x14ac:dyDescent="0.25">
      <c r="A89" s="131"/>
      <c r="B89" s="224" t="str">
        <f t="shared" si="33"/>
        <v>MANOS</v>
      </c>
      <c r="C89" s="126" t="s">
        <v>294</v>
      </c>
      <c r="D89" s="126" t="s">
        <v>474</v>
      </c>
      <c r="E89" s="127">
        <v>0</v>
      </c>
      <c r="F89" s="136">
        <v>0</v>
      </c>
      <c r="G89" s="126">
        <v>0.75</v>
      </c>
      <c r="H89" s="141">
        <v>215000</v>
      </c>
      <c r="I89" s="136">
        <f>(H89+13*8200)/G89</f>
        <v>428800</v>
      </c>
      <c r="J89" s="146">
        <f>(H89+13*8200)/G89</f>
        <v>428800</v>
      </c>
      <c r="K89" s="142">
        <f>+H90</f>
        <v>417000</v>
      </c>
      <c r="L89" s="143">
        <f>K89-J89</f>
        <v>-11800</v>
      </c>
      <c r="M89" s="143">
        <f t="shared" si="28"/>
        <v>-74350</v>
      </c>
      <c r="N89" s="143">
        <f t="shared" si="29"/>
        <v>-74350</v>
      </c>
      <c r="O89" s="142">
        <f t="shared" si="30"/>
        <v>1505000</v>
      </c>
      <c r="P89" s="130">
        <f t="shared" si="31"/>
        <v>-4.9401993355481726E-2</v>
      </c>
      <c r="Q89" s="130">
        <f t="shared" si="32"/>
        <v>-4.9401993355481726E-2</v>
      </c>
      <c r="R89" s="83"/>
      <c r="S89" s="104"/>
    </row>
    <row r="90" spans="1:19" ht="14.25" hidden="1" customHeight="1" x14ac:dyDescent="0.25">
      <c r="A90" s="131"/>
      <c r="B90" s="224" t="str">
        <f t="shared" si="33"/>
        <v>MANOS</v>
      </c>
      <c r="C90" s="133" t="str">
        <f>C89</f>
        <v>Anillo de Manos</v>
      </c>
      <c r="D90" s="128" t="s">
        <v>475</v>
      </c>
      <c r="E90" s="128">
        <v>0</v>
      </c>
      <c r="F90" s="137">
        <v>0</v>
      </c>
      <c r="G90" s="128">
        <v>0.45</v>
      </c>
      <c r="H90" s="137">
        <v>417000</v>
      </c>
      <c r="I90" s="137">
        <f>(I89+13*8200)/G90</f>
        <v>1189777.7777777778</v>
      </c>
      <c r="J90" s="147">
        <f>((H90+H89)/G90)+F90</f>
        <v>1404444.4444444445</v>
      </c>
      <c r="K90" s="144">
        <f>H91</f>
        <v>1180000</v>
      </c>
      <c r="L90" s="144">
        <f t="shared" si="27"/>
        <v>-224444.4444444445</v>
      </c>
      <c r="M90" s="144">
        <f t="shared" si="28"/>
        <v>-401444.4444444445</v>
      </c>
      <c r="N90" s="144">
        <f t="shared" si="29"/>
        <v>-186777.77777777775</v>
      </c>
      <c r="O90" s="144">
        <f t="shared" si="30"/>
        <v>2919000</v>
      </c>
      <c r="P90" s="130">
        <f t="shared" si="31"/>
        <v>-0.13752807277987136</v>
      </c>
      <c r="Q90" s="130">
        <f t="shared" si="32"/>
        <v>-6.3986905713524403E-2</v>
      </c>
      <c r="R90" s="83"/>
      <c r="S90" s="104"/>
    </row>
    <row r="91" spans="1:19" ht="14.25" hidden="1" customHeight="1" x14ac:dyDescent="0.25">
      <c r="A91" s="131"/>
      <c r="B91" s="224" t="str">
        <f t="shared" si="33"/>
        <v>MANOS</v>
      </c>
      <c r="C91" s="133" t="str">
        <f>C89</f>
        <v>Anillo de Manos</v>
      </c>
      <c r="D91" s="128" t="s">
        <v>476</v>
      </c>
      <c r="E91" s="128">
        <v>0</v>
      </c>
      <c r="F91" s="137">
        <v>0</v>
      </c>
      <c r="G91" s="128">
        <v>0.3</v>
      </c>
      <c r="H91" s="137">
        <v>1180000</v>
      </c>
      <c r="I91" s="137">
        <f>(I90+13*8200)/G91</f>
        <v>4321259.2592592593</v>
      </c>
      <c r="J91" s="147">
        <f>((H91+H89)/G91)+F91</f>
        <v>4650000</v>
      </c>
      <c r="K91" s="144">
        <f>H92</f>
        <v>3990000</v>
      </c>
      <c r="L91" s="144">
        <f t="shared" si="27"/>
        <v>-660000</v>
      </c>
      <c r="M91" s="144">
        <f t="shared" si="28"/>
        <v>-1258500</v>
      </c>
      <c r="N91" s="144">
        <f t="shared" si="29"/>
        <v>-929759.25925925933</v>
      </c>
      <c r="O91" s="144">
        <f t="shared" si="30"/>
        <v>8260000</v>
      </c>
      <c r="P91" s="130">
        <f t="shared" si="31"/>
        <v>-0.15236077481840193</v>
      </c>
      <c r="Q91" s="130">
        <f t="shared" si="32"/>
        <v>-0.11256165366334858</v>
      </c>
      <c r="R91" s="83"/>
      <c r="S91" s="104"/>
    </row>
    <row r="92" spans="1:19" ht="14.25" hidden="1" customHeight="1" x14ac:dyDescent="0.25">
      <c r="A92" s="131"/>
      <c r="B92" s="224" t="str">
        <f t="shared" si="33"/>
        <v>MANOS</v>
      </c>
      <c r="C92" s="133" t="str">
        <f>C89</f>
        <v>Anillo de Manos</v>
      </c>
      <c r="D92" s="128" t="s">
        <v>477</v>
      </c>
      <c r="E92" s="128">
        <v>0</v>
      </c>
      <c r="F92" s="137">
        <v>0</v>
      </c>
      <c r="G92" s="128">
        <v>0.15</v>
      </c>
      <c r="H92" s="137">
        <v>3990000</v>
      </c>
      <c r="I92" s="137">
        <f>(I91+13*8200)/G92</f>
        <v>29519061.728395063</v>
      </c>
      <c r="J92" s="147">
        <f>((H92+H89)/G92)+F92</f>
        <v>28033333.333333336</v>
      </c>
      <c r="K92" s="144">
        <v>16600000</v>
      </c>
      <c r="L92" s="144">
        <f t="shared" si="27"/>
        <v>-11433333.333333336</v>
      </c>
      <c r="M92" s="144">
        <f t="shared" si="28"/>
        <v>-13923333.333333336</v>
      </c>
      <c r="N92" s="144">
        <f t="shared" si="29"/>
        <v>-15409061.728395063</v>
      </c>
      <c r="O92" s="144">
        <f t="shared" si="30"/>
        <v>27930000</v>
      </c>
      <c r="P92" s="130">
        <f t="shared" si="31"/>
        <v>-0.49850817519990459</v>
      </c>
      <c r="Q92" s="130">
        <f t="shared" si="32"/>
        <v>-0.55170289038292386</v>
      </c>
      <c r="R92" s="83"/>
      <c r="S92" s="104"/>
    </row>
    <row r="93" spans="1:19" ht="14.25" hidden="1" customHeight="1" x14ac:dyDescent="0.25">
      <c r="A93" s="149"/>
      <c r="B93" s="149" t="s">
        <v>512</v>
      </c>
      <c r="C93" s="5" t="s">
        <v>525</v>
      </c>
      <c r="D93" s="221" t="s">
        <v>542</v>
      </c>
      <c r="E93" s="79">
        <v>20</v>
      </c>
      <c r="F93" s="134">
        <f t="shared" ref="F93:F95" si="34">($P$2*30)</f>
        <v>1500</v>
      </c>
      <c r="G93" s="5">
        <v>7.4999999999999997E-2</v>
      </c>
      <c r="H93" s="138">
        <v>950000</v>
      </c>
      <c r="I93" s="145">
        <f>(((5*$T$2)*2/G93)-(5*$T$2)*2+F93)+H93</f>
        <v>1185833.3333333333</v>
      </c>
      <c r="J93" s="145">
        <f>((5*$T$2*2)/G93-(5*$T$2*2)+F93)+H93</f>
        <v>1185833.3333333333</v>
      </c>
      <c r="K93" s="139">
        <f>+H94</f>
        <v>1260000</v>
      </c>
      <c r="L93" s="140">
        <f>K93-J93</f>
        <v>74166.666666666744</v>
      </c>
      <c r="M93" s="140">
        <f>K93*0.85-J93</f>
        <v>-114833.33333333326</v>
      </c>
      <c r="N93" s="140">
        <f>K93*0.85-I93</f>
        <v>-114833.33333333326</v>
      </c>
      <c r="O93" s="139">
        <f>H93*$L$2/2</f>
        <v>3325000</v>
      </c>
      <c r="P93" s="130">
        <f t="shared" si="31"/>
        <v>-3.4536340852130303E-2</v>
      </c>
      <c r="Q93" s="130">
        <f t="shared" si="32"/>
        <v>-3.4536340852130303E-2</v>
      </c>
      <c r="R93" s="83"/>
      <c r="S93" s="104"/>
    </row>
    <row r="94" spans="1:19" ht="14.25" hidden="1" customHeight="1" x14ac:dyDescent="0.25">
      <c r="A94" s="149"/>
      <c r="B94" s="224" t="str">
        <f t="shared" ref="B94:B95" si="35">+B93</f>
        <v>Arma Principal</v>
      </c>
      <c r="C94" s="132" t="str">
        <f>+C93</f>
        <v>BlackStar</v>
      </c>
      <c r="D94" s="222" t="s">
        <v>543</v>
      </c>
      <c r="E94" s="52">
        <v>20</v>
      </c>
      <c r="F94" s="135">
        <f t="shared" si="34"/>
        <v>1500</v>
      </c>
      <c r="G94" s="52">
        <v>0.06</v>
      </c>
      <c r="H94" s="135">
        <v>1260000</v>
      </c>
      <c r="I94" s="145">
        <f t="shared" ref="I94:I95" si="36">(((5*$T$2)*2/G94)-(5*$T$2)*2+F94)+H94</f>
        <v>1559166.6666666667</v>
      </c>
      <c r="J94" s="145">
        <f t="shared" ref="J94:J95" si="37">((5*$T$2*2)/G94-(5*$T$2*2)+F94)+H94</f>
        <v>1559166.6666666667</v>
      </c>
      <c r="K94" s="140">
        <f t="shared" ref="K94:K97" si="38">+H95</f>
        <v>1830000</v>
      </c>
      <c r="L94" s="140">
        <f t="shared" ref="L94:L98" si="39">K94-J94</f>
        <v>270833.33333333326</v>
      </c>
      <c r="M94" s="140">
        <f t="shared" ref="M94:M95" si="40">K94*0.85-J94</f>
        <v>-3666.6666666667443</v>
      </c>
      <c r="N94" s="140">
        <f>K94*0.85-I94</f>
        <v>-3666.6666666667443</v>
      </c>
      <c r="O94" s="140">
        <f>H94*$L$2/2</f>
        <v>4410000</v>
      </c>
      <c r="P94" s="130">
        <f t="shared" si="31"/>
        <v>-8.3144368858656338E-4</v>
      </c>
      <c r="Q94" s="130">
        <f t="shared" si="32"/>
        <v>-8.3144368858656338E-4</v>
      </c>
      <c r="R94" s="83"/>
      <c r="S94" s="104"/>
    </row>
    <row r="95" spans="1:19" ht="14.25" hidden="1" customHeight="1" x14ac:dyDescent="0.25">
      <c r="A95" s="149"/>
      <c r="B95" s="224" t="str">
        <f t="shared" si="35"/>
        <v>Arma Principal</v>
      </c>
      <c r="C95" s="132" t="str">
        <f t="shared" ref="C95:C98" si="41">+C94</f>
        <v>BlackStar</v>
      </c>
      <c r="D95" s="52" t="s">
        <v>474</v>
      </c>
      <c r="E95" s="52">
        <v>25</v>
      </c>
      <c r="F95" s="135">
        <f t="shared" si="34"/>
        <v>1500</v>
      </c>
      <c r="G95" s="52">
        <v>0.4577</v>
      </c>
      <c r="H95" s="135">
        <v>1830000</v>
      </c>
      <c r="I95" s="145">
        <f t="shared" si="36"/>
        <v>1854011.9073629014</v>
      </c>
      <c r="J95" s="145">
        <f t="shared" si="37"/>
        <v>1854011.9073629014</v>
      </c>
      <c r="K95" s="140">
        <f t="shared" si="38"/>
        <v>1890000</v>
      </c>
      <c r="L95" s="140">
        <f>K95-J95</f>
        <v>35988.092637098627</v>
      </c>
      <c r="M95" s="140">
        <f t="shared" si="40"/>
        <v>-247511.90736290137</v>
      </c>
      <c r="N95" s="140">
        <f>K95*0.85-I95</f>
        <v>-247511.90736290137</v>
      </c>
      <c r="O95" s="140">
        <f t="shared" ref="O95:O157" si="42">H95*$L$2/2</f>
        <v>6405000</v>
      </c>
      <c r="P95" s="130">
        <f t="shared" si="31"/>
        <v>-3.8643545255722306E-2</v>
      </c>
      <c r="Q95" s="130">
        <f t="shared" si="32"/>
        <v>-3.8643545255722306E-2</v>
      </c>
      <c r="R95" s="83"/>
      <c r="S95" s="104"/>
    </row>
    <row r="96" spans="1:19" ht="14.25" hidden="1" customHeight="1" x14ac:dyDescent="0.25">
      <c r="A96" s="149"/>
      <c r="B96" s="224" t="str">
        <f t="shared" ref="B96:B159" si="43">+B95</f>
        <v>Arma Principal</v>
      </c>
      <c r="C96" s="132" t="str">
        <f t="shared" si="41"/>
        <v>BlackStar</v>
      </c>
      <c r="D96" s="52" t="s">
        <v>475</v>
      </c>
      <c r="E96" s="52">
        <v>35</v>
      </c>
      <c r="F96" s="135">
        <f t="shared" ref="F96" si="44">($P$2*350)</f>
        <v>17500</v>
      </c>
      <c r="G96" s="52">
        <v>0.47810000000000002</v>
      </c>
      <c r="H96" s="135">
        <v>1890000</v>
      </c>
      <c r="I96" s="145">
        <f>(5*$T$2*2+I95)/G96-(5*$T$2*2+I95)+F96+I95</f>
        <v>3916115.3678370658</v>
      </c>
      <c r="J96" s="145">
        <f>(5*$T$2*2+H96)/G96-(5*$T$2*2+H96)+F96+H96</f>
        <v>3991388.517046643</v>
      </c>
      <c r="K96" s="140">
        <f t="shared" si="38"/>
        <v>2130000</v>
      </c>
      <c r="L96" s="140">
        <f t="shared" si="39"/>
        <v>-1861388.517046643</v>
      </c>
      <c r="M96" s="140">
        <f>K96*0.85-J96</f>
        <v>-2180888.517046643</v>
      </c>
      <c r="N96" s="140">
        <f t="shared" ref="N96:N97" si="45">K96*0.85-I96</f>
        <v>-2105615.3678370658</v>
      </c>
      <c r="O96" s="140">
        <f t="shared" si="42"/>
        <v>6615000</v>
      </c>
      <c r="P96" s="130">
        <f t="shared" si="31"/>
        <v>-0.32968836236532773</v>
      </c>
      <c r="Q96" s="130">
        <f t="shared" si="32"/>
        <v>-0.3183092014870848</v>
      </c>
      <c r="R96" s="83"/>
      <c r="S96" s="104"/>
    </row>
    <row r="97" spans="1:19" ht="14.25" hidden="1" customHeight="1" x14ac:dyDescent="0.25">
      <c r="A97" s="149"/>
      <c r="B97" s="224" t="str">
        <f t="shared" si="43"/>
        <v>Arma Principal</v>
      </c>
      <c r="C97" s="132" t="str">
        <f t="shared" si="41"/>
        <v>BlackStar</v>
      </c>
      <c r="D97" s="52" t="s">
        <v>476</v>
      </c>
      <c r="E97" s="52">
        <v>60</v>
      </c>
      <c r="F97" s="135">
        <f t="shared" ref="F97:F98" si="46">($P$2*350)*E97^2/40^2</f>
        <v>39375</v>
      </c>
      <c r="G97" s="129">
        <v>0.23799999999999999</v>
      </c>
      <c r="H97" s="135">
        <v>2130000</v>
      </c>
      <c r="I97" s="145">
        <f t="shared" ref="I97:I98" si="47">(5*$T$2*2+I96)/G97-(5*$T$2*2+I96)+F97+I96</f>
        <v>16554473.184189353</v>
      </c>
      <c r="J97" s="145">
        <f t="shared" ref="J97:J98" si="48">(5*$T$2*2+H97)/G97-(5*$T$2*2+H97)+F97+H97</f>
        <v>9049786.7647058833</v>
      </c>
      <c r="K97" s="140">
        <f t="shared" si="38"/>
        <v>3200000</v>
      </c>
      <c r="L97" s="140">
        <f t="shared" si="39"/>
        <v>-5849786.7647058833</v>
      </c>
      <c r="M97" s="140">
        <f>K97*0.85-J97</f>
        <v>-6329786.7647058833</v>
      </c>
      <c r="N97" s="140">
        <f t="shared" si="45"/>
        <v>-13834473.184189353</v>
      </c>
      <c r="O97" s="140">
        <f t="shared" si="42"/>
        <v>7455000</v>
      </c>
      <c r="P97" s="130">
        <f t="shared" si="31"/>
        <v>-0.84906596441393467</v>
      </c>
      <c r="Q97" s="130">
        <f t="shared" si="32"/>
        <v>-1.8557308094150708</v>
      </c>
      <c r="R97" s="83"/>
      <c r="S97" s="104"/>
    </row>
    <row r="98" spans="1:19" ht="14.25" hidden="1" customHeight="1" thickBot="1" x14ac:dyDescent="0.3">
      <c r="A98" s="320" t="s">
        <v>511</v>
      </c>
      <c r="B98" s="224" t="str">
        <f t="shared" si="43"/>
        <v>Arma Principal</v>
      </c>
      <c r="C98" s="132" t="str">
        <f t="shared" si="41"/>
        <v>BlackStar</v>
      </c>
      <c r="D98" s="52" t="s">
        <v>477</v>
      </c>
      <c r="E98" s="52">
        <v>110</v>
      </c>
      <c r="F98" s="135">
        <f t="shared" si="46"/>
        <v>132343.75</v>
      </c>
      <c r="G98" s="52">
        <v>6.0699999999999997E-2</v>
      </c>
      <c r="H98" s="135">
        <v>3200000</v>
      </c>
      <c r="I98" s="145">
        <f t="shared" si="47"/>
        <v>273152440.68886912</v>
      </c>
      <c r="J98" s="145">
        <f t="shared" si="48"/>
        <v>53144645.232701816</v>
      </c>
      <c r="K98" s="140">
        <v>17200000</v>
      </c>
      <c r="L98" s="140">
        <f t="shared" si="39"/>
        <v>-35944645.232701816</v>
      </c>
      <c r="M98" s="140">
        <f>K98*0.85-J98</f>
        <v>-38524645.232701816</v>
      </c>
      <c r="N98" s="140">
        <f>K98*0.85-I98</f>
        <v>-258532440.68886912</v>
      </c>
      <c r="O98" s="140">
        <f t="shared" si="42"/>
        <v>11200000</v>
      </c>
      <c r="P98" s="130">
        <f t="shared" si="31"/>
        <v>-3.4397004672055194</v>
      </c>
      <c r="Q98" s="130">
        <f t="shared" si="32"/>
        <v>-23.083253632934742</v>
      </c>
      <c r="R98" s="83"/>
      <c r="S98" s="104"/>
    </row>
    <row r="99" spans="1:19" ht="14.25" hidden="1" customHeight="1" x14ac:dyDescent="0.25">
      <c r="A99" s="320"/>
      <c r="B99" s="224" t="str">
        <f t="shared" si="43"/>
        <v>Arma Principal</v>
      </c>
      <c r="C99" s="126" t="s">
        <v>526</v>
      </c>
      <c r="D99" s="126" t="s">
        <v>542</v>
      </c>
      <c r="E99" s="127">
        <v>20</v>
      </c>
      <c r="F99" s="136">
        <f t="shared" ref="F99:F101" si="49">($P$2*30)</f>
        <v>1500</v>
      </c>
      <c r="G99" s="126">
        <v>7.4999999999999997E-2</v>
      </c>
      <c r="H99" s="141">
        <v>387000</v>
      </c>
      <c r="I99" s="142">
        <f>((5*$T$2)/G99-(5*$T$2)+F99)+H99</f>
        <v>505666.66666666669</v>
      </c>
      <c r="J99" s="142">
        <f>((5*$T$2)/G99-(5*$T$2)+F99)+H99</f>
        <v>505666.66666666669</v>
      </c>
      <c r="K99" s="142">
        <f>+H100</f>
        <v>498000</v>
      </c>
      <c r="L99" s="143">
        <f>K99-J99</f>
        <v>-7666.6666666666861</v>
      </c>
      <c r="M99" s="143">
        <f>K99*0.85-J99</f>
        <v>-82366.666666666686</v>
      </c>
      <c r="N99" s="143">
        <f>K99*0.85-I99</f>
        <v>-82366.666666666686</v>
      </c>
      <c r="O99" s="142">
        <f t="shared" si="42"/>
        <v>1354500</v>
      </c>
      <c r="P99" s="130">
        <f t="shared" ref="P99" si="50">M99/O99</f>
        <v>-6.08096468561585E-2</v>
      </c>
      <c r="Q99" s="130">
        <f t="shared" ref="Q99" si="51">N99/O99</f>
        <v>-6.08096468561585E-2</v>
      </c>
      <c r="R99" s="83"/>
      <c r="S99" s="104"/>
    </row>
    <row r="100" spans="1:19" ht="14.25" hidden="1" customHeight="1" x14ac:dyDescent="0.25">
      <c r="A100" s="320"/>
      <c r="B100" s="224" t="str">
        <f t="shared" si="43"/>
        <v>Arma Principal</v>
      </c>
      <c r="C100" s="133" t="str">
        <f>+C99</f>
        <v>Offin Tett</v>
      </c>
      <c r="D100" s="128" t="s">
        <v>543</v>
      </c>
      <c r="E100" s="128">
        <v>20</v>
      </c>
      <c r="F100" s="137">
        <f t="shared" si="49"/>
        <v>1500</v>
      </c>
      <c r="G100" s="128">
        <v>0.06</v>
      </c>
      <c r="H100" s="137">
        <v>498000</v>
      </c>
      <c r="I100" s="144">
        <f t="shared" ref="I100:I101" si="52">((5*$T$2)/G100-(5*$T$2)+F100)+H100</f>
        <v>648333.33333333337</v>
      </c>
      <c r="J100" s="144">
        <f t="shared" ref="J100:J101" si="53">((5*$T$2)/G100-(5*$T$2)+F100)+H100</f>
        <v>648333.33333333337</v>
      </c>
      <c r="K100" s="144">
        <f t="shared" ref="K100:K103" si="54">+H101</f>
        <v>555000</v>
      </c>
      <c r="L100" s="144">
        <f t="shared" ref="L100:L104" si="55">K100-J100</f>
        <v>-93333.333333333372</v>
      </c>
      <c r="M100" s="144">
        <f t="shared" ref="M100:M104" si="56">K100*0.85-J100</f>
        <v>-176583.33333333337</v>
      </c>
      <c r="N100" s="144">
        <f t="shared" ref="N100:N104" si="57">K100*0.85-I100</f>
        <v>-176583.33333333337</v>
      </c>
      <c r="O100" s="144">
        <f t="shared" si="42"/>
        <v>1743000</v>
      </c>
      <c r="P100" s="130">
        <f t="shared" ref="P100:P105" si="58">M100/O100</f>
        <v>-0.10131000191241157</v>
      </c>
      <c r="Q100" s="130">
        <f t="shared" ref="Q100:Q105" si="59">N100/O100</f>
        <v>-0.10131000191241157</v>
      </c>
      <c r="R100" s="83"/>
      <c r="S100" s="104"/>
    </row>
    <row r="101" spans="1:19" ht="14.25" hidden="1" customHeight="1" x14ac:dyDescent="0.25">
      <c r="A101" s="320"/>
      <c r="B101" s="224" t="str">
        <f t="shared" si="43"/>
        <v>Arma Principal</v>
      </c>
      <c r="C101" s="133" t="str">
        <f>+C100</f>
        <v>Offin Tett</v>
      </c>
      <c r="D101" s="128" t="s">
        <v>474</v>
      </c>
      <c r="E101" s="128">
        <v>15</v>
      </c>
      <c r="F101" s="137">
        <f t="shared" si="49"/>
        <v>1500</v>
      </c>
      <c r="G101" s="128">
        <v>0.29399999999999998</v>
      </c>
      <c r="H101" s="137">
        <v>555000</v>
      </c>
      <c r="I101" s="144">
        <f t="shared" si="52"/>
        <v>579312.92517006805</v>
      </c>
      <c r="J101" s="144">
        <f t="shared" si="53"/>
        <v>579312.92517006805</v>
      </c>
      <c r="K101" s="144">
        <f t="shared" si="54"/>
        <v>630000</v>
      </c>
      <c r="L101" s="144">
        <f t="shared" si="55"/>
        <v>50687.074829931953</v>
      </c>
      <c r="M101" s="144">
        <f t="shared" si="56"/>
        <v>-43812.925170068047</v>
      </c>
      <c r="N101" s="144">
        <f t="shared" si="57"/>
        <v>-43812.925170068047</v>
      </c>
      <c r="O101" s="144">
        <f t="shared" si="42"/>
        <v>1942500</v>
      </c>
      <c r="P101" s="130">
        <f t="shared" si="58"/>
        <v>-2.2554916432467462E-2</v>
      </c>
      <c r="Q101" s="130">
        <f t="shared" si="59"/>
        <v>-2.2554916432467462E-2</v>
      </c>
      <c r="R101" s="83"/>
      <c r="S101" s="104"/>
    </row>
    <row r="102" spans="1:19" ht="14.25" hidden="1" customHeight="1" x14ac:dyDescent="0.25">
      <c r="A102" s="320"/>
      <c r="B102" s="224" t="str">
        <f t="shared" si="43"/>
        <v>Arma Principal</v>
      </c>
      <c r="C102" s="133" t="str">
        <f>+C101</f>
        <v>Offin Tett</v>
      </c>
      <c r="D102" s="128" t="s">
        <v>475</v>
      </c>
      <c r="E102" s="128">
        <v>30</v>
      </c>
      <c r="F102" s="137">
        <f t="shared" ref="F102" si="60">($P$2*350)</f>
        <v>17500</v>
      </c>
      <c r="G102" s="128">
        <v>0.30759999999999998</v>
      </c>
      <c r="H102" s="137">
        <v>630000</v>
      </c>
      <c r="I102" s="144">
        <f>(5*$T$2+I101)/G102-(5*$T$2+I101)+F102+I101</f>
        <v>1922216.2716842266</v>
      </c>
      <c r="J102" s="144">
        <f>(5*$T$2+H102)/G102-(5*$T$2+H102)+F102+H102</f>
        <v>2086998.6996098831</v>
      </c>
      <c r="K102" s="144">
        <f t="shared" si="54"/>
        <v>735000</v>
      </c>
      <c r="L102" s="144">
        <f t="shared" si="55"/>
        <v>-1351998.6996098831</v>
      </c>
      <c r="M102" s="144">
        <f t="shared" si="56"/>
        <v>-1462248.6996098831</v>
      </c>
      <c r="N102" s="144">
        <f t="shared" si="57"/>
        <v>-1297466.2716842266</v>
      </c>
      <c r="O102" s="144">
        <f t="shared" si="42"/>
        <v>2205000</v>
      </c>
      <c r="P102" s="130">
        <f t="shared" si="58"/>
        <v>-0.66315133769155699</v>
      </c>
      <c r="Q102" s="130">
        <f t="shared" si="59"/>
        <v>-0.58842007786132722</v>
      </c>
      <c r="R102" s="83"/>
      <c r="S102" s="104"/>
    </row>
    <row r="103" spans="1:19" ht="14.25" hidden="1" customHeight="1" x14ac:dyDescent="0.25">
      <c r="A103" s="320"/>
      <c r="B103" s="224" t="str">
        <f t="shared" si="43"/>
        <v>Arma Principal</v>
      </c>
      <c r="C103" s="133" t="str">
        <f>+C102</f>
        <v>Offin Tett</v>
      </c>
      <c r="D103" s="128" t="s">
        <v>476</v>
      </c>
      <c r="E103" s="128">
        <v>50</v>
      </c>
      <c r="F103" s="137">
        <f t="shared" ref="F103:F104" si="61">($P$2*350)*E103^2/40^2</f>
        <v>27343.75</v>
      </c>
      <c r="G103" s="128">
        <v>0.375</v>
      </c>
      <c r="H103" s="137">
        <v>735000</v>
      </c>
      <c r="I103" s="144">
        <f t="shared" ref="I103:I104" si="62">(5*$T$2+I102)/G103-(5*$T$2+I102)+F103+I102</f>
        <v>5169087.1411579372</v>
      </c>
      <c r="J103" s="144">
        <f t="shared" ref="J103:J104" si="63">(5*$T$2+H103)/G103-(5*$T$2+H103)+F103+H103</f>
        <v>2003177.0833333333</v>
      </c>
      <c r="K103" s="144">
        <f t="shared" si="54"/>
        <v>920000</v>
      </c>
      <c r="L103" s="144">
        <f t="shared" si="55"/>
        <v>-1083177.0833333333</v>
      </c>
      <c r="M103" s="144">
        <f t="shared" si="56"/>
        <v>-1221177.0833333333</v>
      </c>
      <c r="N103" s="144">
        <f t="shared" si="57"/>
        <v>-4387087.1411579372</v>
      </c>
      <c r="O103" s="144">
        <f t="shared" si="42"/>
        <v>2572500</v>
      </c>
      <c r="P103" s="130">
        <f t="shared" si="58"/>
        <v>-0.47470440557175247</v>
      </c>
      <c r="Q103" s="130">
        <f t="shared" si="59"/>
        <v>-1.705378869254786</v>
      </c>
      <c r="R103" s="83"/>
      <c r="S103" s="104"/>
    </row>
    <row r="104" spans="1:19" ht="14.25" hidden="1" customHeight="1" thickBot="1" x14ac:dyDescent="0.3">
      <c r="A104" s="320"/>
      <c r="B104" s="224" t="str">
        <f t="shared" si="43"/>
        <v>Arma Principal</v>
      </c>
      <c r="C104" s="133" t="str">
        <f>+C103</f>
        <v>Offin Tett</v>
      </c>
      <c r="D104" s="128" t="s">
        <v>477</v>
      </c>
      <c r="E104" s="128">
        <v>100</v>
      </c>
      <c r="F104" s="137">
        <f t="shared" si="61"/>
        <v>109375</v>
      </c>
      <c r="G104" s="128">
        <v>0.22</v>
      </c>
      <c r="H104" s="137">
        <v>920000</v>
      </c>
      <c r="I104" s="144">
        <f t="shared" si="62"/>
        <v>23638907.459808804</v>
      </c>
      <c r="J104" s="144">
        <f t="shared" si="63"/>
        <v>4324875</v>
      </c>
      <c r="K104" s="144">
        <v>2410000</v>
      </c>
      <c r="L104" s="144">
        <f t="shared" si="55"/>
        <v>-1914875</v>
      </c>
      <c r="M104" s="144">
        <f t="shared" si="56"/>
        <v>-2276375</v>
      </c>
      <c r="N104" s="144">
        <f t="shared" si="57"/>
        <v>-21590407.459808804</v>
      </c>
      <c r="O104" s="144">
        <f t="shared" si="42"/>
        <v>3220000</v>
      </c>
      <c r="P104" s="130">
        <f t="shared" si="58"/>
        <v>-0.70694875776397514</v>
      </c>
      <c r="Q104" s="130">
        <f t="shared" si="59"/>
        <v>-6.7050954844126718</v>
      </c>
      <c r="R104" s="83"/>
      <c r="S104" s="104"/>
    </row>
    <row r="105" spans="1:19" ht="14.25" hidden="1" customHeight="1" x14ac:dyDescent="0.25">
      <c r="A105" s="320"/>
      <c r="B105" s="224" t="str">
        <f t="shared" si="43"/>
        <v>Arma Principal</v>
      </c>
      <c r="C105" s="5" t="s">
        <v>527</v>
      </c>
      <c r="D105" s="221" t="s">
        <v>542</v>
      </c>
      <c r="E105" s="79">
        <v>20</v>
      </c>
      <c r="F105" s="134">
        <f t="shared" ref="F105:F107" si="64">($P$2*30)</f>
        <v>1500</v>
      </c>
      <c r="G105" s="5">
        <v>7.4999999999999997E-2</v>
      </c>
      <c r="H105" s="138">
        <v>157000</v>
      </c>
      <c r="I105" s="145">
        <f>((5*$T$2)/G105-(5*$T$2)+F105)+H105</f>
        <v>275666.66666666669</v>
      </c>
      <c r="J105" s="145">
        <f>((5*$T$2)/G105-(5*$T$2)+F105)+H105</f>
        <v>275666.66666666669</v>
      </c>
      <c r="K105" s="139">
        <f>+H106</f>
        <v>184000</v>
      </c>
      <c r="L105" s="140">
        <f>K105-J105</f>
        <v>-91666.666666666686</v>
      </c>
      <c r="M105" s="140">
        <f>K105*0.85-J105</f>
        <v>-119266.66666666669</v>
      </c>
      <c r="N105" s="140">
        <f>K105*0.85-I105</f>
        <v>-119266.66666666669</v>
      </c>
      <c r="O105" s="139">
        <f t="shared" si="42"/>
        <v>549500</v>
      </c>
      <c r="P105" s="130">
        <f t="shared" si="58"/>
        <v>-0.21704579921140435</v>
      </c>
      <c r="Q105" s="130">
        <f t="shared" si="59"/>
        <v>-0.21704579921140435</v>
      </c>
      <c r="R105" s="83"/>
      <c r="S105" s="104"/>
    </row>
    <row r="106" spans="1:19" ht="14.25" hidden="1" customHeight="1" x14ac:dyDescent="0.25">
      <c r="A106" s="320"/>
      <c r="B106" s="224" t="str">
        <f t="shared" si="43"/>
        <v>Arma Principal</v>
      </c>
      <c r="C106" s="132" t="str">
        <f>+C105</f>
        <v>Kzarka</v>
      </c>
      <c r="D106" s="222" t="s">
        <v>543</v>
      </c>
      <c r="E106" s="52">
        <v>20</v>
      </c>
      <c r="F106" s="135">
        <f t="shared" si="64"/>
        <v>1500</v>
      </c>
      <c r="G106" s="52">
        <v>0.06</v>
      </c>
      <c r="H106" s="135">
        <v>184000</v>
      </c>
      <c r="I106" s="145">
        <f t="shared" ref="I106:I107" si="65">((5*$T$2)/G106-(5*$T$2)+F106)+H106</f>
        <v>334333.33333333337</v>
      </c>
      <c r="J106" s="145">
        <f t="shared" ref="J106:J107" si="66">((5*$T$2)/G106-(5*$T$2)+F106)+H106</f>
        <v>334333.33333333337</v>
      </c>
      <c r="K106" s="140">
        <f t="shared" ref="K106:K109" si="67">+H107</f>
        <v>227000</v>
      </c>
      <c r="L106" s="140">
        <f t="shared" ref="L106:L110" si="68">K106-J106</f>
        <v>-107333.33333333337</v>
      </c>
      <c r="M106" s="140">
        <f t="shared" ref="M106:M110" si="69">K106*0.85-J106</f>
        <v>-141383.33333333337</v>
      </c>
      <c r="N106" s="140">
        <f t="shared" ref="N106:N110" si="70">K106*0.85-I106</f>
        <v>-141383.33333333337</v>
      </c>
      <c r="O106" s="140">
        <f t="shared" si="42"/>
        <v>644000</v>
      </c>
      <c r="P106" s="130">
        <f t="shared" ref="P106:P117" si="71">M106/O106</f>
        <v>-0.21953933747412013</v>
      </c>
      <c r="Q106" s="130">
        <f t="shared" ref="Q106:Q117" si="72">N106/O106</f>
        <v>-0.21953933747412013</v>
      </c>
      <c r="R106" s="83"/>
      <c r="S106" s="104"/>
    </row>
    <row r="107" spans="1:19" ht="14.25" hidden="1" customHeight="1" x14ac:dyDescent="0.25">
      <c r="A107" s="320"/>
      <c r="B107" s="224" t="str">
        <f t="shared" si="43"/>
        <v>Arma Principal</v>
      </c>
      <c r="C107" s="132" t="str">
        <f t="shared" ref="C107:C110" si="73">+C106</f>
        <v>Kzarka</v>
      </c>
      <c r="D107" s="52" t="s">
        <v>474</v>
      </c>
      <c r="E107" s="52">
        <v>15</v>
      </c>
      <c r="F107" s="135">
        <f t="shared" si="64"/>
        <v>1500</v>
      </c>
      <c r="G107" s="52">
        <v>0.29399999999999998</v>
      </c>
      <c r="H107" s="135">
        <v>227000</v>
      </c>
      <c r="I107" s="145">
        <f t="shared" si="65"/>
        <v>251312.92517006802</v>
      </c>
      <c r="J107" s="145">
        <f t="shared" si="66"/>
        <v>251312.92517006802</v>
      </c>
      <c r="K107" s="140">
        <f t="shared" si="67"/>
        <v>228000</v>
      </c>
      <c r="L107" s="140">
        <f t="shared" si="68"/>
        <v>-23312.925170068018</v>
      </c>
      <c r="M107" s="140">
        <f t="shared" si="69"/>
        <v>-57512.925170068018</v>
      </c>
      <c r="N107" s="140">
        <f t="shared" si="70"/>
        <v>-57512.925170068018</v>
      </c>
      <c r="O107" s="140">
        <f t="shared" si="42"/>
        <v>794500</v>
      </c>
      <c r="P107" s="130">
        <f t="shared" si="71"/>
        <v>-7.2388829666542504E-2</v>
      </c>
      <c r="Q107" s="130">
        <f t="shared" si="72"/>
        <v>-7.2388829666542504E-2</v>
      </c>
      <c r="R107" s="83"/>
      <c r="S107" s="104"/>
    </row>
    <row r="108" spans="1:19" ht="14.25" hidden="1" customHeight="1" x14ac:dyDescent="0.25">
      <c r="A108" s="320"/>
      <c r="B108" s="224" t="str">
        <f t="shared" si="43"/>
        <v>Arma Principal</v>
      </c>
      <c r="C108" s="132" t="str">
        <f t="shared" si="73"/>
        <v>Kzarka</v>
      </c>
      <c r="D108" s="52" t="s">
        <v>475</v>
      </c>
      <c r="E108" s="52">
        <v>30</v>
      </c>
      <c r="F108" s="135">
        <f t="shared" ref="F108" si="74">($P$2*350)</f>
        <v>17500</v>
      </c>
      <c r="G108" s="52">
        <v>0.30759999999999998</v>
      </c>
      <c r="H108" s="135">
        <v>228000</v>
      </c>
      <c r="I108" s="135">
        <f>(5*$T$2+I107)/G108-(5*$T$2+I107)+F108+I107</f>
        <v>855896.37571543572</v>
      </c>
      <c r="J108" s="145">
        <f>(5*$T$2+H108)/G108-(5*$T$2+H108)+F108+H108</f>
        <v>780106.63198959688</v>
      </c>
      <c r="K108" s="140">
        <f t="shared" si="67"/>
        <v>630000</v>
      </c>
      <c r="L108" s="140">
        <f t="shared" si="68"/>
        <v>-150106.63198959688</v>
      </c>
      <c r="M108" s="140">
        <f t="shared" si="69"/>
        <v>-244606.63198959688</v>
      </c>
      <c r="N108" s="140">
        <f t="shared" si="70"/>
        <v>-320396.37571543572</v>
      </c>
      <c r="O108" s="140">
        <f t="shared" si="42"/>
        <v>798000</v>
      </c>
      <c r="P108" s="130">
        <f t="shared" si="71"/>
        <v>-0.30652460149072291</v>
      </c>
      <c r="Q108" s="130">
        <f t="shared" si="72"/>
        <v>-0.40149921768851593</v>
      </c>
      <c r="R108" s="83"/>
      <c r="S108" s="104"/>
    </row>
    <row r="109" spans="1:19" ht="14.25" hidden="1" customHeight="1" x14ac:dyDescent="0.25">
      <c r="A109" s="320"/>
      <c r="B109" s="224" t="str">
        <f t="shared" si="43"/>
        <v>Arma Principal</v>
      </c>
      <c r="C109" s="132" t="str">
        <f t="shared" si="73"/>
        <v>Kzarka</v>
      </c>
      <c r="D109" s="52" t="s">
        <v>476</v>
      </c>
      <c r="E109" s="52">
        <v>50</v>
      </c>
      <c r="F109" s="135">
        <f t="shared" ref="F109:F110" si="75">($P$2*350)*E109^2/40^2</f>
        <v>27343.75</v>
      </c>
      <c r="G109" s="129">
        <v>0.375</v>
      </c>
      <c r="H109" s="135">
        <v>630000</v>
      </c>
      <c r="I109" s="135">
        <f t="shared" ref="I109:I110" si="76">(5*$T$2+I108)/G109-(5*$T$2+I108)+F109+I108</f>
        <v>2325567.4185744952</v>
      </c>
      <c r="J109" s="145">
        <f t="shared" ref="J109:J110" si="77">(5*$T$2+H109)/G109-(5*$T$2+H109)+F109+H109</f>
        <v>1723177.0833333333</v>
      </c>
      <c r="K109" s="140">
        <f t="shared" si="67"/>
        <v>640000</v>
      </c>
      <c r="L109" s="140">
        <f t="shared" si="68"/>
        <v>-1083177.0833333333</v>
      </c>
      <c r="M109" s="140">
        <f t="shared" si="69"/>
        <v>-1179177.0833333333</v>
      </c>
      <c r="N109" s="140">
        <f t="shared" si="70"/>
        <v>-1781567.4185744952</v>
      </c>
      <c r="O109" s="140">
        <f t="shared" si="42"/>
        <v>2205000</v>
      </c>
      <c r="P109" s="130">
        <f t="shared" si="71"/>
        <v>-0.53477418745275884</v>
      </c>
      <c r="Q109" s="130">
        <f t="shared" si="72"/>
        <v>-0.80796708325373934</v>
      </c>
      <c r="R109" s="83"/>
      <c r="S109" s="104"/>
    </row>
    <row r="110" spans="1:19" ht="14.25" hidden="1" customHeight="1" thickBot="1" x14ac:dyDescent="0.3">
      <c r="A110" s="320"/>
      <c r="B110" s="224" t="str">
        <f t="shared" si="43"/>
        <v>Arma Principal</v>
      </c>
      <c r="C110" s="132" t="str">
        <f t="shared" si="73"/>
        <v>Kzarka</v>
      </c>
      <c r="D110" s="52" t="s">
        <v>477</v>
      </c>
      <c r="E110" s="52">
        <v>100</v>
      </c>
      <c r="F110" s="135">
        <f t="shared" si="75"/>
        <v>109375</v>
      </c>
      <c r="G110" s="52">
        <v>0.22</v>
      </c>
      <c r="H110" s="135">
        <v>640000</v>
      </c>
      <c r="I110" s="135">
        <f t="shared" si="76"/>
        <v>10713817.811702251</v>
      </c>
      <c r="J110" s="145">
        <f t="shared" si="77"/>
        <v>3052147.7272727271</v>
      </c>
      <c r="K110" s="140">
        <v>1650000</v>
      </c>
      <c r="L110" s="140">
        <f t="shared" si="68"/>
        <v>-1402147.7272727271</v>
      </c>
      <c r="M110" s="140">
        <f t="shared" si="69"/>
        <v>-1649647.7272727271</v>
      </c>
      <c r="N110" s="140">
        <f t="shared" si="70"/>
        <v>-9311317.8117022514</v>
      </c>
      <c r="O110" s="140">
        <f t="shared" si="42"/>
        <v>2240000</v>
      </c>
      <c r="P110" s="130">
        <f t="shared" si="71"/>
        <v>-0.73644987824675312</v>
      </c>
      <c r="Q110" s="130">
        <f t="shared" si="72"/>
        <v>-4.1568383087956482</v>
      </c>
      <c r="R110" s="83"/>
      <c r="S110" s="104"/>
    </row>
    <row r="111" spans="1:19" ht="14.25" hidden="1" customHeight="1" x14ac:dyDescent="0.25">
      <c r="A111" s="320"/>
      <c r="B111" s="224" t="str">
        <f t="shared" si="43"/>
        <v>Arma Principal</v>
      </c>
      <c r="C111" s="126" t="s">
        <v>528</v>
      </c>
      <c r="D111" s="126" t="s">
        <v>542</v>
      </c>
      <c r="E111" s="127">
        <v>20</v>
      </c>
      <c r="F111" s="136">
        <f t="shared" ref="F111:F113" si="78">($P$2*30)</f>
        <v>1500</v>
      </c>
      <c r="G111" s="126">
        <v>7.4999999999999997E-2</v>
      </c>
      <c r="H111" s="141">
        <v>5800</v>
      </c>
      <c r="I111" s="142">
        <f>(($T$2/2)/G111-($T$2/2)+F111)+H111</f>
        <v>19016.666666666668</v>
      </c>
      <c r="J111" s="142">
        <f>(($T$2/2)/G111-($T$2/2)+F111)+H111</f>
        <v>19016.666666666668</v>
      </c>
      <c r="K111" s="142">
        <f>+H112</f>
        <v>9600</v>
      </c>
      <c r="L111" s="143">
        <f>K111-J111</f>
        <v>-9416.6666666666679</v>
      </c>
      <c r="M111" s="143">
        <f>K111*0.85-J111</f>
        <v>-10856.666666666668</v>
      </c>
      <c r="N111" s="143">
        <f>K111*0.85-I111</f>
        <v>-10856.666666666668</v>
      </c>
      <c r="O111" s="142">
        <f t="shared" si="42"/>
        <v>20300</v>
      </c>
      <c r="P111" s="130">
        <f t="shared" si="71"/>
        <v>-0.53481116584564869</v>
      </c>
      <c r="Q111" s="130">
        <f t="shared" si="72"/>
        <v>-0.53481116584564869</v>
      </c>
      <c r="R111" s="83"/>
      <c r="S111" s="104"/>
    </row>
    <row r="112" spans="1:19" ht="14.25" hidden="1" customHeight="1" x14ac:dyDescent="0.25">
      <c r="A112" s="320"/>
      <c r="B112" s="224" t="str">
        <f t="shared" si="43"/>
        <v>Arma Principal</v>
      </c>
      <c r="C112" s="133" t="str">
        <f>+C111</f>
        <v>Liverto</v>
      </c>
      <c r="D112" s="128" t="s">
        <v>543</v>
      </c>
      <c r="E112" s="128">
        <v>20</v>
      </c>
      <c r="F112" s="137">
        <f t="shared" si="78"/>
        <v>1500</v>
      </c>
      <c r="G112" s="128">
        <v>0.06</v>
      </c>
      <c r="H112" s="137">
        <v>9600</v>
      </c>
      <c r="I112" s="144">
        <f t="shared" ref="I112:I113" si="79">(($T$2/2)/G112-($T$2/2)+F112)+H112</f>
        <v>25983.333333333336</v>
      </c>
      <c r="J112" s="144">
        <f t="shared" ref="J112:J113" si="80">(($T$2/2)/G112-($T$2/2)+F112)+H112</f>
        <v>25983.333333333336</v>
      </c>
      <c r="K112" s="144">
        <f t="shared" ref="K112:K115" si="81">+H113</f>
        <v>13300</v>
      </c>
      <c r="L112" s="144">
        <f t="shared" ref="L112:L116" si="82">K112-J112</f>
        <v>-12683.333333333336</v>
      </c>
      <c r="M112" s="144">
        <f t="shared" ref="M112:M116" si="83">K112*0.85-J112</f>
        <v>-14678.333333333336</v>
      </c>
      <c r="N112" s="144">
        <f t="shared" ref="N112:N116" si="84">K112*0.85-I112</f>
        <v>-14678.333333333336</v>
      </c>
      <c r="O112" s="144">
        <f t="shared" si="42"/>
        <v>33600</v>
      </c>
      <c r="P112" s="130">
        <f t="shared" si="71"/>
        <v>-0.43685515873015879</v>
      </c>
      <c r="Q112" s="130">
        <f t="shared" si="72"/>
        <v>-0.43685515873015879</v>
      </c>
      <c r="R112" s="83"/>
      <c r="S112" s="104"/>
    </row>
    <row r="113" spans="1:19" ht="14.25" hidden="1" customHeight="1" x14ac:dyDescent="0.25">
      <c r="A113" s="320"/>
      <c r="B113" s="224" t="str">
        <f t="shared" si="43"/>
        <v>Arma Principal</v>
      </c>
      <c r="C113" s="133" t="str">
        <f>+C112</f>
        <v>Liverto</v>
      </c>
      <c r="D113" s="128" t="s">
        <v>474</v>
      </c>
      <c r="E113" s="128">
        <v>15</v>
      </c>
      <c r="F113" s="137">
        <f t="shared" si="78"/>
        <v>1500</v>
      </c>
      <c r="G113" s="128">
        <v>0.29399999999999998</v>
      </c>
      <c r="H113" s="137">
        <v>13300</v>
      </c>
      <c r="I113" s="144">
        <f t="shared" si="79"/>
        <v>17081.292517006805</v>
      </c>
      <c r="J113" s="144">
        <f t="shared" si="80"/>
        <v>17081.292517006805</v>
      </c>
      <c r="K113" s="144">
        <f t="shared" si="81"/>
        <v>38600</v>
      </c>
      <c r="L113" s="144">
        <f t="shared" si="82"/>
        <v>21518.707482993195</v>
      </c>
      <c r="M113" s="144">
        <f t="shared" si="83"/>
        <v>15728.707482993195</v>
      </c>
      <c r="N113" s="144">
        <f t="shared" si="84"/>
        <v>15728.707482993195</v>
      </c>
      <c r="O113" s="144">
        <f t="shared" si="42"/>
        <v>46550</v>
      </c>
      <c r="P113" s="130">
        <f t="shared" si="71"/>
        <v>0.33788845291070235</v>
      </c>
      <c r="Q113" s="130">
        <f t="shared" si="72"/>
        <v>0.33788845291070235</v>
      </c>
      <c r="R113" s="83"/>
      <c r="S113" s="104"/>
    </row>
    <row r="114" spans="1:19" ht="14.25" hidden="1" customHeight="1" x14ac:dyDescent="0.25">
      <c r="A114" s="320"/>
      <c r="B114" s="224" t="str">
        <f t="shared" si="43"/>
        <v>Arma Principal</v>
      </c>
      <c r="C114" s="133" t="str">
        <f>+C113</f>
        <v>Liverto</v>
      </c>
      <c r="D114" s="128" t="s">
        <v>475</v>
      </c>
      <c r="E114" s="128">
        <v>30</v>
      </c>
      <c r="F114" s="137">
        <f t="shared" ref="F114" si="85">($P$2*350)</f>
        <v>17500</v>
      </c>
      <c r="G114" s="128">
        <v>0.30759999999999998</v>
      </c>
      <c r="H114" s="137">
        <v>38600</v>
      </c>
      <c r="I114" s="144">
        <f>($T$2/2+I113)/G114-(($T$2/2+I113))+F114+I113</f>
        <v>75169.286466211983</v>
      </c>
      <c r="J114" s="144">
        <f>($T$2/2+H114)/G114-($T$2/2+H114)+F114+H114</f>
        <v>145126.07282184658</v>
      </c>
      <c r="K114" s="144">
        <f t="shared" si="81"/>
        <v>51000</v>
      </c>
      <c r="L114" s="144">
        <f t="shared" si="82"/>
        <v>-94126.072821846581</v>
      </c>
      <c r="M114" s="144">
        <f t="shared" si="83"/>
        <v>-101776.07282184658</v>
      </c>
      <c r="N114" s="144">
        <f t="shared" si="84"/>
        <v>-31819.286466211983</v>
      </c>
      <c r="O114" s="144">
        <f t="shared" si="42"/>
        <v>135100</v>
      </c>
      <c r="P114" s="130">
        <f t="shared" si="71"/>
        <v>-0.75333880697147726</v>
      </c>
      <c r="Q114" s="130">
        <f t="shared" si="72"/>
        <v>-0.23552395607854909</v>
      </c>
      <c r="R114" s="83"/>
      <c r="S114" s="104"/>
    </row>
    <row r="115" spans="1:19" ht="14.25" hidden="1" customHeight="1" x14ac:dyDescent="0.25">
      <c r="A115" s="320"/>
      <c r="B115" s="224" t="str">
        <f t="shared" si="43"/>
        <v>Arma Principal</v>
      </c>
      <c r="C115" s="133" t="str">
        <f>+C114</f>
        <v>Liverto</v>
      </c>
      <c r="D115" s="128" t="s">
        <v>476</v>
      </c>
      <c r="E115" s="128">
        <v>50</v>
      </c>
      <c r="F115" s="137">
        <f t="shared" ref="F115:F116" si="86">($P$2*350)*E115^2/40^2</f>
        <v>27343.75</v>
      </c>
      <c r="G115" s="128">
        <v>0.375</v>
      </c>
      <c r="H115" s="137">
        <v>51000</v>
      </c>
      <c r="I115" s="144">
        <f t="shared" ref="I115:I116" si="87">($T$2/2+I114)/G115-(($T$2/2+I114))+F115+I114</f>
        <v>229378.51390989861</v>
      </c>
      <c r="J115" s="144">
        <f t="shared" ref="J115:J116" si="88">($T$2/2+H115)/G115-($T$2/2+H115)+F115+H115</f>
        <v>164927.08333333334</v>
      </c>
      <c r="K115" s="144">
        <f t="shared" si="81"/>
        <v>119000</v>
      </c>
      <c r="L115" s="144">
        <f t="shared" si="82"/>
        <v>-45927.083333333343</v>
      </c>
      <c r="M115" s="144">
        <f t="shared" si="83"/>
        <v>-63777.083333333343</v>
      </c>
      <c r="N115" s="144">
        <f t="shared" si="84"/>
        <v>-128228.51390989861</v>
      </c>
      <c r="O115" s="144">
        <f t="shared" si="42"/>
        <v>178500</v>
      </c>
      <c r="P115" s="130">
        <f t="shared" si="71"/>
        <v>-0.35729458450046692</v>
      </c>
      <c r="Q115" s="130">
        <f t="shared" si="72"/>
        <v>-0.71836702470531433</v>
      </c>
      <c r="R115" s="83"/>
      <c r="S115" s="104"/>
    </row>
    <row r="116" spans="1:19" ht="14.25" hidden="1" customHeight="1" thickBot="1" x14ac:dyDescent="0.3">
      <c r="A116" s="320"/>
      <c r="B116" s="224" t="str">
        <f t="shared" si="43"/>
        <v>Arma Principal</v>
      </c>
      <c r="C116" s="133" t="str">
        <f>+C115</f>
        <v>Liverto</v>
      </c>
      <c r="D116" s="128" t="s">
        <v>477</v>
      </c>
      <c r="E116" s="128">
        <v>100</v>
      </c>
      <c r="F116" s="137">
        <f t="shared" si="86"/>
        <v>109375</v>
      </c>
      <c r="G116" s="128">
        <v>0.22</v>
      </c>
      <c r="H116" s="137">
        <v>119000</v>
      </c>
      <c r="I116" s="144">
        <f t="shared" si="87"/>
        <v>1155372.7904995391</v>
      </c>
      <c r="J116" s="144">
        <f t="shared" si="88"/>
        <v>653652.27272727271</v>
      </c>
      <c r="K116" s="144">
        <v>565000</v>
      </c>
      <c r="L116" s="144">
        <f t="shared" si="82"/>
        <v>-88652.272727272706</v>
      </c>
      <c r="M116" s="144">
        <f t="shared" si="83"/>
        <v>-173402.27272727271</v>
      </c>
      <c r="N116" s="144">
        <f t="shared" si="84"/>
        <v>-675122.79049953911</v>
      </c>
      <c r="O116" s="144">
        <f t="shared" si="42"/>
        <v>416500</v>
      </c>
      <c r="P116" s="130">
        <f t="shared" si="71"/>
        <v>-0.41633198734039067</v>
      </c>
      <c r="Q116" s="130">
        <f t="shared" si="72"/>
        <v>-1.6209430744286653</v>
      </c>
      <c r="R116" s="83"/>
      <c r="S116" s="104"/>
    </row>
    <row r="117" spans="1:19" ht="14.25" hidden="1" customHeight="1" x14ac:dyDescent="0.25">
      <c r="A117" s="320"/>
      <c r="B117" s="223" t="s">
        <v>513</v>
      </c>
      <c r="C117" s="5" t="s">
        <v>529</v>
      </c>
      <c r="D117" s="221" t="s">
        <v>542</v>
      </c>
      <c r="E117" s="79">
        <v>20</v>
      </c>
      <c r="F117" s="134">
        <f t="shared" ref="F117:F119" si="89">($P$2*30)</f>
        <v>1500</v>
      </c>
      <c r="G117" s="5">
        <v>7.4999999999999997E-2</v>
      </c>
      <c r="H117" s="138">
        <v>141000</v>
      </c>
      <c r="I117" s="145">
        <f>((5*$T$2)/G117-(5*$T$2)+F117)+H117</f>
        <v>259666.66666666669</v>
      </c>
      <c r="J117" s="145">
        <f>((5*$T$2)/G117-(5*$T$2)+F117)+H117</f>
        <v>259666.66666666669</v>
      </c>
      <c r="K117" s="139">
        <f>+H118</f>
        <v>199000</v>
      </c>
      <c r="L117" s="140">
        <f>K117-J117</f>
        <v>-60666.666666666686</v>
      </c>
      <c r="M117" s="140">
        <f>K117*0.85-J117</f>
        <v>-90516.666666666686</v>
      </c>
      <c r="N117" s="140">
        <f>K117*0.85-I117</f>
        <v>-90516.666666666686</v>
      </c>
      <c r="O117" s="139">
        <f t="shared" si="42"/>
        <v>493500</v>
      </c>
      <c r="P117" s="130">
        <f t="shared" si="71"/>
        <v>-0.18341776426882814</v>
      </c>
      <c r="Q117" s="130">
        <f t="shared" si="72"/>
        <v>-0.18341776426882814</v>
      </c>
    </row>
    <row r="118" spans="1:19" ht="14.25" hidden="1" customHeight="1" x14ac:dyDescent="0.25">
      <c r="A118" s="320"/>
      <c r="B118" s="224" t="str">
        <f t="shared" si="43"/>
        <v>Arma Secundaria</v>
      </c>
      <c r="C118" s="132" t="str">
        <f>+C117</f>
        <v>Kutum</v>
      </c>
      <c r="D118" s="222" t="s">
        <v>543</v>
      </c>
      <c r="E118" s="52">
        <v>20</v>
      </c>
      <c r="F118" s="135">
        <f t="shared" si="89"/>
        <v>1500</v>
      </c>
      <c r="G118" s="52">
        <v>0.06</v>
      </c>
      <c r="H118" s="135">
        <v>199000</v>
      </c>
      <c r="I118" s="145">
        <f t="shared" ref="I118:I119" si="90">((5*$T$2)/G118-(5*$T$2)+F118)+H118</f>
        <v>349333.33333333337</v>
      </c>
      <c r="J118" s="145">
        <f t="shared" ref="J118:J119" si="91">((5*$T$2)/G118-(5*$T$2)+F118)+H118</f>
        <v>349333.33333333337</v>
      </c>
      <c r="K118" s="140">
        <f t="shared" ref="K118:K121" si="92">+H119</f>
        <v>303000</v>
      </c>
      <c r="L118" s="140">
        <f t="shared" ref="L118:L122" si="93">K118-J118</f>
        <v>-46333.333333333372</v>
      </c>
      <c r="M118" s="140">
        <f t="shared" ref="M118:M122" si="94">K118*0.85-J118</f>
        <v>-91783.333333333372</v>
      </c>
      <c r="N118" s="140">
        <f t="shared" ref="N118:N122" si="95">K118*0.85-I118</f>
        <v>-91783.333333333372</v>
      </c>
      <c r="O118" s="140">
        <f t="shared" si="42"/>
        <v>696500</v>
      </c>
      <c r="P118" s="130">
        <f t="shared" ref="P118:P164" si="96">M118/O118</f>
        <v>-0.13177793730557555</v>
      </c>
      <c r="Q118" s="130">
        <f t="shared" ref="Q118:Q164" si="97">N118/O118</f>
        <v>-0.13177793730557555</v>
      </c>
    </row>
    <row r="119" spans="1:19" ht="14.25" hidden="1" customHeight="1" x14ac:dyDescent="0.25">
      <c r="A119" s="320"/>
      <c r="B119" s="224" t="str">
        <f t="shared" si="43"/>
        <v>Arma Secundaria</v>
      </c>
      <c r="C119" s="132" t="str">
        <f t="shared" ref="C119:C122" si="98">+C118</f>
        <v>Kutum</v>
      </c>
      <c r="D119" s="52" t="s">
        <v>474</v>
      </c>
      <c r="E119" s="52">
        <v>15</v>
      </c>
      <c r="F119" s="135">
        <f t="shared" si="89"/>
        <v>1500</v>
      </c>
      <c r="G119" s="52">
        <v>0.29399999999999998</v>
      </c>
      <c r="H119" s="135">
        <v>303000</v>
      </c>
      <c r="I119" s="145">
        <f t="shared" si="90"/>
        <v>327312.92517006805</v>
      </c>
      <c r="J119" s="145">
        <f t="shared" si="91"/>
        <v>327312.92517006805</v>
      </c>
      <c r="K119" s="140">
        <f t="shared" si="92"/>
        <v>497000</v>
      </c>
      <c r="L119" s="140">
        <f t="shared" si="93"/>
        <v>169687.07482993195</v>
      </c>
      <c r="M119" s="140">
        <f t="shared" si="94"/>
        <v>95137.074829931953</v>
      </c>
      <c r="N119" s="140">
        <f t="shared" si="95"/>
        <v>95137.074829931953</v>
      </c>
      <c r="O119" s="140">
        <f t="shared" si="42"/>
        <v>1060500</v>
      </c>
      <c r="P119" s="130">
        <f t="shared" si="96"/>
        <v>8.9709641518087649E-2</v>
      </c>
      <c r="Q119" s="130">
        <f t="shared" si="97"/>
        <v>8.9709641518087649E-2</v>
      </c>
    </row>
    <row r="120" spans="1:19" ht="14.25" hidden="1" customHeight="1" x14ac:dyDescent="0.25">
      <c r="A120" s="320"/>
      <c r="B120" s="224" t="str">
        <f t="shared" si="43"/>
        <v>Arma Secundaria</v>
      </c>
      <c r="C120" s="132" t="str">
        <f t="shared" si="98"/>
        <v>Kutum</v>
      </c>
      <c r="D120" s="52" t="s">
        <v>475</v>
      </c>
      <c r="E120" s="52">
        <v>30</v>
      </c>
      <c r="F120" s="135">
        <f t="shared" ref="F120" si="99">($P$2*350)</f>
        <v>17500</v>
      </c>
      <c r="G120" s="52">
        <v>0.30759999999999998</v>
      </c>
      <c r="H120" s="135">
        <v>497000</v>
      </c>
      <c r="I120" s="135">
        <f>(5*$T$2+I119)/G120-(5*$T$2+I119)+F120+I119</f>
        <v>1102970.4979521069</v>
      </c>
      <c r="J120" s="145">
        <f>(5*$T$2+H120)/G120-(5*$T$2+H120)+F120+H120</f>
        <v>1654618.9856957088</v>
      </c>
      <c r="K120" s="140">
        <f t="shared" si="92"/>
        <v>545000</v>
      </c>
      <c r="L120" s="140">
        <f t="shared" si="93"/>
        <v>-1109618.9856957088</v>
      </c>
      <c r="M120" s="140">
        <f t="shared" si="94"/>
        <v>-1191368.9856957088</v>
      </c>
      <c r="N120" s="140">
        <f t="shared" si="95"/>
        <v>-639720.49795210687</v>
      </c>
      <c r="O120" s="140">
        <f t="shared" si="42"/>
        <v>1739500</v>
      </c>
      <c r="P120" s="130">
        <f t="shared" si="96"/>
        <v>-0.68489162730423037</v>
      </c>
      <c r="Q120" s="130">
        <f t="shared" si="97"/>
        <v>-0.3677611370808318</v>
      </c>
    </row>
    <row r="121" spans="1:19" ht="14.25" hidden="1" customHeight="1" x14ac:dyDescent="0.25">
      <c r="A121" s="320"/>
      <c r="B121" s="224" t="str">
        <f t="shared" si="43"/>
        <v>Arma Secundaria</v>
      </c>
      <c r="C121" s="132" t="str">
        <f t="shared" si="98"/>
        <v>Kutum</v>
      </c>
      <c r="D121" s="52" t="s">
        <v>476</v>
      </c>
      <c r="E121" s="52">
        <v>50</v>
      </c>
      <c r="F121" s="135">
        <f t="shared" ref="F121:F122" si="100">($P$2*350)*E121^2/40^2</f>
        <v>27343.75</v>
      </c>
      <c r="G121" s="129">
        <v>0.375</v>
      </c>
      <c r="H121" s="135">
        <v>545000</v>
      </c>
      <c r="I121" s="135">
        <f t="shared" ref="I121:I122" si="101">(5*$T$2+I120)/G121-(5*$T$2+I120)+F121+I120</f>
        <v>2984431.7445389517</v>
      </c>
      <c r="J121" s="145">
        <f t="shared" ref="J121:J122" si="102">(5*$T$2+H121)/G121-(5*$T$2+H121)+F121+H121</f>
        <v>1496510.4166666667</v>
      </c>
      <c r="K121" s="140">
        <f t="shared" si="92"/>
        <v>740000</v>
      </c>
      <c r="L121" s="140">
        <f t="shared" si="93"/>
        <v>-756510.41666666674</v>
      </c>
      <c r="M121" s="140">
        <f t="shared" si="94"/>
        <v>-867510.41666666674</v>
      </c>
      <c r="N121" s="140">
        <f t="shared" si="95"/>
        <v>-2355431.7445389517</v>
      </c>
      <c r="O121" s="140">
        <f t="shared" si="42"/>
        <v>1907500</v>
      </c>
      <c r="P121" s="130">
        <f t="shared" si="96"/>
        <v>-0.45478920926168637</v>
      </c>
      <c r="Q121" s="130">
        <f t="shared" si="97"/>
        <v>-1.2348266026416523</v>
      </c>
    </row>
    <row r="122" spans="1:19" ht="14.25" hidden="1" customHeight="1" thickBot="1" x14ac:dyDescent="0.3">
      <c r="A122" s="320"/>
      <c r="B122" s="224" t="str">
        <f t="shared" si="43"/>
        <v>Arma Secundaria</v>
      </c>
      <c r="C122" s="132" t="str">
        <f t="shared" si="98"/>
        <v>Kutum</v>
      </c>
      <c r="D122" s="52" t="s">
        <v>477</v>
      </c>
      <c r="E122" s="52">
        <v>100</v>
      </c>
      <c r="F122" s="135">
        <f t="shared" si="100"/>
        <v>109375</v>
      </c>
      <c r="G122" s="52">
        <v>0.22</v>
      </c>
      <c r="H122" s="135">
        <v>740000</v>
      </c>
      <c r="I122" s="135">
        <f t="shared" si="101"/>
        <v>13708655.656995235</v>
      </c>
      <c r="J122" s="145">
        <f t="shared" si="102"/>
        <v>3506693.1818181816</v>
      </c>
      <c r="K122" s="140">
        <v>2170000</v>
      </c>
      <c r="L122" s="140">
        <f t="shared" si="93"/>
        <v>-1336693.1818181816</v>
      </c>
      <c r="M122" s="140">
        <f t="shared" si="94"/>
        <v>-1662193.1818181816</v>
      </c>
      <c r="N122" s="140">
        <f t="shared" si="95"/>
        <v>-11864155.656995235</v>
      </c>
      <c r="O122" s="140">
        <f t="shared" si="42"/>
        <v>2590000</v>
      </c>
      <c r="P122" s="130">
        <f t="shared" si="96"/>
        <v>-0.64177342927342917</v>
      </c>
      <c r="Q122" s="130">
        <f t="shared" si="97"/>
        <v>-4.58075507992094</v>
      </c>
    </row>
    <row r="123" spans="1:19" ht="14.25" hidden="1" customHeight="1" x14ac:dyDescent="0.25">
      <c r="A123" s="320"/>
      <c r="B123" s="224" t="str">
        <f t="shared" si="43"/>
        <v>Arma Secundaria</v>
      </c>
      <c r="C123" s="126" t="s">
        <v>530</v>
      </c>
      <c r="D123" s="126" t="s">
        <v>542</v>
      </c>
      <c r="E123" s="127">
        <v>20</v>
      </c>
      <c r="F123" s="136">
        <f t="shared" ref="F123:F125" si="103">($P$2*30)</f>
        <v>1500</v>
      </c>
      <c r="G123" s="126">
        <v>7.4999999999999997E-2</v>
      </c>
      <c r="H123" s="141">
        <v>141000</v>
      </c>
      <c r="I123" s="142">
        <f>((5*$T$2)/G123-(5*$T$2)+F123)+H123</f>
        <v>259666.66666666669</v>
      </c>
      <c r="J123" s="142">
        <f>((5*$T$2)/G123-(5*$T$2)+F123)+H123</f>
        <v>259666.66666666669</v>
      </c>
      <c r="K123" s="142">
        <f>+H124</f>
        <v>199000</v>
      </c>
      <c r="L123" s="143">
        <f>K123-J123</f>
        <v>-60666.666666666686</v>
      </c>
      <c r="M123" s="143">
        <f>K123*0.85-J123</f>
        <v>-90516.666666666686</v>
      </c>
      <c r="N123" s="143">
        <f>K123*0.85-I123</f>
        <v>-90516.666666666686</v>
      </c>
      <c r="O123" s="142">
        <f t="shared" si="42"/>
        <v>493500</v>
      </c>
      <c r="P123" s="130">
        <f t="shared" si="96"/>
        <v>-0.18341776426882814</v>
      </c>
      <c r="Q123" s="130">
        <f t="shared" si="97"/>
        <v>-0.18341776426882814</v>
      </c>
    </row>
    <row r="124" spans="1:19" ht="14.25" hidden="1" customHeight="1" x14ac:dyDescent="0.25">
      <c r="A124" s="320"/>
      <c r="B124" s="224" t="str">
        <f t="shared" si="43"/>
        <v>Arma Secundaria</v>
      </c>
      <c r="C124" s="133" t="str">
        <f>+C123</f>
        <v>Nouver</v>
      </c>
      <c r="D124" s="128" t="s">
        <v>543</v>
      </c>
      <c r="E124" s="128">
        <v>20</v>
      </c>
      <c r="F124" s="137">
        <f t="shared" si="103"/>
        <v>1500</v>
      </c>
      <c r="G124" s="128">
        <v>0.06</v>
      </c>
      <c r="H124" s="137">
        <v>199000</v>
      </c>
      <c r="I124" s="144">
        <f t="shared" ref="I124:I125" si="104">((5*$T$2)/G124-(5*$T$2)+F124)+H124</f>
        <v>349333.33333333337</v>
      </c>
      <c r="J124" s="144">
        <f t="shared" ref="J124:J125" si="105">((5*$T$2)/G124-(5*$T$2)+F124)+H124</f>
        <v>349333.33333333337</v>
      </c>
      <c r="K124" s="144">
        <f t="shared" ref="K124:K127" si="106">+H125</f>
        <v>303000</v>
      </c>
      <c r="L124" s="144">
        <f t="shared" ref="L124:L128" si="107">K124-J124</f>
        <v>-46333.333333333372</v>
      </c>
      <c r="M124" s="144">
        <f t="shared" ref="M124:M128" si="108">K124*0.85-J124</f>
        <v>-91783.333333333372</v>
      </c>
      <c r="N124" s="144">
        <f t="shared" ref="N124:N128" si="109">K124*0.85-I124</f>
        <v>-91783.333333333372</v>
      </c>
      <c r="O124" s="144">
        <f t="shared" si="42"/>
        <v>696500</v>
      </c>
      <c r="P124" s="130">
        <f t="shared" si="96"/>
        <v>-0.13177793730557555</v>
      </c>
      <c r="Q124" s="130">
        <f t="shared" si="97"/>
        <v>-0.13177793730557555</v>
      </c>
    </row>
    <row r="125" spans="1:19" ht="14.25" hidden="1" customHeight="1" x14ac:dyDescent="0.25">
      <c r="A125" s="320"/>
      <c r="B125" s="224" t="str">
        <f t="shared" si="43"/>
        <v>Arma Secundaria</v>
      </c>
      <c r="C125" s="133" t="str">
        <f>+C124</f>
        <v>Nouver</v>
      </c>
      <c r="D125" s="128" t="s">
        <v>474</v>
      </c>
      <c r="E125" s="128">
        <v>15</v>
      </c>
      <c r="F125" s="137">
        <f t="shared" si="103"/>
        <v>1500</v>
      </c>
      <c r="G125" s="128">
        <v>0.29399999999999998</v>
      </c>
      <c r="H125" s="137">
        <v>303000</v>
      </c>
      <c r="I125" s="144">
        <f t="shared" si="104"/>
        <v>327312.92517006805</v>
      </c>
      <c r="J125" s="144">
        <f t="shared" si="105"/>
        <v>327312.92517006805</v>
      </c>
      <c r="K125" s="144">
        <f t="shared" si="106"/>
        <v>497000</v>
      </c>
      <c r="L125" s="144">
        <f t="shared" si="107"/>
        <v>169687.07482993195</v>
      </c>
      <c r="M125" s="144">
        <f t="shared" si="108"/>
        <v>95137.074829931953</v>
      </c>
      <c r="N125" s="144">
        <f t="shared" si="109"/>
        <v>95137.074829931953</v>
      </c>
      <c r="O125" s="144">
        <f t="shared" si="42"/>
        <v>1060500</v>
      </c>
      <c r="P125" s="130">
        <f t="shared" si="96"/>
        <v>8.9709641518087649E-2</v>
      </c>
      <c r="Q125" s="130">
        <f t="shared" si="97"/>
        <v>8.9709641518087649E-2</v>
      </c>
    </row>
    <row r="126" spans="1:19" ht="14.25" hidden="1" customHeight="1" x14ac:dyDescent="0.25">
      <c r="A126" s="320"/>
      <c r="B126" s="224" t="str">
        <f t="shared" si="43"/>
        <v>Arma Secundaria</v>
      </c>
      <c r="C126" s="133" t="str">
        <f>+C125</f>
        <v>Nouver</v>
      </c>
      <c r="D126" s="128" t="s">
        <v>475</v>
      </c>
      <c r="E126" s="128">
        <v>30</v>
      </c>
      <c r="F126" s="137">
        <f t="shared" ref="F126" si="110">($P$2*350)</f>
        <v>17500</v>
      </c>
      <c r="G126" s="128">
        <v>0.30759999999999998</v>
      </c>
      <c r="H126" s="137">
        <v>497000</v>
      </c>
      <c r="I126" s="144">
        <f>(5*$T$2+I125)/G126-(5*$T$2+I125)+F126+I125</f>
        <v>1102970.4979521069</v>
      </c>
      <c r="J126" s="144">
        <f>(5*$T$2+H126)/G126-(5*$T$2+H126)+F126+H126</f>
        <v>1654618.9856957088</v>
      </c>
      <c r="K126" s="144">
        <f t="shared" si="106"/>
        <v>545000</v>
      </c>
      <c r="L126" s="144">
        <f t="shared" si="107"/>
        <v>-1109618.9856957088</v>
      </c>
      <c r="M126" s="144">
        <f t="shared" si="108"/>
        <v>-1191368.9856957088</v>
      </c>
      <c r="N126" s="144">
        <f t="shared" si="109"/>
        <v>-639720.49795210687</v>
      </c>
      <c r="O126" s="144">
        <f t="shared" si="42"/>
        <v>1739500</v>
      </c>
      <c r="P126" s="130">
        <f t="shared" si="96"/>
        <v>-0.68489162730423037</v>
      </c>
      <c r="Q126" s="130">
        <f t="shared" si="97"/>
        <v>-0.3677611370808318</v>
      </c>
    </row>
    <row r="127" spans="1:19" ht="14.25" hidden="1" customHeight="1" x14ac:dyDescent="0.25">
      <c r="A127" s="320"/>
      <c r="B127" s="224" t="str">
        <f t="shared" si="43"/>
        <v>Arma Secundaria</v>
      </c>
      <c r="C127" s="133" t="str">
        <f>+C126</f>
        <v>Nouver</v>
      </c>
      <c r="D127" s="128" t="s">
        <v>476</v>
      </c>
      <c r="E127" s="128">
        <v>50</v>
      </c>
      <c r="F127" s="137">
        <f t="shared" ref="F127:F128" si="111">($P$2*350)*E127^2/40^2</f>
        <v>27343.75</v>
      </c>
      <c r="G127" s="128">
        <v>0.375</v>
      </c>
      <c r="H127" s="137">
        <v>545000</v>
      </c>
      <c r="I127" s="144">
        <f t="shared" ref="I127:I128" si="112">(5*$T$2+I126)/G127-(5*$T$2+I126)+F127+I126</f>
        <v>2984431.7445389517</v>
      </c>
      <c r="J127" s="144">
        <f t="shared" ref="J127:J128" si="113">(5*$T$2+H127)/G127-(5*$T$2+H127)+F127+H127</f>
        <v>1496510.4166666667</v>
      </c>
      <c r="K127" s="144">
        <f t="shared" si="106"/>
        <v>740000</v>
      </c>
      <c r="L127" s="144">
        <f t="shared" si="107"/>
        <v>-756510.41666666674</v>
      </c>
      <c r="M127" s="144">
        <f t="shared" si="108"/>
        <v>-867510.41666666674</v>
      </c>
      <c r="N127" s="144">
        <f t="shared" si="109"/>
        <v>-2355431.7445389517</v>
      </c>
      <c r="O127" s="144">
        <f t="shared" si="42"/>
        <v>1907500</v>
      </c>
      <c r="P127" s="130">
        <f t="shared" si="96"/>
        <v>-0.45478920926168637</v>
      </c>
      <c r="Q127" s="130">
        <f t="shared" si="97"/>
        <v>-1.2348266026416523</v>
      </c>
    </row>
    <row r="128" spans="1:19" ht="14.25" hidden="1" customHeight="1" thickBot="1" x14ac:dyDescent="0.3">
      <c r="A128" s="320"/>
      <c r="B128" s="224" t="str">
        <f t="shared" si="43"/>
        <v>Arma Secundaria</v>
      </c>
      <c r="C128" s="133" t="str">
        <f>+C127</f>
        <v>Nouver</v>
      </c>
      <c r="D128" s="128" t="s">
        <v>477</v>
      </c>
      <c r="E128" s="128">
        <v>100</v>
      </c>
      <c r="F128" s="137">
        <f t="shared" si="111"/>
        <v>109375</v>
      </c>
      <c r="G128" s="128">
        <v>0.22</v>
      </c>
      <c r="H128" s="137">
        <v>740000</v>
      </c>
      <c r="I128" s="144">
        <f t="shared" si="112"/>
        <v>13708655.656995235</v>
      </c>
      <c r="J128" s="144">
        <f t="shared" si="113"/>
        <v>3506693.1818181816</v>
      </c>
      <c r="K128" s="144">
        <v>2170000</v>
      </c>
      <c r="L128" s="144">
        <f t="shared" si="107"/>
        <v>-1336693.1818181816</v>
      </c>
      <c r="M128" s="144">
        <f t="shared" si="108"/>
        <v>-1662193.1818181816</v>
      </c>
      <c r="N128" s="144">
        <f t="shared" si="109"/>
        <v>-11864155.656995235</v>
      </c>
      <c r="O128" s="144">
        <f t="shared" si="42"/>
        <v>2590000</v>
      </c>
      <c r="P128" s="130">
        <f t="shared" si="96"/>
        <v>-0.64177342927342917</v>
      </c>
      <c r="Q128" s="130">
        <f t="shared" si="97"/>
        <v>-4.58075507992094</v>
      </c>
    </row>
    <row r="129" spans="1:17" ht="14.25" hidden="1" customHeight="1" x14ac:dyDescent="0.25">
      <c r="A129" s="320"/>
      <c r="B129" s="220" t="s">
        <v>514</v>
      </c>
      <c r="C129" s="5" t="s">
        <v>531</v>
      </c>
      <c r="D129" s="221" t="s">
        <v>542</v>
      </c>
      <c r="E129" s="79">
        <v>20</v>
      </c>
      <c r="F129" s="134">
        <f t="shared" ref="F129:F131" si="114">($P$2*30)</f>
        <v>1500</v>
      </c>
      <c r="G129" s="5">
        <v>7.4999999999999997E-2</v>
      </c>
      <c r="H129" s="138">
        <v>376000</v>
      </c>
      <c r="I129" s="145">
        <f>((5*$T$2)/G129-(5*$T$2)+F129)+H129</f>
        <v>494666.66666666669</v>
      </c>
      <c r="J129" s="145">
        <f>((5*$T$2)/G129-(5*$T$2)+F129)+H129</f>
        <v>494666.66666666669</v>
      </c>
      <c r="K129" s="139">
        <f>+H130</f>
        <v>407000</v>
      </c>
      <c r="L129" s="140">
        <f>K129-J129</f>
        <v>-87666.666666666686</v>
      </c>
      <c r="M129" s="140">
        <f>K129*0.85-J129</f>
        <v>-148716.66666666669</v>
      </c>
      <c r="N129" s="140">
        <f>K129*0.85-I129</f>
        <v>-148716.66666666669</v>
      </c>
      <c r="O129" s="139">
        <f t="shared" si="42"/>
        <v>1316000</v>
      </c>
      <c r="P129" s="130">
        <f t="shared" si="96"/>
        <v>-0.11300658561296861</v>
      </c>
      <c r="Q129" s="130">
        <f t="shared" si="97"/>
        <v>-0.11300658561296861</v>
      </c>
    </row>
    <row r="130" spans="1:17" ht="14.25" hidden="1" customHeight="1" x14ac:dyDescent="0.25">
      <c r="A130" s="320"/>
      <c r="B130" s="224" t="str">
        <f t="shared" si="43"/>
        <v>Arma Despertar</v>
      </c>
      <c r="C130" s="132" t="str">
        <f>+C129</f>
        <v>Dandelion</v>
      </c>
      <c r="D130" s="222" t="s">
        <v>543</v>
      </c>
      <c r="E130" s="52">
        <v>20</v>
      </c>
      <c r="F130" s="135">
        <f t="shared" si="114"/>
        <v>1500</v>
      </c>
      <c r="G130" s="52">
        <v>0.06</v>
      </c>
      <c r="H130" s="135">
        <v>407000</v>
      </c>
      <c r="I130" s="145">
        <f t="shared" ref="I130:I131" si="115">((5*$T$2)/G130-(5*$T$2)+F130)+H130</f>
        <v>557333.33333333337</v>
      </c>
      <c r="J130" s="145">
        <f t="shared" ref="J130:J131" si="116">((5*$T$2)/G130-(5*$T$2)+F130)+H130</f>
        <v>557333.33333333337</v>
      </c>
      <c r="K130" s="140">
        <f t="shared" ref="K130:K133" si="117">+H131</f>
        <v>438000</v>
      </c>
      <c r="L130" s="140">
        <f t="shared" ref="L130:L134" si="118">K130-J130</f>
        <v>-119333.33333333337</v>
      </c>
      <c r="M130" s="140">
        <f t="shared" ref="M130:M134" si="119">K130*0.85-J130</f>
        <v>-185033.33333333337</v>
      </c>
      <c r="N130" s="140">
        <f t="shared" ref="N130:N134" si="120">K130*0.85-I130</f>
        <v>-185033.33333333337</v>
      </c>
      <c r="O130" s="140">
        <f t="shared" si="42"/>
        <v>1424500</v>
      </c>
      <c r="P130" s="130">
        <f t="shared" si="96"/>
        <v>-0.12989352989352992</v>
      </c>
      <c r="Q130" s="130">
        <f t="shared" si="97"/>
        <v>-0.12989352989352992</v>
      </c>
    </row>
    <row r="131" spans="1:17" ht="14.25" hidden="1" customHeight="1" x14ac:dyDescent="0.25">
      <c r="A131" s="320"/>
      <c r="B131" s="224" t="str">
        <f t="shared" si="43"/>
        <v>Arma Despertar</v>
      </c>
      <c r="C131" s="132" t="str">
        <f t="shared" ref="C131:C134" si="121">+C130</f>
        <v>Dandelion</v>
      </c>
      <c r="D131" s="52" t="s">
        <v>474</v>
      </c>
      <c r="E131" s="52">
        <v>15</v>
      </c>
      <c r="F131" s="135">
        <f t="shared" si="114"/>
        <v>1500</v>
      </c>
      <c r="G131" s="52">
        <v>0.29399999999999998</v>
      </c>
      <c r="H131" s="135">
        <v>438000</v>
      </c>
      <c r="I131" s="145">
        <f t="shared" si="115"/>
        <v>462312.92517006805</v>
      </c>
      <c r="J131" s="145">
        <f t="shared" si="116"/>
        <v>462312.92517006805</v>
      </c>
      <c r="K131" s="140">
        <f t="shared" si="117"/>
        <v>438000</v>
      </c>
      <c r="L131" s="140">
        <f t="shared" si="118"/>
        <v>-24312.925170068047</v>
      </c>
      <c r="M131" s="140">
        <f t="shared" si="119"/>
        <v>-90012.925170068047</v>
      </c>
      <c r="N131" s="140">
        <f t="shared" si="120"/>
        <v>-90012.925170068047</v>
      </c>
      <c r="O131" s="140">
        <f t="shared" si="42"/>
        <v>1533000</v>
      </c>
      <c r="P131" s="130">
        <f t="shared" si="96"/>
        <v>-5.8716846164427947E-2</v>
      </c>
      <c r="Q131" s="130">
        <f t="shared" si="97"/>
        <v>-5.8716846164427947E-2</v>
      </c>
    </row>
    <row r="132" spans="1:17" ht="14.25" hidden="1" customHeight="1" x14ac:dyDescent="0.25">
      <c r="A132" s="320"/>
      <c r="B132" s="224" t="str">
        <f t="shared" si="43"/>
        <v>Arma Despertar</v>
      </c>
      <c r="C132" s="132" t="str">
        <f t="shared" si="121"/>
        <v>Dandelion</v>
      </c>
      <c r="D132" s="52" t="s">
        <v>475</v>
      </c>
      <c r="E132" s="52">
        <v>30</v>
      </c>
      <c r="F132" s="135">
        <f t="shared" ref="F132" si="122">($P$2*350)</f>
        <v>17500</v>
      </c>
      <c r="G132" s="52">
        <v>0.30759999999999998</v>
      </c>
      <c r="H132" s="135">
        <v>438000</v>
      </c>
      <c r="I132" s="135">
        <f>(5*$T$2+I131)/G132-(5*$T$2+I131)+F132+I131</f>
        <v>1541852.1624514568</v>
      </c>
      <c r="J132" s="145">
        <f>(5*$T$2+H132)/G132-(5*$T$2+H132)+F132+H132</f>
        <v>1462811.44343303</v>
      </c>
      <c r="K132" s="140">
        <f t="shared" si="117"/>
        <v>474000</v>
      </c>
      <c r="L132" s="140">
        <f t="shared" si="118"/>
        <v>-988811.44343303004</v>
      </c>
      <c r="M132" s="140">
        <f t="shared" si="119"/>
        <v>-1059911.44343303</v>
      </c>
      <c r="N132" s="140">
        <f t="shared" si="120"/>
        <v>-1138952.1624514568</v>
      </c>
      <c r="O132" s="140">
        <f t="shared" si="42"/>
        <v>1533000</v>
      </c>
      <c r="P132" s="130">
        <f t="shared" si="96"/>
        <v>-0.69139689721658837</v>
      </c>
      <c r="Q132" s="130">
        <f t="shared" si="97"/>
        <v>-0.74295640081634495</v>
      </c>
    </row>
    <row r="133" spans="1:17" ht="14.25" hidden="1" customHeight="1" x14ac:dyDescent="0.25">
      <c r="A133" s="320"/>
      <c r="B133" s="224" t="str">
        <f t="shared" si="43"/>
        <v>Arma Despertar</v>
      </c>
      <c r="C133" s="132" t="str">
        <f t="shared" si="121"/>
        <v>Dandelion</v>
      </c>
      <c r="D133" s="52" t="s">
        <v>476</v>
      </c>
      <c r="E133" s="52">
        <v>50</v>
      </c>
      <c r="F133" s="135">
        <f t="shared" ref="F133:F134" si="123">($P$2*350)*E133^2/40^2</f>
        <v>27343.75</v>
      </c>
      <c r="G133" s="129">
        <v>0.375</v>
      </c>
      <c r="H133" s="135">
        <v>474000</v>
      </c>
      <c r="I133" s="135">
        <f t="shared" ref="I133:I134" si="124">(5*$T$2+I132)/G133-(5*$T$2+I132)+F133+I132</f>
        <v>4154782.8498705514</v>
      </c>
      <c r="J133" s="145">
        <f t="shared" ref="J133:J134" si="125">(5*$T$2+H133)/G133-(5*$T$2+H133)+F133+H133</f>
        <v>1307177.0833333333</v>
      </c>
      <c r="K133" s="140">
        <f t="shared" si="117"/>
        <v>670000</v>
      </c>
      <c r="L133" s="140">
        <f t="shared" si="118"/>
        <v>-637177.08333333326</v>
      </c>
      <c r="M133" s="140">
        <f t="shared" si="119"/>
        <v>-737677.08333333326</v>
      </c>
      <c r="N133" s="140">
        <f t="shared" si="120"/>
        <v>-3585282.8498705514</v>
      </c>
      <c r="O133" s="140">
        <f t="shared" si="42"/>
        <v>1659000</v>
      </c>
      <c r="P133" s="130">
        <f t="shared" si="96"/>
        <v>-0.44465164757886272</v>
      </c>
      <c r="Q133" s="130">
        <f t="shared" si="97"/>
        <v>-2.1611108196929183</v>
      </c>
    </row>
    <row r="134" spans="1:17" ht="14.25" hidden="1" customHeight="1" thickBot="1" x14ac:dyDescent="0.3">
      <c r="A134" s="320"/>
      <c r="B134" s="224" t="str">
        <f t="shared" si="43"/>
        <v>Arma Despertar</v>
      </c>
      <c r="C134" s="132" t="str">
        <f t="shared" si="121"/>
        <v>Dandelion</v>
      </c>
      <c r="D134" s="52" t="s">
        <v>477</v>
      </c>
      <c r="E134" s="52">
        <v>100</v>
      </c>
      <c r="F134" s="135">
        <f t="shared" si="123"/>
        <v>109375</v>
      </c>
      <c r="G134" s="52">
        <v>0.22</v>
      </c>
      <c r="H134" s="135">
        <v>670000</v>
      </c>
      <c r="I134" s="135">
        <f t="shared" si="124"/>
        <v>19028433.408502508</v>
      </c>
      <c r="J134" s="145">
        <f t="shared" si="125"/>
        <v>3188511.3636363638</v>
      </c>
      <c r="K134" s="140">
        <v>1870000</v>
      </c>
      <c r="L134" s="140">
        <f t="shared" si="118"/>
        <v>-1318511.3636363638</v>
      </c>
      <c r="M134" s="140">
        <f t="shared" si="119"/>
        <v>-1599011.3636363638</v>
      </c>
      <c r="N134" s="140">
        <f t="shared" si="120"/>
        <v>-17438933.408502508</v>
      </c>
      <c r="O134" s="140">
        <f t="shared" si="42"/>
        <v>2345000</v>
      </c>
      <c r="P134" s="130">
        <f t="shared" si="96"/>
        <v>-0.68188117852296959</v>
      </c>
      <c r="Q134" s="130">
        <f t="shared" si="97"/>
        <v>-7.436645376760131</v>
      </c>
    </row>
    <row r="135" spans="1:17" ht="14.25" hidden="1" customHeight="1" x14ac:dyDescent="0.25">
      <c r="A135" s="320"/>
      <c r="B135" s="220" t="s">
        <v>515</v>
      </c>
      <c r="C135" s="126" t="s">
        <v>534</v>
      </c>
      <c r="D135" s="126" t="s">
        <v>542</v>
      </c>
      <c r="E135" s="127">
        <v>20</v>
      </c>
      <c r="F135" s="136">
        <f t="shared" ref="F135:F137" si="126">($P$2*30)</f>
        <v>1500</v>
      </c>
      <c r="G135" s="126">
        <v>7.4999999999999997E-2</v>
      </c>
      <c r="H135" s="141">
        <v>690000</v>
      </c>
      <c r="I135" s="142">
        <f>((5*$T$2)/G135-(5*$T$2)+F135)+H135</f>
        <v>808666.66666666663</v>
      </c>
      <c r="J135" s="142">
        <f>((5*$T$2)/G135-(5*$T$2)+F135)+H135</f>
        <v>808666.66666666663</v>
      </c>
      <c r="K135" s="142">
        <f>+H136</f>
        <v>810000</v>
      </c>
      <c r="L135" s="143">
        <f>K135-J135</f>
        <v>1333.3333333333721</v>
      </c>
      <c r="M135" s="143">
        <f>K135*0.85-J135</f>
        <v>-120166.66666666663</v>
      </c>
      <c r="N135" s="143">
        <f>K135*0.85-I135</f>
        <v>-120166.66666666663</v>
      </c>
      <c r="O135" s="142">
        <f t="shared" si="42"/>
        <v>2415000</v>
      </c>
      <c r="P135" s="130">
        <f t="shared" si="96"/>
        <v>-4.975845410628018E-2</v>
      </c>
      <c r="Q135" s="130">
        <f t="shared" si="97"/>
        <v>-4.975845410628018E-2</v>
      </c>
    </row>
    <row r="136" spans="1:17" ht="14.25" hidden="1" customHeight="1" x14ac:dyDescent="0.25">
      <c r="A136" s="320"/>
      <c r="B136" s="224" t="str">
        <f t="shared" si="43"/>
        <v>Armadura</v>
      </c>
      <c r="C136" s="133" t="str">
        <f>+C135</f>
        <v>Armadura de BlackStar</v>
      </c>
      <c r="D136" s="128" t="s">
        <v>543</v>
      </c>
      <c r="E136" s="128">
        <v>20</v>
      </c>
      <c r="F136" s="137">
        <f t="shared" si="126"/>
        <v>1500</v>
      </c>
      <c r="G136" s="128">
        <v>0.06</v>
      </c>
      <c r="H136" s="137">
        <v>810000</v>
      </c>
      <c r="I136" s="144">
        <f t="shared" ref="I136:I137" si="127">((5*$T$2)/G136-(5*$T$2)+F136)+H136</f>
        <v>960333.33333333337</v>
      </c>
      <c r="J136" s="144">
        <f t="shared" ref="J136:J137" si="128">((5*$T$2)/G136-(5*$T$2)+F136)+H136</f>
        <v>960333.33333333337</v>
      </c>
      <c r="K136" s="144">
        <f t="shared" ref="K136:K139" si="129">+H137</f>
        <v>945000</v>
      </c>
      <c r="L136" s="144">
        <f t="shared" ref="L136:L140" si="130">K136-J136</f>
        <v>-15333.333333333372</v>
      </c>
      <c r="M136" s="144">
        <f t="shared" ref="M136:M140" si="131">K136*0.85-J136</f>
        <v>-157083.33333333337</v>
      </c>
      <c r="N136" s="144">
        <f t="shared" ref="N136:N140" si="132">K136*0.85-I136</f>
        <v>-157083.33333333337</v>
      </c>
      <c r="O136" s="144">
        <f t="shared" si="42"/>
        <v>2835000</v>
      </c>
      <c r="P136" s="130">
        <f t="shared" si="96"/>
        <v>-5.540858318636098E-2</v>
      </c>
      <c r="Q136" s="130">
        <f t="shared" si="97"/>
        <v>-5.540858318636098E-2</v>
      </c>
    </row>
    <row r="137" spans="1:17" ht="14.25" hidden="1" customHeight="1" x14ac:dyDescent="0.25">
      <c r="A137" s="320"/>
      <c r="B137" s="224" t="str">
        <f t="shared" si="43"/>
        <v>Armadura</v>
      </c>
      <c r="C137" s="133" t="str">
        <f>+C136</f>
        <v>Armadura de BlackStar</v>
      </c>
      <c r="D137" s="128" t="s">
        <v>474</v>
      </c>
      <c r="E137" s="128">
        <v>25</v>
      </c>
      <c r="F137" s="137">
        <f t="shared" si="126"/>
        <v>1500</v>
      </c>
      <c r="G137" s="128">
        <v>0.4577</v>
      </c>
      <c r="H137" s="137">
        <v>945000</v>
      </c>
      <c r="I137" s="144">
        <f t="shared" si="127"/>
        <v>957755.95368145069</v>
      </c>
      <c r="J137" s="144">
        <f t="shared" si="128"/>
        <v>957755.95368145069</v>
      </c>
      <c r="K137" s="144">
        <f t="shared" si="129"/>
        <v>1860000</v>
      </c>
      <c r="L137" s="144">
        <f t="shared" si="130"/>
        <v>902244.04631854931</v>
      </c>
      <c r="M137" s="144">
        <f t="shared" si="131"/>
        <v>623244.04631854931</v>
      </c>
      <c r="N137" s="144">
        <f t="shared" si="132"/>
        <v>623244.04631854931</v>
      </c>
      <c r="O137" s="144">
        <f t="shared" si="42"/>
        <v>3307500</v>
      </c>
      <c r="P137" s="130">
        <f t="shared" si="96"/>
        <v>0.18843357409479949</v>
      </c>
      <c r="Q137" s="130">
        <f t="shared" si="97"/>
        <v>0.18843357409479949</v>
      </c>
    </row>
    <row r="138" spans="1:17" ht="14.25" hidden="1" customHeight="1" x14ac:dyDescent="0.25">
      <c r="A138" s="320"/>
      <c r="B138" s="224" t="str">
        <f t="shared" si="43"/>
        <v>Armadura</v>
      </c>
      <c r="C138" s="133" t="str">
        <f>+C137</f>
        <v>Armadura de BlackStar</v>
      </c>
      <c r="D138" s="128" t="s">
        <v>475</v>
      </c>
      <c r="E138" s="128">
        <v>35</v>
      </c>
      <c r="F138" s="137">
        <f t="shared" ref="F138" si="133">($P$2*350)</f>
        <v>17500</v>
      </c>
      <c r="G138" s="128">
        <v>0.47810000000000002</v>
      </c>
      <c r="H138" s="137">
        <v>1860000</v>
      </c>
      <c r="I138" s="144">
        <f>(5*$T$2+I137)/G138-(5*$T$2+I137)+F138+I137</f>
        <v>2031124.7723937477</v>
      </c>
      <c r="J138" s="144">
        <f>(5*$T$2+H138)/G138-(5*$T$2+H138)+F138+H138</f>
        <v>3918269.8180297008</v>
      </c>
      <c r="K138" s="144">
        <f t="shared" si="129"/>
        <v>1870000</v>
      </c>
      <c r="L138" s="144">
        <f t="shared" si="130"/>
        <v>-2048269.8180297008</v>
      </c>
      <c r="M138" s="144">
        <f t="shared" si="131"/>
        <v>-2328769.8180297008</v>
      </c>
      <c r="N138" s="144">
        <f t="shared" si="132"/>
        <v>-441624.7723937477</v>
      </c>
      <c r="O138" s="144">
        <f t="shared" si="42"/>
        <v>6510000</v>
      </c>
      <c r="P138" s="130">
        <f t="shared" si="96"/>
        <v>-0.35772193825341025</v>
      </c>
      <c r="Q138" s="130">
        <f t="shared" si="97"/>
        <v>-6.7837906665706257E-2</v>
      </c>
    </row>
    <row r="139" spans="1:17" ht="14.25" hidden="1" customHeight="1" x14ac:dyDescent="0.25">
      <c r="A139" s="320"/>
      <c r="B139" s="224" t="str">
        <f t="shared" si="43"/>
        <v>Armadura</v>
      </c>
      <c r="C139" s="133" t="str">
        <f>+C138</f>
        <v>Armadura de BlackStar</v>
      </c>
      <c r="D139" s="128" t="s">
        <v>476</v>
      </c>
      <c r="E139" s="128">
        <v>60</v>
      </c>
      <c r="F139" s="137">
        <f t="shared" ref="F139:F140" si="134">($P$2*350)*E139^2/40^2</f>
        <v>39375</v>
      </c>
      <c r="G139" s="128">
        <v>0.23799999999999999</v>
      </c>
      <c r="H139" s="137">
        <v>1870000</v>
      </c>
      <c r="I139" s="144">
        <f t="shared" ref="I139:I140" si="135">(5*$T$2+I138)/G139-(5*$T$2+I138)+F139+I138</f>
        <v>8603928.665519949</v>
      </c>
      <c r="J139" s="144">
        <f t="shared" ref="J139:J140" si="136">(5*$T$2+H139)/G139-(5*$T$2+H139)+F139+H139</f>
        <v>7926933.823529412</v>
      </c>
      <c r="K139" s="144">
        <f t="shared" si="129"/>
        <v>3920000</v>
      </c>
      <c r="L139" s="144">
        <f t="shared" si="130"/>
        <v>-4006933.823529412</v>
      </c>
      <c r="M139" s="144">
        <f t="shared" si="131"/>
        <v>-4594933.823529412</v>
      </c>
      <c r="N139" s="144">
        <f t="shared" si="132"/>
        <v>-5271928.665519949</v>
      </c>
      <c r="O139" s="144">
        <f t="shared" si="42"/>
        <v>6545000</v>
      </c>
      <c r="P139" s="130">
        <f t="shared" si="96"/>
        <v>-0.7020525322428437</v>
      </c>
      <c r="Q139" s="130">
        <f t="shared" si="97"/>
        <v>-0.80548948289074851</v>
      </c>
    </row>
    <row r="140" spans="1:17" ht="14.25" hidden="1" customHeight="1" thickBot="1" x14ac:dyDescent="0.3">
      <c r="A140" s="320"/>
      <c r="B140" s="224" t="str">
        <f t="shared" si="43"/>
        <v>Armadura</v>
      </c>
      <c r="C140" s="133" t="str">
        <f>+C139</f>
        <v>Armadura de BlackStar</v>
      </c>
      <c r="D140" s="128" t="s">
        <v>477</v>
      </c>
      <c r="E140" s="128">
        <v>110</v>
      </c>
      <c r="F140" s="137">
        <f t="shared" si="134"/>
        <v>132343.75</v>
      </c>
      <c r="G140" s="128">
        <v>6.0699999999999997E-2</v>
      </c>
      <c r="H140" s="137">
        <v>3920000</v>
      </c>
      <c r="I140" s="144">
        <f t="shared" si="135"/>
        <v>142024469.21161366</v>
      </c>
      <c r="J140" s="144">
        <f t="shared" si="136"/>
        <v>64859252.316721588</v>
      </c>
      <c r="K140" s="144">
        <v>16000000</v>
      </c>
      <c r="L140" s="144">
        <f t="shared" si="130"/>
        <v>-48859252.316721588</v>
      </c>
      <c r="M140" s="144">
        <f t="shared" si="131"/>
        <v>-51259252.316721588</v>
      </c>
      <c r="N140" s="144">
        <f t="shared" si="132"/>
        <v>-128424469.21161366</v>
      </c>
      <c r="O140" s="144">
        <f t="shared" si="42"/>
        <v>13720000</v>
      </c>
      <c r="P140" s="130">
        <f t="shared" si="96"/>
        <v>-3.7360971076327689</v>
      </c>
      <c r="Q140" s="130">
        <f t="shared" si="97"/>
        <v>-9.3603840533246103</v>
      </c>
    </row>
    <row r="141" spans="1:17" ht="14.25" hidden="1" customHeight="1" x14ac:dyDescent="0.25">
      <c r="A141" s="320"/>
      <c r="B141" s="224" t="str">
        <f t="shared" si="43"/>
        <v>Armadura</v>
      </c>
      <c r="C141" s="5" t="s">
        <v>535</v>
      </c>
      <c r="D141" s="221" t="s">
        <v>542</v>
      </c>
      <c r="E141" s="79">
        <v>20</v>
      </c>
      <c r="F141" s="134">
        <f t="shared" ref="F141:F143" si="137">($P$2*30)</f>
        <v>1500</v>
      </c>
      <c r="G141" s="5">
        <v>7.4999999999999997E-2</v>
      </c>
      <c r="H141" s="138">
        <v>432000</v>
      </c>
      <c r="I141" s="145">
        <f>((5*$T$2)/G141-(5*$T$2)+F141)+H141</f>
        <v>550666.66666666663</v>
      </c>
      <c r="J141" s="145">
        <f>((5*$T$2)/G141-(5*$T$2)+F141)+H141</f>
        <v>550666.66666666663</v>
      </c>
      <c r="K141" s="139">
        <f>+H142</f>
        <v>467000</v>
      </c>
      <c r="L141" s="140">
        <f>K141-J141</f>
        <v>-83666.666666666628</v>
      </c>
      <c r="M141" s="140">
        <f>K141*0.85-J141</f>
        <v>-153716.66666666663</v>
      </c>
      <c r="N141" s="140">
        <f>K141*0.85-I141</f>
        <v>-153716.66666666663</v>
      </c>
      <c r="O141" s="139">
        <f t="shared" si="42"/>
        <v>1512000</v>
      </c>
      <c r="P141" s="130">
        <f t="shared" si="96"/>
        <v>-0.10166446208112873</v>
      </c>
      <c r="Q141" s="130">
        <f t="shared" si="97"/>
        <v>-0.10166446208112873</v>
      </c>
    </row>
    <row r="142" spans="1:17" ht="14.25" hidden="1" customHeight="1" x14ac:dyDescent="0.25">
      <c r="A142" s="320"/>
      <c r="B142" s="224" t="str">
        <f t="shared" si="43"/>
        <v>Armadura</v>
      </c>
      <c r="C142" s="132" t="str">
        <f>+C141</f>
        <v>Armadura deEspiritu de Arbol de Hebetate</v>
      </c>
      <c r="D142" s="222" t="s">
        <v>543</v>
      </c>
      <c r="E142" s="52">
        <v>20</v>
      </c>
      <c r="F142" s="135">
        <f t="shared" si="137"/>
        <v>1500</v>
      </c>
      <c r="G142" s="52">
        <v>0.06</v>
      </c>
      <c r="H142" s="135">
        <v>467000</v>
      </c>
      <c r="I142" s="145">
        <f t="shared" ref="I142:I143" si="138">((5*$T$2)/G142-(5*$T$2)+F142)+H142</f>
        <v>617333.33333333337</v>
      </c>
      <c r="J142" s="145">
        <f t="shared" ref="J142:J143" si="139">((5*$T$2)/G142-(5*$T$2)+F142)+H142</f>
        <v>617333.33333333337</v>
      </c>
      <c r="K142" s="140">
        <f t="shared" ref="K142:K145" si="140">+H143</f>
        <v>467000</v>
      </c>
      <c r="L142" s="140">
        <f t="shared" ref="L142:L146" si="141">K142-J142</f>
        <v>-150333.33333333337</v>
      </c>
      <c r="M142" s="140">
        <f t="shared" ref="M142:M146" si="142">K142*0.85-J142</f>
        <v>-220383.33333333337</v>
      </c>
      <c r="N142" s="140">
        <f t="shared" ref="N142:N146" si="143">K142*0.85-I142</f>
        <v>-220383.33333333337</v>
      </c>
      <c r="O142" s="140">
        <f t="shared" si="42"/>
        <v>1634500</v>
      </c>
      <c r="P142" s="130">
        <f t="shared" si="96"/>
        <v>-0.13483226266952181</v>
      </c>
      <c r="Q142" s="130">
        <f t="shared" si="97"/>
        <v>-0.13483226266952181</v>
      </c>
    </row>
    <row r="143" spans="1:17" ht="14.25" hidden="1" customHeight="1" x14ac:dyDescent="0.25">
      <c r="A143" s="320"/>
      <c r="B143" s="224" t="str">
        <f t="shared" si="43"/>
        <v>Armadura</v>
      </c>
      <c r="C143" s="132" t="str">
        <f t="shared" ref="C143:C146" si="144">+C142</f>
        <v>Armadura deEspiritu de Arbol de Hebetate</v>
      </c>
      <c r="D143" s="52" t="s">
        <v>474</v>
      </c>
      <c r="E143" s="52">
        <v>15</v>
      </c>
      <c r="F143" s="135">
        <f t="shared" si="137"/>
        <v>1500</v>
      </c>
      <c r="G143" s="52">
        <v>0.29399999999999998</v>
      </c>
      <c r="H143" s="135">
        <v>467000</v>
      </c>
      <c r="I143" s="145">
        <f t="shared" si="138"/>
        <v>491312.92517006805</v>
      </c>
      <c r="J143" s="145">
        <f t="shared" si="139"/>
        <v>491312.92517006805</v>
      </c>
      <c r="K143" s="140">
        <f t="shared" si="140"/>
        <v>530000</v>
      </c>
      <c r="L143" s="140">
        <f t="shared" si="141"/>
        <v>38687.074829931953</v>
      </c>
      <c r="M143" s="140">
        <f t="shared" si="142"/>
        <v>-40812.925170068047</v>
      </c>
      <c r="N143" s="140">
        <f t="shared" si="143"/>
        <v>-40812.925170068047</v>
      </c>
      <c r="O143" s="140">
        <f t="shared" si="42"/>
        <v>1634500</v>
      </c>
      <c r="P143" s="130">
        <f t="shared" si="96"/>
        <v>-2.4969669727787119E-2</v>
      </c>
      <c r="Q143" s="130">
        <f t="shared" si="97"/>
        <v>-2.4969669727787119E-2</v>
      </c>
    </row>
    <row r="144" spans="1:17" ht="14.25" hidden="1" customHeight="1" x14ac:dyDescent="0.25">
      <c r="A144" s="320"/>
      <c r="B144" s="224" t="str">
        <f t="shared" si="43"/>
        <v>Armadura</v>
      </c>
      <c r="C144" s="132" t="str">
        <f t="shared" si="144"/>
        <v>Armadura deEspiritu de Arbol de Hebetate</v>
      </c>
      <c r="D144" s="52" t="s">
        <v>475</v>
      </c>
      <c r="E144" s="52">
        <v>30</v>
      </c>
      <c r="F144" s="135">
        <f t="shared" ref="F144" si="145">($P$2*350)</f>
        <v>17500</v>
      </c>
      <c r="G144" s="52">
        <v>0.30759999999999998</v>
      </c>
      <c r="H144" s="135">
        <v>530000</v>
      </c>
      <c r="I144" s="135">
        <f>(5*$T$2+I143)/G144-(5*$T$2+I143)+F144+I143</f>
        <v>1636130.4459365024</v>
      </c>
      <c r="J144" s="145">
        <f>(5*$T$2+H144)/G144-(5*$T$2+H144)+F144+H144</f>
        <v>1761901.1703511055</v>
      </c>
      <c r="K144" s="140">
        <f t="shared" si="140"/>
        <v>530000</v>
      </c>
      <c r="L144" s="140">
        <f t="shared" si="141"/>
        <v>-1231901.1703511055</v>
      </c>
      <c r="M144" s="140">
        <f t="shared" si="142"/>
        <v>-1311401.1703511055</v>
      </c>
      <c r="N144" s="140">
        <f t="shared" si="143"/>
        <v>-1185630.4459365024</v>
      </c>
      <c r="O144" s="140">
        <f t="shared" si="42"/>
        <v>1855000</v>
      </c>
      <c r="P144" s="130">
        <f t="shared" si="96"/>
        <v>-0.70695480881461215</v>
      </c>
      <c r="Q144" s="130">
        <f t="shared" si="97"/>
        <v>-0.63915387921105249</v>
      </c>
    </row>
    <row r="145" spans="1:17" ht="14.25" hidden="1" customHeight="1" x14ac:dyDescent="0.25">
      <c r="A145" s="320"/>
      <c r="B145" s="224" t="str">
        <f t="shared" si="43"/>
        <v>Armadura</v>
      </c>
      <c r="C145" s="132" t="str">
        <f t="shared" si="144"/>
        <v>Armadura deEspiritu de Arbol de Hebetate</v>
      </c>
      <c r="D145" s="52" t="s">
        <v>476</v>
      </c>
      <c r="E145" s="52">
        <v>50</v>
      </c>
      <c r="F145" s="135">
        <f t="shared" ref="F145:F146" si="146">($P$2*350)*E145^2/40^2</f>
        <v>27343.75</v>
      </c>
      <c r="G145" s="129">
        <v>0.375</v>
      </c>
      <c r="H145" s="135">
        <v>530000</v>
      </c>
      <c r="I145" s="135">
        <f t="shared" ref="I145:I146" si="147">(5*$T$2+I144)/G145-(5*$T$2+I144)+F145+I144</f>
        <v>4406191.6058306731</v>
      </c>
      <c r="J145" s="145">
        <f t="shared" ref="J145:J146" si="148">(5*$T$2+H145)/G145-(5*$T$2+H145)+F145+H145</f>
        <v>1456510.4166666667</v>
      </c>
      <c r="K145" s="140">
        <f t="shared" si="140"/>
        <v>790000</v>
      </c>
      <c r="L145" s="140">
        <f t="shared" si="141"/>
        <v>-666510.41666666674</v>
      </c>
      <c r="M145" s="140">
        <f t="shared" si="142"/>
        <v>-785010.41666666674</v>
      </c>
      <c r="N145" s="140">
        <f t="shared" si="143"/>
        <v>-3734691.6058306731</v>
      </c>
      <c r="O145" s="140">
        <f t="shared" si="42"/>
        <v>1855000</v>
      </c>
      <c r="P145" s="130">
        <f t="shared" si="96"/>
        <v>-0.42318620844564248</v>
      </c>
      <c r="Q145" s="130">
        <f t="shared" si="97"/>
        <v>-2.013310838722735</v>
      </c>
    </row>
    <row r="146" spans="1:17" ht="14.25" hidden="1" customHeight="1" thickBot="1" x14ac:dyDescent="0.3">
      <c r="A146" s="320"/>
      <c r="B146" s="224" t="str">
        <f t="shared" si="43"/>
        <v>Armadura</v>
      </c>
      <c r="C146" s="132" t="str">
        <f t="shared" si="144"/>
        <v>Armadura deEspiritu de Arbol de Hebetate</v>
      </c>
      <c r="D146" s="52" t="s">
        <v>477</v>
      </c>
      <c r="E146" s="52">
        <v>100</v>
      </c>
      <c r="F146" s="135">
        <f t="shared" si="146"/>
        <v>109375</v>
      </c>
      <c r="G146" s="52">
        <v>0.22</v>
      </c>
      <c r="H146" s="135">
        <v>790000</v>
      </c>
      <c r="I146" s="135">
        <f t="shared" si="147"/>
        <v>20171200.481048513</v>
      </c>
      <c r="J146" s="145">
        <f t="shared" si="148"/>
        <v>3733965.9090909092</v>
      </c>
      <c r="K146" s="140">
        <v>2420000</v>
      </c>
      <c r="L146" s="140">
        <f t="shared" si="141"/>
        <v>-1313965.9090909092</v>
      </c>
      <c r="M146" s="140">
        <f t="shared" si="142"/>
        <v>-1676965.9090909092</v>
      </c>
      <c r="N146" s="140">
        <f t="shared" si="143"/>
        <v>-18114200.481048513</v>
      </c>
      <c r="O146" s="140">
        <f t="shared" si="42"/>
        <v>2765000</v>
      </c>
      <c r="P146" s="130">
        <f t="shared" si="96"/>
        <v>-0.6064976163077429</v>
      </c>
      <c r="Q146" s="130">
        <f t="shared" si="97"/>
        <v>-6.5512479135799326</v>
      </c>
    </row>
    <row r="147" spans="1:17" ht="14.25" hidden="1" customHeight="1" x14ac:dyDescent="0.25">
      <c r="A147" s="320"/>
      <c r="B147" s="224" t="str">
        <f t="shared" si="43"/>
        <v>Armadura</v>
      </c>
      <c r="C147" s="126" t="s">
        <v>536</v>
      </c>
      <c r="D147" s="126" t="s">
        <v>542</v>
      </c>
      <c r="E147" s="127">
        <v>20</v>
      </c>
      <c r="F147" s="136">
        <f t="shared" ref="F147:F149" si="149">($P$2*30)</f>
        <v>1500</v>
      </c>
      <c r="G147" s="126">
        <v>7.4999999999999997E-2</v>
      </c>
      <c r="H147" s="141">
        <v>247000</v>
      </c>
      <c r="I147" s="142">
        <f>((5*$T$2)/G147-(5*$T$2)+F147)+H147</f>
        <v>365666.66666666669</v>
      </c>
      <c r="J147" s="142">
        <f>((5*$T$2)/G147-(5*$T$2)+F147)+H147</f>
        <v>365666.66666666669</v>
      </c>
      <c r="K147" s="142">
        <f>+H148</f>
        <v>349000</v>
      </c>
      <c r="L147" s="143">
        <f>K147-J147</f>
        <v>-16666.666666666686</v>
      </c>
      <c r="M147" s="143">
        <f>K147*0.85-J147</f>
        <v>-69016.666666666686</v>
      </c>
      <c r="N147" s="143">
        <f>K147*0.85-I147</f>
        <v>-69016.666666666686</v>
      </c>
      <c r="O147" s="142">
        <f t="shared" si="42"/>
        <v>864500</v>
      </c>
      <c r="P147" s="130">
        <f t="shared" si="96"/>
        <v>-7.983420088683249E-2</v>
      </c>
      <c r="Q147" s="130">
        <f t="shared" si="97"/>
        <v>-7.983420088683249E-2</v>
      </c>
    </row>
    <row r="148" spans="1:17" ht="14.25" hidden="1" customHeight="1" x14ac:dyDescent="0.25">
      <c r="A148" s="320"/>
      <c r="B148" s="224" t="str">
        <f t="shared" si="43"/>
        <v>Armadura</v>
      </c>
      <c r="C148" s="133" t="str">
        <f>+C147</f>
        <v>Armadura de Nariz Roja</v>
      </c>
      <c r="D148" s="128" t="s">
        <v>543</v>
      </c>
      <c r="E148" s="128">
        <v>20</v>
      </c>
      <c r="F148" s="137">
        <f t="shared" si="149"/>
        <v>1500</v>
      </c>
      <c r="G148" s="128">
        <v>0.06</v>
      </c>
      <c r="H148" s="137">
        <v>349000</v>
      </c>
      <c r="I148" s="144">
        <f t="shared" ref="I148:I149" si="150">((5*$T$2)/G148-(5*$T$2)+F148)+H148</f>
        <v>499333.33333333337</v>
      </c>
      <c r="J148" s="144">
        <f t="shared" ref="J148:J149" si="151">((5*$T$2)/G148-(5*$T$2)+F148)+H148</f>
        <v>499333.33333333337</v>
      </c>
      <c r="K148" s="144">
        <f t="shared" ref="K148:K151" si="152">+H149</f>
        <v>367000</v>
      </c>
      <c r="L148" s="144">
        <f t="shared" ref="L148:L152" si="153">K148-J148</f>
        <v>-132333.33333333337</v>
      </c>
      <c r="M148" s="144">
        <f t="shared" ref="M148:M152" si="154">K148*0.85-J148</f>
        <v>-187383.33333333337</v>
      </c>
      <c r="N148" s="144">
        <f t="shared" ref="N148:N152" si="155">K148*0.85-I148</f>
        <v>-187383.33333333337</v>
      </c>
      <c r="O148" s="144">
        <f t="shared" si="42"/>
        <v>1221500</v>
      </c>
      <c r="P148" s="130">
        <f t="shared" si="96"/>
        <v>-0.15340428434984313</v>
      </c>
      <c r="Q148" s="130">
        <f t="shared" si="97"/>
        <v>-0.15340428434984313</v>
      </c>
    </row>
    <row r="149" spans="1:17" ht="14.25" hidden="1" customHeight="1" x14ac:dyDescent="0.25">
      <c r="A149" s="320"/>
      <c r="B149" s="224" t="str">
        <f t="shared" si="43"/>
        <v>Armadura</v>
      </c>
      <c r="C149" s="133" t="str">
        <f>+C148</f>
        <v>Armadura de Nariz Roja</v>
      </c>
      <c r="D149" s="128" t="s">
        <v>474</v>
      </c>
      <c r="E149" s="128">
        <v>15</v>
      </c>
      <c r="F149" s="137">
        <f t="shared" si="149"/>
        <v>1500</v>
      </c>
      <c r="G149" s="128">
        <v>0.29399999999999998</v>
      </c>
      <c r="H149" s="137">
        <v>367000</v>
      </c>
      <c r="I149" s="144">
        <f t="shared" si="150"/>
        <v>391312.92517006805</v>
      </c>
      <c r="J149" s="144">
        <f t="shared" si="151"/>
        <v>391312.92517006805</v>
      </c>
      <c r="K149" s="144">
        <f t="shared" si="152"/>
        <v>458000</v>
      </c>
      <c r="L149" s="144">
        <f t="shared" si="153"/>
        <v>66687.074829931953</v>
      </c>
      <c r="M149" s="144">
        <f t="shared" si="154"/>
        <v>-2012.925170068047</v>
      </c>
      <c r="N149" s="144">
        <f t="shared" si="155"/>
        <v>-2012.925170068047</v>
      </c>
      <c r="O149" s="144">
        <f t="shared" si="42"/>
        <v>1284500</v>
      </c>
      <c r="P149" s="130">
        <f t="shared" si="96"/>
        <v>-1.5670884936302429E-3</v>
      </c>
      <c r="Q149" s="130">
        <f t="shared" si="97"/>
        <v>-1.5670884936302429E-3</v>
      </c>
    </row>
    <row r="150" spans="1:17" ht="14.25" hidden="1" customHeight="1" x14ac:dyDescent="0.25">
      <c r="A150" s="320"/>
      <c r="B150" s="224" t="str">
        <f t="shared" si="43"/>
        <v>Armadura</v>
      </c>
      <c r="C150" s="133" t="str">
        <f>+C149</f>
        <v>Armadura de Nariz Roja</v>
      </c>
      <c r="D150" s="128" t="s">
        <v>475</v>
      </c>
      <c r="E150" s="128">
        <v>30</v>
      </c>
      <c r="F150" s="137">
        <f t="shared" ref="F150" si="156">($P$2*350)</f>
        <v>17500</v>
      </c>
      <c r="G150" s="128">
        <v>0.30759999999999998</v>
      </c>
      <c r="H150" s="137">
        <v>458000</v>
      </c>
      <c r="I150" s="144">
        <f>(5*$T$2+I149)/G150-(5*$T$2+I149)+F150+I149</f>
        <v>1311032.9166777246</v>
      </c>
      <c r="J150" s="144">
        <f>(5*$T$2+H150)/G150-(5*$T$2+H150)+F150+H150</f>
        <v>1527830.9492847854</v>
      </c>
      <c r="K150" s="144">
        <f t="shared" si="152"/>
        <v>515000</v>
      </c>
      <c r="L150" s="144">
        <f t="shared" si="153"/>
        <v>-1012830.9492847854</v>
      </c>
      <c r="M150" s="144">
        <f t="shared" si="154"/>
        <v>-1090080.9492847854</v>
      </c>
      <c r="N150" s="144">
        <f t="shared" si="155"/>
        <v>-873282.91667772457</v>
      </c>
      <c r="O150" s="144">
        <f t="shared" si="42"/>
        <v>1603000</v>
      </c>
      <c r="P150" s="130">
        <f t="shared" si="96"/>
        <v>-0.68002554540535587</v>
      </c>
      <c r="Q150" s="130">
        <f t="shared" si="97"/>
        <v>-0.54478035974904837</v>
      </c>
    </row>
    <row r="151" spans="1:17" ht="14.25" hidden="1" customHeight="1" x14ac:dyDescent="0.25">
      <c r="A151" s="320"/>
      <c r="B151" s="224" t="str">
        <f t="shared" si="43"/>
        <v>Armadura</v>
      </c>
      <c r="C151" s="133" t="str">
        <f>+C150</f>
        <v>Armadura de Nariz Roja</v>
      </c>
      <c r="D151" s="128" t="s">
        <v>476</v>
      </c>
      <c r="E151" s="128">
        <v>50</v>
      </c>
      <c r="F151" s="137">
        <f t="shared" ref="F151:F152" si="157">($P$2*350)*E151^2/40^2</f>
        <v>27343.75</v>
      </c>
      <c r="G151" s="128">
        <v>0.375</v>
      </c>
      <c r="H151" s="137">
        <v>515000</v>
      </c>
      <c r="I151" s="144">
        <f t="shared" ref="I151:I152" si="158">(5*$T$2+I150)/G151-(5*$T$2+I150)+F151+I150</f>
        <v>3539264.861140599</v>
      </c>
      <c r="J151" s="144">
        <f t="shared" ref="J151:J152" si="159">(5*$T$2+H151)/G151-(5*$T$2+H151)+F151+H151</f>
        <v>1416510.4166666667</v>
      </c>
      <c r="K151" s="144">
        <f t="shared" si="152"/>
        <v>580000</v>
      </c>
      <c r="L151" s="144">
        <f t="shared" si="153"/>
        <v>-836510.41666666674</v>
      </c>
      <c r="M151" s="144">
        <f t="shared" si="154"/>
        <v>-923510.41666666674</v>
      </c>
      <c r="N151" s="144">
        <f t="shared" si="155"/>
        <v>-3046264.861140599</v>
      </c>
      <c r="O151" s="144">
        <f t="shared" si="42"/>
        <v>1802500</v>
      </c>
      <c r="P151" s="130">
        <f t="shared" si="96"/>
        <v>-0.5123497457235322</v>
      </c>
      <c r="Q151" s="130">
        <f t="shared" si="97"/>
        <v>-1.6900221143637164</v>
      </c>
    </row>
    <row r="152" spans="1:17" ht="14.25" hidden="1" customHeight="1" thickBot="1" x14ac:dyDescent="0.3">
      <c r="A152" s="320"/>
      <c r="B152" s="224" t="str">
        <f t="shared" si="43"/>
        <v>Armadura</v>
      </c>
      <c r="C152" s="133" t="str">
        <f>+C151</f>
        <v>Armadura de Nariz Roja</v>
      </c>
      <c r="D152" s="128" t="s">
        <v>477</v>
      </c>
      <c r="E152" s="128">
        <v>100</v>
      </c>
      <c r="F152" s="137">
        <f t="shared" si="157"/>
        <v>109375</v>
      </c>
      <c r="G152" s="128">
        <v>0.22</v>
      </c>
      <c r="H152" s="137">
        <v>580000</v>
      </c>
      <c r="I152" s="144">
        <f t="shared" si="158"/>
        <v>16230624.368820904</v>
      </c>
      <c r="J152" s="144">
        <f t="shared" si="159"/>
        <v>2779420.4545454546</v>
      </c>
      <c r="K152" s="144">
        <v>1850000</v>
      </c>
      <c r="L152" s="144">
        <f t="shared" si="153"/>
        <v>-929420.45454545459</v>
      </c>
      <c r="M152" s="144">
        <f t="shared" si="154"/>
        <v>-1206920.4545454546</v>
      </c>
      <c r="N152" s="144">
        <f t="shared" si="155"/>
        <v>-14658124.368820904</v>
      </c>
      <c r="O152" s="144">
        <f t="shared" si="42"/>
        <v>2030000</v>
      </c>
      <c r="P152" s="130">
        <f t="shared" si="96"/>
        <v>-0.59454209583519935</v>
      </c>
      <c r="Q152" s="130">
        <f t="shared" si="97"/>
        <v>-7.2207509206014304</v>
      </c>
    </row>
    <row r="153" spans="1:17" ht="14.25" hidden="1" customHeight="1" x14ac:dyDescent="0.25">
      <c r="A153" s="320"/>
      <c r="B153" s="149" t="s">
        <v>516</v>
      </c>
      <c r="C153" s="5" t="s">
        <v>532</v>
      </c>
      <c r="D153" s="221" t="s">
        <v>542</v>
      </c>
      <c r="E153" s="79">
        <v>20</v>
      </c>
      <c r="F153" s="134">
        <f t="shared" ref="F153:F155" si="160">($P$2*30)</f>
        <v>1500</v>
      </c>
      <c r="G153" s="5">
        <v>7.4999999999999997E-2</v>
      </c>
      <c r="H153" s="138">
        <v>466000</v>
      </c>
      <c r="I153" s="145">
        <f>((5*$T$2)/G153-(5*$T$2)+F153)+H153</f>
        <v>584666.66666666663</v>
      </c>
      <c r="J153" s="145">
        <f>((5*$T$2)/G153-(5*$T$2)+F153)+H153</f>
        <v>584666.66666666663</v>
      </c>
      <c r="K153" s="139">
        <f>+H154</f>
        <v>491000</v>
      </c>
      <c r="L153" s="140">
        <f>K153-J153</f>
        <v>-93666.666666666628</v>
      </c>
      <c r="M153" s="140">
        <f>K153*0.85-J153</f>
        <v>-167316.66666666663</v>
      </c>
      <c r="N153" s="140">
        <f>K153*0.85-I153</f>
        <v>-167316.66666666663</v>
      </c>
      <c r="O153" s="139">
        <f t="shared" si="42"/>
        <v>1631000</v>
      </c>
      <c r="P153" s="130">
        <f t="shared" si="96"/>
        <v>-0.10258532597588389</v>
      </c>
      <c r="Q153" s="130">
        <f t="shared" si="97"/>
        <v>-0.10258532597588389</v>
      </c>
    </row>
    <row r="154" spans="1:17" ht="14.25" hidden="1" customHeight="1" x14ac:dyDescent="0.25">
      <c r="A154" s="320"/>
      <c r="B154" s="224" t="str">
        <f t="shared" si="43"/>
        <v>Casco</v>
      </c>
      <c r="C154" s="132" t="str">
        <f>+C153</f>
        <v>Yelmo de Grifo</v>
      </c>
      <c r="D154" s="222" t="s">
        <v>543</v>
      </c>
      <c r="E154" s="52">
        <v>20</v>
      </c>
      <c r="F154" s="135">
        <f t="shared" si="160"/>
        <v>1500</v>
      </c>
      <c r="G154" s="52">
        <v>0.06</v>
      </c>
      <c r="H154" s="135">
        <v>491000</v>
      </c>
      <c r="I154" s="145">
        <f t="shared" ref="I154:I155" si="161">((5*$T$2)/G154-(5*$T$2)+F154)+H154</f>
        <v>641333.33333333337</v>
      </c>
      <c r="J154" s="145">
        <f t="shared" ref="J154:J155" si="162">((5*$T$2)/G154-(5*$T$2)+F154)+H154</f>
        <v>641333.33333333337</v>
      </c>
      <c r="K154" s="140">
        <f t="shared" ref="K154:K157" si="163">+H155</f>
        <v>515000</v>
      </c>
      <c r="L154" s="140">
        <f t="shared" ref="L154:L158" si="164">K154-J154</f>
        <v>-126333.33333333337</v>
      </c>
      <c r="M154" s="140">
        <f t="shared" ref="M154:M158" si="165">K154*0.85-J154</f>
        <v>-203583.33333333337</v>
      </c>
      <c r="N154" s="140">
        <f t="shared" ref="N154:N158" si="166">K154*0.85-I154</f>
        <v>-203583.33333333337</v>
      </c>
      <c r="O154" s="140">
        <f t="shared" si="42"/>
        <v>1718500</v>
      </c>
      <c r="P154" s="130">
        <f t="shared" si="96"/>
        <v>-0.11846571622539039</v>
      </c>
      <c r="Q154" s="130">
        <f t="shared" si="97"/>
        <v>-0.11846571622539039</v>
      </c>
    </row>
    <row r="155" spans="1:17" ht="14.25" hidden="1" customHeight="1" x14ac:dyDescent="0.25">
      <c r="A155" s="320"/>
      <c r="B155" s="224" t="str">
        <f t="shared" si="43"/>
        <v>Casco</v>
      </c>
      <c r="C155" s="132" t="str">
        <f t="shared" ref="C155:C158" si="167">+C154</f>
        <v>Yelmo de Grifo</v>
      </c>
      <c r="D155" s="52" t="s">
        <v>474</v>
      </c>
      <c r="E155" s="52">
        <v>15</v>
      </c>
      <c r="F155" s="135">
        <f t="shared" si="160"/>
        <v>1500</v>
      </c>
      <c r="G155" s="52">
        <v>0.29399999999999998</v>
      </c>
      <c r="H155" s="135">
        <v>515000</v>
      </c>
      <c r="I155" s="145">
        <f t="shared" si="161"/>
        <v>539312.92517006805</v>
      </c>
      <c r="J155" s="145">
        <f t="shared" si="162"/>
        <v>539312.92517006805</v>
      </c>
      <c r="K155" s="140">
        <f t="shared" si="163"/>
        <v>520000</v>
      </c>
      <c r="L155" s="140">
        <f t="shared" si="164"/>
        <v>-19312.925170068047</v>
      </c>
      <c r="M155" s="140">
        <f t="shared" si="165"/>
        <v>-97312.925170068047</v>
      </c>
      <c r="N155" s="140">
        <f t="shared" si="166"/>
        <v>-97312.925170068047</v>
      </c>
      <c r="O155" s="140">
        <f t="shared" si="42"/>
        <v>1802500</v>
      </c>
      <c r="P155" s="130">
        <f t="shared" si="96"/>
        <v>-5.3987753215016948E-2</v>
      </c>
      <c r="Q155" s="130">
        <f t="shared" si="97"/>
        <v>-5.3987753215016948E-2</v>
      </c>
    </row>
    <row r="156" spans="1:17" ht="14.25" hidden="1" customHeight="1" x14ac:dyDescent="0.25">
      <c r="A156" s="320"/>
      <c r="B156" s="224" t="str">
        <f t="shared" si="43"/>
        <v>Casco</v>
      </c>
      <c r="C156" s="132" t="str">
        <f t="shared" si="167"/>
        <v>Yelmo de Grifo</v>
      </c>
      <c r="D156" s="52" t="s">
        <v>475</v>
      </c>
      <c r="E156" s="52">
        <v>30</v>
      </c>
      <c r="F156" s="135">
        <f t="shared" ref="F156" si="168">($P$2*350)</f>
        <v>17500</v>
      </c>
      <c r="G156" s="52">
        <v>0.30759999999999998</v>
      </c>
      <c r="H156" s="135">
        <v>520000</v>
      </c>
      <c r="I156" s="135">
        <f>(5*$T$2+I155)/G156-(5*$T$2+I155)+F156+I155</f>
        <v>1792177.2599807153</v>
      </c>
      <c r="J156" s="145">
        <f>(5*$T$2+H156)/G156-(5*$T$2+H156)+F156+H156</f>
        <v>1729391.4174252276</v>
      </c>
      <c r="K156" s="140">
        <f t="shared" si="163"/>
        <v>660000</v>
      </c>
      <c r="L156" s="140">
        <f t="shared" si="164"/>
        <v>-1069391.4174252276</v>
      </c>
      <c r="M156" s="140">
        <f t="shared" si="165"/>
        <v>-1168391.4174252276</v>
      </c>
      <c r="N156" s="140">
        <f t="shared" si="166"/>
        <v>-1231177.2599807153</v>
      </c>
      <c r="O156" s="140">
        <f t="shared" si="42"/>
        <v>1820000</v>
      </c>
      <c r="P156" s="130">
        <f t="shared" si="96"/>
        <v>-0.64197330627759752</v>
      </c>
      <c r="Q156" s="130">
        <f t="shared" si="97"/>
        <v>-0.67647102196742603</v>
      </c>
    </row>
    <row r="157" spans="1:17" ht="14.25" hidden="1" customHeight="1" x14ac:dyDescent="0.25">
      <c r="A157" s="320"/>
      <c r="B157" s="224" t="str">
        <f t="shared" si="43"/>
        <v>Casco</v>
      </c>
      <c r="C157" s="132" t="str">
        <f t="shared" si="167"/>
        <v>Yelmo de Grifo</v>
      </c>
      <c r="D157" s="52" t="s">
        <v>476</v>
      </c>
      <c r="E157" s="52">
        <v>50</v>
      </c>
      <c r="F157" s="135">
        <f t="shared" ref="F157:F158" si="169">($P$2*350)*E157^2/40^2</f>
        <v>27343.75</v>
      </c>
      <c r="G157" s="129">
        <v>0.375</v>
      </c>
      <c r="H157" s="135">
        <v>660000</v>
      </c>
      <c r="I157" s="135">
        <f t="shared" ref="I157:I158" si="170">(5*$T$2+I156)/G157-(5*$T$2+I156)+F157+I156</f>
        <v>4822316.4432819076</v>
      </c>
      <c r="J157" s="145">
        <f t="shared" ref="J157:J158" si="171">(5*$T$2+H157)/G157-(5*$T$2+H157)+F157+H157</f>
        <v>1803177.0833333333</v>
      </c>
      <c r="K157" s="140">
        <f t="shared" si="163"/>
        <v>905000</v>
      </c>
      <c r="L157" s="140">
        <f t="shared" si="164"/>
        <v>-898177.08333333326</v>
      </c>
      <c r="M157" s="140">
        <f t="shared" si="165"/>
        <v>-1033927.0833333333</v>
      </c>
      <c r="N157" s="140">
        <f t="shared" si="166"/>
        <v>-4053066.4432819076</v>
      </c>
      <c r="O157" s="140">
        <f t="shared" si="42"/>
        <v>2310000</v>
      </c>
      <c r="P157" s="130">
        <f t="shared" si="96"/>
        <v>-0.44758748196248194</v>
      </c>
      <c r="Q157" s="130">
        <f t="shared" si="97"/>
        <v>-1.7545742178709556</v>
      </c>
    </row>
    <row r="158" spans="1:17" ht="13.5" hidden="1" customHeight="1" thickBot="1" x14ac:dyDescent="0.3">
      <c r="A158" s="320"/>
      <c r="B158" s="224" t="str">
        <f t="shared" si="43"/>
        <v>Casco</v>
      </c>
      <c r="C158" s="132" t="str">
        <f t="shared" si="167"/>
        <v>Yelmo de Grifo</v>
      </c>
      <c r="D158" s="52" t="s">
        <v>477</v>
      </c>
      <c r="E158" s="52">
        <v>100</v>
      </c>
      <c r="F158" s="135">
        <f t="shared" si="169"/>
        <v>109375</v>
      </c>
      <c r="G158" s="52">
        <v>0.22</v>
      </c>
      <c r="H158" s="135">
        <v>905000</v>
      </c>
      <c r="I158" s="135">
        <f t="shared" si="170"/>
        <v>22062677.014917761</v>
      </c>
      <c r="J158" s="145">
        <f t="shared" si="171"/>
        <v>4256693.1818181816</v>
      </c>
      <c r="K158" s="140">
        <v>2300000</v>
      </c>
      <c r="L158" s="140">
        <f t="shared" si="164"/>
        <v>-1956693.1818181816</v>
      </c>
      <c r="M158" s="140">
        <f t="shared" si="165"/>
        <v>-2301693.1818181816</v>
      </c>
      <c r="N158" s="140">
        <f t="shared" si="166"/>
        <v>-20107677.014917761</v>
      </c>
      <c r="O158" s="140">
        <f t="shared" ref="O158:O188" si="172">H158*$L$2/2</f>
        <v>3167500</v>
      </c>
      <c r="P158" s="130">
        <f t="shared" si="96"/>
        <v>-0.72665925234986006</v>
      </c>
      <c r="Q158" s="130">
        <f t="shared" si="97"/>
        <v>-6.3481221830837447</v>
      </c>
    </row>
    <row r="159" spans="1:17" ht="14.25" hidden="1" customHeight="1" x14ac:dyDescent="0.25">
      <c r="A159" s="320"/>
      <c r="B159" s="224" t="str">
        <f t="shared" si="43"/>
        <v>Casco</v>
      </c>
      <c r="C159" s="126" t="s">
        <v>533</v>
      </c>
      <c r="D159" s="126" t="s">
        <v>542</v>
      </c>
      <c r="E159" s="127">
        <v>20</v>
      </c>
      <c r="F159" s="136">
        <f t="shared" ref="F159:F161" si="173">($P$2*30)</f>
        <v>1500</v>
      </c>
      <c r="G159" s="126">
        <v>7.4999999999999997E-2</v>
      </c>
      <c r="H159" s="141">
        <v>254000</v>
      </c>
      <c r="I159" s="142">
        <f>((5*$T$2)/G159-(5*$T$2)+F159)+H159</f>
        <v>372666.66666666669</v>
      </c>
      <c r="J159" s="142">
        <f>((5*$T$2)/G159-(5*$T$2)+F159)+H159</f>
        <v>372666.66666666669</v>
      </c>
      <c r="K159" s="142">
        <f>+H160</f>
        <v>291000</v>
      </c>
      <c r="L159" s="143">
        <f>K159-J159</f>
        <v>-81666.666666666686</v>
      </c>
      <c r="M159" s="143">
        <f>K159*0.85-J159</f>
        <v>-125316.66666666669</v>
      </c>
      <c r="N159" s="143">
        <f>K159*0.85-I159</f>
        <v>-125316.66666666669</v>
      </c>
      <c r="O159" s="142">
        <f t="shared" si="172"/>
        <v>889000</v>
      </c>
      <c r="P159" s="130">
        <f t="shared" si="96"/>
        <v>-0.14096362954630673</v>
      </c>
      <c r="Q159" s="130">
        <f t="shared" si="97"/>
        <v>-0.14096362954630673</v>
      </c>
    </row>
    <row r="160" spans="1:17" ht="14.25" hidden="1" customHeight="1" x14ac:dyDescent="0.25">
      <c r="A160" s="320"/>
      <c r="B160" s="224" t="str">
        <f t="shared" ref="B160:B188" si="174">+B159</f>
        <v>Casco</v>
      </c>
      <c r="C160" s="133" t="str">
        <f>+C159</f>
        <v>Yelmo de Giath</v>
      </c>
      <c r="D160" s="128" t="s">
        <v>543</v>
      </c>
      <c r="E160" s="128">
        <v>20</v>
      </c>
      <c r="F160" s="137">
        <f t="shared" si="173"/>
        <v>1500</v>
      </c>
      <c r="G160" s="128">
        <v>0.06</v>
      </c>
      <c r="H160" s="137">
        <v>291000</v>
      </c>
      <c r="I160" s="144">
        <f t="shared" ref="I160:I161" si="175">((5*$T$2)/G160-(5*$T$2)+F160)+H160</f>
        <v>441333.33333333337</v>
      </c>
      <c r="J160" s="144">
        <f t="shared" ref="J160:J161" si="176">((5*$T$2)/G160-(5*$T$2)+F160)+H160</f>
        <v>441333.33333333337</v>
      </c>
      <c r="K160" s="144">
        <f t="shared" ref="K160:K163" si="177">+H161</f>
        <v>400000</v>
      </c>
      <c r="L160" s="144">
        <f t="shared" ref="L160:L164" si="178">K160-J160</f>
        <v>-41333.333333333372</v>
      </c>
      <c r="M160" s="144">
        <f t="shared" ref="M160:M164" si="179">K160*0.85-J160</f>
        <v>-101333.33333333337</v>
      </c>
      <c r="N160" s="144">
        <f t="shared" ref="N160:N164" si="180">K160*0.85-I160</f>
        <v>-101333.33333333337</v>
      </c>
      <c r="O160" s="144">
        <f t="shared" si="172"/>
        <v>1018500</v>
      </c>
      <c r="P160" s="130">
        <f t="shared" si="96"/>
        <v>-9.9492718049419115E-2</v>
      </c>
      <c r="Q160" s="130">
        <f t="shared" si="97"/>
        <v>-9.9492718049419115E-2</v>
      </c>
    </row>
    <row r="161" spans="1:17" ht="14.25" hidden="1" customHeight="1" x14ac:dyDescent="0.25">
      <c r="A161" s="320"/>
      <c r="B161" s="224" t="str">
        <f t="shared" si="174"/>
        <v>Casco</v>
      </c>
      <c r="C161" s="133" t="str">
        <f>+C160</f>
        <v>Yelmo de Giath</v>
      </c>
      <c r="D161" s="128" t="s">
        <v>474</v>
      </c>
      <c r="E161" s="128">
        <v>15</v>
      </c>
      <c r="F161" s="137">
        <f t="shared" si="173"/>
        <v>1500</v>
      </c>
      <c r="G161" s="128">
        <v>0.29399999999999998</v>
      </c>
      <c r="H161" s="137">
        <v>400000</v>
      </c>
      <c r="I161" s="144">
        <f t="shared" si="175"/>
        <v>424312.92517006805</v>
      </c>
      <c r="J161" s="144">
        <f t="shared" si="176"/>
        <v>424312.92517006805</v>
      </c>
      <c r="K161" s="144">
        <f t="shared" si="177"/>
        <v>478000</v>
      </c>
      <c r="L161" s="144">
        <f t="shared" si="178"/>
        <v>53687.074829931953</v>
      </c>
      <c r="M161" s="144">
        <f t="shared" si="179"/>
        <v>-18012.925170068047</v>
      </c>
      <c r="N161" s="144">
        <f t="shared" si="180"/>
        <v>-18012.925170068047</v>
      </c>
      <c r="O161" s="144">
        <f t="shared" si="172"/>
        <v>1400000</v>
      </c>
      <c r="P161" s="130">
        <f t="shared" si="96"/>
        <v>-1.2866375121477177E-2</v>
      </c>
      <c r="Q161" s="130">
        <f t="shared" si="97"/>
        <v>-1.2866375121477177E-2</v>
      </c>
    </row>
    <row r="162" spans="1:17" ht="14.25" hidden="1" customHeight="1" x14ac:dyDescent="0.25">
      <c r="A162" s="320"/>
      <c r="B162" s="224" t="str">
        <f t="shared" si="174"/>
        <v>Casco</v>
      </c>
      <c r="C162" s="133" t="str">
        <f>+C161</f>
        <v>Yelmo de Giath</v>
      </c>
      <c r="D162" s="128" t="s">
        <v>475</v>
      </c>
      <c r="E162" s="128">
        <v>30</v>
      </c>
      <c r="F162" s="137">
        <f t="shared" ref="F162" si="181">($P$2*350)</f>
        <v>17500</v>
      </c>
      <c r="G162" s="128">
        <v>0.30759999999999998</v>
      </c>
      <c r="H162" s="137">
        <v>478000</v>
      </c>
      <c r="I162" s="144">
        <f>(5*$T$2+I161)/G162-(5*$T$2+I161)+F162+I161</f>
        <v>1418315.1013331211</v>
      </c>
      <c r="J162" s="144">
        <f>(5*$T$2+H162)/G162-(5*$T$2+H162)+F162+H162</f>
        <v>1592850.455136541</v>
      </c>
      <c r="K162" s="144">
        <f t="shared" si="177"/>
        <v>525000</v>
      </c>
      <c r="L162" s="144">
        <f t="shared" si="178"/>
        <v>-1067850.455136541</v>
      </c>
      <c r="M162" s="144">
        <f t="shared" si="179"/>
        <v>-1146600.455136541</v>
      </c>
      <c r="N162" s="144">
        <f t="shared" si="180"/>
        <v>-972065.10133312107</v>
      </c>
      <c r="O162" s="144">
        <f t="shared" si="172"/>
        <v>1673000</v>
      </c>
      <c r="P162" s="130">
        <f t="shared" si="96"/>
        <v>-0.68535592058370653</v>
      </c>
      <c r="Q162" s="130">
        <f t="shared" si="97"/>
        <v>-0.58103114245853027</v>
      </c>
    </row>
    <row r="163" spans="1:17" ht="14.25" hidden="1" customHeight="1" x14ac:dyDescent="0.25">
      <c r="A163" s="320"/>
      <c r="B163" s="224" t="str">
        <f t="shared" si="174"/>
        <v>Casco</v>
      </c>
      <c r="C163" s="133" t="str">
        <f>+C162</f>
        <v>Yelmo de Giath</v>
      </c>
      <c r="D163" s="128" t="s">
        <v>476</v>
      </c>
      <c r="E163" s="128">
        <v>50</v>
      </c>
      <c r="F163" s="137">
        <f t="shared" ref="F163:F164" si="182">($P$2*350)*E163^2/40^2</f>
        <v>27343.75</v>
      </c>
      <c r="G163" s="128">
        <v>0.375</v>
      </c>
      <c r="H163" s="137">
        <v>525000</v>
      </c>
      <c r="I163" s="144">
        <f t="shared" ref="I163:I164" si="183">(5*$T$2+I162)/G163-(5*$T$2+I162)+F163+I162</f>
        <v>3825350.6868883222</v>
      </c>
      <c r="J163" s="144">
        <f t="shared" ref="J163:J164" si="184">(5*$T$2+H163)/G163-(5*$T$2+H163)+F163+H163</f>
        <v>1443177.0833333333</v>
      </c>
      <c r="K163" s="144">
        <f t="shared" si="177"/>
        <v>580000</v>
      </c>
      <c r="L163" s="144">
        <f t="shared" si="178"/>
        <v>-863177.08333333326</v>
      </c>
      <c r="M163" s="144">
        <f t="shared" si="179"/>
        <v>-950177.08333333326</v>
      </c>
      <c r="N163" s="144">
        <f t="shared" si="180"/>
        <v>-3332350.6868883222</v>
      </c>
      <c r="O163" s="144">
        <f t="shared" si="172"/>
        <v>1837500</v>
      </c>
      <c r="P163" s="130">
        <f t="shared" si="96"/>
        <v>-0.51710317460317456</v>
      </c>
      <c r="Q163" s="130">
        <f t="shared" si="97"/>
        <v>-1.8135241833405835</v>
      </c>
    </row>
    <row r="164" spans="1:17" ht="14.25" hidden="1" customHeight="1" thickBot="1" x14ac:dyDescent="0.3">
      <c r="A164" s="320"/>
      <c r="B164" s="224" t="str">
        <f t="shared" si="174"/>
        <v>Casco</v>
      </c>
      <c r="C164" s="133" t="str">
        <f>+C163</f>
        <v>Yelmo de Giath</v>
      </c>
      <c r="D164" s="128" t="s">
        <v>477</v>
      </c>
      <c r="E164" s="128">
        <v>100</v>
      </c>
      <c r="F164" s="137">
        <f t="shared" si="182"/>
        <v>109375</v>
      </c>
      <c r="G164" s="128">
        <v>0.22</v>
      </c>
      <c r="H164" s="137">
        <v>580000</v>
      </c>
      <c r="I164" s="144">
        <f t="shared" si="183"/>
        <v>17531014.485856012</v>
      </c>
      <c r="J164" s="144">
        <f t="shared" si="184"/>
        <v>2779420.4545454546</v>
      </c>
      <c r="K164" s="144">
        <v>1450000</v>
      </c>
      <c r="L164" s="144">
        <f t="shared" si="178"/>
        <v>-1329420.4545454546</v>
      </c>
      <c r="M164" s="144">
        <f t="shared" si="179"/>
        <v>-1546920.4545454546</v>
      </c>
      <c r="N164" s="144">
        <f t="shared" si="180"/>
        <v>-16298514.485856012</v>
      </c>
      <c r="O164" s="144">
        <f t="shared" si="172"/>
        <v>2030000</v>
      </c>
      <c r="P164" s="130">
        <f t="shared" si="96"/>
        <v>-0.76202978056426329</v>
      </c>
      <c r="Q164" s="130">
        <f t="shared" si="97"/>
        <v>-8.0288248698798093</v>
      </c>
    </row>
    <row r="165" spans="1:17" ht="14.25" hidden="1" customHeight="1" x14ac:dyDescent="0.25">
      <c r="A165" s="320"/>
      <c r="B165" s="149" t="s">
        <v>517</v>
      </c>
      <c r="C165" s="5" t="s">
        <v>537</v>
      </c>
      <c r="D165" s="221" t="s">
        <v>542</v>
      </c>
      <c r="E165" s="79">
        <v>20</v>
      </c>
      <c r="F165" s="134">
        <f t="shared" ref="F165:F167" si="185">($P$2*30)</f>
        <v>1500</v>
      </c>
      <c r="G165" s="5">
        <v>7.4999999999999997E-2</v>
      </c>
      <c r="H165" s="138">
        <v>500000</v>
      </c>
      <c r="I165" s="145">
        <f>((5*$T$2)/G165-(5*$T$2)+F165)+H165</f>
        <v>618666.66666666663</v>
      </c>
      <c r="J165" s="145">
        <f>((5*$T$2)/G165-(5*$T$2)+F165)+H165</f>
        <v>618666.66666666663</v>
      </c>
      <c r="K165" s="139">
        <f>+H166</f>
        <v>655000</v>
      </c>
      <c r="L165" s="140">
        <f>K165-J165</f>
        <v>36333.333333333372</v>
      </c>
      <c r="M165" s="140">
        <f>K165*0.85-J165</f>
        <v>-61916.666666666628</v>
      </c>
      <c r="N165" s="140">
        <f>K165*0.85-I165</f>
        <v>-61916.666666666628</v>
      </c>
      <c r="O165" s="139">
        <f t="shared" si="172"/>
        <v>1750000</v>
      </c>
      <c r="P165" s="130">
        <f t="shared" ref="P165:P188" si="186">M165/O165</f>
        <v>-3.538095238095236E-2</v>
      </c>
      <c r="Q165" s="130">
        <f t="shared" ref="Q165:Q188" si="187">N165/O165</f>
        <v>-3.538095238095236E-2</v>
      </c>
    </row>
    <row r="166" spans="1:17" ht="14.25" hidden="1" customHeight="1" x14ac:dyDescent="0.25">
      <c r="A166" s="320"/>
      <c r="B166" s="224" t="str">
        <f t="shared" si="174"/>
        <v>Guantes</v>
      </c>
      <c r="C166" s="132" t="str">
        <f>+C165</f>
        <v>Guantes de Livre</v>
      </c>
      <c r="D166" s="222" t="s">
        <v>543</v>
      </c>
      <c r="E166" s="52">
        <v>20</v>
      </c>
      <c r="F166" s="135">
        <f t="shared" si="185"/>
        <v>1500</v>
      </c>
      <c r="G166" s="52">
        <v>0.06</v>
      </c>
      <c r="H166" s="135">
        <v>655000</v>
      </c>
      <c r="I166" s="145">
        <f t="shared" ref="I166:I167" si="188">((5*$T$2)/G166-(5*$T$2)+F166)+H166</f>
        <v>805333.33333333337</v>
      </c>
      <c r="J166" s="145">
        <f t="shared" ref="J166:J167" si="189">((5*$T$2)/G166-(5*$T$2)+F166)+H166</f>
        <v>805333.33333333337</v>
      </c>
      <c r="K166" s="140">
        <f t="shared" ref="K166:K169" si="190">+H167</f>
        <v>655000</v>
      </c>
      <c r="L166" s="140">
        <f t="shared" ref="L166:L170" si="191">K166-J166</f>
        <v>-150333.33333333337</v>
      </c>
      <c r="M166" s="140">
        <f t="shared" ref="M166:M170" si="192">K166*0.85-J166</f>
        <v>-248583.33333333337</v>
      </c>
      <c r="N166" s="140">
        <f t="shared" ref="N166:N170" si="193">K166*0.85-I166</f>
        <v>-248583.33333333337</v>
      </c>
      <c r="O166" s="140">
        <f t="shared" si="172"/>
        <v>2292500</v>
      </c>
      <c r="P166" s="130">
        <f t="shared" si="186"/>
        <v>-0.10843329698291532</v>
      </c>
      <c r="Q166" s="130">
        <f t="shared" si="187"/>
        <v>-0.10843329698291532</v>
      </c>
    </row>
    <row r="167" spans="1:17" ht="14.25" hidden="1" customHeight="1" x14ac:dyDescent="0.25">
      <c r="A167" s="320"/>
      <c r="B167" s="224" t="str">
        <f t="shared" si="174"/>
        <v>Guantes</v>
      </c>
      <c r="C167" s="132" t="str">
        <f t="shared" ref="C167:C170" si="194">+C166</f>
        <v>Guantes de Livre</v>
      </c>
      <c r="D167" s="52" t="s">
        <v>474</v>
      </c>
      <c r="E167" s="52">
        <v>15</v>
      </c>
      <c r="F167" s="135">
        <f t="shared" si="185"/>
        <v>1500</v>
      </c>
      <c r="G167" s="52">
        <v>0.29399999999999998</v>
      </c>
      <c r="H167" s="135">
        <v>655000</v>
      </c>
      <c r="I167" s="145">
        <f t="shared" si="188"/>
        <v>679312.92517006805</v>
      </c>
      <c r="J167" s="145">
        <f t="shared" si="189"/>
        <v>679312.92517006805</v>
      </c>
      <c r="K167" s="140">
        <f t="shared" si="190"/>
        <v>695000</v>
      </c>
      <c r="L167" s="140">
        <f t="shared" si="191"/>
        <v>15687.074829931953</v>
      </c>
      <c r="M167" s="140">
        <f t="shared" si="192"/>
        <v>-88562.925170068047</v>
      </c>
      <c r="N167" s="140">
        <f t="shared" si="193"/>
        <v>-88562.925170068047</v>
      </c>
      <c r="O167" s="140">
        <f t="shared" si="172"/>
        <v>2292500</v>
      </c>
      <c r="P167" s="130">
        <f t="shared" si="186"/>
        <v>-3.8631592222494238E-2</v>
      </c>
      <c r="Q167" s="130">
        <f t="shared" si="187"/>
        <v>-3.8631592222494238E-2</v>
      </c>
    </row>
    <row r="168" spans="1:17" ht="14.25" hidden="1" customHeight="1" x14ac:dyDescent="0.25">
      <c r="A168" s="320"/>
      <c r="B168" s="224" t="str">
        <f t="shared" si="174"/>
        <v>Guantes</v>
      </c>
      <c r="C168" s="132" t="str">
        <f t="shared" si="194"/>
        <v>Guantes de Livre</v>
      </c>
      <c r="D168" s="52" t="s">
        <v>475</v>
      </c>
      <c r="E168" s="52">
        <v>30</v>
      </c>
      <c r="F168" s="135">
        <f t="shared" ref="F168" si="195">($P$2*350)</f>
        <v>17500</v>
      </c>
      <c r="G168" s="52">
        <v>0.30759999999999998</v>
      </c>
      <c r="H168" s="135">
        <v>695000</v>
      </c>
      <c r="I168" s="135">
        <f>(5*$T$2+I167)/G168-(5*$T$2+I167)+F168+I167</f>
        <v>2247313.800943004</v>
      </c>
      <c r="J168" s="145">
        <f>(5*$T$2+H168)/G168-(5*$T$2+H168)+F168+H168</f>
        <v>2298312.0936280885</v>
      </c>
      <c r="K168" s="140">
        <f t="shared" si="190"/>
        <v>745000</v>
      </c>
      <c r="L168" s="140">
        <f t="shared" si="191"/>
        <v>-1553312.0936280885</v>
      </c>
      <c r="M168" s="140">
        <f t="shared" si="192"/>
        <v>-1665062.0936280885</v>
      </c>
      <c r="N168" s="140">
        <f t="shared" si="193"/>
        <v>-1614063.800943004</v>
      </c>
      <c r="O168" s="140">
        <f t="shared" si="172"/>
        <v>2432500</v>
      </c>
      <c r="P168" s="130">
        <f t="shared" si="186"/>
        <v>-0.68450651331062218</v>
      </c>
      <c r="Q168" s="130">
        <f t="shared" si="187"/>
        <v>-0.66354113091182076</v>
      </c>
    </row>
    <row r="169" spans="1:17" ht="14.25" hidden="1" customHeight="1" x14ac:dyDescent="0.25">
      <c r="A169" s="320"/>
      <c r="B169" s="224" t="str">
        <f t="shared" si="174"/>
        <v>Guantes</v>
      </c>
      <c r="C169" s="132" t="str">
        <f t="shared" si="194"/>
        <v>Guantes de Livre</v>
      </c>
      <c r="D169" s="52" t="s">
        <v>476</v>
      </c>
      <c r="E169" s="52">
        <v>50</v>
      </c>
      <c r="F169" s="135">
        <f t="shared" ref="F169:F170" si="196">($P$2*350)*E169^2/40^2</f>
        <v>27343.75</v>
      </c>
      <c r="G169" s="129">
        <v>0.375</v>
      </c>
      <c r="H169" s="135">
        <v>745000</v>
      </c>
      <c r="I169" s="135">
        <f t="shared" ref="I169:I170" si="197">(5*$T$2+I168)/G169-(5*$T$2+I168)+F169+I168</f>
        <v>6036013.8858480109</v>
      </c>
      <c r="J169" s="145">
        <f t="shared" ref="J169:J170" si="198">(5*$T$2+H169)/G169-(5*$T$2+H169)+F169+H169</f>
        <v>2029843.75</v>
      </c>
      <c r="K169" s="140">
        <f t="shared" si="190"/>
        <v>1030000</v>
      </c>
      <c r="L169" s="140">
        <f t="shared" si="191"/>
        <v>-999843.75</v>
      </c>
      <c r="M169" s="140">
        <f t="shared" si="192"/>
        <v>-1154343.75</v>
      </c>
      <c r="N169" s="140">
        <f t="shared" si="193"/>
        <v>-5160513.8858480109</v>
      </c>
      <c r="O169" s="140">
        <f t="shared" si="172"/>
        <v>2607500</v>
      </c>
      <c r="P169" s="130">
        <f t="shared" si="186"/>
        <v>-0.44270134228187918</v>
      </c>
      <c r="Q169" s="130">
        <f t="shared" si="187"/>
        <v>-1.9791040789445871</v>
      </c>
    </row>
    <row r="170" spans="1:17" ht="14.25" hidden="1" customHeight="1" thickBot="1" x14ac:dyDescent="0.3">
      <c r="A170" s="320"/>
      <c r="B170" s="224" t="str">
        <f t="shared" si="174"/>
        <v>Guantes</v>
      </c>
      <c r="C170" s="132" t="str">
        <f t="shared" si="194"/>
        <v>Guantes de Livre</v>
      </c>
      <c r="D170" s="52" t="s">
        <v>477</v>
      </c>
      <c r="E170" s="52">
        <v>100</v>
      </c>
      <c r="F170" s="135">
        <f t="shared" si="196"/>
        <v>109375</v>
      </c>
      <c r="G170" s="52">
        <v>0.22</v>
      </c>
      <c r="H170" s="135">
        <v>1030000</v>
      </c>
      <c r="I170" s="135">
        <f t="shared" si="197"/>
        <v>27579483.572036412</v>
      </c>
      <c r="J170" s="145">
        <f t="shared" si="198"/>
        <v>4824875</v>
      </c>
      <c r="K170" s="140">
        <v>2550000</v>
      </c>
      <c r="L170" s="140">
        <f t="shared" si="191"/>
        <v>-2274875</v>
      </c>
      <c r="M170" s="140">
        <f t="shared" si="192"/>
        <v>-2657375</v>
      </c>
      <c r="N170" s="140">
        <f t="shared" si="193"/>
        <v>-25411983.572036412</v>
      </c>
      <c r="O170" s="140">
        <f t="shared" si="172"/>
        <v>3605000</v>
      </c>
      <c r="P170" s="130">
        <f t="shared" si="186"/>
        <v>-0.73713592233009706</v>
      </c>
      <c r="Q170" s="130">
        <f t="shared" si="187"/>
        <v>-7.0490939173471325</v>
      </c>
    </row>
    <row r="171" spans="1:17" ht="14.25" hidden="1" customHeight="1" x14ac:dyDescent="0.25">
      <c r="A171" s="320"/>
      <c r="B171" s="224" t="str">
        <f t="shared" si="174"/>
        <v>Guantes</v>
      </c>
      <c r="C171" s="126" t="s">
        <v>538</v>
      </c>
      <c r="D171" s="126" t="s">
        <v>542</v>
      </c>
      <c r="E171" s="127">
        <v>20</v>
      </c>
      <c r="F171" s="136">
        <f t="shared" ref="F171:F173" si="199">($P$2*30)</f>
        <v>1500</v>
      </c>
      <c r="G171" s="126">
        <v>7.4999999999999997E-2</v>
      </c>
      <c r="H171" s="141">
        <v>208000</v>
      </c>
      <c r="I171" s="142">
        <f>((5*$T$2)/G171-(5*$T$2)+F171)+H171</f>
        <v>326666.66666666669</v>
      </c>
      <c r="J171" s="142">
        <f>((5*$T$2)/G171-(5*$T$2)+F171)+H171</f>
        <v>326666.66666666669</v>
      </c>
      <c r="K171" s="142">
        <f>+H172</f>
        <v>276000</v>
      </c>
      <c r="L171" s="143">
        <f>K171-J171</f>
        <v>-50666.666666666686</v>
      </c>
      <c r="M171" s="143">
        <f>K171*0.85-J171</f>
        <v>-92066.666666666686</v>
      </c>
      <c r="N171" s="143">
        <f>K171*0.85-I171</f>
        <v>-92066.666666666686</v>
      </c>
      <c r="O171" s="142">
        <f t="shared" si="172"/>
        <v>728000</v>
      </c>
      <c r="P171" s="130">
        <f t="shared" si="186"/>
        <v>-0.12646520146520149</v>
      </c>
      <c r="Q171" s="130">
        <f t="shared" si="187"/>
        <v>-0.12646520146520149</v>
      </c>
    </row>
    <row r="172" spans="1:17" ht="14.25" hidden="1" customHeight="1" x14ac:dyDescent="0.25">
      <c r="A172" s="320"/>
      <c r="B172" s="224" t="str">
        <f t="shared" si="174"/>
        <v>Guantes</v>
      </c>
      <c r="C172" s="133" t="str">
        <f>+C171</f>
        <v>Guantes de Bheg</v>
      </c>
      <c r="D172" s="128" t="s">
        <v>543</v>
      </c>
      <c r="E172" s="128">
        <v>20</v>
      </c>
      <c r="F172" s="137">
        <f t="shared" si="199"/>
        <v>1500</v>
      </c>
      <c r="G172" s="128">
        <v>0.06</v>
      </c>
      <c r="H172" s="137">
        <v>276000</v>
      </c>
      <c r="I172" s="144">
        <f t="shared" ref="I172:I173" si="200">((5*$T$2)/G172-(5*$T$2)+F172)+H172</f>
        <v>426333.33333333337</v>
      </c>
      <c r="J172" s="144">
        <f t="shared" ref="J172:J173" si="201">((5*$T$2)/G172-(5*$T$2)+F172)+H172</f>
        <v>426333.33333333337</v>
      </c>
      <c r="K172" s="144">
        <f t="shared" ref="K172:K175" si="202">+H173</f>
        <v>276000</v>
      </c>
      <c r="L172" s="144">
        <f t="shared" ref="L172:L176" si="203">K172-J172</f>
        <v>-150333.33333333337</v>
      </c>
      <c r="M172" s="144">
        <f t="shared" ref="M172:M176" si="204">K172*0.85-J172</f>
        <v>-191733.33333333337</v>
      </c>
      <c r="N172" s="144">
        <f t="shared" ref="N172:N176" si="205">K172*0.85-I172</f>
        <v>-191733.33333333337</v>
      </c>
      <c r="O172" s="144">
        <f t="shared" si="172"/>
        <v>966000</v>
      </c>
      <c r="P172" s="130">
        <f t="shared" si="186"/>
        <v>-0.19848171152518981</v>
      </c>
      <c r="Q172" s="130">
        <f t="shared" si="187"/>
        <v>-0.19848171152518981</v>
      </c>
    </row>
    <row r="173" spans="1:17" ht="14.25" hidden="1" customHeight="1" x14ac:dyDescent="0.25">
      <c r="A173" s="320"/>
      <c r="B173" s="224" t="str">
        <f t="shared" si="174"/>
        <v>Guantes</v>
      </c>
      <c r="C173" s="133" t="str">
        <f>+C172</f>
        <v>Guantes de Bheg</v>
      </c>
      <c r="D173" s="128" t="s">
        <v>474</v>
      </c>
      <c r="E173" s="128">
        <v>15</v>
      </c>
      <c r="F173" s="137">
        <f t="shared" si="199"/>
        <v>1500</v>
      </c>
      <c r="G173" s="128">
        <v>0.29399999999999998</v>
      </c>
      <c r="H173" s="137">
        <v>276000</v>
      </c>
      <c r="I173" s="144">
        <f t="shared" si="200"/>
        <v>300312.92517006805</v>
      </c>
      <c r="J173" s="144">
        <f t="shared" si="201"/>
        <v>300312.92517006805</v>
      </c>
      <c r="K173" s="144">
        <f t="shared" si="202"/>
        <v>444000</v>
      </c>
      <c r="L173" s="144">
        <f t="shared" si="203"/>
        <v>143687.07482993195</v>
      </c>
      <c r="M173" s="144">
        <f t="shared" si="204"/>
        <v>77087.074829931953</v>
      </c>
      <c r="N173" s="144">
        <f t="shared" si="205"/>
        <v>77087.074829931953</v>
      </c>
      <c r="O173" s="144">
        <f t="shared" si="172"/>
        <v>966000</v>
      </c>
      <c r="P173" s="130">
        <f t="shared" si="186"/>
        <v>7.9800284503035154E-2</v>
      </c>
      <c r="Q173" s="130">
        <f t="shared" si="187"/>
        <v>7.9800284503035154E-2</v>
      </c>
    </row>
    <row r="174" spans="1:17" ht="14.25" hidden="1" customHeight="1" x14ac:dyDescent="0.25">
      <c r="A174" s="320"/>
      <c r="B174" s="224" t="str">
        <f t="shared" si="174"/>
        <v>Guantes</v>
      </c>
      <c r="C174" s="133" t="str">
        <f>+C173</f>
        <v>Guantes de Bheg</v>
      </c>
      <c r="D174" s="128" t="s">
        <v>475</v>
      </c>
      <c r="E174" s="128">
        <v>30</v>
      </c>
      <c r="F174" s="137">
        <f t="shared" ref="F174" si="206">($P$2*350)</f>
        <v>17500</v>
      </c>
      <c r="G174" s="128">
        <v>0.30759999999999998</v>
      </c>
      <c r="H174" s="137">
        <v>444000</v>
      </c>
      <c r="I174" s="144">
        <f>(5*$T$2+I173)/G174-(5*$T$2+I173)+F174+I173</f>
        <v>1015194.1650522369</v>
      </c>
      <c r="J174" s="144">
        <f>(5*$T$2+H174)/G174-(5*$T$2+H174)+F174+H174</f>
        <v>1482317.2951885567</v>
      </c>
      <c r="K174" s="144">
        <f t="shared" si="202"/>
        <v>585000</v>
      </c>
      <c r="L174" s="144">
        <f t="shared" si="203"/>
        <v>-897317.29518855666</v>
      </c>
      <c r="M174" s="144">
        <f t="shared" si="204"/>
        <v>-985067.29518855666</v>
      </c>
      <c r="N174" s="144">
        <f t="shared" si="205"/>
        <v>-517944.16505223687</v>
      </c>
      <c r="O174" s="144">
        <f t="shared" si="172"/>
        <v>1554000</v>
      </c>
      <c r="P174" s="130">
        <f t="shared" si="186"/>
        <v>-0.6338914383452745</v>
      </c>
      <c r="Q174" s="130">
        <f t="shared" si="187"/>
        <v>-0.33329740350851794</v>
      </c>
    </row>
    <row r="175" spans="1:17" ht="14.25" hidden="1" customHeight="1" x14ac:dyDescent="0.25">
      <c r="A175" s="320"/>
      <c r="B175" s="224" t="str">
        <f t="shared" si="174"/>
        <v>Guantes</v>
      </c>
      <c r="C175" s="133" t="str">
        <f>+C174</f>
        <v>Guantes de Bheg</v>
      </c>
      <c r="D175" s="128" t="s">
        <v>476</v>
      </c>
      <c r="E175" s="128">
        <v>50</v>
      </c>
      <c r="F175" s="137">
        <f t="shared" ref="F175:F176" si="207">($P$2*350)*E175^2/40^2</f>
        <v>27343.75</v>
      </c>
      <c r="G175" s="128">
        <v>0.375</v>
      </c>
      <c r="H175" s="137">
        <v>585000</v>
      </c>
      <c r="I175" s="144">
        <f t="shared" ref="I175:I176" si="208">(5*$T$2+I174)/G175-(5*$T$2+I174)+F175+I174</f>
        <v>2750361.5234726318</v>
      </c>
      <c r="J175" s="144">
        <f t="shared" ref="J175:J176" si="209">(5*$T$2+H175)/G175-(5*$T$2+H175)+F175+H175</f>
        <v>1603177.0833333333</v>
      </c>
      <c r="K175" s="144">
        <f t="shared" si="202"/>
        <v>750000</v>
      </c>
      <c r="L175" s="144">
        <f t="shared" si="203"/>
        <v>-853177.08333333326</v>
      </c>
      <c r="M175" s="144">
        <f t="shared" si="204"/>
        <v>-965677.08333333326</v>
      </c>
      <c r="N175" s="144">
        <f t="shared" si="205"/>
        <v>-2112861.5234726318</v>
      </c>
      <c r="O175" s="144">
        <f t="shared" si="172"/>
        <v>2047500</v>
      </c>
      <c r="P175" s="130">
        <f t="shared" si="186"/>
        <v>-0.47163715913715909</v>
      </c>
      <c r="Q175" s="130">
        <f t="shared" si="187"/>
        <v>-1.0319225999866333</v>
      </c>
    </row>
    <row r="176" spans="1:17" ht="14.25" hidden="1" customHeight="1" thickBot="1" x14ac:dyDescent="0.3">
      <c r="A176" s="320"/>
      <c r="B176" s="224" t="str">
        <f t="shared" si="174"/>
        <v>Guantes</v>
      </c>
      <c r="C176" s="133" t="str">
        <f>+C175</f>
        <v>Guantes de Bheg</v>
      </c>
      <c r="D176" s="128" t="s">
        <v>477</v>
      </c>
      <c r="E176" s="128">
        <v>100</v>
      </c>
      <c r="F176" s="137">
        <f t="shared" si="207"/>
        <v>109375</v>
      </c>
      <c r="G176" s="128">
        <v>0.22</v>
      </c>
      <c r="H176" s="137">
        <v>750000</v>
      </c>
      <c r="I176" s="144">
        <f t="shared" si="208"/>
        <v>12644700.10669378</v>
      </c>
      <c r="J176" s="144">
        <f t="shared" si="209"/>
        <v>3552147.7272727271</v>
      </c>
      <c r="K176" s="144">
        <v>2060000</v>
      </c>
      <c r="L176" s="144">
        <f t="shared" si="203"/>
        <v>-1492147.7272727271</v>
      </c>
      <c r="M176" s="144">
        <f t="shared" si="204"/>
        <v>-1801147.7272727271</v>
      </c>
      <c r="N176" s="144">
        <f t="shared" si="205"/>
        <v>-10893700.10669378</v>
      </c>
      <c r="O176" s="144">
        <f t="shared" si="172"/>
        <v>2625000</v>
      </c>
      <c r="P176" s="130">
        <f t="shared" si="186"/>
        <v>-0.68615151515151507</v>
      </c>
      <c r="Q176" s="130">
        <f t="shared" si="187"/>
        <v>-4.1499809930262019</v>
      </c>
    </row>
    <row r="177" spans="1:17" ht="14.25" hidden="1" customHeight="1" x14ac:dyDescent="0.25">
      <c r="A177" s="320"/>
      <c r="B177" s="149" t="s">
        <v>541</v>
      </c>
      <c r="C177" s="5" t="s">
        <v>539</v>
      </c>
      <c r="D177" s="221" t="s">
        <v>542</v>
      </c>
      <c r="E177" s="79">
        <v>20</v>
      </c>
      <c r="F177" s="134">
        <f t="shared" ref="F177:F179" si="210">($P$2*30)</f>
        <v>1500</v>
      </c>
      <c r="G177" s="5">
        <v>7.4999999999999997E-2</v>
      </c>
      <c r="H177" s="138">
        <v>710000</v>
      </c>
      <c r="I177" s="145">
        <f>((5*$T$2)/G177-(5*$T$2)+F177)+H177</f>
        <v>828666.66666666663</v>
      </c>
      <c r="J177" s="145">
        <f>((5*$T$2)/G177-(5*$T$2)+F177)+H177</f>
        <v>828666.66666666663</v>
      </c>
      <c r="K177" s="139">
        <f>+H178</f>
        <v>780000</v>
      </c>
      <c r="L177" s="140">
        <f>K177-J177</f>
        <v>-48666.666666666628</v>
      </c>
      <c r="M177" s="140">
        <f>K177*0.85-J177</f>
        <v>-165666.66666666663</v>
      </c>
      <c r="N177" s="140">
        <f>K177*0.85-I177</f>
        <v>-165666.66666666663</v>
      </c>
      <c r="O177" s="139">
        <f t="shared" si="172"/>
        <v>2485000</v>
      </c>
      <c r="P177" s="130">
        <f t="shared" si="186"/>
        <v>-6.6666666666666652E-2</v>
      </c>
      <c r="Q177" s="130">
        <f t="shared" si="187"/>
        <v>-6.6666666666666652E-2</v>
      </c>
    </row>
    <row r="178" spans="1:17" ht="14.25" hidden="1" customHeight="1" x14ac:dyDescent="0.25">
      <c r="A178" s="320"/>
      <c r="B178" s="224" t="str">
        <f t="shared" si="174"/>
        <v>Zapatos</v>
      </c>
      <c r="C178" s="132" t="str">
        <f>+C177</f>
        <v>Zapatos de Urgon</v>
      </c>
      <c r="D178" s="222" t="s">
        <v>543</v>
      </c>
      <c r="E178" s="52">
        <v>20</v>
      </c>
      <c r="F178" s="135">
        <f t="shared" si="210"/>
        <v>1500</v>
      </c>
      <c r="G178" s="52">
        <v>0.06</v>
      </c>
      <c r="H178" s="135">
        <v>780000</v>
      </c>
      <c r="I178" s="145">
        <f t="shared" ref="I178:I179" si="211">((5*$T$2)/G178-(5*$T$2)+F178)+H178</f>
        <v>930333.33333333337</v>
      </c>
      <c r="J178" s="145">
        <f t="shared" ref="J178:J179" si="212">((5*$T$2)/G178-(5*$T$2)+F178)+H178</f>
        <v>930333.33333333337</v>
      </c>
      <c r="K178" s="140">
        <f t="shared" ref="K178:K181" si="213">+H179</f>
        <v>865000</v>
      </c>
      <c r="L178" s="140">
        <f t="shared" ref="L178:L182" si="214">K178-J178</f>
        <v>-65333.333333333372</v>
      </c>
      <c r="M178" s="140">
        <f t="shared" ref="M178:M182" si="215">K178*0.85-J178</f>
        <v>-195083.33333333337</v>
      </c>
      <c r="N178" s="140">
        <f t="shared" ref="N178:N182" si="216">K178*0.85-I178</f>
        <v>-195083.33333333337</v>
      </c>
      <c r="O178" s="140">
        <f t="shared" si="172"/>
        <v>2730000</v>
      </c>
      <c r="P178" s="130">
        <f t="shared" si="186"/>
        <v>-7.1459096459096469E-2</v>
      </c>
      <c r="Q178" s="130">
        <f t="shared" si="187"/>
        <v>-7.1459096459096469E-2</v>
      </c>
    </row>
    <row r="179" spans="1:17" ht="14.25" hidden="1" customHeight="1" x14ac:dyDescent="0.25">
      <c r="A179" s="320"/>
      <c r="B179" s="224" t="str">
        <f t="shared" si="174"/>
        <v>Zapatos</v>
      </c>
      <c r="C179" s="132" t="str">
        <f t="shared" ref="C179:C182" si="217">+C178</f>
        <v>Zapatos de Urgon</v>
      </c>
      <c r="D179" s="52" t="s">
        <v>474</v>
      </c>
      <c r="E179" s="52">
        <v>15</v>
      </c>
      <c r="F179" s="135">
        <f t="shared" si="210"/>
        <v>1500</v>
      </c>
      <c r="G179" s="52">
        <v>0.29399999999999998</v>
      </c>
      <c r="H179" s="135">
        <v>865000</v>
      </c>
      <c r="I179" s="145">
        <f t="shared" si="211"/>
        <v>889312.92517006805</v>
      </c>
      <c r="J179" s="145">
        <f t="shared" si="212"/>
        <v>889312.92517006805</v>
      </c>
      <c r="K179" s="140">
        <f t="shared" si="213"/>
        <v>960000</v>
      </c>
      <c r="L179" s="140">
        <f t="shared" si="214"/>
        <v>70687.074829931953</v>
      </c>
      <c r="M179" s="140">
        <f t="shared" si="215"/>
        <v>-73312.925170068047</v>
      </c>
      <c r="N179" s="140">
        <f t="shared" si="216"/>
        <v>-73312.925170068047</v>
      </c>
      <c r="O179" s="140">
        <f t="shared" si="172"/>
        <v>3027500</v>
      </c>
      <c r="P179" s="130">
        <f t="shared" si="186"/>
        <v>-2.421566479605881E-2</v>
      </c>
      <c r="Q179" s="130">
        <f t="shared" si="187"/>
        <v>-2.421566479605881E-2</v>
      </c>
    </row>
    <row r="180" spans="1:17" ht="14.25" hidden="1" customHeight="1" x14ac:dyDescent="0.25">
      <c r="A180" s="320"/>
      <c r="B180" s="224" t="str">
        <f t="shared" si="174"/>
        <v>Zapatos</v>
      </c>
      <c r="C180" s="132" t="str">
        <f t="shared" si="217"/>
        <v>Zapatos de Urgon</v>
      </c>
      <c r="D180" s="52" t="s">
        <v>475</v>
      </c>
      <c r="E180" s="52">
        <v>30</v>
      </c>
      <c r="F180" s="135">
        <f t="shared" ref="F180" si="218">($P$2*350)</f>
        <v>17500</v>
      </c>
      <c r="G180" s="52">
        <v>0.30759999999999998</v>
      </c>
      <c r="H180" s="135">
        <v>960000</v>
      </c>
      <c r="I180" s="135">
        <f>(5*$T$2+I179)/G180-(5*$T$2+I179)+F180+I179</f>
        <v>2930018.6123864371</v>
      </c>
      <c r="J180" s="145">
        <f>(5*$T$2+H180)/G180-(5*$T$2+H180)+F180+H180</f>
        <v>3159820.5461638495</v>
      </c>
      <c r="K180" s="140">
        <f t="shared" si="213"/>
        <v>1040000</v>
      </c>
      <c r="L180" s="140">
        <f t="shared" si="214"/>
        <v>-2119820.5461638495</v>
      </c>
      <c r="M180" s="140">
        <f t="shared" si="215"/>
        <v>-2275820.5461638495</v>
      </c>
      <c r="N180" s="140">
        <f t="shared" si="216"/>
        <v>-2046018.6123864371</v>
      </c>
      <c r="O180" s="140">
        <f t="shared" si="172"/>
        <v>3360000</v>
      </c>
      <c r="P180" s="130">
        <f t="shared" si="186"/>
        <v>-0.67732754350114566</v>
      </c>
      <c r="Q180" s="130">
        <f t="shared" si="187"/>
        <v>-0.60893411082929672</v>
      </c>
    </row>
    <row r="181" spans="1:17" ht="14.25" hidden="1" customHeight="1" x14ac:dyDescent="0.25">
      <c r="A181" s="320"/>
      <c r="B181" s="224" t="str">
        <f t="shared" si="174"/>
        <v>Zapatos</v>
      </c>
      <c r="C181" s="132" t="str">
        <f t="shared" si="217"/>
        <v>Zapatos de Urgon</v>
      </c>
      <c r="D181" s="52" t="s">
        <v>476</v>
      </c>
      <c r="E181" s="52">
        <v>50</v>
      </c>
      <c r="F181" s="135">
        <f t="shared" ref="F181:F182" si="219">($P$2*350)*E181^2/40^2</f>
        <v>27343.75</v>
      </c>
      <c r="G181" s="129">
        <v>0.375</v>
      </c>
      <c r="H181" s="135">
        <v>1040000</v>
      </c>
      <c r="I181" s="135">
        <f t="shared" ref="I181:I182" si="220">(5*$T$2+I180)/G181-(5*$T$2+I180)+F181+I180</f>
        <v>7856560.0496971654</v>
      </c>
      <c r="J181" s="145">
        <f t="shared" ref="J181:J182" si="221">(5*$T$2+H181)/G181-(5*$T$2+H181)+F181+H181</f>
        <v>2816510.4166666665</v>
      </c>
      <c r="K181" s="140">
        <f t="shared" si="213"/>
        <v>1470000</v>
      </c>
      <c r="L181" s="140">
        <f t="shared" si="214"/>
        <v>-1346510.4166666665</v>
      </c>
      <c r="M181" s="140">
        <f t="shared" si="215"/>
        <v>-1567010.4166666665</v>
      </c>
      <c r="N181" s="140">
        <f t="shared" si="216"/>
        <v>-6607060.0496971654</v>
      </c>
      <c r="O181" s="140">
        <f t="shared" si="172"/>
        <v>3640000</v>
      </c>
      <c r="P181" s="130">
        <f t="shared" si="186"/>
        <v>-0.4304973672161172</v>
      </c>
      <c r="Q181" s="130">
        <f t="shared" si="187"/>
        <v>-1.815126387279441</v>
      </c>
    </row>
    <row r="182" spans="1:17" ht="14.25" hidden="1" customHeight="1" thickBot="1" x14ac:dyDescent="0.3">
      <c r="A182" s="320"/>
      <c r="B182" s="224" t="str">
        <f t="shared" si="174"/>
        <v>Zapatos</v>
      </c>
      <c r="C182" s="132" t="str">
        <f t="shared" si="217"/>
        <v>Zapatos de Urgon</v>
      </c>
      <c r="D182" s="52" t="s">
        <v>477</v>
      </c>
      <c r="E182" s="52">
        <v>100</v>
      </c>
      <c r="F182" s="135">
        <f t="shared" si="219"/>
        <v>109375</v>
      </c>
      <c r="G182" s="52">
        <v>0.22</v>
      </c>
      <c r="H182" s="135">
        <v>1470000</v>
      </c>
      <c r="I182" s="135">
        <f t="shared" si="220"/>
        <v>35854693.407714389</v>
      </c>
      <c r="J182" s="145">
        <f t="shared" si="221"/>
        <v>6824875</v>
      </c>
      <c r="K182" s="140">
        <v>3150000</v>
      </c>
      <c r="L182" s="140">
        <f t="shared" si="214"/>
        <v>-3674875</v>
      </c>
      <c r="M182" s="140">
        <f t="shared" si="215"/>
        <v>-4147375</v>
      </c>
      <c r="N182" s="140">
        <f t="shared" si="216"/>
        <v>-33177193.407714389</v>
      </c>
      <c r="O182" s="140">
        <f t="shared" si="172"/>
        <v>5145000</v>
      </c>
      <c r="P182" s="130">
        <f t="shared" si="186"/>
        <v>-0.8060981535471331</v>
      </c>
      <c r="Q182" s="130">
        <f t="shared" si="187"/>
        <v>-6.4484340928502215</v>
      </c>
    </row>
    <row r="183" spans="1:17" ht="14.25" hidden="1" customHeight="1" x14ac:dyDescent="0.25">
      <c r="A183" s="320"/>
      <c r="B183" s="224" t="str">
        <f t="shared" si="174"/>
        <v>Zapatos</v>
      </c>
      <c r="C183" s="126" t="s">
        <v>540</v>
      </c>
      <c r="D183" s="126" t="s">
        <v>542</v>
      </c>
      <c r="E183" s="127">
        <v>20</v>
      </c>
      <c r="F183" s="136">
        <f t="shared" ref="F183:F185" si="222">($P$2*30)</f>
        <v>1500</v>
      </c>
      <c r="G183" s="126">
        <v>7.4999999999999997E-2</v>
      </c>
      <c r="H183" s="141">
        <v>197000</v>
      </c>
      <c r="I183" s="142">
        <f>((5*$T$2)/G183-(5*$T$2)+F183)+H183</f>
        <v>315666.66666666669</v>
      </c>
      <c r="J183" s="142">
        <f>((5*$T$2)/G183-(5*$T$2)+F183)+H183</f>
        <v>315666.66666666669</v>
      </c>
      <c r="K183" s="142">
        <f>+H184</f>
        <v>270000</v>
      </c>
      <c r="L183" s="143">
        <f>K183-J183</f>
        <v>-45666.666666666686</v>
      </c>
      <c r="M183" s="143">
        <f>K183*0.85-J183</f>
        <v>-86166.666666666686</v>
      </c>
      <c r="N183" s="143">
        <f>K183*0.85-I183</f>
        <v>-86166.666666666686</v>
      </c>
      <c r="O183" s="142">
        <f t="shared" si="172"/>
        <v>689500</v>
      </c>
      <c r="P183" s="130">
        <f t="shared" si="186"/>
        <v>-0.12496978486826206</v>
      </c>
      <c r="Q183" s="130">
        <f t="shared" si="187"/>
        <v>-0.12496978486826206</v>
      </c>
    </row>
    <row r="184" spans="1:17" ht="14.25" hidden="1" customHeight="1" x14ac:dyDescent="0.25">
      <c r="A184" s="320"/>
      <c r="B184" s="224" t="str">
        <f t="shared" si="174"/>
        <v>Zapatos</v>
      </c>
      <c r="C184" s="133" t="str">
        <f>+C183</f>
        <v>Zapatos de Muskan</v>
      </c>
      <c r="D184" s="128" t="s">
        <v>543</v>
      </c>
      <c r="E184" s="128">
        <v>20</v>
      </c>
      <c r="F184" s="137">
        <f t="shared" si="222"/>
        <v>1500</v>
      </c>
      <c r="G184" s="128">
        <v>0.06</v>
      </c>
      <c r="H184" s="137">
        <v>270000</v>
      </c>
      <c r="I184" s="144">
        <f t="shared" ref="I184:I185" si="223">((5*$T$2)/G184-(5*$T$2)+F184)+H184</f>
        <v>420333.33333333337</v>
      </c>
      <c r="J184" s="144">
        <f t="shared" ref="J184:J185" si="224">((5*$T$2)/G184-(5*$T$2)+F184)+H184</f>
        <v>420333.33333333337</v>
      </c>
      <c r="K184" s="144">
        <f t="shared" ref="K184:K187" si="225">+H185</f>
        <v>413000</v>
      </c>
      <c r="L184" s="144">
        <f t="shared" ref="L184:L188" si="226">K184-J184</f>
        <v>-7333.3333333333721</v>
      </c>
      <c r="M184" s="144">
        <f t="shared" ref="M184:M188" si="227">K184*0.85-J184</f>
        <v>-69283.333333333372</v>
      </c>
      <c r="N184" s="144">
        <f t="shared" ref="N184:N188" si="228">K184*0.85-I184</f>
        <v>-69283.333333333372</v>
      </c>
      <c r="O184" s="144">
        <f t="shared" si="172"/>
        <v>945000</v>
      </c>
      <c r="P184" s="130">
        <f t="shared" si="186"/>
        <v>-7.3315696649030024E-2</v>
      </c>
      <c r="Q184" s="130">
        <f t="shared" si="187"/>
        <v>-7.3315696649030024E-2</v>
      </c>
    </row>
    <row r="185" spans="1:17" ht="14.25" hidden="1" customHeight="1" x14ac:dyDescent="0.25">
      <c r="A185" s="320"/>
      <c r="B185" s="224" t="str">
        <f t="shared" si="174"/>
        <v>Zapatos</v>
      </c>
      <c r="C185" s="133" t="str">
        <f>+C184</f>
        <v>Zapatos de Muskan</v>
      </c>
      <c r="D185" s="128" t="s">
        <v>474</v>
      </c>
      <c r="E185" s="128">
        <v>15</v>
      </c>
      <c r="F185" s="137">
        <f t="shared" si="222"/>
        <v>1500</v>
      </c>
      <c r="G185" s="128">
        <v>0.29399999999999998</v>
      </c>
      <c r="H185" s="137">
        <v>413000</v>
      </c>
      <c r="I185" s="144">
        <f t="shared" si="223"/>
        <v>437312.92517006805</v>
      </c>
      <c r="J185" s="144">
        <f t="shared" si="224"/>
        <v>437312.92517006805</v>
      </c>
      <c r="K185" s="144">
        <f t="shared" si="225"/>
        <v>493000</v>
      </c>
      <c r="L185" s="144">
        <f t="shared" si="226"/>
        <v>55687.074829931953</v>
      </c>
      <c r="M185" s="144">
        <f t="shared" si="227"/>
        <v>-18262.925170068047</v>
      </c>
      <c r="N185" s="144">
        <f t="shared" si="228"/>
        <v>-18262.925170068047</v>
      </c>
      <c r="O185" s="144">
        <f t="shared" si="172"/>
        <v>1445500</v>
      </c>
      <c r="P185" s="130">
        <f t="shared" si="186"/>
        <v>-1.2634330799078552E-2</v>
      </c>
      <c r="Q185" s="130">
        <f t="shared" si="187"/>
        <v>-1.2634330799078552E-2</v>
      </c>
    </row>
    <row r="186" spans="1:17" ht="14.25" hidden="1" customHeight="1" x14ac:dyDescent="0.25">
      <c r="A186" s="320"/>
      <c r="B186" s="224" t="str">
        <f t="shared" si="174"/>
        <v>Zapatos</v>
      </c>
      <c r="C186" s="133" t="str">
        <f>+C185</f>
        <v>Zapatos de Muskan</v>
      </c>
      <c r="D186" s="128" t="s">
        <v>475</v>
      </c>
      <c r="E186" s="128">
        <v>30</v>
      </c>
      <c r="F186" s="137">
        <f t="shared" ref="F186" si="229">($P$2*350)</f>
        <v>17500</v>
      </c>
      <c r="G186" s="128">
        <v>0.30759999999999998</v>
      </c>
      <c r="H186" s="137">
        <v>493000</v>
      </c>
      <c r="I186" s="144">
        <f>(5*$T$2+I185)/G186-(5*$T$2+I185)+F186+I185</f>
        <v>1460577.7801367622</v>
      </c>
      <c r="J186" s="144">
        <f>(5*$T$2+H186)/G186-(5*$T$2+H186)+F186+H186</f>
        <v>1641615.0845253577</v>
      </c>
      <c r="K186" s="144">
        <f t="shared" si="225"/>
        <v>525000</v>
      </c>
      <c r="L186" s="144">
        <f t="shared" si="226"/>
        <v>-1116615.0845253577</v>
      </c>
      <c r="M186" s="144">
        <f t="shared" si="227"/>
        <v>-1195365.0845253577</v>
      </c>
      <c r="N186" s="144">
        <f t="shared" si="228"/>
        <v>-1014327.7801367622</v>
      </c>
      <c r="O186" s="144">
        <f t="shared" si="172"/>
        <v>1725500</v>
      </c>
      <c r="P186" s="130">
        <f t="shared" si="186"/>
        <v>-0.69276446509728062</v>
      </c>
      <c r="Q186" s="130">
        <f t="shared" si="187"/>
        <v>-0.58784571436497379</v>
      </c>
    </row>
    <row r="187" spans="1:17" ht="14.25" hidden="1" customHeight="1" x14ac:dyDescent="0.25">
      <c r="A187" s="320"/>
      <c r="B187" s="224" t="str">
        <f t="shared" si="174"/>
        <v>Zapatos</v>
      </c>
      <c r="C187" s="133" t="str">
        <f>+C186</f>
        <v>Zapatos de Muskan</v>
      </c>
      <c r="D187" s="128" t="s">
        <v>476</v>
      </c>
      <c r="E187" s="128">
        <v>50</v>
      </c>
      <c r="F187" s="137">
        <f t="shared" ref="F187:F188" si="230">($P$2*350)*E187^2/40^2</f>
        <v>27343.75</v>
      </c>
      <c r="G187" s="128">
        <v>0.375</v>
      </c>
      <c r="H187" s="137">
        <v>525000</v>
      </c>
      <c r="I187" s="144">
        <f t="shared" ref="I187:I188" si="231">(5*$T$2+I186)/G187-(5*$T$2+I186)+F187+I186</f>
        <v>3938051.1636980325</v>
      </c>
      <c r="J187" s="144">
        <f t="shared" ref="J187:J188" si="232">(5*$T$2+H187)/G187-(5*$T$2+H187)+F187+H187</f>
        <v>1443177.0833333333</v>
      </c>
      <c r="K187" s="144">
        <f t="shared" si="225"/>
        <v>650000</v>
      </c>
      <c r="L187" s="144">
        <f t="shared" si="226"/>
        <v>-793177.08333333326</v>
      </c>
      <c r="M187" s="144">
        <f t="shared" si="227"/>
        <v>-890677.08333333326</v>
      </c>
      <c r="N187" s="144">
        <f t="shared" si="228"/>
        <v>-3385551.1636980325</v>
      </c>
      <c r="O187" s="144">
        <f t="shared" si="172"/>
        <v>1837500</v>
      </c>
      <c r="P187" s="130">
        <f t="shared" si="186"/>
        <v>-0.48472222222222217</v>
      </c>
      <c r="Q187" s="130">
        <f t="shared" si="187"/>
        <v>-1.8424768237812421</v>
      </c>
    </row>
    <row r="188" spans="1:17" ht="14.25" hidden="1" customHeight="1" x14ac:dyDescent="0.25">
      <c r="A188" s="320"/>
      <c r="B188" s="224" t="str">
        <f t="shared" si="174"/>
        <v>Zapatos</v>
      </c>
      <c r="C188" s="133" t="str">
        <f>+C187</f>
        <v>Zapatos de Muskan</v>
      </c>
      <c r="D188" s="128" t="s">
        <v>477</v>
      </c>
      <c r="E188" s="128">
        <v>100</v>
      </c>
      <c r="F188" s="137">
        <f t="shared" si="230"/>
        <v>109375</v>
      </c>
      <c r="G188" s="128">
        <v>0.22</v>
      </c>
      <c r="H188" s="137">
        <v>650000</v>
      </c>
      <c r="I188" s="144">
        <f t="shared" si="231"/>
        <v>18043289.380445603</v>
      </c>
      <c r="J188" s="144">
        <f t="shared" si="232"/>
        <v>3097602.2727272729</v>
      </c>
      <c r="K188" s="144">
        <v>2040000</v>
      </c>
      <c r="L188" s="144">
        <f t="shared" si="226"/>
        <v>-1057602.2727272729</v>
      </c>
      <c r="M188" s="144">
        <f t="shared" si="227"/>
        <v>-1363602.2727272729</v>
      </c>
      <c r="N188" s="144">
        <f t="shared" si="228"/>
        <v>-16309289.380445603</v>
      </c>
      <c r="O188" s="144">
        <f t="shared" si="172"/>
        <v>2275000</v>
      </c>
      <c r="P188" s="130">
        <f t="shared" si="186"/>
        <v>-0.59938561438561444</v>
      </c>
      <c r="Q188" s="130">
        <f t="shared" si="187"/>
        <v>-7.1689184089870785</v>
      </c>
    </row>
    <row r="189" spans="1:17" ht="14.25" customHeight="1" x14ac:dyDescent="0.2"/>
    <row r="190" spans="1:17" ht="14.25" customHeight="1" x14ac:dyDescent="0.2">
      <c r="G190" s="234"/>
    </row>
    <row r="191" spans="1:17" ht="14.25" customHeight="1" x14ac:dyDescent="0.2"/>
    <row r="192" spans="1:17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</sheetData>
  <autoFilter ref="B4:Q188" xr:uid="{5026555D-9BDC-4153-AA09-714EB5FC8C92}">
    <filterColumn colId="0">
      <filters>
        <filter val="ANILLO"/>
        <filter val="ARETE"/>
        <filter val="CINTURON"/>
        <filter val="COLLAR"/>
      </filters>
    </filterColumn>
    <filterColumn colId="2">
      <filters>
        <filter val="TET"/>
      </filters>
    </filterColumn>
    <filterColumn colId="14">
      <customFilters>
        <customFilter operator="greaterThan" val="0"/>
      </customFilters>
    </filterColumn>
  </autoFilter>
  <mergeCells count="3">
    <mergeCell ref="A5:A60"/>
    <mergeCell ref="A98:A188"/>
    <mergeCell ref="C2:G2"/>
  </mergeCells>
  <conditionalFormatting sqref="P5:P12 P165:Q170">
    <cfRule type="colorScale" priority="187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5:P12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N12 L165:N170">
    <cfRule type="cellIs" dxfId="178" priority="170" operator="lessThan">
      <formula>0</formula>
    </cfRule>
    <cfRule type="cellIs" dxfId="177" priority="171" operator="greaterThan">
      <formula>1000</formula>
    </cfRule>
  </conditionalFormatting>
  <conditionalFormatting sqref="P5:P12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168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Q5:Q12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5:N146">
    <cfRule type="cellIs" dxfId="176" priority="68" operator="lessThan">
      <formula>0</formula>
    </cfRule>
    <cfRule type="cellIs" dxfId="175" priority="69" operator="greaterThan">
      <formula>1000</formula>
    </cfRule>
  </conditionalFormatting>
  <conditionalFormatting sqref="P93:P110">
    <cfRule type="colorScale" priority="133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13:N16 L93:N110 L25:N60">
    <cfRule type="cellIs" dxfId="174" priority="130" operator="lessThan">
      <formula>0</formula>
    </cfRule>
    <cfRule type="cellIs" dxfId="173" priority="131" operator="greaterThan">
      <formula>1000</formula>
    </cfRule>
  </conditionalFormatting>
  <conditionalFormatting sqref="Q93:Q110">
    <cfRule type="colorScale" priority="128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77:P92">
    <cfRule type="colorScale" priority="101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77:N92">
    <cfRule type="cellIs" dxfId="172" priority="98" operator="lessThan">
      <formula>0</formula>
    </cfRule>
    <cfRule type="cellIs" dxfId="171" priority="99" operator="greaterThan">
      <formula>1000</formula>
    </cfRule>
  </conditionalFormatting>
  <conditionalFormatting sqref="Q77:Q92">
    <cfRule type="colorScale" priority="96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77:P9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7:P9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7:Q9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7:Q92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3:P11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3:Q110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1:P122">
    <cfRule type="colorScale" priority="82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111:N122">
    <cfRule type="cellIs" dxfId="170" priority="80" operator="lessThan">
      <formula>0</formula>
    </cfRule>
    <cfRule type="cellIs" dxfId="169" priority="81" operator="greaterThan">
      <formula>1000</formula>
    </cfRule>
  </conditionalFormatting>
  <conditionalFormatting sqref="Q111:Q122">
    <cfRule type="colorScale" priority="79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11:P12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1:Q12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3:P134">
    <cfRule type="colorScale" priority="76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123:N134">
    <cfRule type="cellIs" dxfId="168" priority="74" operator="lessThan">
      <formula>0</formula>
    </cfRule>
    <cfRule type="cellIs" dxfId="167" priority="75" operator="greaterThan">
      <formula>1000</formula>
    </cfRule>
  </conditionalFormatting>
  <conditionalFormatting sqref="Q123:Q134">
    <cfRule type="colorScale" priority="73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23:P134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3:Q134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5:P146">
    <cfRule type="colorScale" priority="70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Q135:Q146">
    <cfRule type="colorScale" priority="67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35:P14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5:Q14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7:P158">
    <cfRule type="colorScale" priority="64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147:N158">
    <cfRule type="cellIs" dxfId="166" priority="62" operator="lessThan">
      <formula>0</formula>
    </cfRule>
    <cfRule type="cellIs" dxfId="165" priority="63" operator="greaterThan">
      <formula>1000</formula>
    </cfRule>
  </conditionalFormatting>
  <conditionalFormatting sqref="Q147:Q158">
    <cfRule type="colorScale" priority="61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47:P15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7:Q15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9:P164">
    <cfRule type="colorScale" priority="58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159:N164">
    <cfRule type="cellIs" dxfId="164" priority="56" operator="lessThan">
      <formula>0</formula>
    </cfRule>
    <cfRule type="cellIs" dxfId="163" priority="57" operator="greaterThan">
      <formula>1000</formula>
    </cfRule>
  </conditionalFormatting>
  <conditionalFormatting sqref="Q159:Q164">
    <cfRule type="colorScale" priority="55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71:P182">
    <cfRule type="colorScale" priority="40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171:N182">
    <cfRule type="cellIs" dxfId="162" priority="38" operator="lessThan">
      <formula>0</formula>
    </cfRule>
    <cfRule type="cellIs" dxfId="161" priority="39" operator="greaterThan">
      <formula>1000</formula>
    </cfRule>
  </conditionalFormatting>
  <conditionalFormatting sqref="Q171:Q182">
    <cfRule type="colorScale" priority="37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71:P18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1:Q18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3:P188">
    <cfRule type="colorScale" priority="34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183:N188">
    <cfRule type="cellIs" dxfId="160" priority="32" operator="lessThan">
      <formula>0</formula>
    </cfRule>
    <cfRule type="cellIs" dxfId="159" priority="33" operator="greaterThan">
      <formula>1000</formula>
    </cfRule>
  </conditionalFormatting>
  <conditionalFormatting sqref="Q183:Q188">
    <cfRule type="colorScale" priority="31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59:P16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9:Q164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5:P170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5:Q170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3:P188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3:Q188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2:P76">
    <cfRule type="colorScale" priority="15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L61:N76">
    <cfRule type="cellIs" dxfId="158" priority="12" operator="lessThan">
      <formula>0</formula>
    </cfRule>
    <cfRule type="cellIs" dxfId="157" priority="13" operator="greaterThan">
      <formula>1000</formula>
    </cfRule>
  </conditionalFormatting>
  <conditionalFormatting sqref="Q72:Q76">
    <cfRule type="colorScale" priority="10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72:P7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2:P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2:Q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2:Q7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Q16 P25:Q71">
    <cfRule type="colorScale" priority="7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3:Q16 P25:Q7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Q16 P25:Q7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N24">
    <cfRule type="cellIs" dxfId="156" priority="4" operator="lessThan">
      <formula>0</formula>
    </cfRule>
    <cfRule type="cellIs" dxfId="155" priority="5" operator="greaterThan">
      <formula>1000</formula>
    </cfRule>
  </conditionalFormatting>
  <conditionalFormatting sqref="P17:Q24">
    <cfRule type="colorScale" priority="2">
      <colorScale>
        <cfvo type="num" val="-100000"/>
        <cfvo type="num" val="0"/>
        <cfvo type="num" val="100000"/>
        <color rgb="FFF8696B"/>
        <color rgb="FFFCFCFF"/>
        <color rgb="FF63BE7B"/>
      </colorScale>
    </cfRule>
  </conditionalFormatting>
  <conditionalFormatting sqref="P17:Q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Q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93:D9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8"/>
  <sheetViews>
    <sheetView zoomScale="70" zoomScaleNormal="70" workbookViewId="0">
      <selection activeCell="B17" sqref="B17:K20"/>
    </sheetView>
  </sheetViews>
  <sheetFormatPr baseColWidth="10" defaultColWidth="12.625" defaultRowHeight="15" customHeight="1" x14ac:dyDescent="0.2"/>
  <cols>
    <col min="1" max="1" width="10.375" customWidth="1"/>
    <col min="2" max="2" width="22.625" bestFit="1" customWidth="1"/>
    <col min="3" max="3" width="22.875" customWidth="1"/>
    <col min="4" max="4" width="8" customWidth="1"/>
    <col min="5" max="5" width="14.125" customWidth="1"/>
    <col min="6" max="6" width="12.375" customWidth="1"/>
    <col min="7" max="7" width="25" bestFit="1" customWidth="1"/>
    <col min="8" max="8" width="15.25" customWidth="1"/>
    <col min="9" max="9" width="14.625" customWidth="1"/>
    <col min="10" max="10" width="24.75" bestFit="1" customWidth="1"/>
    <col min="11" max="11" width="33.5" customWidth="1"/>
    <col min="12" max="14" width="7.625" customWidth="1"/>
    <col min="15" max="15" width="15.25" bestFit="1" customWidth="1"/>
    <col min="16" max="16" width="16.75" bestFit="1" customWidth="1"/>
    <col min="17" max="26" width="7.625" customWidth="1"/>
  </cols>
  <sheetData>
    <row r="1" spans="1:16" ht="14.25" customHeight="1" thickBot="1" x14ac:dyDescent="0.25"/>
    <row r="2" spans="1:16" ht="14.25" customHeight="1" thickBot="1" x14ac:dyDescent="0.3">
      <c r="B2" s="299" t="s">
        <v>0</v>
      </c>
      <c r="C2" s="300"/>
      <c r="D2" s="301"/>
      <c r="G2" s="1" t="s">
        <v>1</v>
      </c>
      <c r="H2" s="231"/>
      <c r="I2" s="2">
        <v>2.8</v>
      </c>
    </row>
    <row r="3" spans="1:16" ht="14.25" customHeight="1" thickBot="1" x14ac:dyDescent="0.25"/>
    <row r="4" spans="1:16" ht="14.25" customHeight="1" thickBot="1" x14ac:dyDescent="0.3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62" t="s">
        <v>503</v>
      </c>
      <c r="I4" s="3" t="s">
        <v>8</v>
      </c>
      <c r="J4" s="3" t="s">
        <v>467</v>
      </c>
      <c r="K4" s="3" t="s">
        <v>546</v>
      </c>
    </row>
    <row r="5" spans="1:16" ht="14.25" customHeight="1" x14ac:dyDescent="0.25">
      <c r="A5" s="302" t="s">
        <v>468</v>
      </c>
      <c r="B5" s="5" t="s">
        <v>13</v>
      </c>
      <c r="C5" s="5" t="s">
        <v>91</v>
      </c>
      <c r="D5" s="5">
        <v>1</v>
      </c>
      <c r="E5" s="6">
        <f>VLOOKUP(C5,Data!$A$4:$B$363,2,FALSE)</f>
        <v>750</v>
      </c>
      <c r="F5" s="7">
        <f>SUM(E5*D5+E6*D6+E7*D7+E8*D8)</f>
        <v>5984</v>
      </c>
      <c r="G5" s="7">
        <f>VLOOKUP(B5,Data!$A$4:$B$363,2,FALSE)</f>
        <v>3320</v>
      </c>
      <c r="H5" s="8">
        <f>G5*$I$2-F5</f>
        <v>3312</v>
      </c>
      <c r="I5" s="8">
        <f>G5*0.85*$I$2-F5</f>
        <v>1917.5999999999995</v>
      </c>
      <c r="J5" s="8">
        <f>(I5*60)*60</f>
        <v>6903359.9999999981</v>
      </c>
      <c r="K5" s="8">
        <f>(H5*60)*60</f>
        <v>11923200</v>
      </c>
    </row>
    <row r="6" spans="1:16" ht="14.25" customHeight="1" x14ac:dyDescent="0.25">
      <c r="A6" s="303"/>
      <c r="B6" s="10"/>
      <c r="C6" s="10" t="s">
        <v>72</v>
      </c>
      <c r="D6" s="10">
        <v>1</v>
      </c>
      <c r="E6" s="11">
        <f>VLOOKUP(C6,Data!$A$4:$B$363,2,FALSE)</f>
        <v>5000</v>
      </c>
      <c r="F6" s="12"/>
      <c r="G6" s="12"/>
      <c r="H6" s="13"/>
      <c r="I6" s="13"/>
      <c r="J6" s="13"/>
      <c r="K6" s="13"/>
    </row>
    <row r="7" spans="1:16" ht="14.25" customHeight="1" x14ac:dyDescent="0.25">
      <c r="A7" s="303"/>
      <c r="B7" s="10"/>
      <c r="C7" s="10" t="s">
        <v>441</v>
      </c>
      <c r="D7" s="10">
        <v>1</v>
      </c>
      <c r="E7" s="11">
        <f>VLOOKUP(C7,Data!$A$4:$B$363,2,FALSE)</f>
        <v>5</v>
      </c>
      <c r="F7" s="12"/>
      <c r="G7" s="12"/>
      <c r="H7" s="13"/>
      <c r="I7" s="13"/>
      <c r="J7" s="13"/>
      <c r="K7" s="13"/>
    </row>
    <row r="8" spans="1:16" ht="14.25" customHeight="1" x14ac:dyDescent="0.25">
      <c r="A8" s="303"/>
      <c r="B8" s="10"/>
      <c r="C8" s="10" t="s">
        <v>469</v>
      </c>
      <c r="D8" s="10">
        <v>1</v>
      </c>
      <c r="E8" s="11">
        <f>VLOOKUP(C8,Data!$A$4:$B$363,2,FALSE)</f>
        <v>229</v>
      </c>
      <c r="F8" s="12"/>
      <c r="G8" s="12"/>
      <c r="H8" s="13"/>
      <c r="I8" s="13"/>
      <c r="J8" s="13"/>
      <c r="K8" s="13"/>
    </row>
    <row r="9" spans="1:16" ht="14.25" customHeight="1" x14ac:dyDescent="0.25">
      <c r="A9" s="303"/>
      <c r="B9" s="14" t="s">
        <v>26</v>
      </c>
      <c r="C9" s="14" t="s">
        <v>91</v>
      </c>
      <c r="D9" s="14">
        <v>1</v>
      </c>
      <c r="E9" s="15">
        <f>VLOOKUP(C9,Data!$A$4:$B$363,2,FALSE)</f>
        <v>750</v>
      </c>
      <c r="F9" s="16">
        <f>SUM(E9*D9+E10*D10+E11*D11+E12*D12)</f>
        <v>5972</v>
      </c>
      <c r="G9" s="17">
        <f>VLOOKUP(B9,Data!$A$4:$B$363,2,FALSE)</f>
        <v>2730</v>
      </c>
      <c r="H9" s="13">
        <f>G9*$I$2-F9</f>
        <v>1671.9999999999991</v>
      </c>
      <c r="I9" s="13">
        <f>G9*0.85*$I$2-F9</f>
        <v>525.39999999999964</v>
      </c>
      <c r="J9" s="13">
        <f>(I9*60)*60</f>
        <v>1891439.9999999986</v>
      </c>
      <c r="K9" s="13">
        <f>(H9*60)*60</f>
        <v>6019199.9999999963</v>
      </c>
      <c r="P9" s="104"/>
    </row>
    <row r="10" spans="1:16" ht="14.25" customHeight="1" x14ac:dyDescent="0.25">
      <c r="A10" s="303"/>
      <c r="B10" s="14"/>
      <c r="C10" s="14" t="s">
        <v>72</v>
      </c>
      <c r="D10" s="14">
        <v>1</v>
      </c>
      <c r="E10" s="15">
        <f>VLOOKUP(C10,Data!$A$4:$B$363,2,FALSE)</f>
        <v>5000</v>
      </c>
      <c r="F10" s="16"/>
      <c r="G10" s="17"/>
      <c r="H10" s="13"/>
      <c r="I10" s="13"/>
      <c r="J10" s="13"/>
      <c r="K10" s="13"/>
    </row>
    <row r="11" spans="1:16" ht="14.25" customHeight="1" x14ac:dyDescent="0.25">
      <c r="A11" s="303"/>
      <c r="B11" s="14"/>
      <c r="C11" s="14" t="s">
        <v>441</v>
      </c>
      <c r="D11" s="14">
        <v>1</v>
      </c>
      <c r="E11" s="15">
        <f>VLOOKUP(C11,Data!$A$4:$B$363,2,FALSE)</f>
        <v>5</v>
      </c>
      <c r="F11" s="16"/>
      <c r="G11" s="17"/>
      <c r="H11" s="13"/>
      <c r="I11" s="13"/>
      <c r="J11" s="13"/>
      <c r="K11" s="13"/>
    </row>
    <row r="12" spans="1:16" ht="14.25" customHeight="1" thickBot="1" x14ac:dyDescent="0.3">
      <c r="A12" s="304"/>
      <c r="B12" s="14"/>
      <c r="C12" s="14" t="s">
        <v>64</v>
      </c>
      <c r="D12" s="14">
        <v>1</v>
      </c>
      <c r="E12" s="15">
        <f>VLOOKUP(C12,Data!$A$4:$B$363,2,FALSE)</f>
        <v>217</v>
      </c>
      <c r="F12" s="16"/>
      <c r="G12" s="17"/>
      <c r="H12" s="13"/>
      <c r="I12" s="13"/>
      <c r="J12" s="13"/>
      <c r="K12" s="13"/>
    </row>
    <row r="13" spans="1:16" ht="14.25" customHeight="1" x14ac:dyDescent="0.25">
      <c r="A13" s="302" t="s">
        <v>9</v>
      </c>
      <c r="B13" s="5" t="s">
        <v>10</v>
      </c>
      <c r="C13" s="5" t="s">
        <v>11</v>
      </c>
      <c r="D13" s="5">
        <v>1</v>
      </c>
      <c r="E13" s="6">
        <f>VLOOKUP(C13,Data!$A$4:$B$363,2,FALSE)</f>
        <v>9850</v>
      </c>
      <c r="F13" s="7">
        <f>SUM(E13*D13+E14*D14+E15*D15+E16*D16)</f>
        <v>35370</v>
      </c>
      <c r="G13" s="7">
        <f>VLOOKUP(B13,Data!$A$4:$B$363,2,FALSE)</f>
        <v>13100</v>
      </c>
      <c r="H13" s="13">
        <f>G13*$I$2-F13</f>
        <v>1310</v>
      </c>
      <c r="I13" s="8">
        <f>G13*0.85*$I$2-F13</f>
        <v>-4192.0000000000036</v>
      </c>
      <c r="J13" s="8">
        <f>(I13*60)*60</f>
        <v>-15091200.000000015</v>
      </c>
      <c r="K13" s="8">
        <f>(H13*60)*60</f>
        <v>4716000</v>
      </c>
    </row>
    <row r="14" spans="1:16" ht="14.25" customHeight="1" x14ac:dyDescent="0.25">
      <c r="A14" s="303"/>
      <c r="B14" s="10"/>
      <c r="C14" s="10" t="s">
        <v>12</v>
      </c>
      <c r="D14" s="10">
        <v>1</v>
      </c>
      <c r="E14" s="11">
        <f>VLOOKUP(C14,Data!$A$4:$B$363,2,FALSE)</f>
        <v>8600</v>
      </c>
      <c r="F14" s="12"/>
      <c r="G14" s="12"/>
      <c r="H14" s="13"/>
      <c r="I14" s="13"/>
      <c r="J14" s="13"/>
      <c r="K14" s="13"/>
      <c r="P14" s="104"/>
    </row>
    <row r="15" spans="1:16" ht="14.25" customHeight="1" x14ac:dyDescent="0.25">
      <c r="A15" s="303"/>
      <c r="B15" s="10"/>
      <c r="C15" s="10" t="s">
        <v>13</v>
      </c>
      <c r="D15" s="10">
        <v>1</v>
      </c>
      <c r="E15" s="11">
        <f>VLOOKUP(C15,Data!$A$4:$B$363,2,FALSE)</f>
        <v>3320</v>
      </c>
      <c r="F15" s="12"/>
      <c r="G15" s="12"/>
      <c r="H15" s="13"/>
      <c r="I15" s="13"/>
      <c r="J15" s="13"/>
      <c r="K15" s="13"/>
    </row>
    <row r="16" spans="1:16" ht="14.25" customHeight="1" thickBot="1" x14ac:dyDescent="0.3">
      <c r="A16" s="303"/>
      <c r="B16" s="10"/>
      <c r="C16" s="10" t="s">
        <v>14</v>
      </c>
      <c r="D16" s="10">
        <v>2</v>
      </c>
      <c r="E16" s="11">
        <f>VLOOKUP(C16,Data!$A$4:$B$363,2,FALSE)</f>
        <v>6800</v>
      </c>
      <c r="F16" s="12"/>
      <c r="G16" s="12"/>
      <c r="H16" s="13"/>
      <c r="I16" s="13"/>
      <c r="J16" s="13"/>
      <c r="K16" s="13"/>
    </row>
    <row r="17" spans="1:16" ht="14.25" customHeight="1" x14ac:dyDescent="0.25">
      <c r="A17" s="303"/>
      <c r="B17" s="14" t="s">
        <v>15</v>
      </c>
      <c r="C17" s="14" t="s">
        <v>16</v>
      </c>
      <c r="D17" s="14">
        <v>1</v>
      </c>
      <c r="E17" s="15">
        <f>VLOOKUP(C17,Data!$A$4:$B$363,2,FALSE)</f>
        <v>6450</v>
      </c>
      <c r="F17" s="16">
        <f>SUM(E17*D17+E18*D18+E19*D19+E20*D20)</f>
        <v>30780</v>
      </c>
      <c r="G17" s="17">
        <f>VLOOKUP(B17,Data!$A$4:$B$363,2,FALSE)</f>
        <v>20700</v>
      </c>
      <c r="H17" s="13">
        <f>G17*$I$2-F17</f>
        <v>27179.999999999993</v>
      </c>
      <c r="I17" s="13">
        <f>G17*0.85*$I$2-F17</f>
        <v>18486</v>
      </c>
      <c r="J17" s="8">
        <f>(I17*60)*60</f>
        <v>66549600</v>
      </c>
      <c r="K17" s="8">
        <f>(H17*60)*60</f>
        <v>97847999.99999997</v>
      </c>
      <c r="O17" s="104"/>
    </row>
    <row r="18" spans="1:16" ht="14.25" customHeight="1" x14ac:dyDescent="0.25">
      <c r="A18" s="303"/>
      <c r="B18" s="14"/>
      <c r="C18" s="14" t="s">
        <v>17</v>
      </c>
      <c r="D18" s="14">
        <v>1</v>
      </c>
      <c r="E18" s="15">
        <f>VLOOKUP(C18,Data!$A$4:$B$363,2,FALSE)</f>
        <v>2010</v>
      </c>
      <c r="F18" s="16"/>
      <c r="G18" s="17"/>
      <c r="H18" s="13"/>
      <c r="I18" s="13"/>
      <c r="J18" s="13"/>
      <c r="K18" s="13"/>
    </row>
    <row r="19" spans="1:16" ht="14.25" customHeight="1" x14ac:dyDescent="0.25">
      <c r="A19" s="303"/>
      <c r="B19" s="14"/>
      <c r="C19" s="14" t="s">
        <v>13</v>
      </c>
      <c r="D19" s="14">
        <v>1</v>
      </c>
      <c r="E19" s="15">
        <f>VLOOKUP(C19,Data!$A$4:$B$363,2,FALSE)</f>
        <v>3320</v>
      </c>
      <c r="F19" s="16"/>
      <c r="G19" s="17"/>
      <c r="H19" s="13"/>
      <c r="I19" s="13"/>
      <c r="J19" s="13"/>
      <c r="K19" s="13"/>
      <c r="O19" s="104"/>
    </row>
    <row r="20" spans="1:16" ht="14.25" customHeight="1" thickBot="1" x14ac:dyDescent="0.3">
      <c r="A20" s="303"/>
      <c r="B20" s="14"/>
      <c r="C20" s="14" t="s">
        <v>18</v>
      </c>
      <c r="D20" s="14">
        <v>2</v>
      </c>
      <c r="E20" s="15">
        <f>VLOOKUP(C20,Data!$A$4:$B$363,2,FALSE)</f>
        <v>9500</v>
      </c>
      <c r="F20" s="16"/>
      <c r="G20" s="17"/>
      <c r="H20" s="13"/>
      <c r="I20" s="13"/>
      <c r="J20" s="13"/>
      <c r="K20" s="13"/>
    </row>
    <row r="21" spans="1:16" ht="14.25" customHeight="1" x14ac:dyDescent="0.25">
      <c r="A21" s="303"/>
      <c r="B21" s="10" t="s">
        <v>19</v>
      </c>
      <c r="C21" s="10" t="s">
        <v>20</v>
      </c>
      <c r="D21" s="10">
        <v>1</v>
      </c>
      <c r="E21" s="11">
        <f>VLOOKUP(C21,Data!$A$4:$B$363,2,FALSE)</f>
        <v>7500</v>
      </c>
      <c r="F21" s="12">
        <f>SUM(E21*D21+E22*D22+E23*D23+E24*D24)</f>
        <v>120720</v>
      </c>
      <c r="G21" s="12">
        <f>VLOOKUP(B21,Data!$A$4:$B$363,2,FALSE)</f>
        <v>57000</v>
      </c>
      <c r="H21" s="13">
        <f>G21*$I$2-F21</f>
        <v>38880</v>
      </c>
      <c r="I21" s="13">
        <f>G21*0.85*$I$2-F21</f>
        <v>14940</v>
      </c>
      <c r="J21" s="8">
        <f>(I21*60)*60</f>
        <v>53784000</v>
      </c>
      <c r="K21" s="8">
        <f>(H21*60)*60</f>
        <v>139968000</v>
      </c>
    </row>
    <row r="22" spans="1:16" ht="14.25" customHeight="1" x14ac:dyDescent="0.25">
      <c r="A22" s="303"/>
      <c r="B22" s="10"/>
      <c r="C22" s="18" t="s">
        <v>21</v>
      </c>
      <c r="D22" s="10">
        <v>1</v>
      </c>
      <c r="E22" s="11">
        <f>VLOOKUP(C22,Data!$A$4:$B$363,2,FALSE)</f>
        <v>92500</v>
      </c>
      <c r="F22" s="12"/>
      <c r="G22" s="12"/>
      <c r="H22" s="13"/>
      <c r="I22" s="13"/>
      <c r="J22" s="13"/>
      <c r="K22" s="13"/>
    </row>
    <row r="23" spans="1:16" ht="14.25" customHeight="1" x14ac:dyDescent="0.25">
      <c r="A23" s="303"/>
      <c r="B23" s="10"/>
      <c r="C23" s="10" t="s">
        <v>13</v>
      </c>
      <c r="D23" s="10">
        <v>1</v>
      </c>
      <c r="E23" s="11">
        <f>VLOOKUP(C23,Data!$A$4:$B$363,2,FALSE)</f>
        <v>3320</v>
      </c>
      <c r="F23" s="12"/>
      <c r="G23" s="12"/>
      <c r="H23" s="13"/>
      <c r="I23" s="13"/>
      <c r="J23" s="13"/>
      <c r="K23" s="13"/>
      <c r="P23" s="104"/>
    </row>
    <row r="24" spans="1:16" ht="14.25" customHeight="1" x14ac:dyDescent="0.25">
      <c r="A24" s="303"/>
      <c r="B24" s="10"/>
      <c r="C24" s="10" t="s">
        <v>22</v>
      </c>
      <c r="D24" s="10">
        <v>2</v>
      </c>
      <c r="E24" s="11">
        <f>VLOOKUP(C24,Data!$A$4:$B$363,2,FALSE)</f>
        <v>8700</v>
      </c>
      <c r="F24" s="12"/>
      <c r="G24" s="12"/>
      <c r="H24" s="13"/>
      <c r="I24" s="13"/>
      <c r="J24" s="13"/>
      <c r="K24" s="13"/>
    </row>
    <row r="25" spans="1:16" ht="14.25" customHeight="1" x14ac:dyDescent="0.25">
      <c r="A25" s="303"/>
      <c r="B25" s="14" t="s">
        <v>23</v>
      </c>
      <c r="C25" s="14" t="s">
        <v>24</v>
      </c>
      <c r="D25" s="14">
        <v>1</v>
      </c>
      <c r="E25" s="15">
        <f>VLOOKUP(C25,Data!$A$4:$B$363,2,FALSE)</f>
        <v>7500</v>
      </c>
      <c r="F25" s="17">
        <f>SUM(E25*D25+E26*D26+E27*D27+E28*D28)</f>
        <v>126730</v>
      </c>
      <c r="G25" s="17">
        <f>VLOOKUP(B25,Data!$A$4:$B$363,2,FALSE)</f>
        <v>56500</v>
      </c>
      <c r="H25" s="13">
        <f>G25*$I$2-F25</f>
        <v>31470</v>
      </c>
      <c r="I25" s="13">
        <f>G25*0.85*$I$2-F25</f>
        <v>7740</v>
      </c>
      <c r="J25" s="13">
        <f>(I25*60)*60</f>
        <v>27864000</v>
      </c>
      <c r="K25" s="13">
        <f>(H25*60)*60</f>
        <v>113292000</v>
      </c>
    </row>
    <row r="26" spans="1:16" ht="14.25" customHeight="1" x14ac:dyDescent="0.25">
      <c r="A26" s="303"/>
      <c r="B26" s="14"/>
      <c r="C26" s="18" t="s">
        <v>25</v>
      </c>
      <c r="D26" s="14">
        <v>1</v>
      </c>
      <c r="E26" s="15">
        <f>VLOOKUP(C26,Data!$A$4:$B$363,2,FALSE)</f>
        <v>92500</v>
      </c>
      <c r="F26" s="17"/>
      <c r="G26" s="17"/>
      <c r="H26" s="13"/>
      <c r="I26" s="13"/>
      <c r="J26" s="13"/>
      <c r="K26" s="13"/>
    </row>
    <row r="27" spans="1:16" ht="14.25" customHeight="1" x14ac:dyDescent="0.25">
      <c r="A27" s="303"/>
      <c r="B27" s="14"/>
      <c r="C27" s="14" t="s">
        <v>26</v>
      </c>
      <c r="D27" s="14">
        <v>1</v>
      </c>
      <c r="E27" s="15">
        <f>VLOOKUP(C27,Data!$A$4:$B$363,2,FALSE)</f>
        <v>2730</v>
      </c>
      <c r="F27" s="17"/>
      <c r="G27" s="17"/>
      <c r="H27" s="13"/>
      <c r="I27" s="13"/>
      <c r="J27" s="13"/>
      <c r="K27" s="13"/>
    </row>
    <row r="28" spans="1:16" ht="14.25" customHeight="1" x14ac:dyDescent="0.25">
      <c r="A28" s="303"/>
      <c r="B28" s="14"/>
      <c r="C28" s="14" t="s">
        <v>27</v>
      </c>
      <c r="D28" s="14">
        <v>2</v>
      </c>
      <c r="E28" s="15">
        <f>VLOOKUP(C28,Data!$A$4:$B$363,2,FALSE)</f>
        <v>12000</v>
      </c>
      <c r="F28" s="17"/>
      <c r="G28" s="17"/>
      <c r="H28" s="13"/>
      <c r="I28" s="13"/>
      <c r="J28" s="13"/>
      <c r="K28" s="13"/>
    </row>
    <row r="29" spans="1:16" ht="14.25" customHeight="1" x14ac:dyDescent="0.25">
      <c r="A29" s="303"/>
      <c r="B29" s="10" t="s">
        <v>28</v>
      </c>
      <c r="C29" s="10" t="s">
        <v>11</v>
      </c>
      <c r="D29" s="10">
        <v>1</v>
      </c>
      <c r="E29" s="11">
        <f>VLOOKUP(C29,Data!$A$4:$B$363,2,FALSE)</f>
        <v>9850</v>
      </c>
      <c r="F29" s="12">
        <f>SUM(E29*D29+E30*D30+E31*D31+E32*D32)</f>
        <v>125080</v>
      </c>
      <c r="G29" s="12">
        <f>VLOOKUP(B29,Data!$A$4:$B$363,2,FALSE)</f>
        <v>48400</v>
      </c>
      <c r="H29" s="13">
        <f>G29*$I$2-F29</f>
        <v>10440</v>
      </c>
      <c r="I29" s="13">
        <f>G29*0.85*$I$2-F29</f>
        <v>-9888.0000000000146</v>
      </c>
      <c r="J29" s="13">
        <f>(I29*60)*60</f>
        <v>-35596800.00000006</v>
      </c>
      <c r="K29" s="13">
        <f>(H29*60)*60</f>
        <v>37584000</v>
      </c>
    </row>
    <row r="30" spans="1:16" ht="14.25" customHeight="1" x14ac:dyDescent="0.25">
      <c r="A30" s="303"/>
      <c r="B30" s="10"/>
      <c r="C30" s="18" t="s">
        <v>29</v>
      </c>
      <c r="D30" s="10">
        <v>1</v>
      </c>
      <c r="E30" s="11">
        <f>VLOOKUP(C30,Data!$A$4:$B$363,2,FALSE)</f>
        <v>92500</v>
      </c>
      <c r="F30" s="12"/>
      <c r="G30" s="12"/>
      <c r="H30" s="13"/>
      <c r="I30" s="13"/>
      <c r="J30" s="13"/>
      <c r="K30" s="13"/>
    </row>
    <row r="31" spans="1:16" ht="14.25" customHeight="1" x14ac:dyDescent="0.25">
      <c r="A31" s="303"/>
      <c r="B31" s="10"/>
      <c r="C31" s="10" t="s">
        <v>30</v>
      </c>
      <c r="D31" s="10">
        <v>1</v>
      </c>
      <c r="E31" s="11">
        <f>VLOOKUP(C31,Data!$A$4:$B$363,2,FALSE)</f>
        <v>2730</v>
      </c>
      <c r="F31" s="12"/>
      <c r="G31" s="12"/>
      <c r="H31" s="13"/>
      <c r="I31" s="13"/>
      <c r="J31" s="13"/>
      <c r="K31" s="13"/>
    </row>
    <row r="32" spans="1:16" ht="14.25" customHeight="1" thickBot="1" x14ac:dyDescent="0.3">
      <c r="A32" s="304"/>
      <c r="B32" s="20"/>
      <c r="C32" s="20" t="s">
        <v>31</v>
      </c>
      <c r="D32" s="20">
        <v>2</v>
      </c>
      <c r="E32" s="21">
        <f>VLOOKUP(C32,Data!$A$4:$B$363,2,FALSE)</f>
        <v>10000</v>
      </c>
      <c r="F32" s="22"/>
      <c r="G32" s="22"/>
      <c r="H32" s="23"/>
      <c r="I32" s="23"/>
      <c r="J32" s="23"/>
      <c r="K32" s="23"/>
    </row>
    <row r="33" spans="1:11" ht="14.25" customHeight="1" x14ac:dyDescent="0.25">
      <c r="A33" s="302" t="s">
        <v>32</v>
      </c>
      <c r="B33" s="24" t="s">
        <v>33</v>
      </c>
      <c r="C33" s="24" t="s">
        <v>28</v>
      </c>
      <c r="D33" s="24">
        <v>1</v>
      </c>
      <c r="E33" s="25">
        <f>VLOOKUP(C33,Data!$A$4:$B$363,2,FALSE)</f>
        <v>48400</v>
      </c>
      <c r="F33" s="26">
        <f>SUM(E33*D33+E34*D34+E35*D35+E36*D36)</f>
        <v>211360</v>
      </c>
      <c r="G33" s="26">
        <f>VLOOKUP(B33,Data!$A$4:$B$363,2,FALSE)</f>
        <v>129000</v>
      </c>
      <c r="H33" s="8">
        <f>G33*$I$2-F33</f>
        <v>149840</v>
      </c>
      <c r="I33" s="8">
        <f>G33*0.85*$I$2-F33</f>
        <v>95660</v>
      </c>
      <c r="J33" s="8">
        <f>(I33*60)*60</f>
        <v>344376000</v>
      </c>
      <c r="K33" s="8">
        <f>(H33*60)*60</f>
        <v>539424000</v>
      </c>
    </row>
    <row r="34" spans="1:11" ht="14.25" customHeight="1" x14ac:dyDescent="0.25">
      <c r="A34" s="303"/>
      <c r="B34" s="14"/>
      <c r="C34" s="14" t="s">
        <v>34</v>
      </c>
      <c r="D34" s="14">
        <v>1</v>
      </c>
      <c r="E34" s="15">
        <f>VLOOKUP(C34,Data!$A$4:$B$363,2,FALSE)</f>
        <v>20200</v>
      </c>
      <c r="F34" s="17"/>
      <c r="G34" s="17"/>
      <c r="H34" s="13"/>
      <c r="I34" s="13"/>
      <c r="J34" s="13"/>
      <c r="K34" s="13"/>
    </row>
    <row r="35" spans="1:11" ht="14.25" customHeight="1" x14ac:dyDescent="0.25">
      <c r="A35" s="303"/>
      <c r="B35" s="14"/>
      <c r="C35" s="18" t="s">
        <v>35</v>
      </c>
      <c r="D35" s="14">
        <v>1</v>
      </c>
      <c r="E35" s="15">
        <f>VLOOKUP(C35,Data!$A$4:$B$363,2,FALSE)</f>
        <v>138000</v>
      </c>
      <c r="F35" s="17"/>
      <c r="G35" s="17"/>
      <c r="H35" s="13"/>
      <c r="I35" s="13"/>
      <c r="J35" s="13"/>
      <c r="K35" s="13"/>
    </row>
    <row r="36" spans="1:11" ht="14.25" customHeight="1" x14ac:dyDescent="0.25">
      <c r="A36" s="303"/>
      <c r="B36" s="14"/>
      <c r="C36" s="14" t="s">
        <v>36</v>
      </c>
      <c r="D36" s="14">
        <v>1</v>
      </c>
      <c r="E36" s="15">
        <f>VLOOKUP(C36,Data!$A$4:$B$363,2,FALSE)</f>
        <v>4760</v>
      </c>
      <c r="F36" s="17"/>
      <c r="G36" s="17"/>
      <c r="H36" s="13"/>
      <c r="I36" s="13"/>
      <c r="J36" s="13"/>
      <c r="K36" s="13"/>
    </row>
    <row r="37" spans="1:11" ht="14.25" customHeight="1" x14ac:dyDescent="0.25">
      <c r="A37" s="303"/>
      <c r="B37" s="10" t="s">
        <v>37</v>
      </c>
      <c r="C37" s="10" t="s">
        <v>38</v>
      </c>
      <c r="D37" s="10">
        <v>1</v>
      </c>
      <c r="E37" s="11">
        <f>VLOOKUP(C37,Data!$A$4:$B$363,2,FALSE)</f>
        <v>56500</v>
      </c>
      <c r="F37" s="12">
        <f>SUM(E37*D37+E38*D38+E39*D39+E40*D40)</f>
        <v>218940</v>
      </c>
      <c r="G37" s="12">
        <f>VLOOKUP(B37,Data!$A$4:$B$363,2,FALSE)</f>
        <v>85000</v>
      </c>
      <c r="H37" s="13">
        <f>G37*$I$2-F37</f>
        <v>19059.999999999971</v>
      </c>
      <c r="I37" s="13">
        <f>G37*0.85*$I$2-F37</f>
        <v>-16640</v>
      </c>
      <c r="J37" s="13">
        <f>(I37*60)*60</f>
        <v>-59904000</v>
      </c>
      <c r="K37" s="13">
        <f>(H37*60)*60</f>
        <v>68615999.999999881</v>
      </c>
    </row>
    <row r="38" spans="1:11" ht="14.25" customHeight="1" x14ac:dyDescent="0.25">
      <c r="A38" s="303"/>
      <c r="B38" s="10"/>
      <c r="C38" s="10" t="s">
        <v>39</v>
      </c>
      <c r="D38" s="10">
        <v>1</v>
      </c>
      <c r="E38" s="11">
        <f>VLOOKUP(C38,Data!$A$4:$B$363,2,FALSE)</f>
        <v>22500</v>
      </c>
      <c r="F38" s="12"/>
      <c r="G38" s="12"/>
      <c r="H38" s="13"/>
      <c r="I38" s="13"/>
      <c r="J38" s="13"/>
      <c r="K38" s="13"/>
    </row>
    <row r="39" spans="1:11" ht="14.25" customHeight="1" x14ac:dyDescent="0.25">
      <c r="A39" s="303"/>
      <c r="B39" s="10"/>
      <c r="C39" s="18" t="s">
        <v>40</v>
      </c>
      <c r="D39" s="10">
        <v>1</v>
      </c>
      <c r="E39" s="11">
        <f>VLOOKUP(C39,Data!$A$4:$B$363,2,FALSE)</f>
        <v>138000</v>
      </c>
      <c r="F39" s="12"/>
      <c r="G39" s="12"/>
      <c r="H39" s="13"/>
      <c r="I39" s="13"/>
      <c r="J39" s="13"/>
      <c r="K39" s="13"/>
    </row>
    <row r="40" spans="1:11" ht="14.25" customHeight="1" x14ac:dyDescent="0.25">
      <c r="A40" s="303"/>
      <c r="B40" s="10"/>
      <c r="C40" s="10" t="s">
        <v>41</v>
      </c>
      <c r="D40" s="10">
        <v>1</v>
      </c>
      <c r="E40" s="11">
        <f>VLOOKUP(C40,Data!$A$4:$B$363,2,FALSE)</f>
        <v>1940</v>
      </c>
      <c r="F40" s="12"/>
      <c r="G40" s="12"/>
      <c r="H40" s="13"/>
      <c r="I40" s="13"/>
      <c r="J40" s="13"/>
      <c r="K40" s="13"/>
    </row>
    <row r="41" spans="1:11" ht="14.25" customHeight="1" x14ac:dyDescent="0.25">
      <c r="A41" s="303"/>
      <c r="B41" s="14" t="s">
        <v>42</v>
      </c>
      <c r="C41" s="14" t="s">
        <v>10</v>
      </c>
      <c r="D41" s="14">
        <v>1</v>
      </c>
      <c r="E41" s="15">
        <f>VLOOKUP(C41,Data!$A$4:$B$363,2,FALSE)</f>
        <v>13100</v>
      </c>
      <c r="F41" s="17">
        <f>SUM(E41*D41+E42*D42+E43*D43+E44*D44)</f>
        <v>160610</v>
      </c>
      <c r="G41" s="17">
        <f>VLOOKUP(B41,Data!$A$4:$B$363,2,FALSE)</f>
        <v>121000</v>
      </c>
      <c r="H41" s="13">
        <f>G41*$I$2-F41</f>
        <v>178190</v>
      </c>
      <c r="I41" s="13">
        <f>G41*0.85*$I$2-F41</f>
        <v>127370</v>
      </c>
      <c r="J41" s="13">
        <f>(I41*60)*60</f>
        <v>458532000</v>
      </c>
      <c r="K41" s="13">
        <f>(H41*60)*60</f>
        <v>641484000</v>
      </c>
    </row>
    <row r="42" spans="1:11" ht="14.25" customHeight="1" x14ac:dyDescent="0.25">
      <c r="A42" s="303"/>
      <c r="B42" s="14"/>
      <c r="C42" s="14" t="s">
        <v>24</v>
      </c>
      <c r="D42" s="14">
        <v>1</v>
      </c>
      <c r="E42" s="15">
        <f>VLOOKUP(C42,Data!$A$4:$B$363,2,FALSE)</f>
        <v>7500</v>
      </c>
      <c r="F42" s="17"/>
      <c r="G42" s="17"/>
      <c r="H42" s="13"/>
      <c r="I42" s="13"/>
      <c r="J42" s="13"/>
      <c r="K42" s="13"/>
    </row>
    <row r="43" spans="1:11" ht="14.25" customHeight="1" x14ac:dyDescent="0.25">
      <c r="A43" s="303"/>
      <c r="B43" s="14"/>
      <c r="C43" s="18" t="s">
        <v>43</v>
      </c>
      <c r="D43" s="14">
        <v>1</v>
      </c>
      <c r="E43" s="15">
        <f>VLOOKUP(C43,Data!$A$4:$B$363,2,FALSE)</f>
        <v>138000</v>
      </c>
      <c r="F43" s="17"/>
      <c r="G43" s="17"/>
      <c r="H43" s="13"/>
      <c r="I43" s="13"/>
      <c r="J43" s="13"/>
      <c r="K43" s="13"/>
    </row>
    <row r="44" spans="1:11" ht="14.25" customHeight="1" x14ac:dyDescent="0.25">
      <c r="A44" s="303"/>
      <c r="B44" s="14"/>
      <c r="C44" s="14" t="s">
        <v>44</v>
      </c>
      <c r="D44" s="14">
        <v>1</v>
      </c>
      <c r="E44" s="15">
        <f>VLOOKUP(C44,Data!$A$4:$B$363,2,FALSE)</f>
        <v>2010</v>
      </c>
      <c r="F44" s="17"/>
      <c r="G44" s="17"/>
      <c r="H44" s="13"/>
      <c r="I44" s="13"/>
      <c r="J44" s="13"/>
      <c r="K44" s="13"/>
    </row>
    <row r="45" spans="1:11" ht="14.25" customHeight="1" x14ac:dyDescent="0.25">
      <c r="A45" s="303"/>
      <c r="B45" s="10" t="s">
        <v>45</v>
      </c>
      <c r="C45" s="10" t="s">
        <v>15</v>
      </c>
      <c r="D45" s="10">
        <v>1</v>
      </c>
      <c r="E45" s="11">
        <f>VLOOKUP(C45,Data!$A$4:$B$363,2,FALSE)</f>
        <v>20700</v>
      </c>
      <c r="F45" s="12">
        <f>SUM(E45*D45+E46*D46+E47*D47+E48*D48)</f>
        <v>177150</v>
      </c>
      <c r="G45" s="12">
        <f>VLOOKUP(B45,Data!$A$4:$B$363,2,FALSE)</f>
        <v>66000</v>
      </c>
      <c r="H45" s="13">
        <f>G45*$I$2-F45</f>
        <v>7650</v>
      </c>
      <c r="I45" s="13">
        <f>G45*0.85*$I$2-F45</f>
        <v>-20070</v>
      </c>
      <c r="J45" s="13">
        <f>(I45*60)*60</f>
        <v>-72252000</v>
      </c>
      <c r="K45" s="13">
        <f>(H45*60)*60</f>
        <v>27540000</v>
      </c>
    </row>
    <row r="46" spans="1:11" ht="14.25" customHeight="1" x14ac:dyDescent="0.25">
      <c r="A46" s="303"/>
      <c r="B46" s="10"/>
      <c r="C46" s="10" t="s">
        <v>11</v>
      </c>
      <c r="D46" s="10">
        <v>1</v>
      </c>
      <c r="E46" s="11">
        <f>VLOOKUP(C46,Data!$A$4:$B$363,2,FALSE)</f>
        <v>9850</v>
      </c>
      <c r="F46" s="12"/>
      <c r="G46" s="12"/>
      <c r="H46" s="13"/>
      <c r="I46" s="13"/>
      <c r="J46" s="13"/>
      <c r="K46" s="13"/>
    </row>
    <row r="47" spans="1:11" ht="14.25" customHeight="1" x14ac:dyDescent="0.25">
      <c r="A47" s="303"/>
      <c r="B47" s="10"/>
      <c r="C47" s="18" t="s">
        <v>46</v>
      </c>
      <c r="D47" s="10">
        <v>1</v>
      </c>
      <c r="E47" s="11">
        <f>VLOOKUP(C47,Data!$A$4:$B$363,2,FALSE)</f>
        <v>138000</v>
      </c>
      <c r="F47" s="12"/>
      <c r="G47" s="12"/>
      <c r="H47" s="13"/>
      <c r="I47" s="13"/>
      <c r="J47" s="13"/>
      <c r="K47" s="13"/>
    </row>
    <row r="48" spans="1:11" ht="14.25" customHeight="1" thickBot="1" x14ac:dyDescent="0.3">
      <c r="A48" s="303"/>
      <c r="B48" s="10"/>
      <c r="C48" s="10" t="s">
        <v>12</v>
      </c>
      <c r="D48" s="10">
        <v>1</v>
      </c>
      <c r="E48" s="11">
        <f>VLOOKUP(C48,Data!$A$4:$B$363,2,FALSE)</f>
        <v>8600</v>
      </c>
      <c r="F48" s="12"/>
      <c r="G48" s="12"/>
      <c r="H48" s="13"/>
      <c r="I48" s="13"/>
      <c r="J48" s="13"/>
      <c r="K48" s="13"/>
    </row>
    <row r="49" spans="1:11" ht="14.25" customHeight="1" x14ac:dyDescent="0.25">
      <c r="A49" s="303"/>
      <c r="B49" s="14" t="s">
        <v>47</v>
      </c>
      <c r="C49" s="14" t="s">
        <v>48</v>
      </c>
      <c r="D49" s="14">
        <v>1</v>
      </c>
      <c r="E49" s="15">
        <f>VLOOKUP(C49,Data!$A$4:$B$363,2,FALSE)</f>
        <v>57000</v>
      </c>
      <c r="F49" s="17">
        <f>SUM(E49*D49+E50*D50+E51*D51+E52*D52)</f>
        <v>221250</v>
      </c>
      <c r="G49" s="17">
        <f>VLOOKUP(B49,Data!$A$4:$B$363,2,FALSE)</f>
        <v>123000</v>
      </c>
      <c r="H49" s="13">
        <f>G49*$I$2-F49</f>
        <v>123150</v>
      </c>
      <c r="I49" s="13">
        <f>G49*0.85*$I$2-F49</f>
        <v>71490</v>
      </c>
      <c r="J49" s="8">
        <f>(I49*60)*60</f>
        <v>257364000</v>
      </c>
      <c r="K49" s="8">
        <f>(H49*60)*60</f>
        <v>443340000</v>
      </c>
    </row>
    <row r="50" spans="1:11" ht="14.25" customHeight="1" x14ac:dyDescent="0.25">
      <c r="A50" s="303"/>
      <c r="B50" s="14"/>
      <c r="C50" s="14" t="s">
        <v>49</v>
      </c>
      <c r="D50" s="14">
        <v>1</v>
      </c>
      <c r="E50" s="15">
        <f>VLOOKUP(C50,Data!$A$4:$B$363,2,FALSE)</f>
        <v>6450</v>
      </c>
      <c r="F50" s="17"/>
      <c r="G50" s="17"/>
      <c r="H50" s="13"/>
      <c r="I50" s="13"/>
      <c r="J50" s="13"/>
      <c r="K50" s="13"/>
    </row>
    <row r="51" spans="1:11" ht="14.25" customHeight="1" x14ac:dyDescent="0.25">
      <c r="A51" s="303"/>
      <c r="B51" s="14"/>
      <c r="C51" s="18" t="s">
        <v>50</v>
      </c>
      <c r="D51" s="14">
        <v>1</v>
      </c>
      <c r="E51" s="15">
        <f>VLOOKUP(C51,Data!$A$4:$B$363,2,FALSE)</f>
        <v>138000</v>
      </c>
      <c r="F51" s="17"/>
      <c r="G51" s="17"/>
      <c r="H51" s="13"/>
      <c r="I51" s="13"/>
      <c r="J51" s="13"/>
      <c r="K51" s="13"/>
    </row>
    <row r="52" spans="1:11" ht="14.25" customHeight="1" thickBot="1" x14ac:dyDescent="0.3">
      <c r="A52" s="304"/>
      <c r="B52" s="27"/>
      <c r="C52" s="27" t="s">
        <v>51</v>
      </c>
      <c r="D52" s="27">
        <v>1</v>
      </c>
      <c r="E52" s="28">
        <f>VLOOKUP(C52,Data!$A$4:$B$363,2,FALSE)</f>
        <v>19800</v>
      </c>
      <c r="F52" s="29"/>
      <c r="G52" s="29"/>
      <c r="H52" s="23"/>
      <c r="I52" s="23"/>
      <c r="J52" s="23"/>
      <c r="K52" s="23"/>
    </row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</sheetData>
  <autoFilter ref="A4:I52" xr:uid="{00000000-0009-0000-0000-000000000000}"/>
  <mergeCells count="4">
    <mergeCell ref="B2:D2"/>
    <mergeCell ref="A13:A32"/>
    <mergeCell ref="A5:A12"/>
    <mergeCell ref="A33:A52"/>
  </mergeCells>
  <conditionalFormatting sqref="I13:I48 I50:I52">
    <cfRule type="expression" dxfId="154" priority="175">
      <formula>I13&gt;0</formula>
    </cfRule>
  </conditionalFormatting>
  <conditionalFormatting sqref="I13:I48 I50:I52">
    <cfRule type="expression" dxfId="153" priority="176">
      <formula>I13&lt;0</formula>
    </cfRule>
  </conditionalFormatting>
  <conditionalFormatting sqref="J14:J16 J18:J20 J22:J24 J26:J28 J30:J32 J34:J36 J38:J40 J43:J44 J46:J48 J50:J52">
    <cfRule type="expression" dxfId="152" priority="173">
      <formula>$I14&gt;0</formula>
    </cfRule>
  </conditionalFormatting>
  <conditionalFormatting sqref="J14:J16 J18:J20 J22:J24 J26:J28 J30:J32 J34:J36 J38:J40 J43:J44 J46:J48 J50:J52">
    <cfRule type="expression" dxfId="151" priority="174">
      <formula>$I14&lt;0</formula>
    </cfRule>
  </conditionalFormatting>
  <conditionalFormatting sqref="I5:I12">
    <cfRule type="expression" dxfId="150" priority="171">
      <formula>$I5&gt;0</formula>
    </cfRule>
  </conditionalFormatting>
  <conditionalFormatting sqref="I5:I12">
    <cfRule type="expression" dxfId="149" priority="172">
      <formula>$I5&lt;0</formula>
    </cfRule>
  </conditionalFormatting>
  <conditionalFormatting sqref="J5:J8 J10:J12">
    <cfRule type="expression" dxfId="148" priority="169">
      <formula>$I5&gt;0</formula>
    </cfRule>
  </conditionalFormatting>
  <conditionalFormatting sqref="J5:J8 J10:J12">
    <cfRule type="expression" dxfId="147" priority="170">
      <formula>$I5&lt;0</formula>
    </cfRule>
  </conditionalFormatting>
  <conditionalFormatting sqref="H14:H24 H26:H40 H42:H44 H46:H48 H50:H52">
    <cfRule type="expression" dxfId="146" priority="111">
      <formula>I14&gt;0</formula>
    </cfRule>
  </conditionalFormatting>
  <conditionalFormatting sqref="H14:H24 H26:H40 H42:H44 H46:H48 H50:H52">
    <cfRule type="expression" dxfId="145" priority="112">
      <formula>$I14&lt;0</formula>
    </cfRule>
  </conditionalFormatting>
  <conditionalFormatting sqref="H5:H12">
    <cfRule type="expression" dxfId="144" priority="109">
      <formula>H5&gt;0</formula>
    </cfRule>
  </conditionalFormatting>
  <conditionalFormatting sqref="H5:H12">
    <cfRule type="expression" dxfId="143" priority="110">
      <formula>H5&lt;0</formula>
    </cfRule>
  </conditionalFormatting>
  <conditionalFormatting sqref="K14:K16 K18:K20 K22:K24 K26:K28 K30:K32 K34:K36 K38:K40 K42:K44 K46:K48 K50:K52">
    <cfRule type="expression" dxfId="142" priority="105">
      <formula>$I14&gt;0</formula>
    </cfRule>
  </conditionalFormatting>
  <conditionalFormatting sqref="K14:K16 K18:K20 K22:K24 K26:K28 K30:K32 K34:K36 K38:K40 K42:K44 K46:K48 K50:K52">
    <cfRule type="expression" dxfId="141" priority="106">
      <formula>$I14&lt;0</formula>
    </cfRule>
  </conditionalFormatting>
  <conditionalFormatting sqref="K5:K8 K10:K12">
    <cfRule type="expression" dxfId="140" priority="103">
      <formula>$I5&gt;0</formula>
    </cfRule>
  </conditionalFormatting>
  <conditionalFormatting sqref="K5:K8 K10:K12">
    <cfRule type="expression" dxfId="139" priority="104">
      <formula>$I5&lt;0</formula>
    </cfRule>
  </conditionalFormatting>
  <conditionalFormatting sqref="K13">
    <cfRule type="expression" dxfId="138" priority="81">
      <formula>$I13&gt;0</formula>
    </cfRule>
  </conditionalFormatting>
  <conditionalFormatting sqref="K13">
    <cfRule type="expression" dxfId="137" priority="82">
      <formula>$I13&lt;0</formula>
    </cfRule>
  </conditionalFormatting>
  <conditionalFormatting sqref="K17">
    <cfRule type="expression" dxfId="136" priority="79">
      <formula>$I17&gt;0</formula>
    </cfRule>
  </conditionalFormatting>
  <conditionalFormatting sqref="K17">
    <cfRule type="expression" dxfId="135" priority="80">
      <formula>$I17&lt;0</formula>
    </cfRule>
  </conditionalFormatting>
  <conditionalFormatting sqref="K21">
    <cfRule type="expression" dxfId="134" priority="77">
      <formula>$I21&gt;0</formula>
    </cfRule>
  </conditionalFormatting>
  <conditionalFormatting sqref="K21">
    <cfRule type="expression" dxfId="133" priority="78">
      <formula>$I21&lt;0</formula>
    </cfRule>
  </conditionalFormatting>
  <conditionalFormatting sqref="K33">
    <cfRule type="expression" dxfId="132" priority="71">
      <formula>$I33&gt;0</formula>
    </cfRule>
  </conditionalFormatting>
  <conditionalFormatting sqref="K33">
    <cfRule type="expression" dxfId="131" priority="72">
      <formula>$I33&lt;0</formula>
    </cfRule>
  </conditionalFormatting>
  <conditionalFormatting sqref="K49">
    <cfRule type="expression" dxfId="130" priority="63">
      <formula>$I49&gt;0</formula>
    </cfRule>
  </conditionalFormatting>
  <conditionalFormatting sqref="K49">
    <cfRule type="expression" dxfId="129" priority="64">
      <formula>$I49&lt;0</formula>
    </cfRule>
  </conditionalFormatting>
  <conditionalFormatting sqref="J13">
    <cfRule type="expression" dxfId="128" priority="61">
      <formula>$I13&gt;0</formula>
    </cfRule>
  </conditionalFormatting>
  <conditionalFormatting sqref="J13">
    <cfRule type="expression" dxfId="127" priority="62">
      <formula>$I13&lt;0</formula>
    </cfRule>
  </conditionalFormatting>
  <conditionalFormatting sqref="J17">
    <cfRule type="expression" dxfId="126" priority="59">
      <formula>$I17&gt;0</formula>
    </cfRule>
  </conditionalFormatting>
  <conditionalFormatting sqref="J17">
    <cfRule type="expression" dxfId="125" priority="60">
      <formula>$I17&lt;0</formula>
    </cfRule>
  </conditionalFormatting>
  <conditionalFormatting sqref="J21">
    <cfRule type="expression" dxfId="124" priority="57">
      <formula>$I21&gt;0</formula>
    </cfRule>
  </conditionalFormatting>
  <conditionalFormatting sqref="J21">
    <cfRule type="expression" dxfId="123" priority="58">
      <formula>$I21&lt;0</formula>
    </cfRule>
  </conditionalFormatting>
  <conditionalFormatting sqref="J33">
    <cfRule type="expression" dxfId="122" priority="51">
      <formula>$I33&gt;0</formula>
    </cfRule>
  </conditionalFormatting>
  <conditionalFormatting sqref="J33">
    <cfRule type="expression" dxfId="121" priority="52">
      <formula>$I33&lt;0</formula>
    </cfRule>
  </conditionalFormatting>
  <conditionalFormatting sqref="J49">
    <cfRule type="expression" dxfId="120" priority="44">
      <formula>$I49&gt;0</formula>
    </cfRule>
  </conditionalFormatting>
  <conditionalFormatting sqref="J49">
    <cfRule type="expression" dxfId="119" priority="177">
      <formula>$I49&lt;0</formula>
    </cfRule>
  </conditionalFormatting>
  <conditionalFormatting sqref="H13">
    <cfRule type="expression" dxfId="118" priority="39">
      <formula>H13&gt;0</formula>
    </cfRule>
  </conditionalFormatting>
  <conditionalFormatting sqref="H13">
    <cfRule type="expression" dxfId="117" priority="40">
      <formula>H13&lt;0</formula>
    </cfRule>
  </conditionalFormatting>
  <conditionalFormatting sqref="K25">
    <cfRule type="expression" dxfId="116" priority="35">
      <formula>K25&gt;0</formula>
    </cfRule>
  </conditionalFormatting>
  <conditionalFormatting sqref="K25">
    <cfRule type="expression" dxfId="115" priority="36">
      <formula>K25&lt;0</formula>
    </cfRule>
  </conditionalFormatting>
  <conditionalFormatting sqref="K9">
    <cfRule type="expression" dxfId="114" priority="33">
      <formula>K9&gt;0</formula>
    </cfRule>
  </conditionalFormatting>
  <conditionalFormatting sqref="K9">
    <cfRule type="expression" dxfId="113" priority="34">
      <formula>K9&lt;0</formula>
    </cfRule>
  </conditionalFormatting>
  <conditionalFormatting sqref="J9">
    <cfRule type="expression" dxfId="112" priority="31">
      <formula>J9&gt;0</formula>
    </cfRule>
  </conditionalFormatting>
  <conditionalFormatting sqref="J9">
    <cfRule type="expression" dxfId="111" priority="32">
      <formula>J9&lt;0</formula>
    </cfRule>
  </conditionalFormatting>
  <conditionalFormatting sqref="J25">
    <cfRule type="expression" dxfId="110" priority="29">
      <formula>J25&gt;0</formula>
    </cfRule>
  </conditionalFormatting>
  <conditionalFormatting sqref="J25">
    <cfRule type="expression" dxfId="109" priority="30">
      <formula>J25&lt;0</formula>
    </cfRule>
  </conditionalFormatting>
  <conditionalFormatting sqref="J29">
    <cfRule type="expression" dxfId="108" priority="27">
      <formula>J29&gt;0</formula>
    </cfRule>
  </conditionalFormatting>
  <conditionalFormatting sqref="J29">
    <cfRule type="expression" dxfId="107" priority="28">
      <formula>J29&lt;0</formula>
    </cfRule>
  </conditionalFormatting>
  <conditionalFormatting sqref="H41">
    <cfRule type="expression" dxfId="106" priority="25">
      <formula>H41&gt;0</formula>
    </cfRule>
  </conditionalFormatting>
  <conditionalFormatting sqref="H41">
    <cfRule type="expression" dxfId="105" priority="26">
      <formula>H41&lt;0</formula>
    </cfRule>
  </conditionalFormatting>
  <conditionalFormatting sqref="H45">
    <cfRule type="expression" dxfId="104" priority="23">
      <formula>H45&gt;0</formula>
    </cfRule>
  </conditionalFormatting>
  <conditionalFormatting sqref="H45">
    <cfRule type="expression" dxfId="103" priority="24">
      <formula>H45&lt;0</formula>
    </cfRule>
  </conditionalFormatting>
  <conditionalFormatting sqref="H25">
    <cfRule type="expression" dxfId="102" priority="21">
      <formula>H25&gt;0</formula>
    </cfRule>
  </conditionalFormatting>
  <conditionalFormatting sqref="H25">
    <cfRule type="expression" dxfId="101" priority="22">
      <formula>H25&lt;0</formula>
    </cfRule>
  </conditionalFormatting>
  <conditionalFormatting sqref="H49">
    <cfRule type="expression" dxfId="100" priority="19">
      <formula>H49&gt;0</formula>
    </cfRule>
  </conditionalFormatting>
  <conditionalFormatting sqref="H49">
    <cfRule type="expression" dxfId="99" priority="20">
      <formula>H49&lt;0</formula>
    </cfRule>
  </conditionalFormatting>
  <conditionalFormatting sqref="I49">
    <cfRule type="expression" dxfId="98" priority="17">
      <formula>I49&gt;0</formula>
    </cfRule>
  </conditionalFormatting>
  <conditionalFormatting sqref="I49">
    <cfRule type="expression" dxfId="97" priority="18">
      <formula>I49&lt;0</formula>
    </cfRule>
  </conditionalFormatting>
  <conditionalFormatting sqref="K45">
    <cfRule type="expression" dxfId="96" priority="15">
      <formula>K45&gt;0</formula>
    </cfRule>
  </conditionalFormatting>
  <conditionalFormatting sqref="K45">
    <cfRule type="expression" dxfId="95" priority="16">
      <formula>K45&lt;0</formula>
    </cfRule>
  </conditionalFormatting>
  <conditionalFormatting sqref="J45">
    <cfRule type="expression" dxfId="94" priority="13">
      <formula>J45&gt;0</formula>
    </cfRule>
  </conditionalFormatting>
  <conditionalFormatting sqref="J45">
    <cfRule type="expression" dxfId="93" priority="14">
      <formula>J45&lt;0</formula>
    </cfRule>
  </conditionalFormatting>
  <conditionalFormatting sqref="J42">
    <cfRule type="expression" dxfId="92" priority="11">
      <formula>J42&gt;0</formula>
    </cfRule>
  </conditionalFormatting>
  <conditionalFormatting sqref="J42">
    <cfRule type="expression" dxfId="91" priority="12">
      <formula>J42&lt;0</formula>
    </cfRule>
  </conditionalFormatting>
  <conditionalFormatting sqref="J41">
    <cfRule type="expression" dxfId="90" priority="9">
      <formula>J41&gt;0</formula>
    </cfRule>
  </conditionalFormatting>
  <conditionalFormatting sqref="J41">
    <cfRule type="expression" dxfId="89" priority="10">
      <formula>J41&lt;0</formula>
    </cfRule>
  </conditionalFormatting>
  <conditionalFormatting sqref="J37">
    <cfRule type="expression" dxfId="88" priority="7">
      <formula>J37&gt;0</formula>
    </cfRule>
  </conditionalFormatting>
  <conditionalFormatting sqref="J37">
    <cfRule type="expression" dxfId="87" priority="8">
      <formula>J37&lt;0</formula>
    </cfRule>
  </conditionalFormatting>
  <conditionalFormatting sqref="K37">
    <cfRule type="expression" dxfId="86" priority="5">
      <formula>K37&gt;0</formula>
    </cfRule>
  </conditionalFormatting>
  <conditionalFormatting sqref="K37">
    <cfRule type="expression" dxfId="85" priority="6">
      <formula>K37&lt;0</formula>
    </cfRule>
  </conditionalFormatting>
  <conditionalFormatting sqref="K41">
    <cfRule type="expression" dxfId="84" priority="3">
      <formula>K41&gt;0</formula>
    </cfRule>
  </conditionalFormatting>
  <conditionalFormatting sqref="K41">
    <cfRule type="expression" dxfId="83" priority="4">
      <formula>K41&lt;0</formula>
    </cfRule>
  </conditionalFormatting>
  <conditionalFormatting sqref="K29">
    <cfRule type="expression" dxfId="82" priority="1">
      <formula>K29&gt;0</formula>
    </cfRule>
  </conditionalFormatting>
  <conditionalFormatting sqref="K29">
    <cfRule type="expression" dxfId="81" priority="2">
      <formula>K29&lt;0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zoomScale="85" zoomScaleNormal="85" workbookViewId="0">
      <selection activeCell="B13" sqref="B13"/>
    </sheetView>
  </sheetViews>
  <sheetFormatPr baseColWidth="10" defaultColWidth="12.625" defaultRowHeight="15" customHeight="1" x14ac:dyDescent="0.2"/>
  <cols>
    <col min="1" max="1" width="11" customWidth="1"/>
    <col min="2" max="2" width="23.5" customWidth="1"/>
    <col min="3" max="3" width="22.875" customWidth="1"/>
    <col min="4" max="4" width="8" customWidth="1"/>
    <col min="5" max="5" width="10.875" bestFit="1" customWidth="1"/>
    <col min="6" max="6" width="12.375" bestFit="1" customWidth="1"/>
    <col min="7" max="7" width="17.875" customWidth="1"/>
    <col min="8" max="8" width="12.75" customWidth="1"/>
    <col min="9" max="26" width="7.625" customWidth="1"/>
  </cols>
  <sheetData>
    <row r="1" spans="1:8" ht="14.25" customHeight="1" x14ac:dyDescent="0.2"/>
    <row r="2" spans="1:8" ht="14.25" customHeight="1" x14ac:dyDescent="0.25">
      <c r="B2" s="299" t="s">
        <v>0</v>
      </c>
      <c r="C2" s="300"/>
      <c r="D2" s="301"/>
      <c r="G2" s="1" t="s">
        <v>1</v>
      </c>
      <c r="H2" s="2">
        <v>2.7</v>
      </c>
    </row>
    <row r="3" spans="1:8" ht="14.25" customHeight="1" x14ac:dyDescent="0.2"/>
    <row r="4" spans="1:8" ht="14.25" customHeight="1" x14ac:dyDescent="0.25">
      <c r="B4" s="30" t="s">
        <v>2</v>
      </c>
      <c r="C4" s="30" t="s">
        <v>3</v>
      </c>
      <c r="D4" s="30" t="s">
        <v>4</v>
      </c>
      <c r="E4" s="30" t="s">
        <v>5</v>
      </c>
      <c r="F4" s="30" t="s">
        <v>6</v>
      </c>
      <c r="G4" s="30" t="s">
        <v>7</v>
      </c>
      <c r="H4" s="30" t="s">
        <v>8</v>
      </c>
    </row>
    <row r="5" spans="1:8" ht="15" customHeight="1" x14ac:dyDescent="0.25">
      <c r="A5" s="40" t="s">
        <v>151</v>
      </c>
      <c r="B5" s="31" t="s">
        <v>152</v>
      </c>
      <c r="C5" s="37" t="s">
        <v>153</v>
      </c>
      <c r="D5" s="5">
        <v>2</v>
      </c>
      <c r="E5" s="6">
        <f>VLOOKUP(C5,Data!$A$4:$B$363,2,FALSE)</f>
        <v>33200</v>
      </c>
      <c r="F5" s="7">
        <f>SUM(E5*D5+E6*D6+E7*D7+E8*D8)</f>
        <v>101107</v>
      </c>
      <c r="G5" s="7">
        <f>VLOOKUP(B5,Data!$A$4:$B$363,2,FALSE)</f>
        <v>49800</v>
      </c>
      <c r="H5" s="8">
        <f>G5*0.85*$H$2-F5</f>
        <v>13184.000000000015</v>
      </c>
    </row>
    <row r="6" spans="1:8" ht="14.25" customHeight="1" x14ac:dyDescent="0.25">
      <c r="A6" s="38"/>
      <c r="B6" s="32"/>
      <c r="C6" s="10" t="s">
        <v>77</v>
      </c>
      <c r="D6" s="10">
        <v>3</v>
      </c>
      <c r="E6" s="11">
        <f>VLOOKUP(C6,Data!$A$4:$B$363,2,FALSE)</f>
        <v>229</v>
      </c>
      <c r="F6" s="12"/>
      <c r="G6" s="12"/>
      <c r="H6" s="13"/>
    </row>
    <row r="7" spans="1:8" ht="14.25" customHeight="1" x14ac:dyDescent="0.25">
      <c r="A7" s="38"/>
      <c r="B7" s="32"/>
      <c r="C7" s="10" t="s">
        <v>68</v>
      </c>
      <c r="D7" s="10">
        <v>4</v>
      </c>
      <c r="E7" s="11">
        <f>VLOOKUP(C7,Data!$A$4:$B$363,2,FALSE)</f>
        <v>7500</v>
      </c>
      <c r="F7" s="12"/>
      <c r="G7" s="12"/>
      <c r="H7" s="13"/>
    </row>
    <row r="8" spans="1:8" ht="14.25" customHeight="1" x14ac:dyDescent="0.25">
      <c r="A8" s="38"/>
      <c r="B8" s="32"/>
      <c r="C8" s="10" t="s">
        <v>44</v>
      </c>
      <c r="D8" s="10">
        <v>2</v>
      </c>
      <c r="E8" s="11">
        <f>VLOOKUP(C8,Data!$A$4:$B$363,2,FALSE)</f>
        <v>2010</v>
      </c>
      <c r="F8" s="12"/>
      <c r="G8" s="12"/>
      <c r="H8" s="13"/>
    </row>
    <row r="9" spans="1:8" ht="14.25" customHeight="1" x14ac:dyDescent="0.25">
      <c r="A9" s="38"/>
      <c r="B9" s="14" t="s">
        <v>154</v>
      </c>
      <c r="C9" s="18" t="s">
        <v>35</v>
      </c>
      <c r="D9" s="14">
        <v>2</v>
      </c>
      <c r="E9" s="15">
        <f>VLOOKUP(C9,Data!$A$4:$B$363,2,FALSE)</f>
        <v>138000</v>
      </c>
      <c r="F9" s="17">
        <f>SUM(E9*D9+E10*D10+E11*D11+E12*D12)</f>
        <v>487640</v>
      </c>
      <c r="G9" s="17">
        <f>VLOOKUP(B9,Data!$A$4:$B$363,2,FALSE)</f>
        <v>264000</v>
      </c>
      <c r="H9" s="33">
        <f>G9*0.85*$H$2-F9</f>
        <v>118240</v>
      </c>
    </row>
    <row r="10" spans="1:8" ht="14.25" customHeight="1" x14ac:dyDescent="0.25">
      <c r="A10" s="38"/>
      <c r="B10" s="14"/>
      <c r="C10" s="14" t="s">
        <v>75</v>
      </c>
      <c r="D10" s="14">
        <v>3</v>
      </c>
      <c r="E10" s="15">
        <f>VLOOKUP(C10,Data!$A$4:$B$363,2,FALSE)</f>
        <v>680</v>
      </c>
      <c r="F10" s="17"/>
      <c r="G10" s="17"/>
      <c r="H10" s="33"/>
    </row>
    <row r="11" spans="1:8" ht="14.25" customHeight="1" x14ac:dyDescent="0.25">
      <c r="A11" s="38"/>
      <c r="B11" s="14"/>
      <c r="C11" s="14" t="s">
        <v>65</v>
      </c>
      <c r="D11" s="14">
        <v>4</v>
      </c>
      <c r="E11" s="15">
        <f>VLOOKUP(C11,Data!$A$4:$B$363,2,FALSE)</f>
        <v>6150</v>
      </c>
      <c r="F11" s="17"/>
      <c r="G11" s="17"/>
      <c r="H11" s="33"/>
    </row>
    <row r="12" spans="1:8" ht="14.25" customHeight="1" x14ac:dyDescent="0.25">
      <c r="A12" s="38"/>
      <c r="B12" s="14"/>
      <c r="C12" s="18" t="s">
        <v>21</v>
      </c>
      <c r="D12" s="14">
        <v>2</v>
      </c>
      <c r="E12" s="15">
        <f>VLOOKUP(C12,Data!$A$4:$B$363,2,FALSE)</f>
        <v>92500</v>
      </c>
      <c r="F12" s="17"/>
      <c r="G12" s="17"/>
      <c r="H12" s="33"/>
    </row>
    <row r="13" spans="1:8" ht="14.25" customHeight="1" x14ac:dyDescent="0.25">
      <c r="A13" s="38"/>
      <c r="B13" s="10" t="s">
        <v>155</v>
      </c>
      <c r="C13" s="18" t="s">
        <v>156</v>
      </c>
      <c r="D13" s="10">
        <v>2</v>
      </c>
      <c r="E13" s="11">
        <f>VLOOKUP(C13,Data!$A$4:$B$363,2,FALSE)</f>
        <v>138000</v>
      </c>
      <c r="F13" s="12">
        <f>SUM(E13*D13+E14*D14+E15*D15+E16*D16)</f>
        <v>477045</v>
      </c>
      <c r="G13" s="12">
        <f>VLOOKUP(B13,Data!$A$4:$B$363,2,FALSE)</f>
        <v>212000</v>
      </c>
      <c r="H13" s="13">
        <f>G13*0.85*$H$2-F13</f>
        <v>9495.0000000000582</v>
      </c>
    </row>
    <row r="14" spans="1:8" ht="14.25" customHeight="1" x14ac:dyDescent="0.25">
      <c r="A14" s="38"/>
      <c r="B14" s="10"/>
      <c r="C14" s="10" t="s">
        <v>70</v>
      </c>
      <c r="D14" s="10">
        <v>3</v>
      </c>
      <c r="E14" s="11">
        <f>VLOOKUP(C14,Data!$A$4:$B$363,2,FALSE)</f>
        <v>815</v>
      </c>
      <c r="F14" s="12"/>
      <c r="G14" s="12"/>
      <c r="H14" s="13"/>
    </row>
    <row r="15" spans="1:8" ht="14.25" customHeight="1" x14ac:dyDescent="0.25">
      <c r="A15" s="38"/>
      <c r="B15" s="10"/>
      <c r="C15" s="10" t="s">
        <v>71</v>
      </c>
      <c r="D15" s="10">
        <v>4</v>
      </c>
      <c r="E15" s="11">
        <f>VLOOKUP(C15,Data!$A$4:$B$363,2,FALSE)</f>
        <v>3400</v>
      </c>
      <c r="F15" s="12"/>
      <c r="G15" s="12"/>
      <c r="H15" s="13"/>
    </row>
    <row r="16" spans="1:8" ht="14.25" customHeight="1" x14ac:dyDescent="0.25">
      <c r="A16" s="38"/>
      <c r="B16" s="10"/>
      <c r="C16" s="18" t="s">
        <v>21</v>
      </c>
      <c r="D16" s="10">
        <v>2</v>
      </c>
      <c r="E16" s="11">
        <f>VLOOKUP(C16,Data!$A$4:$B$363,2,FALSE)</f>
        <v>92500</v>
      </c>
      <c r="F16" s="12"/>
      <c r="G16" s="12"/>
      <c r="H16" s="13"/>
    </row>
    <row r="17" spans="1:8" ht="14.25" customHeight="1" x14ac:dyDescent="0.25">
      <c r="A17" s="38"/>
      <c r="B17" s="14" t="s">
        <v>157</v>
      </c>
      <c r="C17" s="18" t="s">
        <v>43</v>
      </c>
      <c r="D17" s="14">
        <v>2</v>
      </c>
      <c r="E17" s="15">
        <f>VLOOKUP(C17,Data!$A$4:$B$363,2,FALSE)</f>
        <v>138000</v>
      </c>
      <c r="F17" s="17">
        <f>SUM(E17*D17+E18*D18+E19*D19+E20*D20)</f>
        <v>493250</v>
      </c>
      <c r="G17" s="17">
        <f>VLOOKUP(B17,Data!$A$4:$B$363,2,FALSE)</f>
        <v>249000</v>
      </c>
      <c r="H17" s="33">
        <f>G17*0.85*$H$2-F17</f>
        <v>78205</v>
      </c>
    </row>
    <row r="18" spans="1:8" ht="14.25" customHeight="1" x14ac:dyDescent="0.25">
      <c r="A18" s="38"/>
      <c r="B18" s="14"/>
      <c r="C18" s="14" t="s">
        <v>67</v>
      </c>
      <c r="D18" s="14">
        <v>3</v>
      </c>
      <c r="E18" s="15">
        <f>VLOOKUP(C18,Data!$A$4:$B$363,2,FALSE)</f>
        <v>750</v>
      </c>
      <c r="F18" s="17"/>
      <c r="G18" s="17"/>
      <c r="H18" s="33"/>
    </row>
    <row r="19" spans="1:8" ht="14.25" customHeight="1" x14ac:dyDescent="0.25">
      <c r="A19" s="38"/>
      <c r="B19" s="14"/>
      <c r="C19" s="14" t="s">
        <v>68</v>
      </c>
      <c r="D19" s="14">
        <v>4</v>
      </c>
      <c r="E19" s="15">
        <f>VLOOKUP(C19,Data!$A$4:$B$363,2,FALSE)</f>
        <v>7500</v>
      </c>
      <c r="F19" s="17"/>
      <c r="G19" s="17"/>
      <c r="H19" s="33"/>
    </row>
    <row r="20" spans="1:8" ht="14.25" customHeight="1" x14ac:dyDescent="0.25">
      <c r="A20" s="38"/>
      <c r="B20" s="14"/>
      <c r="C20" s="18" t="s">
        <v>121</v>
      </c>
      <c r="D20" s="14">
        <v>2</v>
      </c>
      <c r="E20" s="15">
        <f>VLOOKUP(C20,Data!$A$4:$B$363,2,FALSE)</f>
        <v>92500</v>
      </c>
      <c r="F20" s="17"/>
      <c r="G20" s="17"/>
      <c r="H20" s="33"/>
    </row>
    <row r="21" spans="1:8" ht="14.25" customHeight="1" x14ac:dyDescent="0.25">
      <c r="A21" s="38"/>
      <c r="B21" s="10" t="s">
        <v>158</v>
      </c>
      <c r="C21" s="18" t="s">
        <v>159</v>
      </c>
      <c r="D21" s="10">
        <v>2</v>
      </c>
      <c r="E21" s="11">
        <f>VLOOKUP(C21,Data!$A$4:$B$363,2,FALSE)</f>
        <v>138000</v>
      </c>
      <c r="F21" s="12">
        <f>SUM(E21*D21+E22*D22+E23*D23+E24*D24)</f>
        <v>495690</v>
      </c>
      <c r="G21" s="12">
        <f>VLOOKUP(B21,Data!$A$4:$B$363,2,FALSE)</f>
        <v>183000</v>
      </c>
      <c r="H21" s="13">
        <f>G21*0.85*$H$2-F21</f>
        <v>-75705</v>
      </c>
    </row>
    <row r="22" spans="1:8" ht="14.25" customHeight="1" x14ac:dyDescent="0.25">
      <c r="A22" s="38"/>
      <c r="B22" s="10"/>
      <c r="C22" s="10" t="s">
        <v>60</v>
      </c>
      <c r="D22" s="10">
        <v>3</v>
      </c>
      <c r="E22" s="11">
        <f>VLOOKUP(C22,Data!$A$4:$B$363,2,FALSE)</f>
        <v>830</v>
      </c>
      <c r="F22" s="12"/>
      <c r="G22" s="12"/>
      <c r="H22" s="13"/>
    </row>
    <row r="23" spans="1:8" ht="14.25" customHeight="1" x14ac:dyDescent="0.25">
      <c r="A23" s="38"/>
      <c r="B23" s="10"/>
      <c r="C23" s="10" t="s">
        <v>55</v>
      </c>
      <c r="D23" s="10">
        <v>4</v>
      </c>
      <c r="E23" s="11">
        <f>VLOOKUP(C23,Data!$A$4:$B$363,2,FALSE)</f>
        <v>8050</v>
      </c>
      <c r="F23" s="12"/>
      <c r="G23" s="12"/>
      <c r="H23" s="13"/>
    </row>
    <row r="24" spans="1:8" ht="14.25" customHeight="1" x14ac:dyDescent="0.25">
      <c r="A24" s="38"/>
      <c r="B24" s="10"/>
      <c r="C24" s="18" t="s">
        <v>121</v>
      </c>
      <c r="D24" s="10">
        <v>2</v>
      </c>
      <c r="E24" s="11">
        <f>VLOOKUP(C24,Data!$A$4:$B$363,2,FALSE)</f>
        <v>92500</v>
      </c>
      <c r="F24" s="12"/>
      <c r="G24" s="12"/>
      <c r="H24" s="13"/>
    </row>
    <row r="25" spans="1:8" ht="14.25" customHeight="1" x14ac:dyDescent="0.25">
      <c r="A25" s="38"/>
      <c r="B25" s="14" t="s">
        <v>160</v>
      </c>
      <c r="C25" s="14" t="s">
        <v>161</v>
      </c>
      <c r="D25" s="14">
        <v>2</v>
      </c>
      <c r="E25" s="15">
        <f>VLOOKUP(C25,Data!$A$4:$B$363,2,FALSE)</f>
        <v>13800</v>
      </c>
      <c r="F25" s="17">
        <f>SUM(E25*D25+E26*D26+E27*D27+E28*D28)</f>
        <v>70750</v>
      </c>
      <c r="G25" s="17">
        <f>VLOOKUP(B25,Data!$A$4:$B$363,2,FALSE)</f>
        <v>35200</v>
      </c>
      <c r="H25" s="33">
        <f>G25*0.85*$H$2-F25</f>
        <v>10034</v>
      </c>
    </row>
    <row r="26" spans="1:8" ht="14.25" customHeight="1" x14ac:dyDescent="0.25">
      <c r="A26" s="38"/>
      <c r="B26" s="14"/>
      <c r="C26" s="14" t="s">
        <v>83</v>
      </c>
      <c r="D26" s="14">
        <v>3</v>
      </c>
      <c r="E26" s="15">
        <f>VLOOKUP(C26,Data!$A$4:$B$363,2,FALSE)</f>
        <v>450</v>
      </c>
      <c r="F26" s="17"/>
      <c r="G26" s="17"/>
      <c r="H26" s="33"/>
    </row>
    <row r="27" spans="1:8" ht="14.25" customHeight="1" x14ac:dyDescent="0.25">
      <c r="A27" s="38"/>
      <c r="B27" s="14"/>
      <c r="C27" s="18" t="s">
        <v>65</v>
      </c>
      <c r="D27" s="14">
        <v>4</v>
      </c>
      <c r="E27" s="15">
        <f>VLOOKUP(C27,Data!$A$4:$B$363,2,FALSE)</f>
        <v>6150</v>
      </c>
      <c r="F27" s="17"/>
      <c r="G27" s="17"/>
      <c r="H27" s="33"/>
    </row>
    <row r="28" spans="1:8" ht="14.25" customHeight="1" x14ac:dyDescent="0.25">
      <c r="A28" s="38"/>
      <c r="B28" s="14"/>
      <c r="C28" s="14" t="s">
        <v>12</v>
      </c>
      <c r="D28" s="14">
        <v>2</v>
      </c>
      <c r="E28" s="15">
        <f>VLOOKUP(C28,Data!$A$4:$B$363,2,FALSE)</f>
        <v>8600</v>
      </c>
      <c r="F28" s="17"/>
      <c r="G28" s="17"/>
      <c r="H28" s="33"/>
    </row>
    <row r="29" spans="1:8" ht="14.25" customHeight="1" x14ac:dyDescent="0.25">
      <c r="A29" s="38"/>
      <c r="B29" s="10" t="s">
        <v>162</v>
      </c>
      <c r="C29" s="10" t="s">
        <v>163</v>
      </c>
      <c r="D29" s="10">
        <v>2</v>
      </c>
      <c r="E29" s="11">
        <f>VLOOKUP(C29,Data!$A$4:$B$363,2,FALSE)</f>
        <v>138000</v>
      </c>
      <c r="F29" s="12">
        <f>SUM(E29*D29+E30*D30+E31*D31+E32*D32)</f>
        <v>307934</v>
      </c>
      <c r="G29" s="12">
        <f>VLOOKUP(B29,Data!$A$4:$B$363,2,FALSE)</f>
        <v>163000</v>
      </c>
      <c r="H29" s="13">
        <f>G29*0.85*$H$2-F29</f>
        <v>66151</v>
      </c>
    </row>
    <row r="30" spans="1:8" ht="14.25" customHeight="1" x14ac:dyDescent="0.25">
      <c r="A30" s="38"/>
      <c r="B30" s="10"/>
      <c r="C30" s="10" t="s">
        <v>164</v>
      </c>
      <c r="D30" s="10">
        <v>3</v>
      </c>
      <c r="E30" s="11">
        <f>VLOOKUP(C30,Data!$A$4:$B$363,2,FALSE)</f>
        <v>378</v>
      </c>
      <c r="F30" s="12"/>
      <c r="G30" s="12"/>
      <c r="H30" s="13"/>
    </row>
    <row r="31" spans="1:8" ht="14.25" customHeight="1" x14ac:dyDescent="0.25">
      <c r="A31" s="38"/>
      <c r="B31" s="10"/>
      <c r="C31" s="18" t="s">
        <v>71</v>
      </c>
      <c r="D31" s="10">
        <v>4</v>
      </c>
      <c r="E31" s="11">
        <f>VLOOKUP(C31,Data!$A$4:$B$363,2,FALSE)</f>
        <v>3400</v>
      </c>
      <c r="F31" s="12"/>
      <c r="G31" s="12"/>
      <c r="H31" s="13"/>
    </row>
    <row r="32" spans="1:8" ht="14.25" customHeight="1" x14ac:dyDescent="0.25">
      <c r="A32" s="38"/>
      <c r="B32" s="10"/>
      <c r="C32" s="18" t="s">
        <v>12</v>
      </c>
      <c r="D32" s="10">
        <v>2</v>
      </c>
      <c r="E32" s="11">
        <f>VLOOKUP(C32,Data!$A$4:$B$363,2,FALSE)</f>
        <v>8600</v>
      </c>
      <c r="F32" s="12"/>
      <c r="G32" s="12"/>
      <c r="H32" s="13"/>
    </row>
    <row r="33" spans="1:8" ht="14.25" customHeight="1" x14ac:dyDescent="0.25">
      <c r="A33" s="38"/>
      <c r="B33" s="14" t="s">
        <v>165</v>
      </c>
      <c r="C33" s="14" t="s">
        <v>166</v>
      </c>
      <c r="D33" s="14">
        <v>2</v>
      </c>
      <c r="E33" s="15">
        <f>VLOOKUP(C33,Data!$A$4:$B$363,2,FALSE)</f>
        <v>31200</v>
      </c>
      <c r="F33" s="17">
        <f>SUM(E33*D33+E34*D34+E35*D35+E36*D36)</f>
        <v>99271</v>
      </c>
      <c r="G33" s="17">
        <f>VLOOKUP(B33,Data!$A$4:$B$363,2,FALSE)</f>
        <v>36700</v>
      </c>
      <c r="H33" s="33">
        <f>G33*0.85*$H$2-F33</f>
        <v>-15044.5</v>
      </c>
    </row>
    <row r="34" spans="1:8" ht="14.25" customHeight="1" x14ac:dyDescent="0.25">
      <c r="A34" s="38"/>
      <c r="B34" s="14"/>
      <c r="C34" s="14" t="s">
        <v>64</v>
      </c>
      <c r="D34" s="14">
        <v>3</v>
      </c>
      <c r="E34" s="15">
        <f>VLOOKUP(C34,Data!$A$4:$B$363,2,FALSE)</f>
        <v>217</v>
      </c>
      <c r="F34" s="17"/>
      <c r="G34" s="17"/>
      <c r="H34" s="33"/>
    </row>
    <row r="35" spans="1:8" ht="14.25" customHeight="1" x14ac:dyDescent="0.25">
      <c r="A35" s="38"/>
      <c r="B35" s="14"/>
      <c r="C35" s="18" t="s">
        <v>55</v>
      </c>
      <c r="D35" s="14">
        <v>4</v>
      </c>
      <c r="E35" s="15">
        <f>VLOOKUP(C35,Data!$A$4:$B$363,2,FALSE)</f>
        <v>8050</v>
      </c>
      <c r="F35" s="17"/>
      <c r="G35" s="17"/>
      <c r="H35" s="33"/>
    </row>
    <row r="36" spans="1:8" ht="14.25" customHeight="1" x14ac:dyDescent="0.25">
      <c r="A36" s="38"/>
      <c r="B36" s="14"/>
      <c r="C36" s="14" t="s">
        <v>44</v>
      </c>
      <c r="D36" s="14">
        <v>2</v>
      </c>
      <c r="E36" s="15">
        <f>VLOOKUP(C36,Data!$A$4:$B$363,2,FALSE)</f>
        <v>2010</v>
      </c>
      <c r="F36" s="17"/>
      <c r="G36" s="17"/>
      <c r="H36" s="33"/>
    </row>
    <row r="37" spans="1:8" ht="14.25" customHeight="1" x14ac:dyDescent="0.2"/>
    <row r="38" spans="1:8" ht="14.25" customHeight="1" x14ac:dyDescent="0.2"/>
    <row r="39" spans="1:8" ht="14.25" customHeight="1" x14ac:dyDescent="0.2"/>
    <row r="40" spans="1:8" ht="14.25" customHeight="1" x14ac:dyDescent="0.2"/>
    <row r="41" spans="1:8" ht="14.25" customHeight="1" x14ac:dyDescent="0.2"/>
    <row r="42" spans="1:8" ht="14.25" customHeight="1" x14ac:dyDescent="0.2"/>
    <row r="43" spans="1:8" ht="14.25" customHeight="1" x14ac:dyDescent="0.2"/>
    <row r="44" spans="1:8" ht="14.25" customHeight="1" x14ac:dyDescent="0.2"/>
    <row r="45" spans="1:8" ht="14.25" customHeight="1" x14ac:dyDescent="0.2"/>
    <row r="46" spans="1:8" ht="14.25" customHeight="1" x14ac:dyDescent="0.2"/>
    <row r="47" spans="1:8" ht="14.25" customHeight="1" x14ac:dyDescent="0.2"/>
    <row r="48" spans="1: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4:H36" xr:uid="{00000000-0009-0000-0000-000003000000}"/>
  <mergeCells count="1">
    <mergeCell ref="B2:D2"/>
  </mergeCells>
  <conditionalFormatting sqref="H5:H12 H29:H32">
    <cfRule type="expression" dxfId="80" priority="1">
      <formula>$H5&gt;0</formula>
    </cfRule>
  </conditionalFormatting>
  <conditionalFormatting sqref="H5:H12 H29:H32">
    <cfRule type="expression" dxfId="79" priority="2">
      <formula>$H5&lt;0</formula>
    </cfRule>
  </conditionalFormatting>
  <conditionalFormatting sqref="H33:H36">
    <cfRule type="expression" dxfId="78" priority="3">
      <formula>$H33&gt;0</formula>
    </cfRule>
  </conditionalFormatting>
  <conditionalFormatting sqref="H33:H36">
    <cfRule type="expression" dxfId="77" priority="4">
      <formula>$H33&lt;0</formula>
    </cfRule>
  </conditionalFormatting>
  <conditionalFormatting sqref="H21:H24">
    <cfRule type="expression" dxfId="76" priority="5">
      <formula>$H21&gt;0</formula>
    </cfRule>
  </conditionalFormatting>
  <conditionalFormatting sqref="H21:H24">
    <cfRule type="expression" dxfId="75" priority="6">
      <formula>$H21&lt;0</formula>
    </cfRule>
  </conditionalFormatting>
  <conditionalFormatting sqref="H25:H28">
    <cfRule type="expression" dxfId="74" priority="7">
      <formula>$H25&gt;0</formula>
    </cfRule>
  </conditionalFormatting>
  <conditionalFormatting sqref="H25:H28">
    <cfRule type="expression" dxfId="73" priority="8">
      <formula>$H25&lt;0</formula>
    </cfRule>
  </conditionalFormatting>
  <conditionalFormatting sqref="H13:H16">
    <cfRule type="expression" dxfId="72" priority="9">
      <formula>$H13&gt;0</formula>
    </cfRule>
  </conditionalFormatting>
  <conditionalFormatting sqref="H13:H16">
    <cfRule type="expression" dxfId="71" priority="10">
      <formula>$H13&lt;0</formula>
    </cfRule>
  </conditionalFormatting>
  <conditionalFormatting sqref="H17:H20">
    <cfRule type="expression" dxfId="70" priority="11">
      <formula>$H17&gt;0</formula>
    </cfRule>
  </conditionalFormatting>
  <conditionalFormatting sqref="H17:H20">
    <cfRule type="expression" dxfId="69" priority="12">
      <formula>$H17&lt;0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3B90-7957-45DB-8845-FD31A5998FB3}">
  <dimension ref="A1:H284"/>
  <sheetViews>
    <sheetView topLeftCell="A31" workbookViewId="0">
      <selection activeCell="D42" sqref="D42"/>
    </sheetView>
  </sheetViews>
  <sheetFormatPr baseColWidth="10" defaultColWidth="12.625" defaultRowHeight="14.25" x14ac:dyDescent="0.2"/>
  <cols>
    <col min="1" max="1" width="13.625" customWidth="1"/>
    <col min="2" max="2" width="47" bestFit="1" customWidth="1"/>
    <col min="3" max="3" width="28.375" customWidth="1"/>
    <col min="4" max="4" width="8" customWidth="1"/>
    <col min="5" max="5" width="11.5" bestFit="1" customWidth="1"/>
    <col min="6" max="6" width="13.375" bestFit="1" customWidth="1"/>
    <col min="7" max="7" width="15.25" customWidth="1"/>
    <col min="8" max="8" width="14" bestFit="1" customWidth="1"/>
    <col min="9" max="26" width="7.625" customWidth="1"/>
  </cols>
  <sheetData>
    <row r="1" spans="1:8" ht="14.25" customHeight="1" thickBot="1" x14ac:dyDescent="0.25"/>
    <row r="2" spans="1:8" ht="14.25" customHeight="1" thickBot="1" x14ac:dyDescent="0.3">
      <c r="B2" s="299" t="s">
        <v>0</v>
      </c>
      <c r="C2" s="300"/>
      <c r="D2" s="301"/>
      <c r="G2" s="1" t="s">
        <v>1</v>
      </c>
      <c r="H2" s="2">
        <v>1</v>
      </c>
    </row>
    <row r="3" spans="1:8" ht="14.25" customHeight="1" thickBot="1" x14ac:dyDescent="0.25"/>
    <row r="4" spans="1:8" ht="14.25" customHeight="1" thickBot="1" x14ac:dyDescent="0.3">
      <c r="B4" s="30" t="s">
        <v>2</v>
      </c>
      <c r="C4" s="30" t="s">
        <v>3</v>
      </c>
      <c r="D4" s="30" t="s">
        <v>4</v>
      </c>
      <c r="E4" s="30" t="s">
        <v>5</v>
      </c>
      <c r="F4" s="62" t="s">
        <v>6</v>
      </c>
      <c r="G4" s="30" t="s">
        <v>7</v>
      </c>
      <c r="H4" s="30" t="s">
        <v>8</v>
      </c>
    </row>
    <row r="5" spans="1:8" ht="15" customHeight="1" x14ac:dyDescent="0.25">
      <c r="A5" s="328" t="s">
        <v>301</v>
      </c>
      <c r="B5" s="56" t="s">
        <v>294</v>
      </c>
      <c r="C5" s="59" t="s">
        <v>299</v>
      </c>
      <c r="D5" s="5">
        <v>100</v>
      </c>
      <c r="E5" s="6">
        <f>VLOOKUP(C5,Data!$A$4:$B$363,2,FALSE)</f>
        <v>330000</v>
      </c>
      <c r="F5" s="330">
        <f>SUM(E5*D5+E6*D6+E7*D7+D8*E8)</f>
        <v>224120000</v>
      </c>
      <c r="G5" s="331">
        <f>VLOOKUP(B5,Data!$A$4:$B$363,2,FALSE)</f>
        <v>247000000</v>
      </c>
      <c r="H5" s="332">
        <f>G5*0.85*$H$2-F5</f>
        <v>-14170000</v>
      </c>
    </row>
    <row r="6" spans="1:8" ht="14.25" customHeight="1" x14ac:dyDescent="0.25">
      <c r="A6" s="324"/>
      <c r="B6" s="32"/>
      <c r="C6" s="58" t="s">
        <v>290</v>
      </c>
      <c r="D6" s="10">
        <v>5</v>
      </c>
      <c r="E6" s="11">
        <f>VLOOKUP(C6,Data!$A$4:$B$363,2,FALSE)</f>
        <v>5000000</v>
      </c>
      <c r="F6" s="329"/>
      <c r="G6" s="324"/>
      <c r="H6" s="327"/>
    </row>
    <row r="7" spans="1:8" ht="14.25" customHeight="1" x14ac:dyDescent="0.25">
      <c r="A7" s="324"/>
      <c r="B7" s="32"/>
      <c r="C7" s="60" t="s">
        <v>300</v>
      </c>
      <c r="D7" s="10">
        <v>10</v>
      </c>
      <c r="E7" s="11">
        <f>VLOOKUP(C7,Data!$A$4:$B$363,2,FALSE)</f>
        <v>212000</v>
      </c>
      <c r="F7" s="329"/>
      <c r="G7" s="324"/>
      <c r="H7" s="327"/>
    </row>
    <row r="8" spans="1:8" ht="14.25" customHeight="1" x14ac:dyDescent="0.25">
      <c r="A8" s="329"/>
      <c r="B8" s="51"/>
      <c r="C8" s="61" t="s">
        <v>289</v>
      </c>
      <c r="D8" s="52">
        <v>40</v>
      </c>
      <c r="E8" s="11">
        <f>VLOOKUP(C8,Data!$A$4:$B$363,2,FALSE)</f>
        <v>4100000</v>
      </c>
      <c r="F8" s="329"/>
      <c r="G8" s="329"/>
      <c r="H8" s="333"/>
    </row>
    <row r="9" spans="1:8" ht="14.25" customHeight="1" x14ac:dyDescent="0.25">
      <c r="A9" s="324"/>
      <c r="B9" s="57" t="s">
        <v>296</v>
      </c>
      <c r="C9" s="14" t="s">
        <v>299</v>
      </c>
      <c r="D9" s="14">
        <v>100</v>
      </c>
      <c r="E9" s="15">
        <f>VLOOKUP(C9,Data!$A$4:$B$363,2,FALSE)</f>
        <v>330000</v>
      </c>
      <c r="F9" s="321">
        <f>SUM(E9*D9+E10*D10+E11*D11+D12*E12)</f>
        <v>224120000</v>
      </c>
      <c r="G9" s="323">
        <f>VLOOKUP(B9,Data!$A$4:$B$363,2,FALSE)</f>
        <v>241000000</v>
      </c>
      <c r="H9" s="325">
        <f>G9*0.85*$H$2-F9</f>
        <v>-19270000</v>
      </c>
    </row>
    <row r="10" spans="1:8" ht="14.25" customHeight="1" x14ac:dyDescent="0.25">
      <c r="A10" s="329"/>
      <c r="B10" s="53"/>
      <c r="C10" s="14" t="s">
        <v>290</v>
      </c>
      <c r="D10" s="53">
        <v>5</v>
      </c>
      <c r="E10" s="15">
        <f>VLOOKUP(C10,Data!$A$4:$B$363,2,FALSE)</f>
        <v>5000000</v>
      </c>
      <c r="F10" s="322"/>
      <c r="G10" s="323"/>
      <c r="H10" s="326"/>
    </row>
    <row r="11" spans="1:8" ht="14.25" customHeight="1" x14ac:dyDescent="0.25">
      <c r="A11" s="324"/>
      <c r="B11" s="14"/>
      <c r="C11" s="14" t="s">
        <v>300</v>
      </c>
      <c r="D11" s="14">
        <v>10</v>
      </c>
      <c r="E11" s="15">
        <f>VLOOKUP(C11,Data!$A$4:$B$363,2,FALSE)</f>
        <v>212000</v>
      </c>
      <c r="F11" s="322"/>
      <c r="G11" s="324"/>
      <c r="H11" s="327"/>
    </row>
    <row r="12" spans="1:8" ht="14.25" customHeight="1" x14ac:dyDescent="0.25">
      <c r="A12" s="324"/>
      <c r="B12" s="14"/>
      <c r="C12" s="14" t="s">
        <v>289</v>
      </c>
      <c r="D12" s="14">
        <v>40</v>
      </c>
      <c r="E12" s="15">
        <f>VLOOKUP(C12,Data!$A$4:$B$363,2,FALSE)</f>
        <v>4100000</v>
      </c>
      <c r="F12" s="322"/>
      <c r="G12" s="324"/>
      <c r="H12" s="327"/>
    </row>
    <row r="13" spans="1:8" ht="14.25" customHeight="1" x14ac:dyDescent="0.25">
      <c r="A13" s="324"/>
      <c r="B13" s="58" t="s">
        <v>297</v>
      </c>
      <c r="C13" s="10" t="s">
        <v>299</v>
      </c>
      <c r="D13" s="10">
        <v>100</v>
      </c>
      <c r="E13" s="11">
        <f>VLOOKUP(C13,Data!$A$4:$B$363,2,FALSE)</f>
        <v>330000</v>
      </c>
      <c r="F13" s="330">
        <f>SUM(E13*D13+E14*D14+E15*D15+D16*E16)</f>
        <v>224120000</v>
      </c>
      <c r="G13" s="330">
        <f>VLOOKUP(B13,Data!$A$4:$B$363,2,FALSE)</f>
        <v>238000000</v>
      </c>
      <c r="H13" s="334">
        <f>G13*0.85*$H$2-F13</f>
        <v>-21820000</v>
      </c>
    </row>
    <row r="14" spans="1:8" ht="14.25" customHeight="1" x14ac:dyDescent="0.25">
      <c r="A14" s="329"/>
      <c r="B14" s="52"/>
      <c r="C14" s="52" t="s">
        <v>290</v>
      </c>
      <c r="D14" s="52">
        <v>5</v>
      </c>
      <c r="E14" s="11">
        <f>VLOOKUP(C14,Data!$A$4:$B$363,2,FALSE)</f>
        <v>5000000</v>
      </c>
      <c r="F14" s="329"/>
      <c r="G14" s="330"/>
      <c r="H14" s="335"/>
    </row>
    <row r="15" spans="1:8" ht="14.25" customHeight="1" x14ac:dyDescent="0.25">
      <c r="A15" s="324"/>
      <c r="B15" s="10"/>
      <c r="C15" s="10" t="s">
        <v>300</v>
      </c>
      <c r="D15" s="10">
        <v>10</v>
      </c>
      <c r="E15" s="11">
        <f>VLOOKUP(C15,Data!$A$4:$B$363,2,FALSE)</f>
        <v>212000</v>
      </c>
      <c r="F15" s="329"/>
      <c r="G15" s="324"/>
      <c r="H15" s="327"/>
    </row>
    <row r="16" spans="1:8" ht="14.25" customHeight="1" x14ac:dyDescent="0.25">
      <c r="A16" s="324"/>
      <c r="B16" s="10"/>
      <c r="C16" s="10" t="s">
        <v>289</v>
      </c>
      <c r="D16" s="10">
        <v>40</v>
      </c>
      <c r="E16" s="11">
        <f>VLOOKUP(C16,Data!$A$4:$B$363,2,FALSE)</f>
        <v>4100000</v>
      </c>
      <c r="F16" s="329"/>
      <c r="G16" s="324"/>
      <c r="H16" s="327"/>
    </row>
    <row r="17" spans="1:8" ht="14.25" customHeight="1" x14ac:dyDescent="0.25">
      <c r="A17" s="324"/>
      <c r="B17" s="57" t="s">
        <v>298</v>
      </c>
      <c r="C17" s="14" t="s">
        <v>299</v>
      </c>
      <c r="D17" s="14">
        <v>100</v>
      </c>
      <c r="E17" s="15">
        <f>VLOOKUP(C17,Data!$A$4:$B$363,2,FALSE)</f>
        <v>330000</v>
      </c>
      <c r="F17" s="321">
        <f>SUM(E17*D17+E18*D18+E19*D19+D20*E20)</f>
        <v>224120000</v>
      </c>
      <c r="G17" s="323">
        <f>VLOOKUP(B17,Data!$A$4:$B$363,2,FALSE)</f>
        <v>243000000</v>
      </c>
      <c r="H17" s="325">
        <f>G17*0.85*$H$2-F17</f>
        <v>-17570000</v>
      </c>
    </row>
    <row r="18" spans="1:8" ht="14.25" customHeight="1" x14ac:dyDescent="0.25">
      <c r="A18" s="329"/>
      <c r="B18" s="53"/>
      <c r="C18" s="53" t="s">
        <v>290</v>
      </c>
      <c r="D18" s="53">
        <v>5</v>
      </c>
      <c r="E18" s="15">
        <f>VLOOKUP(C18,Data!$A$4:$B$363,2,FALSE)</f>
        <v>5000000</v>
      </c>
      <c r="F18" s="322"/>
      <c r="G18" s="323"/>
      <c r="H18" s="326"/>
    </row>
    <row r="19" spans="1:8" ht="14.25" customHeight="1" x14ac:dyDescent="0.25">
      <c r="A19" s="324"/>
      <c r="B19" s="14"/>
      <c r="C19" s="14" t="s">
        <v>300</v>
      </c>
      <c r="D19" s="14">
        <v>10</v>
      </c>
      <c r="E19" s="15">
        <f>VLOOKUP(C19,Data!$A$4:$B$363,2,FALSE)</f>
        <v>212000</v>
      </c>
      <c r="F19" s="322"/>
      <c r="G19" s="324"/>
      <c r="H19" s="327"/>
    </row>
    <row r="20" spans="1:8" ht="14.25" customHeight="1" thickBot="1" x14ac:dyDescent="0.3">
      <c r="A20" s="324"/>
      <c r="B20" s="14"/>
      <c r="C20" s="14" t="s">
        <v>289</v>
      </c>
      <c r="D20" s="14">
        <v>40</v>
      </c>
      <c r="E20" s="15">
        <f>VLOOKUP(C20,Data!$A$4:$B$363,2,FALSE)</f>
        <v>4100000</v>
      </c>
      <c r="F20" s="322"/>
      <c r="G20" s="324"/>
      <c r="H20" s="327"/>
    </row>
    <row r="21" spans="1:8" ht="15" customHeight="1" x14ac:dyDescent="0.25">
      <c r="A21" s="328" t="s">
        <v>301</v>
      </c>
      <c r="B21" s="56" t="s">
        <v>294</v>
      </c>
      <c r="C21" s="59" t="s">
        <v>299</v>
      </c>
      <c r="D21" s="5">
        <v>100</v>
      </c>
      <c r="E21" s="6">
        <f>VLOOKUP(C21,Data!$A$4:$B$363,2,FALSE)</f>
        <v>330000</v>
      </c>
      <c r="F21" s="330">
        <f>SUM(E21*D21+E22*D22+E23*D23+D24*E24)</f>
        <v>224120000</v>
      </c>
      <c r="G21" s="331">
        <f>VLOOKUP(B21,Data!$A$4:$B$363,2,FALSE)</f>
        <v>247000000</v>
      </c>
      <c r="H21" s="332">
        <f>G21*0.85*$H$2-F21</f>
        <v>-14170000</v>
      </c>
    </row>
    <row r="22" spans="1:8" ht="14.25" customHeight="1" x14ac:dyDescent="0.25">
      <c r="A22" s="324"/>
      <c r="B22" s="32"/>
      <c r="C22" s="58" t="s">
        <v>290</v>
      </c>
      <c r="D22" s="10">
        <v>5</v>
      </c>
      <c r="E22" s="11">
        <f>VLOOKUP(C22,Data!$A$4:$B$363,2,FALSE)</f>
        <v>5000000</v>
      </c>
      <c r="F22" s="329"/>
      <c r="G22" s="324"/>
      <c r="H22" s="327"/>
    </row>
    <row r="23" spans="1:8" ht="14.25" customHeight="1" x14ac:dyDescent="0.25">
      <c r="A23" s="324"/>
      <c r="B23" s="32"/>
      <c r="C23" s="60" t="s">
        <v>300</v>
      </c>
      <c r="D23" s="10">
        <v>10</v>
      </c>
      <c r="E23" s="11">
        <f>VLOOKUP(C23,Data!$A$4:$B$363,2,FALSE)</f>
        <v>212000</v>
      </c>
      <c r="F23" s="329"/>
      <c r="G23" s="324"/>
      <c r="H23" s="327"/>
    </row>
    <row r="24" spans="1:8" ht="14.25" customHeight="1" x14ac:dyDescent="0.25">
      <c r="A24" s="329"/>
      <c r="B24" s="51"/>
      <c r="C24" s="61" t="s">
        <v>289</v>
      </c>
      <c r="D24" s="52">
        <v>40</v>
      </c>
      <c r="E24" s="11">
        <f>VLOOKUP(C24,Data!$A$4:$B$363,2,FALSE)</f>
        <v>4100000</v>
      </c>
      <c r="F24" s="329"/>
      <c r="G24" s="329"/>
      <c r="H24" s="333"/>
    </row>
    <row r="25" spans="1:8" ht="14.25" customHeight="1" x14ac:dyDescent="0.25">
      <c r="A25" s="324"/>
      <c r="B25" s="57" t="s">
        <v>296</v>
      </c>
      <c r="C25" s="63" t="s">
        <v>299</v>
      </c>
      <c r="D25" s="14">
        <v>100</v>
      </c>
      <c r="E25" s="15">
        <f>VLOOKUP(C25,Data!$A$4:$B$363,2,FALSE)</f>
        <v>330000</v>
      </c>
      <c r="F25" s="321">
        <f>SUM(E25*D25+E26*D26+E27*D27+D28*E28)</f>
        <v>224120000</v>
      </c>
      <c r="G25" s="323">
        <f>VLOOKUP(B25,Data!$A$4:$B$363,2,FALSE)</f>
        <v>241000000</v>
      </c>
      <c r="H25" s="325">
        <f>G25*0.85*$H$2-F25</f>
        <v>-19270000</v>
      </c>
    </row>
    <row r="26" spans="1:8" ht="14.25" customHeight="1" x14ac:dyDescent="0.25">
      <c r="A26" s="329"/>
      <c r="B26" s="53"/>
      <c r="C26" s="14" t="s">
        <v>290</v>
      </c>
      <c r="D26" s="53">
        <v>5</v>
      </c>
      <c r="E26" s="15">
        <f>VLOOKUP(C26,Data!$A$4:$B$363,2,FALSE)</f>
        <v>5000000</v>
      </c>
      <c r="F26" s="321"/>
      <c r="G26" s="323"/>
      <c r="H26" s="326"/>
    </row>
    <row r="27" spans="1:8" ht="14.25" customHeight="1" x14ac:dyDescent="0.25">
      <c r="A27" s="324"/>
      <c r="B27" s="14"/>
      <c r="C27" s="14" t="s">
        <v>300</v>
      </c>
      <c r="D27" s="14">
        <v>10</v>
      </c>
      <c r="E27" s="15">
        <f>VLOOKUP(C27,Data!$A$4:$B$363,2,FALSE)</f>
        <v>212000</v>
      </c>
      <c r="F27" s="321"/>
      <c r="G27" s="324"/>
      <c r="H27" s="327"/>
    </row>
    <row r="28" spans="1:8" ht="14.25" customHeight="1" x14ac:dyDescent="0.25">
      <c r="A28" s="324"/>
      <c r="B28" s="14"/>
      <c r="C28" s="14" t="s">
        <v>289</v>
      </c>
      <c r="D28" s="14">
        <v>40</v>
      </c>
      <c r="E28" s="15">
        <f>VLOOKUP(C28,Data!$A$4:$B$363,2,FALSE)</f>
        <v>4100000</v>
      </c>
      <c r="F28" s="321"/>
      <c r="G28" s="324"/>
      <c r="H28" s="327"/>
    </row>
    <row r="29" spans="1:8" ht="14.25" customHeight="1" x14ac:dyDescent="0.25">
      <c r="A29" s="324"/>
      <c r="B29" s="58" t="s">
        <v>297</v>
      </c>
      <c r="C29" s="10" t="s">
        <v>299</v>
      </c>
      <c r="D29" s="10">
        <v>100</v>
      </c>
      <c r="E29" s="11">
        <f>VLOOKUP(C29,Data!$A$4:$B$363,2,FALSE)</f>
        <v>330000</v>
      </c>
      <c r="F29" s="330">
        <f>SUM(E29*D29+E30*D30+E31*D31+D32*E32)</f>
        <v>224120000</v>
      </c>
      <c r="G29" s="330">
        <f>VLOOKUP(B29,Data!$A$4:$B$363,2,FALSE)</f>
        <v>238000000</v>
      </c>
      <c r="H29" s="334">
        <f>G29*0.85*$H$2-F29</f>
        <v>-21820000</v>
      </c>
    </row>
    <row r="30" spans="1:8" ht="14.25" customHeight="1" x14ac:dyDescent="0.25">
      <c r="A30" s="329"/>
      <c r="B30" s="52"/>
      <c r="C30" s="52" t="s">
        <v>290</v>
      </c>
      <c r="D30" s="52">
        <v>5</v>
      </c>
      <c r="E30" s="11">
        <f>VLOOKUP(C30,Data!$A$4:$B$363,2,FALSE)</f>
        <v>5000000</v>
      </c>
      <c r="F30" s="329"/>
      <c r="G30" s="330"/>
      <c r="H30" s="335"/>
    </row>
    <row r="31" spans="1:8" ht="14.25" customHeight="1" x14ac:dyDescent="0.25">
      <c r="A31" s="324"/>
      <c r="B31" s="10"/>
      <c r="C31" s="10" t="s">
        <v>300</v>
      </c>
      <c r="D31" s="10">
        <v>10</v>
      </c>
      <c r="E31" s="11">
        <f>VLOOKUP(C31,Data!$A$4:$B$363,2,FALSE)</f>
        <v>212000</v>
      </c>
      <c r="F31" s="329"/>
      <c r="G31" s="324"/>
      <c r="H31" s="327"/>
    </row>
    <row r="32" spans="1:8" ht="14.25" customHeight="1" x14ac:dyDescent="0.25">
      <c r="A32" s="324"/>
      <c r="B32" s="10"/>
      <c r="C32" s="10" t="s">
        <v>289</v>
      </c>
      <c r="D32" s="10">
        <v>40</v>
      </c>
      <c r="E32" s="11">
        <f>VLOOKUP(C32,Data!$A$4:$B$363,2,FALSE)</f>
        <v>4100000</v>
      </c>
      <c r="F32" s="329"/>
      <c r="G32" s="324"/>
      <c r="H32" s="327"/>
    </row>
    <row r="33" spans="1:8" ht="14.25" customHeight="1" x14ac:dyDescent="0.25">
      <c r="A33" s="324"/>
      <c r="B33" s="57" t="s">
        <v>298</v>
      </c>
      <c r="C33" s="14" t="s">
        <v>299</v>
      </c>
      <c r="D33" s="14">
        <v>100</v>
      </c>
      <c r="E33" s="15">
        <f>VLOOKUP(C33,Data!$A$4:$B$363,2,FALSE)</f>
        <v>330000</v>
      </c>
      <c r="F33" s="321">
        <f>SUM(E33*D33+E34*D34+E35*D35+D36*E36)</f>
        <v>224120000</v>
      </c>
      <c r="G33" s="323">
        <f>VLOOKUP(B33,Data!$A$4:$B$363,2,FALSE)</f>
        <v>243000000</v>
      </c>
      <c r="H33" s="325">
        <f>G33*0.85*$H$2-F33</f>
        <v>-17570000</v>
      </c>
    </row>
    <row r="34" spans="1:8" ht="14.25" customHeight="1" x14ac:dyDescent="0.25">
      <c r="A34" s="329"/>
      <c r="B34" s="53"/>
      <c r="C34" s="53" t="s">
        <v>290</v>
      </c>
      <c r="D34" s="53">
        <v>5</v>
      </c>
      <c r="E34" s="15">
        <f>VLOOKUP(C34,Data!$A$4:$B$363,2,FALSE)</f>
        <v>5000000</v>
      </c>
      <c r="F34" s="322"/>
      <c r="G34" s="323"/>
      <c r="H34" s="326"/>
    </row>
    <row r="35" spans="1:8" ht="14.25" customHeight="1" x14ac:dyDescent="0.25">
      <c r="A35" s="324"/>
      <c r="B35" s="14"/>
      <c r="C35" s="14" t="s">
        <v>300</v>
      </c>
      <c r="D35" s="14">
        <v>10</v>
      </c>
      <c r="E35" s="15">
        <f>VLOOKUP(C35,Data!$A$4:$B$363,2,FALSE)</f>
        <v>212000</v>
      </c>
      <c r="F35" s="322"/>
      <c r="G35" s="324"/>
      <c r="H35" s="327"/>
    </row>
    <row r="36" spans="1:8" ht="14.25" customHeight="1" thickBot="1" x14ac:dyDescent="0.3">
      <c r="A36" s="324"/>
      <c r="B36" s="14"/>
      <c r="C36" s="14" t="s">
        <v>289</v>
      </c>
      <c r="D36" s="14">
        <v>40</v>
      </c>
      <c r="E36" s="15">
        <f>VLOOKUP(C36,Data!$A$4:$B$363,2,FALSE)</f>
        <v>4100000</v>
      </c>
      <c r="F36" s="322"/>
      <c r="G36" s="324"/>
      <c r="H36" s="327"/>
    </row>
    <row r="37" spans="1:8" ht="14.25" customHeight="1" x14ac:dyDescent="0.25">
      <c r="A37" s="328" t="s">
        <v>288</v>
      </c>
      <c r="B37" s="56" t="s">
        <v>295</v>
      </c>
      <c r="C37" s="59" t="s">
        <v>304</v>
      </c>
      <c r="D37" s="5">
        <v>15</v>
      </c>
      <c r="E37" s="6">
        <f>VLOOKUP(C37,Data!$A$4:$B$363,2,FALSE)</f>
        <v>229000</v>
      </c>
      <c r="F37" s="330">
        <f>SUM(E37*D37+E38*D38+E39*D39+D40*E40)</f>
        <v>233674000</v>
      </c>
      <c r="G37" s="331">
        <f>VLOOKUP(B37,Data!$A$4:$B$363,2,FALSE)</f>
        <v>144000000</v>
      </c>
      <c r="H37" s="332">
        <f>G37*0.85*$H$2-F37</f>
        <v>-111274000</v>
      </c>
    </row>
    <row r="38" spans="1:8" ht="14.25" customHeight="1" x14ac:dyDescent="0.25">
      <c r="A38" s="324"/>
      <c r="B38" s="32"/>
      <c r="C38" s="58" t="s">
        <v>290</v>
      </c>
      <c r="D38" s="10">
        <v>5</v>
      </c>
      <c r="E38" s="11">
        <f>VLOOKUP(C38,Data!$A$4:$B$363,2,FALSE)</f>
        <v>5000000</v>
      </c>
      <c r="F38" s="329"/>
      <c r="G38" s="324"/>
      <c r="H38" s="327"/>
    </row>
    <row r="39" spans="1:8" ht="14.25" customHeight="1" x14ac:dyDescent="0.25">
      <c r="A39" s="324"/>
      <c r="B39" s="32"/>
      <c r="C39" s="60" t="s">
        <v>291</v>
      </c>
      <c r="D39" s="10">
        <v>1</v>
      </c>
      <c r="E39" s="11">
        <f>VLOOKUP(C39,Data!$A$4:$B$363,2,FALSE)</f>
        <v>239000</v>
      </c>
      <c r="F39" s="329"/>
      <c r="G39" s="324"/>
      <c r="H39" s="327"/>
    </row>
    <row r="40" spans="1:8" ht="14.25" customHeight="1" x14ac:dyDescent="0.25">
      <c r="A40" s="329"/>
      <c r="B40" s="51"/>
      <c r="C40" s="61" t="s">
        <v>289</v>
      </c>
      <c r="D40" s="52">
        <v>50</v>
      </c>
      <c r="E40" s="11">
        <f>VLOOKUP(C40,Data!$A$4:$B$363,2,FALSE)</f>
        <v>4100000</v>
      </c>
      <c r="F40" s="329"/>
      <c r="G40" s="329"/>
      <c r="H40" s="333"/>
    </row>
    <row r="41" spans="1:8" ht="14.25" customHeight="1" x14ac:dyDescent="0.25">
      <c r="A41" s="324"/>
      <c r="B41" s="57" t="s">
        <v>305</v>
      </c>
      <c r="C41" s="63" t="s">
        <v>304</v>
      </c>
      <c r="D41" s="14">
        <v>15</v>
      </c>
      <c r="E41" s="15">
        <f>VLOOKUP(C41,Data!$A$4:$B$363,2,FALSE)</f>
        <v>229000</v>
      </c>
      <c r="F41" s="321">
        <f>SUM(E41*D41+E42*D42+E43*D43+D44*E44)</f>
        <v>233674000</v>
      </c>
      <c r="G41" s="323">
        <f>VLOOKUP(B41,Data!$A$4:$B$363,2,FALSE)</f>
        <v>126000000</v>
      </c>
      <c r="H41" s="325">
        <f>G41*0.85*$H$2-F41</f>
        <v>-126574000</v>
      </c>
    </row>
    <row r="42" spans="1:8" ht="14.25" customHeight="1" x14ac:dyDescent="0.25">
      <c r="A42" s="329"/>
      <c r="B42" s="53"/>
      <c r="C42" s="14" t="s">
        <v>290</v>
      </c>
      <c r="D42" s="53">
        <v>5</v>
      </c>
      <c r="E42" s="15">
        <f>VLOOKUP(C42,Data!$A$4:$B$363,2,FALSE)</f>
        <v>5000000</v>
      </c>
      <c r="F42" s="321"/>
      <c r="G42" s="323"/>
      <c r="H42" s="326"/>
    </row>
    <row r="43" spans="1:8" ht="14.25" customHeight="1" x14ac:dyDescent="0.25">
      <c r="A43" s="324"/>
      <c r="B43" s="14"/>
      <c r="C43" s="14" t="s">
        <v>291</v>
      </c>
      <c r="D43" s="14">
        <v>1</v>
      </c>
      <c r="E43" s="15">
        <f>VLOOKUP(C43,Data!$A$4:$B$363,2,FALSE)</f>
        <v>239000</v>
      </c>
      <c r="F43" s="321"/>
      <c r="G43" s="324"/>
      <c r="H43" s="327"/>
    </row>
    <row r="44" spans="1:8" ht="14.25" customHeight="1" x14ac:dyDescent="0.25">
      <c r="A44" s="324"/>
      <c r="B44" s="14"/>
      <c r="C44" s="14" t="s">
        <v>289</v>
      </c>
      <c r="D44" s="14">
        <v>50</v>
      </c>
      <c r="E44" s="15">
        <f>VLOOKUP(C44,Data!$A$4:$B$363,2,FALSE)</f>
        <v>4100000</v>
      </c>
      <c r="F44" s="321"/>
      <c r="G44" s="324"/>
      <c r="H44" s="327"/>
    </row>
    <row r="45" spans="1:8" ht="14.25" customHeight="1" x14ac:dyDescent="0.25">
      <c r="A45" s="324"/>
      <c r="B45" s="58" t="s">
        <v>303</v>
      </c>
      <c r="C45" s="10" t="s">
        <v>304</v>
      </c>
      <c r="D45" s="10">
        <v>15</v>
      </c>
      <c r="E45" s="11">
        <f>VLOOKUP(C45,Data!$A$4:$B$363,2,FALSE)</f>
        <v>229000</v>
      </c>
      <c r="F45" s="330">
        <f>SUM(E45*D45+E46*D46+E47*D47+D48*E48)</f>
        <v>233674000</v>
      </c>
      <c r="G45" s="330">
        <f>VLOOKUP(B45,Data!$A$4:$B$363,2,FALSE)</f>
        <v>259000000</v>
      </c>
      <c r="H45" s="334">
        <f>G45*0.85*$H$2-F45</f>
        <v>-13524000</v>
      </c>
    </row>
    <row r="46" spans="1:8" ht="14.25" customHeight="1" x14ac:dyDescent="0.25">
      <c r="A46" s="329"/>
      <c r="B46" s="52"/>
      <c r="C46" s="52" t="s">
        <v>290</v>
      </c>
      <c r="D46" s="52">
        <v>5</v>
      </c>
      <c r="E46" s="11">
        <f>VLOOKUP(C46,Data!$A$4:$B$363,2,FALSE)</f>
        <v>5000000</v>
      </c>
      <c r="F46" s="329"/>
      <c r="G46" s="330"/>
      <c r="H46" s="335"/>
    </row>
    <row r="47" spans="1:8" ht="14.25" customHeight="1" x14ac:dyDescent="0.25">
      <c r="A47" s="324"/>
      <c r="B47" s="10"/>
      <c r="C47" s="10" t="s">
        <v>291</v>
      </c>
      <c r="D47" s="10">
        <v>1</v>
      </c>
      <c r="E47" s="11">
        <f>VLOOKUP(C47,Data!$A$4:$B$363,2,FALSE)</f>
        <v>239000</v>
      </c>
      <c r="F47" s="329"/>
      <c r="G47" s="324"/>
      <c r="H47" s="327"/>
    </row>
    <row r="48" spans="1:8" ht="14.25" customHeight="1" x14ac:dyDescent="0.25">
      <c r="A48" s="324"/>
      <c r="B48" s="10"/>
      <c r="C48" s="10" t="s">
        <v>289</v>
      </c>
      <c r="D48" s="10">
        <v>50</v>
      </c>
      <c r="E48" s="11">
        <f>VLOOKUP(C48,Data!$A$4:$B$363,2,FALSE)</f>
        <v>4100000</v>
      </c>
      <c r="F48" s="329"/>
      <c r="G48" s="324"/>
      <c r="H48" s="327"/>
    </row>
    <row r="49" spans="1:8" ht="14.25" customHeight="1" x14ac:dyDescent="0.25">
      <c r="A49" s="324"/>
      <c r="B49" s="57" t="s">
        <v>306</v>
      </c>
      <c r="C49" s="14" t="s">
        <v>304</v>
      </c>
      <c r="D49" s="14">
        <v>15</v>
      </c>
      <c r="E49" s="15">
        <f>VLOOKUP(C49,Data!$A$4:$B$363,2,FALSE)</f>
        <v>229000</v>
      </c>
      <c r="F49" s="321">
        <f>SUM(E49*D49+E50*D50+E51*D51+D52*E52)</f>
        <v>233674000</v>
      </c>
      <c r="G49" s="323">
        <f>VLOOKUP(B49,Data!$A$4:$B$363,2,FALSE)</f>
        <v>114000000</v>
      </c>
      <c r="H49" s="325">
        <f>G49*0.85*$H$2-F49</f>
        <v>-136774000</v>
      </c>
    </row>
    <row r="50" spans="1:8" ht="14.25" customHeight="1" x14ac:dyDescent="0.25">
      <c r="A50" s="329"/>
      <c r="B50" s="53"/>
      <c r="C50" s="53" t="s">
        <v>290</v>
      </c>
      <c r="D50" s="53">
        <v>5</v>
      </c>
      <c r="E50" s="15">
        <f>VLOOKUP(C50,Data!$A$4:$B$363,2,FALSE)</f>
        <v>5000000</v>
      </c>
      <c r="F50" s="322"/>
      <c r="G50" s="323"/>
      <c r="H50" s="326"/>
    </row>
    <row r="51" spans="1:8" ht="14.25" customHeight="1" x14ac:dyDescent="0.25">
      <c r="A51" s="324"/>
      <c r="B51" s="14"/>
      <c r="C51" s="14" t="s">
        <v>291</v>
      </c>
      <c r="D51" s="14">
        <v>1</v>
      </c>
      <c r="E51" s="15">
        <f>VLOOKUP(C51,Data!$A$4:$B$363,2,FALSE)</f>
        <v>239000</v>
      </c>
      <c r="F51" s="322"/>
      <c r="G51" s="324"/>
      <c r="H51" s="327"/>
    </row>
    <row r="52" spans="1:8" ht="14.25" customHeight="1" x14ac:dyDescent="0.25">
      <c r="A52" s="324"/>
      <c r="B52" s="14"/>
      <c r="C52" s="14" t="s">
        <v>289</v>
      </c>
      <c r="D52" s="14">
        <v>50</v>
      </c>
      <c r="E52" s="15">
        <f>VLOOKUP(C52,Data!$A$4:$B$363,2,FALSE)</f>
        <v>4100000</v>
      </c>
      <c r="F52" s="322"/>
      <c r="G52" s="324"/>
      <c r="H52" s="327"/>
    </row>
    <row r="53" spans="1:8" ht="14.25" customHeight="1" x14ac:dyDescent="0.2"/>
    <row r="54" spans="1:8" ht="14.25" customHeight="1" x14ac:dyDescent="0.2"/>
    <row r="55" spans="1:8" ht="14.25" customHeight="1" x14ac:dyDescent="0.2"/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/>
    <row r="60" spans="1:8" ht="14.25" customHeight="1" x14ac:dyDescent="0.2"/>
    <row r="61" spans="1:8" ht="14.25" customHeight="1" x14ac:dyDescent="0.2"/>
    <row r="62" spans="1:8" ht="14.25" customHeight="1" x14ac:dyDescent="0.2"/>
    <row r="63" spans="1:8" ht="14.25" customHeight="1" x14ac:dyDescent="0.2"/>
    <row r="64" spans="1:8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</sheetData>
  <mergeCells count="40">
    <mergeCell ref="B2:D2"/>
    <mergeCell ref="A5:A20"/>
    <mergeCell ref="F5:F8"/>
    <mergeCell ref="G5:G8"/>
    <mergeCell ref="H5:H8"/>
    <mergeCell ref="F9:F12"/>
    <mergeCell ref="G9:G12"/>
    <mergeCell ref="H9:H12"/>
    <mergeCell ref="F13:F16"/>
    <mergeCell ref="G13:G16"/>
    <mergeCell ref="H13:H16"/>
    <mergeCell ref="F17:F20"/>
    <mergeCell ref="G17:G20"/>
    <mergeCell ref="H17:H20"/>
    <mergeCell ref="A21:A36"/>
    <mergeCell ref="F21:F24"/>
    <mergeCell ref="G21:G24"/>
    <mergeCell ref="H21:H24"/>
    <mergeCell ref="F25:F28"/>
    <mergeCell ref="G25:G28"/>
    <mergeCell ref="H25:H28"/>
    <mergeCell ref="F29:F32"/>
    <mergeCell ref="G29:G32"/>
    <mergeCell ref="H29:H32"/>
    <mergeCell ref="F33:F36"/>
    <mergeCell ref="G33:G36"/>
    <mergeCell ref="H33:H36"/>
    <mergeCell ref="F49:F52"/>
    <mergeCell ref="G49:G52"/>
    <mergeCell ref="H49:H52"/>
    <mergeCell ref="A37:A52"/>
    <mergeCell ref="F37:F40"/>
    <mergeCell ref="G37:G40"/>
    <mergeCell ref="H37:H40"/>
    <mergeCell ref="F41:F44"/>
    <mergeCell ref="G41:G44"/>
    <mergeCell ref="H41:H44"/>
    <mergeCell ref="F45:F48"/>
    <mergeCell ref="G45:G48"/>
    <mergeCell ref="H45:H48"/>
  </mergeCells>
  <conditionalFormatting sqref="H5:H20">
    <cfRule type="expression" dxfId="68" priority="5">
      <formula>$H5&gt;0</formula>
    </cfRule>
  </conditionalFormatting>
  <conditionalFormatting sqref="H5:H20">
    <cfRule type="expression" dxfId="67" priority="6">
      <formula>$H5&lt;0</formula>
    </cfRule>
  </conditionalFormatting>
  <conditionalFormatting sqref="H21:H36">
    <cfRule type="expression" dxfId="66" priority="3">
      <formula>$H21&gt;0</formula>
    </cfRule>
  </conditionalFormatting>
  <conditionalFormatting sqref="H21:H36">
    <cfRule type="expression" dxfId="65" priority="4">
      <formula>$H21&lt;0</formula>
    </cfRule>
  </conditionalFormatting>
  <conditionalFormatting sqref="H37:H52">
    <cfRule type="expression" dxfId="64" priority="1">
      <formula>$H37&gt;0</formula>
    </cfRule>
  </conditionalFormatting>
  <conditionalFormatting sqref="H37:H52">
    <cfRule type="expression" dxfId="63" priority="2">
      <formula>$H37&lt;0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9"/>
  <sheetViews>
    <sheetView topLeftCell="A19" zoomScale="85" zoomScaleNormal="85" workbookViewId="0">
      <selection activeCell="H49" sqref="H49"/>
    </sheetView>
  </sheetViews>
  <sheetFormatPr baseColWidth="10" defaultColWidth="12.625" defaultRowHeight="15" customHeight="1" x14ac:dyDescent="0.2"/>
  <cols>
    <col min="1" max="1" width="11" customWidth="1"/>
    <col min="2" max="2" width="23.5" customWidth="1"/>
    <col min="3" max="3" width="25.375" customWidth="1"/>
    <col min="4" max="4" width="8" customWidth="1"/>
    <col min="5" max="5" width="12.125" customWidth="1"/>
    <col min="6" max="6" width="11.875" customWidth="1"/>
    <col min="7" max="7" width="17.5" bestFit="1" customWidth="1"/>
    <col min="8" max="9" width="12.875" customWidth="1"/>
    <col min="10" max="10" width="20.25" customWidth="1"/>
    <col min="11" max="13" width="7.625" customWidth="1"/>
    <col min="14" max="14" width="12.875" bestFit="1" customWidth="1"/>
    <col min="15" max="27" width="7.625" customWidth="1"/>
  </cols>
  <sheetData>
    <row r="1" spans="1:10" ht="14.25" customHeight="1" thickBot="1" x14ac:dyDescent="0.25"/>
    <row r="2" spans="1:10" ht="14.25" customHeight="1" thickBot="1" x14ac:dyDescent="0.3">
      <c r="B2" s="299" t="s">
        <v>0</v>
      </c>
      <c r="C2" s="300"/>
      <c r="D2" s="301"/>
      <c r="G2" s="1" t="s">
        <v>1</v>
      </c>
      <c r="H2" s="2">
        <v>3.1</v>
      </c>
      <c r="I2" s="2">
        <v>3.1</v>
      </c>
    </row>
    <row r="3" spans="1:10" ht="14.25" customHeight="1" thickBot="1" x14ac:dyDescent="0.25"/>
    <row r="4" spans="1:10" ht="14.25" customHeight="1" thickBot="1" x14ac:dyDescent="0.3">
      <c r="B4" s="30" t="s">
        <v>2</v>
      </c>
      <c r="C4" s="30" t="s">
        <v>3</v>
      </c>
      <c r="D4" s="30" t="s">
        <v>4</v>
      </c>
      <c r="E4" s="30" t="s">
        <v>5</v>
      </c>
      <c r="F4" s="30" t="s">
        <v>6</v>
      </c>
      <c r="G4" s="30" t="s">
        <v>7</v>
      </c>
      <c r="H4" s="30" t="s">
        <v>510</v>
      </c>
      <c r="I4" s="30" t="s">
        <v>504</v>
      </c>
    </row>
    <row r="5" spans="1:10" ht="15" customHeight="1" x14ac:dyDescent="0.25">
      <c r="A5" s="336" t="s">
        <v>52</v>
      </c>
      <c r="B5" s="31" t="s">
        <v>53</v>
      </c>
      <c r="C5" s="5" t="s">
        <v>10</v>
      </c>
      <c r="D5" s="5">
        <v>1</v>
      </c>
      <c r="E5" s="6">
        <f>VLOOKUP(C5,Data!$A$4:$B$363,2,FALSE)</f>
        <v>13100</v>
      </c>
      <c r="F5" s="7">
        <f>SUM(E5*D5+E6*D6+E7*D7+E8*D8)</f>
        <v>60016</v>
      </c>
      <c r="G5" s="7">
        <f>VLOOKUP(B5,Data!$A$4:$B$363,2,FALSE)</f>
        <v>18000</v>
      </c>
      <c r="H5" s="8">
        <f>G5*$I$2-F5</f>
        <v>-4216</v>
      </c>
      <c r="I5" s="8">
        <f>G5*0.85*$I$2-F5</f>
        <v>-12586</v>
      </c>
      <c r="J5" s="104"/>
    </row>
    <row r="6" spans="1:10" ht="14.25" customHeight="1" x14ac:dyDescent="0.25">
      <c r="A6" s="337"/>
      <c r="B6" s="32"/>
      <c r="C6" s="10" t="s">
        <v>54</v>
      </c>
      <c r="D6" s="10">
        <v>7</v>
      </c>
      <c r="E6" s="11">
        <f>VLOOKUP(C6,Data!$A$4:$B$363,2,FALSE)</f>
        <v>378</v>
      </c>
      <c r="F6" s="12"/>
      <c r="G6" s="12"/>
      <c r="H6" s="13"/>
      <c r="I6" s="13"/>
    </row>
    <row r="7" spans="1:10" ht="14.25" customHeight="1" x14ac:dyDescent="0.25">
      <c r="A7" s="337"/>
      <c r="B7" s="32"/>
      <c r="C7" s="10" t="s">
        <v>55</v>
      </c>
      <c r="D7" s="10">
        <v>5</v>
      </c>
      <c r="E7" s="11">
        <f>VLOOKUP(C7,Data!$A$4:$B$363,2,FALSE)</f>
        <v>8050</v>
      </c>
      <c r="F7" s="12"/>
      <c r="G7" s="12"/>
      <c r="H7" s="13"/>
      <c r="I7" s="13"/>
    </row>
    <row r="8" spans="1:10" ht="14.25" customHeight="1" x14ac:dyDescent="0.25">
      <c r="A8" s="337"/>
      <c r="B8" s="32"/>
      <c r="C8" s="10" t="s">
        <v>17</v>
      </c>
      <c r="D8" s="10">
        <v>2</v>
      </c>
      <c r="E8" s="11">
        <f>VLOOKUP(C8,Data!$A$4:$B$363,2,FALSE)</f>
        <v>2010</v>
      </c>
      <c r="F8" s="12"/>
      <c r="G8" s="12"/>
      <c r="H8" s="13"/>
      <c r="I8" s="13"/>
    </row>
    <row r="9" spans="1:10" ht="14.25" customHeight="1" x14ac:dyDescent="0.25">
      <c r="A9" s="337"/>
      <c r="B9" s="14" t="s">
        <v>56</v>
      </c>
      <c r="C9" s="14" t="s">
        <v>10</v>
      </c>
      <c r="D9" s="14">
        <v>1</v>
      </c>
      <c r="E9" s="15">
        <f>VLOOKUP(C9,Data!$A$4:$B$363,2,FALSE)</f>
        <v>13100</v>
      </c>
      <c r="F9" s="17">
        <f>SUM(E9*D9+E10*D10+E11*D11+E12*D12)</f>
        <v>78820</v>
      </c>
      <c r="G9" s="17">
        <f>VLOOKUP(B9,Data!$A$4:$B$363,2,FALSE)</f>
        <v>25300</v>
      </c>
      <c r="H9" s="33">
        <f>G9*$I$2-F9</f>
        <v>-390</v>
      </c>
      <c r="I9" s="33">
        <f>G9*0.85*$I$2-F9</f>
        <v>-12154.5</v>
      </c>
    </row>
    <row r="10" spans="1:10" ht="14.25" customHeight="1" x14ac:dyDescent="0.25">
      <c r="A10" s="337"/>
      <c r="B10" s="14"/>
      <c r="C10" s="14" t="s">
        <v>57</v>
      </c>
      <c r="D10" s="14">
        <v>5</v>
      </c>
      <c r="E10" s="15">
        <f>VLOOKUP(C10,Data!$A$4:$B$363,2,FALSE)</f>
        <v>500</v>
      </c>
      <c r="F10" s="17"/>
      <c r="G10" s="17"/>
      <c r="H10" s="33"/>
      <c r="I10" s="33"/>
    </row>
    <row r="11" spans="1:10" ht="14.25" customHeight="1" x14ac:dyDescent="0.25">
      <c r="A11" s="337"/>
      <c r="B11" s="14"/>
      <c r="C11" s="14" t="s">
        <v>58</v>
      </c>
      <c r="D11" s="14">
        <v>7</v>
      </c>
      <c r="E11" s="15">
        <f>VLOOKUP(C11,Data!$A$4:$B$363,2,FALSE)</f>
        <v>8200</v>
      </c>
      <c r="F11" s="17"/>
      <c r="G11" s="17"/>
      <c r="H11" s="33"/>
      <c r="I11" s="33"/>
    </row>
    <row r="12" spans="1:10" ht="14.25" customHeight="1" x14ac:dyDescent="0.25">
      <c r="A12" s="337"/>
      <c r="B12" s="14"/>
      <c r="C12" s="14" t="s">
        <v>41</v>
      </c>
      <c r="D12" s="14">
        <v>3</v>
      </c>
      <c r="E12" s="15">
        <f>VLOOKUP(C12,Data!$A$4:$B$363,2,FALSE)</f>
        <v>1940</v>
      </c>
      <c r="F12" s="17"/>
      <c r="G12" s="17"/>
      <c r="H12" s="33"/>
      <c r="I12" s="33"/>
    </row>
    <row r="13" spans="1:10" ht="14.25" customHeight="1" x14ac:dyDescent="0.25">
      <c r="A13" s="337"/>
      <c r="B13" s="237" t="s">
        <v>59</v>
      </c>
      <c r="C13" s="237" t="s">
        <v>15</v>
      </c>
      <c r="D13" s="237">
        <v>1</v>
      </c>
      <c r="E13" s="238">
        <f>VLOOKUP(C13,Data!$A$4:$B$363,2,FALSE)</f>
        <v>20700</v>
      </c>
      <c r="F13" s="239">
        <f>SUM(E13*D13+E14*D14+E15*D15+E16*D16)</f>
        <v>45110</v>
      </c>
      <c r="G13" s="239">
        <f>VLOOKUP(B13,Data!$A$4:$B$363,2,FALSE)</f>
        <v>23200</v>
      </c>
      <c r="H13" s="240">
        <f>G13*$I$2-F13</f>
        <v>26810</v>
      </c>
      <c r="I13" s="240">
        <f>G13*0.85*$I$2-F13</f>
        <v>16022</v>
      </c>
    </row>
    <row r="14" spans="1:10" ht="14.25" customHeight="1" x14ac:dyDescent="0.25">
      <c r="A14" s="337"/>
      <c r="B14" s="237"/>
      <c r="C14" s="237" t="s">
        <v>60</v>
      </c>
      <c r="D14" s="237">
        <v>4</v>
      </c>
      <c r="E14" s="238">
        <f>VLOOKUP(C14,Data!$A$4:$B$363,2,FALSE)</f>
        <v>830</v>
      </c>
      <c r="F14" s="239"/>
      <c r="G14" s="239"/>
      <c r="H14" s="240"/>
      <c r="I14" s="240"/>
    </row>
    <row r="15" spans="1:10" ht="14.25" customHeight="1" x14ac:dyDescent="0.25">
      <c r="A15" s="337"/>
      <c r="B15" s="237"/>
      <c r="C15" s="237" t="s">
        <v>61</v>
      </c>
      <c r="D15" s="237">
        <v>4</v>
      </c>
      <c r="E15" s="238">
        <f>VLOOKUP(C15,Data!$A$4:$B$363,2,FALSE)</f>
        <v>3240</v>
      </c>
      <c r="F15" s="239"/>
      <c r="G15" s="239"/>
      <c r="H15" s="240"/>
      <c r="I15" s="240"/>
    </row>
    <row r="16" spans="1:10" ht="14.25" customHeight="1" x14ac:dyDescent="0.25">
      <c r="A16" s="337"/>
      <c r="B16" s="237"/>
      <c r="C16" s="237" t="s">
        <v>62</v>
      </c>
      <c r="D16" s="237">
        <v>3</v>
      </c>
      <c r="E16" s="238">
        <f>VLOOKUP(C16,Data!$A$4:$B$363,2,FALSE)</f>
        <v>2710</v>
      </c>
      <c r="F16" s="239"/>
      <c r="G16" s="239"/>
      <c r="H16" s="240"/>
      <c r="I16" s="240"/>
    </row>
    <row r="17" spans="1:17" ht="14.25" customHeight="1" x14ac:dyDescent="0.25">
      <c r="A17" s="337"/>
      <c r="B17" s="151" t="s">
        <v>63</v>
      </c>
      <c r="C17" s="151" t="s">
        <v>15</v>
      </c>
      <c r="D17" s="151">
        <v>1</v>
      </c>
      <c r="E17" s="277">
        <f>VLOOKUP(C17,Data!$A$4:$B$363,2,FALSE)</f>
        <v>20700</v>
      </c>
      <c r="F17" s="278">
        <f>SUM(E17*D17+E18*D18+E19*D19+E20*D20)</f>
        <v>50622</v>
      </c>
      <c r="G17" s="278">
        <f>VLOOKUP(B17,Data!$A$4:$B$363,2,FALSE)</f>
        <v>12200</v>
      </c>
      <c r="H17" s="279">
        <f>G17*$I$2-F17</f>
        <v>-12802</v>
      </c>
      <c r="I17" s="279">
        <f>G17*0.85*$I$2-F17</f>
        <v>-18475</v>
      </c>
    </row>
    <row r="18" spans="1:17" ht="14.25" customHeight="1" x14ac:dyDescent="0.25">
      <c r="A18" s="337"/>
      <c r="B18" s="151"/>
      <c r="C18" s="151" t="s">
        <v>64</v>
      </c>
      <c r="D18" s="151">
        <v>6</v>
      </c>
      <c r="E18" s="277">
        <f>VLOOKUP(C18,Data!$A$4:$B$363,2,FALSE)</f>
        <v>217</v>
      </c>
      <c r="F18" s="278"/>
      <c r="G18" s="278"/>
      <c r="H18" s="279"/>
      <c r="I18" s="279"/>
    </row>
    <row r="19" spans="1:17" ht="14.25" customHeight="1" x14ac:dyDescent="0.25">
      <c r="A19" s="337"/>
      <c r="B19" s="151"/>
      <c r="C19" s="151" t="s">
        <v>65</v>
      </c>
      <c r="D19" s="151">
        <v>4</v>
      </c>
      <c r="E19" s="277">
        <f>VLOOKUP(C19,Data!$A$4:$B$363,2,FALSE)</f>
        <v>6150</v>
      </c>
      <c r="F19" s="278"/>
      <c r="G19" s="278"/>
      <c r="H19" s="279"/>
      <c r="I19" s="279"/>
    </row>
    <row r="20" spans="1:17" ht="14.25" customHeight="1" x14ac:dyDescent="0.25">
      <c r="A20" s="337"/>
      <c r="B20" s="151"/>
      <c r="C20" s="151" t="s">
        <v>44</v>
      </c>
      <c r="D20" s="151">
        <v>2</v>
      </c>
      <c r="E20" s="277">
        <f>VLOOKUP(C20,Data!$A$4:$B$363,2,FALSE)</f>
        <v>2010</v>
      </c>
      <c r="F20" s="278"/>
      <c r="G20" s="278"/>
      <c r="H20" s="279"/>
      <c r="I20" s="279"/>
      <c r="L20" s="77"/>
      <c r="Q20" s="77"/>
    </row>
    <row r="21" spans="1:17" ht="14.25" customHeight="1" x14ac:dyDescent="0.25">
      <c r="A21" s="337"/>
      <c r="B21" s="10" t="s">
        <v>66</v>
      </c>
      <c r="C21" s="10" t="s">
        <v>10</v>
      </c>
      <c r="D21" s="10">
        <v>1</v>
      </c>
      <c r="E21" s="11">
        <f>VLOOKUP(C21,Data!$A$4:$B$363,2,FALSE)</f>
        <v>13100</v>
      </c>
      <c r="F21" s="12">
        <f>SUM(E21*D21+E22*D22+E23*D23+E24*D24)</f>
        <v>54230</v>
      </c>
      <c r="G21" s="12">
        <f>VLOOKUP(B21,Data!$A$4:$B$363,2,FALSE)</f>
        <v>12000</v>
      </c>
      <c r="H21" s="13">
        <f>G21*$I$2-F21</f>
        <v>-17030</v>
      </c>
      <c r="I21" s="13">
        <f>G21*0.85*$I$2-F21</f>
        <v>-22610</v>
      </c>
    </row>
    <row r="22" spans="1:17" ht="14.25" customHeight="1" x14ac:dyDescent="0.25">
      <c r="A22" s="337"/>
      <c r="B22" s="10"/>
      <c r="C22" s="10" t="s">
        <v>67</v>
      </c>
      <c r="D22" s="10">
        <v>4</v>
      </c>
      <c r="E22" s="11">
        <f>VLOOKUP(C22,Data!$A$4:$B$363,2,FALSE)</f>
        <v>750</v>
      </c>
      <c r="F22" s="12"/>
      <c r="G22" s="12"/>
      <c r="H22" s="13"/>
      <c r="I22" s="13"/>
    </row>
    <row r="23" spans="1:17" ht="14.25" customHeight="1" x14ac:dyDescent="0.25">
      <c r="A23" s="337"/>
      <c r="B23" s="10"/>
      <c r="C23" s="10" t="s">
        <v>68</v>
      </c>
      <c r="D23" s="10">
        <v>4</v>
      </c>
      <c r="E23" s="11">
        <f>VLOOKUP(C23,Data!$A$4:$B$363,2,FALSE)</f>
        <v>7500</v>
      </c>
      <c r="F23" s="12"/>
      <c r="G23" s="12"/>
      <c r="H23" s="13"/>
      <c r="I23" s="13"/>
    </row>
    <row r="24" spans="1:17" ht="14.25" customHeight="1" x14ac:dyDescent="0.25">
      <c r="A24" s="337"/>
      <c r="B24" s="10"/>
      <c r="C24" s="10" t="s">
        <v>62</v>
      </c>
      <c r="D24" s="10">
        <v>3</v>
      </c>
      <c r="E24" s="11">
        <f>VLOOKUP(C24,Data!$A$4:$B$363,2,FALSE)</f>
        <v>2710</v>
      </c>
      <c r="F24" s="12"/>
      <c r="G24" s="12"/>
      <c r="H24" s="13"/>
      <c r="I24" s="13"/>
    </row>
    <row r="25" spans="1:17" ht="14.25" customHeight="1" x14ac:dyDescent="0.25">
      <c r="A25" s="337"/>
      <c r="B25" s="14" t="s">
        <v>69</v>
      </c>
      <c r="C25" s="14" t="s">
        <v>70</v>
      </c>
      <c r="D25" s="14">
        <v>3</v>
      </c>
      <c r="E25" s="15">
        <f>VLOOKUP(C25,Data!$A$4:$B$363,2,FALSE)</f>
        <v>815</v>
      </c>
      <c r="F25" s="17">
        <f>SUM(E25*D25+E26*D26+E27*D27+E28*D28)</f>
        <v>68445</v>
      </c>
      <c r="G25" s="17">
        <f>VLOOKUP(B25,Data!$A$4:$B$363,2,FALSE)</f>
        <v>21700</v>
      </c>
      <c r="H25" s="33">
        <f>G25*$I$2-F25</f>
        <v>-1175</v>
      </c>
      <c r="I25" s="33">
        <f>G25*0.85*$I$2-F25</f>
        <v>-11265.5</v>
      </c>
    </row>
    <row r="26" spans="1:17" ht="14.25" customHeight="1" x14ac:dyDescent="0.25">
      <c r="A26" s="337"/>
      <c r="B26" s="14"/>
      <c r="C26" s="14" t="s">
        <v>71</v>
      </c>
      <c r="D26" s="14">
        <v>1</v>
      </c>
      <c r="E26" s="15">
        <f>VLOOKUP(C26,Data!$A$4:$B$363,2,FALSE)</f>
        <v>3400</v>
      </c>
      <c r="F26" s="17"/>
      <c r="G26" s="17"/>
      <c r="H26" s="33"/>
      <c r="I26" s="33"/>
    </row>
    <row r="27" spans="1:17" ht="14.25" customHeight="1" x14ac:dyDescent="0.25">
      <c r="A27" s="337"/>
      <c r="B27" s="14"/>
      <c r="C27" s="14" t="s">
        <v>14</v>
      </c>
      <c r="D27" s="14">
        <v>7</v>
      </c>
      <c r="E27" s="15">
        <f>VLOOKUP(C27,Data!$A$4:$B$363,2,FALSE)</f>
        <v>6800</v>
      </c>
      <c r="F27" s="17"/>
      <c r="G27" s="17"/>
      <c r="H27" s="33"/>
      <c r="I27" s="33"/>
    </row>
    <row r="28" spans="1:17" ht="14.25" customHeight="1" thickBot="1" x14ac:dyDescent="0.3">
      <c r="A28" s="337"/>
      <c r="B28" s="27"/>
      <c r="C28" s="27" t="s">
        <v>72</v>
      </c>
      <c r="D28" s="27">
        <v>3</v>
      </c>
      <c r="E28" s="28">
        <f>VLOOKUP(C28,Data!$A$4:$B$363,2,FALSE)</f>
        <v>5000</v>
      </c>
      <c r="F28" s="125"/>
      <c r="G28" s="125"/>
      <c r="H28" s="34"/>
      <c r="I28" s="34"/>
    </row>
    <row r="29" spans="1:17" ht="14.25" customHeight="1" x14ac:dyDescent="0.25">
      <c r="A29" s="315" t="s">
        <v>73</v>
      </c>
      <c r="B29" s="24" t="s">
        <v>74</v>
      </c>
      <c r="C29" s="24" t="s">
        <v>75</v>
      </c>
      <c r="D29" s="24">
        <v>4</v>
      </c>
      <c r="E29" s="25">
        <f>VLOOKUP(C29,Data!$A$4:$B$363,2,FALSE)</f>
        <v>680</v>
      </c>
      <c r="F29" s="26">
        <f>SUM(E29*D29+E30*D30+E31*D31+E32*D32)</f>
        <v>71870</v>
      </c>
      <c r="G29" s="26">
        <f>VLOOKUP(B29,Data!$A$4:$B$363,2,FALSE)</f>
        <v>36500</v>
      </c>
      <c r="H29" s="35">
        <f>G29*$I$2-F29</f>
        <v>41280</v>
      </c>
      <c r="I29" s="35">
        <f>G29*0.85*$I$2-F29</f>
        <v>24307.5</v>
      </c>
    </row>
    <row r="30" spans="1:17" ht="14.25" customHeight="1" x14ac:dyDescent="0.25">
      <c r="A30" s="317"/>
      <c r="B30" s="14"/>
      <c r="C30" s="14" t="s">
        <v>65</v>
      </c>
      <c r="D30" s="14">
        <v>1</v>
      </c>
      <c r="E30" s="15">
        <f>VLOOKUP(C30,Data!$A$4:$B$363,2,FALSE)</f>
        <v>6150</v>
      </c>
      <c r="F30" s="17"/>
      <c r="G30" s="17"/>
      <c r="H30" s="33"/>
      <c r="I30" s="33"/>
    </row>
    <row r="31" spans="1:17" ht="14.25" customHeight="1" x14ac:dyDescent="0.25">
      <c r="A31" s="317"/>
      <c r="B31" s="14"/>
      <c r="C31" s="14" t="s">
        <v>27</v>
      </c>
      <c r="D31" s="14">
        <v>4</v>
      </c>
      <c r="E31" s="15">
        <f>VLOOKUP(C31,Data!$A$4:$B$363,2,FALSE)</f>
        <v>12000</v>
      </c>
      <c r="F31" s="17"/>
      <c r="G31" s="17"/>
      <c r="H31" s="33"/>
      <c r="I31" s="33"/>
    </row>
    <row r="32" spans="1:17" ht="14.25" customHeight="1" x14ac:dyDescent="0.25">
      <c r="A32" s="317"/>
      <c r="B32" s="14"/>
      <c r="C32" s="14" t="s">
        <v>72</v>
      </c>
      <c r="D32" s="14">
        <v>3</v>
      </c>
      <c r="E32" s="15">
        <f>VLOOKUP(C32,Data!$A$4:$B$363,2,FALSE)</f>
        <v>5000</v>
      </c>
      <c r="F32" s="17"/>
      <c r="G32" s="17"/>
      <c r="H32" s="33"/>
      <c r="I32" s="33"/>
    </row>
    <row r="33" spans="1:9" ht="14.25" customHeight="1" x14ac:dyDescent="0.25">
      <c r="A33" s="317"/>
      <c r="B33" s="10" t="s">
        <v>76</v>
      </c>
      <c r="C33" s="10" t="s">
        <v>19</v>
      </c>
      <c r="D33" s="10">
        <v>1</v>
      </c>
      <c r="E33" s="11">
        <f>VLOOKUP(C33,Data!$A$4:$B$363,2,FALSE)</f>
        <v>57000</v>
      </c>
      <c r="F33" s="12">
        <f>SUM(E33*D33+E34*D34+E35*D35+E36*D36)</f>
        <v>72114</v>
      </c>
      <c r="G33" s="12">
        <f>VLOOKUP(B33,Data!$A$4:$B$363,2,FALSE)</f>
        <v>59000</v>
      </c>
      <c r="H33" s="13">
        <f>G33*$I$2-F33</f>
        <v>110786</v>
      </c>
      <c r="I33" s="13">
        <f>G33*0.85*$I$2-F33</f>
        <v>83351</v>
      </c>
    </row>
    <row r="34" spans="1:9" ht="14.25" customHeight="1" x14ac:dyDescent="0.25">
      <c r="A34" s="317"/>
      <c r="B34" s="10"/>
      <c r="C34" s="10" t="s">
        <v>77</v>
      </c>
      <c r="D34" s="10">
        <v>6</v>
      </c>
      <c r="E34" s="11">
        <f>VLOOKUP(C34,Data!$A$4:$B$363,2,FALSE)</f>
        <v>229</v>
      </c>
      <c r="F34" s="12"/>
      <c r="G34" s="12"/>
      <c r="H34" s="13"/>
      <c r="I34" s="13"/>
    </row>
    <row r="35" spans="1:9" ht="14.25" customHeight="1" x14ac:dyDescent="0.25">
      <c r="A35" s="317"/>
      <c r="B35" s="10"/>
      <c r="C35" s="10" t="s">
        <v>61</v>
      </c>
      <c r="D35" s="10">
        <v>3</v>
      </c>
      <c r="E35" s="11">
        <f>VLOOKUP(C35,Data!$A$4:$B$363,2,FALSE)</f>
        <v>3240</v>
      </c>
      <c r="F35" s="12"/>
      <c r="G35" s="12"/>
      <c r="H35" s="13"/>
      <c r="I35" s="13"/>
    </row>
    <row r="36" spans="1:9" ht="14.25" customHeight="1" x14ac:dyDescent="0.25">
      <c r="A36" s="317"/>
      <c r="B36" s="10"/>
      <c r="C36" s="10" t="s">
        <v>44</v>
      </c>
      <c r="D36" s="10">
        <v>2</v>
      </c>
      <c r="E36" s="11">
        <f>VLOOKUP(C36,Data!$A$4:$B$363,2,FALSE)</f>
        <v>2010</v>
      </c>
      <c r="F36" s="12"/>
      <c r="G36" s="12"/>
      <c r="H36" s="13"/>
      <c r="I36" s="13"/>
    </row>
    <row r="37" spans="1:9" ht="14.25" customHeight="1" x14ac:dyDescent="0.25">
      <c r="A37" s="317"/>
      <c r="B37" s="14" t="s">
        <v>78</v>
      </c>
      <c r="C37" s="14" t="s">
        <v>79</v>
      </c>
      <c r="D37" s="14">
        <v>1</v>
      </c>
      <c r="E37" s="15">
        <f>VLOOKUP(C37,Data!$A$4:$B$363,2,FALSE)</f>
        <v>3320</v>
      </c>
      <c r="F37" s="17">
        <f>SUM(E37*D37+E38*D38+E39*D39+E40*D40)</f>
        <v>102720</v>
      </c>
      <c r="G37" s="17">
        <f>VLOOKUP(B37,Data!$A$4:$B$363,2,FALSE)</f>
        <v>54000</v>
      </c>
      <c r="H37" s="33">
        <f>G37*$I$2-F37</f>
        <v>64680</v>
      </c>
      <c r="I37" s="33">
        <f>G37*0.85*$I$2-F37</f>
        <v>39570</v>
      </c>
    </row>
    <row r="38" spans="1:9" ht="14.25" customHeight="1" x14ac:dyDescent="0.25">
      <c r="A38" s="317"/>
      <c r="B38" s="14"/>
      <c r="C38" s="14" t="s">
        <v>65</v>
      </c>
      <c r="D38" s="14">
        <v>6</v>
      </c>
      <c r="E38" s="15">
        <f>VLOOKUP(C38,Data!$A$4:$B$363,2,FALSE)</f>
        <v>6150</v>
      </c>
      <c r="F38" s="17"/>
      <c r="G38" s="17"/>
      <c r="H38" s="33"/>
      <c r="I38" s="33"/>
    </row>
    <row r="39" spans="1:9" ht="14.25" customHeight="1" x14ac:dyDescent="0.25">
      <c r="A39" s="317"/>
      <c r="B39" s="14"/>
      <c r="C39" s="14" t="s">
        <v>18</v>
      </c>
      <c r="D39" s="14">
        <v>5</v>
      </c>
      <c r="E39" s="15">
        <f>VLOOKUP(C39,Data!$A$4:$B$363,2,FALSE)</f>
        <v>9500</v>
      </c>
      <c r="F39" s="17"/>
      <c r="G39" s="17"/>
      <c r="H39" s="33"/>
      <c r="I39" s="33"/>
    </row>
    <row r="40" spans="1:9" ht="14.25" customHeight="1" x14ac:dyDescent="0.25">
      <c r="A40" s="317"/>
      <c r="B40" s="14"/>
      <c r="C40" s="14" t="s">
        <v>72</v>
      </c>
      <c r="D40" s="14">
        <v>3</v>
      </c>
      <c r="E40" s="15">
        <f>VLOOKUP(C40,Data!$A$4:$B$363,2,FALSE)</f>
        <v>5000</v>
      </c>
      <c r="F40" s="17"/>
      <c r="G40" s="17"/>
      <c r="H40" s="33"/>
      <c r="I40" s="33"/>
    </row>
    <row r="41" spans="1:9" ht="14.25" customHeight="1" x14ac:dyDescent="0.25">
      <c r="A41" s="317"/>
      <c r="B41" s="10" t="s">
        <v>80</v>
      </c>
      <c r="C41" s="10" t="s">
        <v>19</v>
      </c>
      <c r="D41" s="10">
        <v>1</v>
      </c>
      <c r="E41" s="11">
        <f>VLOOKUP(C41,Data!$A$4:$B$363,2,FALSE)</f>
        <v>57000</v>
      </c>
      <c r="F41" s="12">
        <f>SUM(E41*D41+E42*D42+E43*D43+E44*D44)</f>
        <v>118200</v>
      </c>
      <c r="G41" s="12">
        <f>VLOOKUP(B41,Data!$A$4:$B$363,2,FALSE)</f>
        <v>30100</v>
      </c>
      <c r="H41" s="13">
        <f>G41*$I$2-F41</f>
        <v>-24890</v>
      </c>
      <c r="I41" s="13">
        <f>G41*0.85*$I$2-F41</f>
        <v>-38886.5</v>
      </c>
    </row>
    <row r="42" spans="1:9" ht="14.25" customHeight="1" x14ac:dyDescent="0.25">
      <c r="A42" s="317"/>
      <c r="B42" s="10"/>
      <c r="C42" s="10" t="s">
        <v>67</v>
      </c>
      <c r="D42" s="10">
        <v>5</v>
      </c>
      <c r="E42" s="11">
        <f>VLOOKUP(C42,Data!$A$4:$B$363,2,FALSE)</f>
        <v>750</v>
      </c>
      <c r="F42" s="12"/>
      <c r="G42" s="12"/>
      <c r="H42" s="13"/>
      <c r="I42" s="13"/>
    </row>
    <row r="43" spans="1:9" ht="14.25" customHeight="1" x14ac:dyDescent="0.25">
      <c r="A43" s="317"/>
      <c r="B43" s="10"/>
      <c r="C43" s="10" t="s">
        <v>55</v>
      </c>
      <c r="D43" s="10">
        <v>5</v>
      </c>
      <c r="E43" s="11">
        <f>VLOOKUP(C43,Data!$A$4:$B$363,2,FALSE)</f>
        <v>8050</v>
      </c>
      <c r="F43" s="12"/>
      <c r="G43" s="12"/>
      <c r="H43" s="13"/>
      <c r="I43" s="13"/>
    </row>
    <row r="44" spans="1:9" ht="14.25" customHeight="1" x14ac:dyDescent="0.25">
      <c r="A44" s="317"/>
      <c r="B44" s="10"/>
      <c r="C44" s="10" t="s">
        <v>12</v>
      </c>
      <c r="D44" s="10">
        <v>2</v>
      </c>
      <c r="E44" s="11">
        <f>VLOOKUP(C44,Data!$A$4:$B$363,2,FALSE)</f>
        <v>8600</v>
      </c>
      <c r="F44" s="12"/>
      <c r="G44" s="12"/>
      <c r="H44" s="13"/>
      <c r="I44" s="13"/>
    </row>
    <row r="45" spans="1:9" ht="14.25" customHeight="1" x14ac:dyDescent="0.25">
      <c r="A45" s="317"/>
      <c r="B45" s="14" t="s">
        <v>81</v>
      </c>
      <c r="C45" s="14" t="s">
        <v>28</v>
      </c>
      <c r="D45" s="14">
        <v>1</v>
      </c>
      <c r="E45" s="15">
        <f>VLOOKUP(C45,Data!$A$4:$B$363,2,FALSE)</f>
        <v>48400</v>
      </c>
      <c r="F45" s="17">
        <f>SUM(E45*D45+E46*D46+E47*D47+E48*D48)</f>
        <v>91639</v>
      </c>
      <c r="G45" s="17">
        <f>VLOOKUP(B45,Data!$A$4:$B$363,2,FALSE)</f>
        <v>31800</v>
      </c>
      <c r="H45" s="33">
        <f>G45*$I$2-F45</f>
        <v>6941</v>
      </c>
      <c r="I45" s="33">
        <f>G45*0.85*$I$2-F45</f>
        <v>-7846</v>
      </c>
    </row>
    <row r="46" spans="1:9" ht="14.25" customHeight="1" x14ac:dyDescent="0.25">
      <c r="A46" s="317"/>
      <c r="B46" s="14"/>
      <c r="C46" s="14" t="s">
        <v>64</v>
      </c>
      <c r="D46" s="14">
        <v>7</v>
      </c>
      <c r="E46" s="15">
        <f>VLOOKUP(C46,Data!$A$4:$B$363,2,FALSE)</f>
        <v>217</v>
      </c>
      <c r="F46" s="17"/>
      <c r="G46" s="17"/>
      <c r="H46" s="33"/>
      <c r="I46" s="33"/>
    </row>
    <row r="47" spans="1:9" ht="14.25" customHeight="1" x14ac:dyDescent="0.25">
      <c r="A47" s="317"/>
      <c r="B47" s="14"/>
      <c r="C47" s="14" t="s">
        <v>55</v>
      </c>
      <c r="D47" s="14">
        <v>4</v>
      </c>
      <c r="E47" s="15">
        <f>VLOOKUP(C47,Data!$A$4:$B$363,2,FALSE)</f>
        <v>8050</v>
      </c>
      <c r="F47" s="17"/>
      <c r="G47" s="17"/>
      <c r="H47" s="33"/>
      <c r="I47" s="33"/>
    </row>
    <row r="48" spans="1:9" ht="14.25" customHeight="1" x14ac:dyDescent="0.25">
      <c r="A48" s="317"/>
      <c r="B48" s="14"/>
      <c r="C48" s="14" t="s">
        <v>36</v>
      </c>
      <c r="D48" s="14">
        <v>2</v>
      </c>
      <c r="E48" s="15">
        <f>VLOOKUP(C48,Data!$A$4:$B$363,2,FALSE)</f>
        <v>4760</v>
      </c>
      <c r="F48" s="17"/>
      <c r="G48" s="17"/>
      <c r="H48" s="33"/>
      <c r="I48" s="33"/>
    </row>
    <row r="49" spans="1:9" ht="14.25" customHeight="1" x14ac:dyDescent="0.25">
      <c r="A49" s="317"/>
      <c r="B49" s="237" t="s">
        <v>82</v>
      </c>
      <c r="C49" s="237" t="s">
        <v>19</v>
      </c>
      <c r="D49" s="237">
        <v>1</v>
      </c>
      <c r="E49" s="238">
        <f>VLOOKUP(C49,Data!$A$4:$B$363,2,FALSE)</f>
        <v>57000</v>
      </c>
      <c r="F49" s="239">
        <f>SUM(E49*D49+E50*D50+E51*D51+E52*D52)</f>
        <v>101080</v>
      </c>
      <c r="G49" s="239">
        <f>VLOOKUP(B49,Data!$A$4:$B$363,2,FALSE)</f>
        <v>37500</v>
      </c>
      <c r="H49" s="240">
        <f>G49*$I$2-F49</f>
        <v>15170</v>
      </c>
      <c r="I49" s="240">
        <f>G49*0.85*$I$2-F49</f>
        <v>-2267.5</v>
      </c>
    </row>
    <row r="50" spans="1:9" ht="14.25" customHeight="1" x14ac:dyDescent="0.25">
      <c r="A50" s="317"/>
      <c r="B50" s="237"/>
      <c r="C50" s="237" t="s">
        <v>83</v>
      </c>
      <c r="D50" s="237">
        <v>6</v>
      </c>
      <c r="E50" s="238">
        <f>VLOOKUP(C50,Data!$A$4:$B$363,2,FALSE)</f>
        <v>450</v>
      </c>
      <c r="F50" s="239"/>
      <c r="G50" s="239"/>
      <c r="H50" s="240"/>
      <c r="I50" s="240"/>
    </row>
    <row r="51" spans="1:9" ht="14.25" customHeight="1" x14ac:dyDescent="0.25">
      <c r="A51" s="317"/>
      <c r="B51" s="237"/>
      <c r="C51" s="237" t="s">
        <v>41</v>
      </c>
      <c r="D51" s="237">
        <v>2</v>
      </c>
      <c r="E51" s="238">
        <f>VLOOKUP(C51,Data!$A$4:$B$363,2,FALSE)</f>
        <v>1940</v>
      </c>
      <c r="F51" s="239"/>
      <c r="G51" s="239"/>
      <c r="H51" s="240"/>
      <c r="I51" s="240"/>
    </row>
    <row r="52" spans="1:9" ht="14.25" customHeight="1" x14ac:dyDescent="0.25">
      <c r="A52" s="317"/>
      <c r="B52" s="237"/>
      <c r="C52" s="237" t="s">
        <v>68</v>
      </c>
      <c r="D52" s="237">
        <v>5</v>
      </c>
      <c r="E52" s="238">
        <f>VLOOKUP(C52,Data!$A$4:$B$363,2,FALSE)</f>
        <v>7500</v>
      </c>
      <c r="F52" s="239"/>
      <c r="G52" s="239"/>
      <c r="H52" s="240"/>
      <c r="I52" s="240"/>
    </row>
    <row r="53" spans="1:9" ht="14.25" customHeight="1" x14ac:dyDescent="0.25">
      <c r="A53" s="317"/>
      <c r="B53" s="14" t="s">
        <v>84</v>
      </c>
      <c r="C53" s="14" t="s">
        <v>85</v>
      </c>
      <c r="D53" s="14">
        <v>4</v>
      </c>
      <c r="E53" s="15">
        <f>VLOOKUP(C53,Data!$A$4:$B$363,2,FALSE)</f>
        <v>980</v>
      </c>
      <c r="F53" s="17">
        <f>SUM(E53*D53+E54*D54+E55*D55+E56*D56+D57*E57)</f>
        <v>58610</v>
      </c>
      <c r="G53" s="17">
        <f>VLOOKUP(B53,Data!$A$4:$B$363,2,FALSE)</f>
        <v>23800</v>
      </c>
      <c r="H53" s="33">
        <f>G53*$I$2-F53</f>
        <v>15170</v>
      </c>
      <c r="I53" s="33">
        <f>G53*0.85*$I$2-F53</f>
        <v>4103</v>
      </c>
    </row>
    <row r="54" spans="1:9" ht="14.25" customHeight="1" x14ac:dyDescent="0.25">
      <c r="A54" s="317"/>
      <c r="B54" s="14"/>
      <c r="C54" s="54" t="s">
        <v>86</v>
      </c>
      <c r="D54" s="14">
        <v>2</v>
      </c>
      <c r="E54" s="15">
        <f>VLOOKUP(C54,Data!$A$4:$B$363,2,FALSE)</f>
        <v>3280</v>
      </c>
      <c r="F54" s="17"/>
      <c r="G54" s="17"/>
      <c r="H54" s="33"/>
      <c r="I54" s="33"/>
    </row>
    <row r="55" spans="1:9" ht="14.25" customHeight="1" x14ac:dyDescent="0.25">
      <c r="A55" s="317"/>
      <c r="B55" s="14"/>
      <c r="C55" s="14" t="s">
        <v>41</v>
      </c>
      <c r="D55" s="14">
        <v>3</v>
      </c>
      <c r="E55" s="15">
        <f>VLOOKUP(C55,Data!$A$4:$B$363,2,FALSE)</f>
        <v>1940</v>
      </c>
      <c r="F55" s="17"/>
      <c r="G55" s="17"/>
      <c r="H55" s="33"/>
      <c r="I55" s="33"/>
    </row>
    <row r="56" spans="1:9" ht="14.25" customHeight="1" x14ac:dyDescent="0.25">
      <c r="A56" s="317"/>
      <c r="B56" s="14"/>
      <c r="C56" s="14" t="s">
        <v>24</v>
      </c>
      <c r="D56" s="14">
        <v>5</v>
      </c>
      <c r="E56" s="15">
        <f>VLOOKUP(C56,Data!$A$4:$B$363,2,FALSE)</f>
        <v>7500</v>
      </c>
      <c r="F56" s="17"/>
      <c r="G56" s="17"/>
      <c r="H56" s="33"/>
      <c r="I56" s="33"/>
    </row>
    <row r="57" spans="1:9" ht="14.25" customHeight="1" thickBot="1" x14ac:dyDescent="0.3">
      <c r="A57" s="317"/>
      <c r="B57" s="27"/>
      <c r="C57" s="36" t="s">
        <v>87</v>
      </c>
      <c r="D57" s="27">
        <v>1</v>
      </c>
      <c r="E57" s="28">
        <f>VLOOKUP(C57,Data!$A$4:$B$363,2,FALSE)</f>
        <v>4810</v>
      </c>
      <c r="F57" s="125"/>
      <c r="G57" s="125"/>
      <c r="H57" s="34"/>
      <c r="I57" s="34"/>
    </row>
    <row r="58" spans="1:9" ht="14.25" customHeight="1" x14ac:dyDescent="0.25">
      <c r="A58" s="336" t="s">
        <v>88</v>
      </c>
      <c r="B58" s="272" t="s">
        <v>89</v>
      </c>
      <c r="C58" s="273" t="s">
        <v>28</v>
      </c>
      <c r="D58" s="272">
        <v>1</v>
      </c>
      <c r="E58" s="274">
        <f>VLOOKUP(C58,Data!$A$4:$B$363,2,FALSE)</f>
        <v>48400</v>
      </c>
      <c r="F58" s="275">
        <f>SUM(E58*D58+E59*D59+E60*D60+E61*D61)</f>
        <v>86750</v>
      </c>
      <c r="G58" s="275">
        <f>VLOOKUP(B58,Data!$A$4:$B$363,2,FALSE)</f>
        <v>30800</v>
      </c>
      <c r="H58" s="276">
        <f>G58*$I$2-F58</f>
        <v>8730</v>
      </c>
      <c r="I58" s="276">
        <f>G58*0.85*$I$2-F58</f>
        <v>-5592</v>
      </c>
    </row>
    <row r="59" spans="1:9" ht="14.25" customHeight="1" x14ac:dyDescent="0.25">
      <c r="A59" s="337"/>
      <c r="B59" s="151"/>
      <c r="C59" s="151" t="s">
        <v>60</v>
      </c>
      <c r="D59" s="151">
        <v>5</v>
      </c>
      <c r="E59" s="277">
        <f>VLOOKUP(C59,Data!$A$4:$B$363,2,FALSE)</f>
        <v>830</v>
      </c>
      <c r="F59" s="278"/>
      <c r="G59" s="278"/>
      <c r="H59" s="279"/>
      <c r="I59" s="279"/>
    </row>
    <row r="60" spans="1:9" ht="14.25" customHeight="1" x14ac:dyDescent="0.25">
      <c r="A60" s="337"/>
      <c r="B60" s="151"/>
      <c r="C60" s="151" t="s">
        <v>71</v>
      </c>
      <c r="D60" s="151">
        <v>5</v>
      </c>
      <c r="E60" s="277">
        <f>VLOOKUP(C60,Data!$A$4:$B$363,2,FALSE)</f>
        <v>3400</v>
      </c>
      <c r="F60" s="278"/>
      <c r="G60" s="278"/>
      <c r="H60" s="279"/>
      <c r="I60" s="279"/>
    </row>
    <row r="61" spans="1:9" ht="14.25" customHeight="1" x14ac:dyDescent="0.25">
      <c r="A61" s="337"/>
      <c r="B61" s="151"/>
      <c r="C61" s="151" t="s">
        <v>12</v>
      </c>
      <c r="D61" s="151">
        <v>2</v>
      </c>
      <c r="E61" s="277">
        <f>VLOOKUP(C61,Data!$A$4:$B$363,2,FALSE)</f>
        <v>8600</v>
      </c>
      <c r="F61" s="278"/>
      <c r="G61" s="278"/>
      <c r="H61" s="279"/>
      <c r="I61" s="279"/>
    </row>
    <row r="62" spans="1:9" ht="14.25" customHeight="1" x14ac:dyDescent="0.25">
      <c r="A62" s="337"/>
      <c r="B62" s="10" t="s">
        <v>90</v>
      </c>
      <c r="C62" s="10" t="s">
        <v>79</v>
      </c>
      <c r="D62" s="10">
        <v>1</v>
      </c>
      <c r="E62" s="11">
        <f>VLOOKUP(C62,Data!$A$4:$B$363,2,FALSE)</f>
        <v>3320</v>
      </c>
      <c r="F62" s="12">
        <f>SUM(E62*D62+E63*D63+E64*D64+E65*D65)</f>
        <v>43265</v>
      </c>
      <c r="G62" s="12">
        <f>VLOOKUP(B62,Data!$A$4:$B$363,2,FALSE)</f>
        <v>29400</v>
      </c>
      <c r="H62" s="13">
        <f>G62*$I$2-F62</f>
        <v>47875</v>
      </c>
      <c r="I62" s="13">
        <f>G62*0.85*$I$2-F62</f>
        <v>34204</v>
      </c>
    </row>
    <row r="63" spans="1:9" ht="14.25" customHeight="1" x14ac:dyDescent="0.25">
      <c r="A63" s="337"/>
      <c r="B63" s="10"/>
      <c r="C63" s="10" t="s">
        <v>70</v>
      </c>
      <c r="D63" s="10">
        <v>3</v>
      </c>
      <c r="E63" s="11">
        <f>VLOOKUP(C63,Data!$A$4:$B$363,2,FALSE)</f>
        <v>815</v>
      </c>
      <c r="F63" s="12"/>
      <c r="G63" s="12"/>
      <c r="H63" s="13"/>
      <c r="I63" s="13"/>
    </row>
    <row r="64" spans="1:9" ht="14.25" customHeight="1" x14ac:dyDescent="0.25">
      <c r="A64" s="337"/>
      <c r="B64" s="10"/>
      <c r="C64" s="10" t="s">
        <v>91</v>
      </c>
      <c r="D64" s="10">
        <v>2</v>
      </c>
      <c r="E64" s="11">
        <f>VLOOKUP(C64,Data!$A$4:$B$363,2,FALSE)</f>
        <v>750</v>
      </c>
      <c r="F64" s="12"/>
      <c r="G64" s="12"/>
      <c r="H64" s="13"/>
      <c r="I64" s="13"/>
    </row>
    <row r="65" spans="1:10" ht="14.25" customHeight="1" x14ac:dyDescent="0.25">
      <c r="A65" s="337"/>
      <c r="B65" s="10"/>
      <c r="C65" s="10" t="s">
        <v>27</v>
      </c>
      <c r="D65" s="10">
        <v>3</v>
      </c>
      <c r="E65" s="11">
        <f>VLOOKUP(C65,Data!$A$4:$B$363,2,FALSE)</f>
        <v>12000</v>
      </c>
      <c r="F65" s="12"/>
      <c r="G65" s="12"/>
      <c r="H65" s="13"/>
      <c r="I65" s="13"/>
    </row>
    <row r="66" spans="1:10" ht="14.25" customHeight="1" x14ac:dyDescent="0.25">
      <c r="A66" s="337"/>
      <c r="B66" s="14" t="s">
        <v>92</v>
      </c>
      <c r="C66" s="14" t="s">
        <v>85</v>
      </c>
      <c r="D66" s="14">
        <v>4</v>
      </c>
      <c r="E66" s="15">
        <f>VLOOKUP(C66,Data!$A$4:$B$363,2,FALSE)</f>
        <v>980</v>
      </c>
      <c r="F66" s="17">
        <f>SUM(E66*D66+E67*D67+E68*D68+E69*D69+D70*E70)</f>
        <v>130090</v>
      </c>
      <c r="G66" s="17">
        <f>VLOOKUP(B66,Data!$A$4:$B$363,2,FALSE)</f>
        <v>55500</v>
      </c>
      <c r="H66" s="33">
        <f>G66*$I$2-F66</f>
        <v>41960</v>
      </c>
      <c r="I66" s="33">
        <f>G66*0.85*$I$2-F66</f>
        <v>16152.5</v>
      </c>
    </row>
    <row r="67" spans="1:10" ht="14.25" customHeight="1" x14ac:dyDescent="0.25">
      <c r="A67" s="337"/>
      <c r="B67" s="14"/>
      <c r="C67" s="54" t="s">
        <v>93</v>
      </c>
      <c r="D67" s="14">
        <v>2</v>
      </c>
      <c r="E67" s="15">
        <f>VLOOKUP(C67,Data!$A$4:$B$363,2,FALSE)</f>
        <v>4070</v>
      </c>
      <c r="F67" s="17"/>
      <c r="G67" s="17"/>
      <c r="H67" s="33"/>
      <c r="I67" s="33"/>
    </row>
    <row r="68" spans="1:10" ht="14.25" customHeight="1" x14ac:dyDescent="0.25">
      <c r="A68" s="337"/>
      <c r="B68" s="14"/>
      <c r="C68" s="14" t="s">
        <v>44</v>
      </c>
      <c r="D68" s="14">
        <v>3</v>
      </c>
      <c r="E68" s="15">
        <f>VLOOKUP(C68,Data!$A$4:$B$363,2,FALSE)</f>
        <v>2010</v>
      </c>
      <c r="F68" s="17"/>
      <c r="G68" s="17"/>
      <c r="H68" s="33"/>
      <c r="I68" s="33"/>
    </row>
    <row r="69" spans="1:10" ht="14.25" customHeight="1" x14ac:dyDescent="0.25">
      <c r="A69" s="337"/>
      <c r="B69" s="14"/>
      <c r="C69" s="14" t="s">
        <v>34</v>
      </c>
      <c r="D69" s="14">
        <v>5</v>
      </c>
      <c r="E69" s="15">
        <f>VLOOKUP(C69,Data!$A$4:$B$363,2,FALSE)</f>
        <v>20200</v>
      </c>
      <c r="F69" s="17"/>
      <c r="G69" s="17"/>
      <c r="H69" s="33"/>
      <c r="I69" s="33"/>
    </row>
    <row r="70" spans="1:10" ht="14.25" customHeight="1" thickBot="1" x14ac:dyDescent="0.3">
      <c r="A70" s="337"/>
      <c r="B70" s="14"/>
      <c r="C70" s="18" t="s">
        <v>94</v>
      </c>
      <c r="D70" s="14">
        <v>1</v>
      </c>
      <c r="E70" s="15">
        <f>VLOOKUP(C70,Data!$A$4:$B$363,2,FALSE)</f>
        <v>11000</v>
      </c>
      <c r="F70" s="17"/>
      <c r="G70" s="17"/>
      <c r="H70" s="33"/>
      <c r="I70" s="33"/>
    </row>
    <row r="71" spans="1:10" ht="14.25" customHeight="1" x14ac:dyDescent="0.25">
      <c r="A71" s="337"/>
      <c r="B71" s="200" t="s">
        <v>95</v>
      </c>
      <c r="C71" s="201" t="s">
        <v>38</v>
      </c>
      <c r="D71" s="201">
        <v>1</v>
      </c>
      <c r="E71" s="202">
        <f>VLOOKUP(C71,Data!$A$4:$B$363,2,FALSE)</f>
        <v>56500</v>
      </c>
      <c r="F71" s="203">
        <f>SUM(E71*D71+E72*D72+E73*D73+E74*D74)</f>
        <v>98450</v>
      </c>
      <c r="G71" s="203">
        <f>VLOOKUP(B71,Data!$A$4:$B$363,2,FALSE)</f>
        <v>25500</v>
      </c>
      <c r="H71" s="204">
        <f>G71*$I$2-F71</f>
        <v>-19400</v>
      </c>
      <c r="I71" s="205">
        <f>G71*0.85*$I$2-F71</f>
        <v>-31257.5</v>
      </c>
      <c r="J71" s="104"/>
    </row>
    <row r="72" spans="1:10" ht="14.25" customHeight="1" x14ac:dyDescent="0.25">
      <c r="A72" s="337"/>
      <c r="B72" s="206"/>
      <c r="C72" s="163" t="s">
        <v>83</v>
      </c>
      <c r="D72" s="163">
        <v>5</v>
      </c>
      <c r="E72" s="207">
        <f>VLOOKUP(C72,Data!$A$4:$B$363,2,FALSE)</f>
        <v>450</v>
      </c>
      <c r="F72" s="208"/>
      <c r="G72" s="208"/>
      <c r="H72" s="209"/>
      <c r="I72" s="194"/>
    </row>
    <row r="73" spans="1:10" ht="14.25" customHeight="1" x14ac:dyDescent="0.25">
      <c r="A73" s="337"/>
      <c r="B73" s="206"/>
      <c r="C73" s="163" t="s">
        <v>68</v>
      </c>
      <c r="D73" s="163">
        <v>3</v>
      </c>
      <c r="E73" s="207">
        <f>VLOOKUP(C73,Data!$A$4:$B$363,2,FALSE)</f>
        <v>7500</v>
      </c>
      <c r="F73" s="208"/>
      <c r="G73" s="208"/>
      <c r="H73" s="209"/>
      <c r="I73" s="194"/>
    </row>
    <row r="74" spans="1:10" ht="14.25" customHeight="1" thickBot="1" x14ac:dyDescent="0.3">
      <c r="A74" s="337"/>
      <c r="B74" s="210"/>
      <c r="C74" s="211" t="s">
        <v>12</v>
      </c>
      <c r="D74" s="211">
        <v>2</v>
      </c>
      <c r="E74" s="212">
        <f>VLOOKUP(C74,Data!$A$4:$B$363,2,FALSE)</f>
        <v>8600</v>
      </c>
      <c r="F74" s="213"/>
      <c r="G74" s="213"/>
      <c r="H74" s="214"/>
      <c r="I74" s="199"/>
    </row>
    <row r="75" spans="1:10" ht="14.25" customHeight="1" x14ac:dyDescent="0.25">
      <c r="A75" s="337"/>
      <c r="B75" s="14" t="s">
        <v>96</v>
      </c>
      <c r="C75" s="14" t="s">
        <v>28</v>
      </c>
      <c r="D75" s="14">
        <v>1</v>
      </c>
      <c r="E75" s="15">
        <f>VLOOKUP(C75,Data!$A$4:$B$363,2,FALSE)</f>
        <v>48400</v>
      </c>
      <c r="F75" s="17">
        <f>SUM(E75*D75+E76*D76+E77*D77+E78*D78)</f>
        <v>95680</v>
      </c>
      <c r="G75" s="17">
        <f>VLOOKUP(B75,Data!$A$4:$B$363,2,FALSE)</f>
        <v>33100</v>
      </c>
      <c r="H75" s="33">
        <f>G75*$I$2-F75</f>
        <v>6930</v>
      </c>
      <c r="I75" s="33">
        <f>G75*0.85*$I$2-F75</f>
        <v>-8461.5</v>
      </c>
    </row>
    <row r="76" spans="1:10" ht="14.25" customHeight="1" x14ac:dyDescent="0.25">
      <c r="A76" s="337"/>
      <c r="B76" s="14"/>
      <c r="C76" s="14" t="s">
        <v>83</v>
      </c>
      <c r="D76" s="14">
        <v>5</v>
      </c>
      <c r="E76" s="15">
        <f>VLOOKUP(C76,Data!$A$4:$B$363,2,FALSE)</f>
        <v>450</v>
      </c>
      <c r="F76" s="17"/>
      <c r="G76" s="17"/>
      <c r="H76" s="33"/>
      <c r="I76" s="33"/>
    </row>
    <row r="77" spans="1:10" ht="14.25" customHeight="1" x14ac:dyDescent="0.25">
      <c r="A77" s="337"/>
      <c r="B77" s="14"/>
      <c r="C77" s="14" t="s">
        <v>65</v>
      </c>
      <c r="D77" s="14">
        <v>6</v>
      </c>
      <c r="E77" s="15">
        <f>VLOOKUP(C77,Data!$A$4:$B$363,2,FALSE)</f>
        <v>6150</v>
      </c>
      <c r="F77" s="17"/>
      <c r="G77" s="17"/>
      <c r="H77" s="33"/>
      <c r="I77" s="33"/>
    </row>
    <row r="78" spans="1:10" ht="14.25" customHeight="1" x14ac:dyDescent="0.25">
      <c r="A78" s="337"/>
      <c r="B78" s="14"/>
      <c r="C78" s="14" t="s">
        <v>62</v>
      </c>
      <c r="D78" s="14">
        <v>3</v>
      </c>
      <c r="E78" s="15">
        <f>VLOOKUP(C78,Data!$A$4:$B$363,2,FALSE)</f>
        <v>2710</v>
      </c>
      <c r="F78" s="17"/>
      <c r="G78" s="17"/>
      <c r="H78" s="33"/>
      <c r="I78" s="33"/>
    </row>
    <row r="79" spans="1:10" ht="14.25" customHeight="1" x14ac:dyDescent="0.25">
      <c r="A79" s="337"/>
      <c r="B79" s="10" t="s">
        <v>561</v>
      </c>
      <c r="C79" s="10" t="s">
        <v>26</v>
      </c>
      <c r="D79" s="10">
        <v>1</v>
      </c>
      <c r="E79" s="11">
        <f>VLOOKUP(C79,Data!$A$4:$B$363,2,FALSE)</f>
        <v>2730</v>
      </c>
      <c r="F79" s="12">
        <f>SUM(E79*D79+E80*D80+E81*D81+E82*D82)</f>
        <v>52930</v>
      </c>
      <c r="G79" s="12">
        <f>VLOOKUP(B79,Data!$A$4:$B$363,2,FALSE)</f>
        <v>43200</v>
      </c>
      <c r="H79" s="13">
        <f>G79*$I$2-F79</f>
        <v>80990</v>
      </c>
      <c r="I79" s="13">
        <f>G79*0.85*$I$2-F79</f>
        <v>60902</v>
      </c>
    </row>
    <row r="80" spans="1:10" ht="14.25" customHeight="1" x14ac:dyDescent="0.25">
      <c r="A80" s="337"/>
      <c r="B80" s="10"/>
      <c r="C80" s="10" t="s">
        <v>22</v>
      </c>
      <c r="D80" s="10">
        <v>4</v>
      </c>
      <c r="E80" s="11">
        <f>VLOOKUP(C80,Data!$A$4:$B$363,2,FALSE)</f>
        <v>8700</v>
      </c>
      <c r="F80" s="12"/>
      <c r="G80" s="12"/>
      <c r="H80" s="13"/>
      <c r="I80" s="13"/>
    </row>
    <row r="81" spans="1:10" ht="14.25" customHeight="1" x14ac:dyDescent="0.25">
      <c r="A81" s="337"/>
      <c r="B81" s="10"/>
      <c r="C81" s="10" t="s">
        <v>72</v>
      </c>
      <c r="D81" s="10">
        <v>3</v>
      </c>
      <c r="E81" s="11">
        <f>VLOOKUP(C81,Data!$A$4:$B$363,2,FALSE)</f>
        <v>5000</v>
      </c>
      <c r="F81" s="12"/>
      <c r="G81" s="12"/>
      <c r="H81" s="13"/>
      <c r="I81" s="13"/>
    </row>
    <row r="82" spans="1:10" ht="14.25" customHeight="1" x14ac:dyDescent="0.25">
      <c r="A82" s="337"/>
      <c r="B82" s="10"/>
      <c r="C82" s="10" t="s">
        <v>98</v>
      </c>
      <c r="D82" s="10">
        <v>2</v>
      </c>
      <c r="E82" s="11">
        <f>VLOOKUP(C82,Data!$A$4:$B$363,2,FALSE)</f>
        <v>200</v>
      </c>
      <c r="F82" s="12"/>
      <c r="G82" s="12"/>
      <c r="H82" s="13"/>
      <c r="I82" s="13"/>
    </row>
    <row r="83" spans="1:10" ht="14.25" customHeight="1" x14ac:dyDescent="0.25">
      <c r="A83" s="337"/>
      <c r="B83" s="14" t="s">
        <v>99</v>
      </c>
      <c r="C83" s="14" t="s">
        <v>100</v>
      </c>
      <c r="D83" s="14">
        <v>1</v>
      </c>
      <c r="E83" s="15">
        <f>VLOOKUP(C83,Data!$A$4:$B$363,2,FALSE)</f>
        <v>121000</v>
      </c>
      <c r="F83" s="17">
        <f>SUM(E83*D83+E84*D84+E85*D85+E86*D86+D87*E87)</f>
        <v>197230</v>
      </c>
      <c r="G83" s="17">
        <f>VLOOKUP(B83,Data!$A$4:$B$363,2,FALSE)</f>
        <v>49000</v>
      </c>
      <c r="H83" s="33">
        <f>G83*$I$2-F83</f>
        <v>-45330</v>
      </c>
      <c r="I83" s="33">
        <f>G83*0.85*$I$2-F83</f>
        <v>-68115</v>
      </c>
    </row>
    <row r="84" spans="1:10" ht="14.25" customHeight="1" x14ac:dyDescent="0.25">
      <c r="A84" s="337"/>
      <c r="B84" s="14"/>
      <c r="C84" s="14" t="s">
        <v>26</v>
      </c>
      <c r="D84" s="14">
        <v>4</v>
      </c>
      <c r="E84" s="15">
        <f>VLOOKUP(C84,Data!$A$4:$B$363,2,FALSE)</f>
        <v>2730</v>
      </c>
      <c r="F84" s="17"/>
      <c r="G84" s="17"/>
      <c r="H84" s="33"/>
      <c r="I84" s="33"/>
    </row>
    <row r="85" spans="1:10" ht="14.25" customHeight="1" x14ac:dyDescent="0.25">
      <c r="A85" s="337"/>
      <c r="B85" s="14"/>
      <c r="C85" s="14" t="s">
        <v>101</v>
      </c>
      <c r="D85" s="14">
        <v>3</v>
      </c>
      <c r="E85" s="15">
        <f>VLOOKUP(C85,Data!$A$4:$B$363,2,FALSE)</f>
        <v>3770</v>
      </c>
      <c r="F85" s="17"/>
      <c r="G85" s="17"/>
      <c r="H85" s="33"/>
      <c r="I85" s="33"/>
    </row>
    <row r="86" spans="1:10" ht="14.25" customHeight="1" x14ac:dyDescent="0.25">
      <c r="A86" s="337"/>
      <c r="B86" s="14"/>
      <c r="C86" s="14" t="s">
        <v>71</v>
      </c>
      <c r="D86" s="14">
        <v>4</v>
      </c>
      <c r="E86" s="15">
        <f>VLOOKUP(C86,Data!$A$4:$B$363,2,FALSE)</f>
        <v>3400</v>
      </c>
      <c r="F86" s="17"/>
      <c r="G86" s="17"/>
      <c r="H86" s="33"/>
      <c r="I86" s="33"/>
    </row>
    <row r="87" spans="1:10" ht="14.25" customHeight="1" thickBot="1" x14ac:dyDescent="0.3">
      <c r="A87" s="338"/>
      <c r="B87" s="27"/>
      <c r="C87" s="27" t="s">
        <v>102</v>
      </c>
      <c r="D87" s="27">
        <v>2</v>
      </c>
      <c r="E87" s="28">
        <f>VLOOKUP(C87,Data!$A$4:$B$363,2,FALSE)</f>
        <v>20200</v>
      </c>
      <c r="F87" s="125"/>
      <c r="G87" s="125"/>
      <c r="H87" s="34"/>
      <c r="I87" s="34"/>
    </row>
    <row r="88" spans="1:10" ht="14.25" customHeight="1" x14ac:dyDescent="0.25">
      <c r="A88" s="315" t="s">
        <v>103</v>
      </c>
      <c r="B88" s="24" t="s">
        <v>104</v>
      </c>
      <c r="C88" s="24" t="s">
        <v>64</v>
      </c>
      <c r="D88" s="24">
        <v>2</v>
      </c>
      <c r="E88" s="25">
        <f>VLOOKUP(C88,Data!$A$4:$B$363,2,FALSE)</f>
        <v>217</v>
      </c>
      <c r="F88" s="26">
        <f>SUM(E88*D88+E89*D89+E90*D90+E91*D91)</f>
        <v>79584</v>
      </c>
      <c r="G88" s="26">
        <f>VLOOKUP(B88,Data!$A$4:$B$363,2,FALSE)</f>
        <v>27500</v>
      </c>
      <c r="H88" s="35">
        <f>G88*$I$2-F88</f>
        <v>5666</v>
      </c>
      <c r="I88" s="35">
        <f>G88*0.85*$I$2-F88</f>
        <v>-7121.5</v>
      </c>
      <c r="J88" s="104"/>
    </row>
    <row r="89" spans="1:10" ht="14.25" customHeight="1" x14ac:dyDescent="0.25">
      <c r="A89" s="317"/>
      <c r="B89" s="14"/>
      <c r="C89" s="14" t="s">
        <v>65</v>
      </c>
      <c r="D89" s="14">
        <v>1</v>
      </c>
      <c r="E89" s="15">
        <f>VLOOKUP(C89,Data!$A$4:$B$363,2,FALSE)</f>
        <v>6150</v>
      </c>
      <c r="F89" s="17"/>
      <c r="G89" s="17"/>
      <c r="H89" s="33"/>
      <c r="I89" s="33"/>
    </row>
    <row r="90" spans="1:10" ht="14.25" customHeight="1" x14ac:dyDescent="0.25">
      <c r="A90" s="317"/>
      <c r="B90" s="14"/>
      <c r="C90" s="14" t="s">
        <v>27</v>
      </c>
      <c r="D90" s="14">
        <v>4</v>
      </c>
      <c r="E90" s="15">
        <f>VLOOKUP(C90,Data!$A$4:$B$363,2,FALSE)</f>
        <v>12000</v>
      </c>
      <c r="F90" s="17"/>
      <c r="G90" s="17"/>
      <c r="H90" s="33"/>
      <c r="I90" s="33"/>
    </row>
    <row r="91" spans="1:10" ht="14.25" customHeight="1" x14ac:dyDescent="0.25">
      <c r="A91" s="317"/>
      <c r="B91" s="14"/>
      <c r="C91" s="14" t="s">
        <v>72</v>
      </c>
      <c r="D91" s="14">
        <v>5</v>
      </c>
      <c r="E91" s="15">
        <f>VLOOKUP(C91,Data!$A$4:$B$363,2,FALSE)</f>
        <v>5000</v>
      </c>
      <c r="F91" s="17"/>
      <c r="G91" s="17"/>
      <c r="H91" s="33"/>
      <c r="I91" s="33"/>
    </row>
    <row r="92" spans="1:10" ht="14.25" customHeight="1" x14ac:dyDescent="0.25">
      <c r="A92" s="317"/>
      <c r="B92" s="10" t="s">
        <v>105</v>
      </c>
      <c r="C92" s="10" t="s">
        <v>33</v>
      </c>
      <c r="D92" s="10">
        <v>1</v>
      </c>
      <c r="E92" s="11">
        <f>VLOOKUP(C92,Data!$A$4:$B$363,2,FALSE)</f>
        <v>129000</v>
      </c>
      <c r="F92" s="12">
        <f>SUM(E92*D92+E93*D93+E94*D94+E95*D95+E96*D96)</f>
        <v>378330</v>
      </c>
      <c r="G92" s="12">
        <f>VLOOKUP(B92,Data!$A$4:$B$363,2,FALSE)</f>
        <v>98000</v>
      </c>
      <c r="H92" s="13">
        <f>G92*$I$2-F92</f>
        <v>-74530</v>
      </c>
      <c r="I92" s="13">
        <f>G92*0.85*$I$2-SUM(E92*D92+E93*D93+E95*D95+E96*D96)</f>
        <v>-108820</v>
      </c>
    </row>
    <row r="93" spans="1:10" ht="14.25" customHeight="1" x14ac:dyDescent="0.25">
      <c r="A93" s="317"/>
      <c r="B93" s="10"/>
      <c r="C93" s="10" t="s">
        <v>26</v>
      </c>
      <c r="D93" s="10">
        <v>5</v>
      </c>
      <c r="E93" s="11">
        <f>VLOOKUP(C93,Data!$A$4:$B$363,2,FALSE)</f>
        <v>2730</v>
      </c>
      <c r="F93" s="12"/>
      <c r="G93" s="12"/>
      <c r="H93" s="13"/>
      <c r="I93" s="13"/>
    </row>
    <row r="94" spans="1:10" ht="14.25" customHeight="1" x14ac:dyDescent="0.25">
      <c r="A94" s="317"/>
      <c r="B94" s="10"/>
      <c r="C94" s="10" t="s">
        <v>106</v>
      </c>
      <c r="D94" s="10">
        <v>4</v>
      </c>
      <c r="E94" s="11">
        <f>VLOOKUP(C94,Data!$A$4:$B$363,2,FALSE)</f>
        <v>2820</v>
      </c>
      <c r="F94" s="12"/>
      <c r="G94" s="12"/>
      <c r="H94" s="13"/>
      <c r="I94" s="13"/>
    </row>
    <row r="95" spans="1:10" ht="14.25" customHeight="1" x14ac:dyDescent="0.25">
      <c r="A95" s="317"/>
      <c r="B95" s="10"/>
      <c r="C95" s="10" t="s">
        <v>34</v>
      </c>
      <c r="D95" s="10">
        <v>2</v>
      </c>
      <c r="E95" s="11">
        <f>VLOOKUP(C95,Data!$A$4:$B$363,2,FALSE)</f>
        <v>20200</v>
      </c>
      <c r="F95" s="12"/>
      <c r="G95" s="12"/>
      <c r="H95" s="13"/>
      <c r="I95" s="13"/>
    </row>
    <row r="96" spans="1:10" ht="14.25" customHeight="1" x14ac:dyDescent="0.25">
      <c r="A96" s="317"/>
      <c r="B96" s="10"/>
      <c r="C96" s="10" t="s">
        <v>107</v>
      </c>
      <c r="D96" s="10">
        <v>2</v>
      </c>
      <c r="E96" s="11">
        <f>VLOOKUP(C96,Data!$A$4:$B$363,2,FALSE)</f>
        <v>92000</v>
      </c>
      <c r="F96" s="12"/>
      <c r="G96" s="12"/>
      <c r="H96" s="13"/>
      <c r="I96" s="13"/>
    </row>
    <row r="97" spans="1:9" ht="14.25" customHeight="1" x14ac:dyDescent="0.25">
      <c r="A97" s="317"/>
      <c r="B97" s="14" t="s">
        <v>108</v>
      </c>
      <c r="C97" s="14" t="s">
        <v>37</v>
      </c>
      <c r="D97" s="14">
        <v>1</v>
      </c>
      <c r="E97" s="15">
        <f>VLOOKUP(C97,Data!$A$4:$B$363,2,FALSE)</f>
        <v>85000</v>
      </c>
      <c r="F97" s="17">
        <f>SUM(E97*D97+E98*D98+E99*D99+E100*D100+D101*E101)</f>
        <v>152670</v>
      </c>
      <c r="G97" s="17">
        <f>VLOOKUP(B97,Data!$A$4:$B$363,2,FALSE)</f>
        <v>49000</v>
      </c>
      <c r="H97" s="33">
        <f>G97*$I$2-F97</f>
        <v>-770</v>
      </c>
      <c r="I97" s="33">
        <f>G97*0.85*$I$2-F97</f>
        <v>-23555</v>
      </c>
    </row>
    <row r="98" spans="1:9" ht="14.25" customHeight="1" x14ac:dyDescent="0.25">
      <c r="A98" s="317"/>
      <c r="B98" s="14"/>
      <c r="C98" s="14" t="s">
        <v>79</v>
      </c>
      <c r="D98" s="14">
        <v>4</v>
      </c>
      <c r="E98" s="15">
        <f>VLOOKUP(C98,Data!$A$4:$B$363,2,FALSE)</f>
        <v>3320</v>
      </c>
      <c r="F98" s="17"/>
      <c r="G98" s="17"/>
      <c r="H98" s="33"/>
      <c r="I98" s="33"/>
    </row>
    <row r="99" spans="1:9" ht="14.25" customHeight="1" x14ac:dyDescent="0.25">
      <c r="A99" s="317"/>
      <c r="B99" s="14"/>
      <c r="C99" s="14" t="s">
        <v>109</v>
      </c>
      <c r="D99" s="14">
        <v>4</v>
      </c>
      <c r="E99" s="15">
        <f>VLOOKUP(C99,Data!$A$4:$B$363,2,FALSE)</f>
        <v>3600</v>
      </c>
      <c r="F99" s="17"/>
      <c r="G99" s="17"/>
      <c r="H99" s="33"/>
      <c r="I99" s="33"/>
    </row>
    <row r="100" spans="1:9" ht="14.25" customHeight="1" x14ac:dyDescent="0.25">
      <c r="A100" s="317"/>
      <c r="B100" s="14"/>
      <c r="C100" s="14" t="s">
        <v>110</v>
      </c>
      <c r="D100" s="14">
        <v>3</v>
      </c>
      <c r="E100" s="15">
        <f>VLOOKUP(C100,Data!$A$4:$B$363,2,FALSE)</f>
        <v>6850</v>
      </c>
      <c r="F100" s="17"/>
      <c r="G100" s="17"/>
      <c r="H100" s="33"/>
      <c r="I100" s="33"/>
    </row>
    <row r="101" spans="1:9" ht="14.25" customHeight="1" x14ac:dyDescent="0.25">
      <c r="A101" s="317"/>
      <c r="B101" s="14"/>
      <c r="C101" s="14" t="s">
        <v>61</v>
      </c>
      <c r="D101" s="14">
        <v>6</v>
      </c>
      <c r="E101" s="15">
        <f>VLOOKUP(C101,Data!$A$4:$B$363,2,FALSE)</f>
        <v>3240</v>
      </c>
      <c r="F101" s="17"/>
      <c r="G101" s="17"/>
      <c r="H101" s="33"/>
      <c r="I101" s="33"/>
    </row>
    <row r="102" spans="1:9" ht="14.25" customHeight="1" x14ac:dyDescent="0.25">
      <c r="A102" s="317"/>
      <c r="B102" s="10" t="s">
        <v>111</v>
      </c>
      <c r="C102" s="10" t="s">
        <v>112</v>
      </c>
      <c r="D102" s="10">
        <v>6</v>
      </c>
      <c r="E102" s="11">
        <f>VLOOKUP(C102,Data!$A$4:$B$363,2,FALSE)</f>
        <v>21000</v>
      </c>
      <c r="F102" s="12">
        <f>SUM(E102*D102+E103*D103+E104*D104+E105*D105+E106*D106)</f>
        <v>193720</v>
      </c>
      <c r="G102" s="12">
        <f>VLOOKUP(B102,Data!$A$4:$B$363,2,FALSE)</f>
        <v>48600</v>
      </c>
      <c r="H102" s="13">
        <f>G102*$I$2-F102</f>
        <v>-43060</v>
      </c>
      <c r="I102" s="13">
        <f>G102*0.85*$I$2-SUM(E102*D102+E103*D103+E105*D105+E106*D106)</f>
        <v>-39459</v>
      </c>
    </row>
    <row r="103" spans="1:9" ht="14.25" customHeight="1" x14ac:dyDescent="0.25">
      <c r="A103" s="317"/>
      <c r="B103" s="10"/>
      <c r="C103" s="10" t="s">
        <v>24</v>
      </c>
      <c r="D103" s="10">
        <v>3</v>
      </c>
      <c r="E103" s="11">
        <f>VLOOKUP(C103,Data!$A$4:$B$363,2,FALSE)</f>
        <v>7500</v>
      </c>
      <c r="F103" s="12"/>
      <c r="G103" s="12"/>
      <c r="H103" s="13"/>
      <c r="I103" s="13"/>
    </row>
    <row r="104" spans="1:9" ht="14.25" customHeight="1" x14ac:dyDescent="0.25">
      <c r="A104" s="317"/>
      <c r="B104" s="10"/>
      <c r="C104" s="10" t="s">
        <v>10</v>
      </c>
      <c r="D104" s="10">
        <v>2</v>
      </c>
      <c r="E104" s="11">
        <f>VLOOKUP(C104,Data!$A$4:$B$363,2,FALSE)</f>
        <v>13100</v>
      </c>
      <c r="F104" s="12"/>
      <c r="G104" s="12"/>
      <c r="H104" s="13"/>
      <c r="I104" s="13"/>
    </row>
    <row r="105" spans="1:9" ht="14.25" customHeight="1" x14ac:dyDescent="0.25">
      <c r="A105" s="317"/>
      <c r="B105" s="10"/>
      <c r="C105" s="10" t="s">
        <v>44</v>
      </c>
      <c r="D105" s="10">
        <v>2</v>
      </c>
      <c r="E105" s="11">
        <f>VLOOKUP(C105,Data!$A$4:$B$363,2,FALSE)</f>
        <v>2010</v>
      </c>
      <c r="F105" s="12"/>
      <c r="G105" s="12"/>
      <c r="H105" s="13"/>
      <c r="I105" s="13"/>
    </row>
    <row r="106" spans="1:9" ht="14.25" customHeight="1" x14ac:dyDescent="0.25">
      <c r="A106" s="317"/>
      <c r="B106" s="10"/>
      <c r="C106" s="10" t="s">
        <v>72</v>
      </c>
      <c r="D106" s="10">
        <v>3</v>
      </c>
      <c r="E106" s="11">
        <f>VLOOKUP(C106,Data!$A$4:$B$363,2,FALSE)</f>
        <v>5000</v>
      </c>
      <c r="F106" s="12"/>
      <c r="G106" s="12"/>
      <c r="H106" s="13"/>
      <c r="I106" s="13"/>
    </row>
    <row r="107" spans="1:9" ht="14.25" customHeight="1" x14ac:dyDescent="0.25">
      <c r="A107" s="317"/>
      <c r="B107" s="14" t="s">
        <v>113</v>
      </c>
      <c r="C107" s="14" t="s">
        <v>15</v>
      </c>
      <c r="D107" s="14">
        <v>1</v>
      </c>
      <c r="E107" s="15">
        <f>VLOOKUP(C107,Data!$A$4:$B$363,2,FALSE)</f>
        <v>20700</v>
      </c>
      <c r="F107" s="17">
        <f>SUM(E107*D107+E108*D108+E109*D109+E110*D110+D111*E111)</f>
        <v>153250</v>
      </c>
      <c r="G107" s="17">
        <f>VLOOKUP(B107,Data!$A$4:$B$363,2,FALSE)</f>
        <v>240000</v>
      </c>
      <c r="H107" s="33">
        <f>G107*1-F107</f>
        <v>86750</v>
      </c>
      <c r="I107" s="33">
        <f>G107*0.85-F107</f>
        <v>50750</v>
      </c>
    </row>
    <row r="108" spans="1:9" ht="14.25" customHeight="1" x14ac:dyDescent="0.25">
      <c r="A108" s="317"/>
      <c r="B108" s="14"/>
      <c r="C108" s="18" t="s">
        <v>114</v>
      </c>
      <c r="D108" s="14">
        <v>1</v>
      </c>
      <c r="E108" s="15">
        <f>VLOOKUP(C108,Data!$A$4:$B$363,2,FALSE)</f>
        <v>34000</v>
      </c>
      <c r="F108" s="17"/>
      <c r="G108" s="17"/>
      <c r="H108" s="33"/>
      <c r="I108" s="33"/>
    </row>
    <row r="109" spans="1:9" ht="14.25" customHeight="1" x14ac:dyDescent="0.25">
      <c r="A109" s="317"/>
      <c r="B109" s="14"/>
      <c r="C109" s="14" t="s">
        <v>115</v>
      </c>
      <c r="D109" s="14">
        <v>1</v>
      </c>
      <c r="E109" s="15">
        <f>VLOOKUP(C109,Data!$A$4:$B$363,2,FALSE)</f>
        <v>79000</v>
      </c>
      <c r="F109" s="17"/>
      <c r="G109" s="17"/>
      <c r="H109" s="33"/>
      <c r="I109" s="33"/>
    </row>
    <row r="110" spans="1:9" ht="14.25" customHeight="1" x14ac:dyDescent="0.25">
      <c r="A110" s="317"/>
      <c r="B110" s="14"/>
      <c r="C110" s="14" t="s">
        <v>116</v>
      </c>
      <c r="D110" s="14">
        <v>1</v>
      </c>
      <c r="E110" s="15">
        <f>VLOOKUP(C110,Data!$A$4:$B$363,2,FALSE)</f>
        <v>6000</v>
      </c>
      <c r="F110" s="17"/>
      <c r="G110" s="17"/>
      <c r="H110" s="33"/>
      <c r="I110" s="33"/>
    </row>
    <row r="111" spans="1:9" ht="14.25" customHeight="1" x14ac:dyDescent="0.25">
      <c r="A111" s="317"/>
      <c r="B111" s="14"/>
      <c r="C111" s="14" t="s">
        <v>62</v>
      </c>
      <c r="D111" s="14">
        <v>5</v>
      </c>
      <c r="E111" s="15">
        <f>VLOOKUP(C111,Data!$A$4:$B$363,2,FALSE)</f>
        <v>2710</v>
      </c>
      <c r="F111" s="17"/>
      <c r="G111" s="17"/>
      <c r="H111" s="33"/>
      <c r="I111" s="33"/>
    </row>
    <row r="112" spans="1:9" ht="14.25" customHeight="1" x14ac:dyDescent="0.25">
      <c r="A112" s="317"/>
      <c r="B112" s="10" t="s">
        <v>117</v>
      </c>
      <c r="C112" s="18" t="s">
        <v>45</v>
      </c>
      <c r="D112" s="10">
        <v>1</v>
      </c>
      <c r="E112" s="11">
        <f>VLOOKUP(C112,Data!$A$4:$B$363,2,FALSE)</f>
        <v>66000</v>
      </c>
      <c r="F112" s="12">
        <f>SUM(E112*D112+E113*D113+E114*D114+E115*D115+E116*D116)</f>
        <v>324155</v>
      </c>
      <c r="G112" s="12">
        <f>VLOOKUP(B112,Data!$A$4:$B$363,2,FALSE)</f>
        <v>106000</v>
      </c>
      <c r="H112" s="13">
        <f>G112*$I$2-F112</f>
        <v>4445</v>
      </c>
      <c r="I112" s="13">
        <f>G112*0.85*$I$2-SUM(E112*D112+E113*D113+E115*D115+E116*D116)</f>
        <v>-25220</v>
      </c>
    </row>
    <row r="113" spans="1:9" ht="14.25" customHeight="1" x14ac:dyDescent="0.25">
      <c r="A113" s="317"/>
      <c r="B113" s="10"/>
      <c r="C113" s="10" t="s">
        <v>79</v>
      </c>
      <c r="D113" s="10">
        <v>4</v>
      </c>
      <c r="E113" s="11">
        <f>VLOOKUP(C113,Data!$A$4:$B$363,2,FALSE)</f>
        <v>3320</v>
      </c>
      <c r="F113" s="12"/>
      <c r="G113" s="12"/>
      <c r="H113" s="13"/>
      <c r="I113" s="13"/>
    </row>
    <row r="114" spans="1:9" ht="14.25" customHeight="1" x14ac:dyDescent="0.25">
      <c r="A114" s="317"/>
      <c r="B114" s="10"/>
      <c r="C114" s="10" t="s">
        <v>118</v>
      </c>
      <c r="D114" s="10">
        <v>5</v>
      </c>
      <c r="E114" s="11">
        <f>VLOOKUP(C114,Data!$A$4:$B$363,2,FALSE)</f>
        <v>3925</v>
      </c>
      <c r="F114" s="12"/>
      <c r="G114" s="12"/>
      <c r="H114" s="13"/>
      <c r="I114" s="13"/>
    </row>
    <row r="115" spans="1:9" ht="14.25" customHeight="1" x14ac:dyDescent="0.25">
      <c r="A115" s="317"/>
      <c r="B115" s="10"/>
      <c r="C115" s="10" t="s">
        <v>55</v>
      </c>
      <c r="D115" s="10">
        <v>5</v>
      </c>
      <c r="E115" s="11">
        <f>VLOOKUP(C115,Data!$A$4:$B$363,2,FALSE)</f>
        <v>8050</v>
      </c>
      <c r="F115" s="12"/>
      <c r="G115" s="12"/>
      <c r="H115" s="13"/>
      <c r="I115" s="13"/>
    </row>
    <row r="116" spans="1:9" ht="14.25" customHeight="1" x14ac:dyDescent="0.25">
      <c r="A116" s="317"/>
      <c r="B116" s="10"/>
      <c r="C116" s="18" t="s">
        <v>119</v>
      </c>
      <c r="D116" s="10">
        <v>2</v>
      </c>
      <c r="E116" s="11">
        <f>VLOOKUP(C116,Data!$A$4:$B$363,2,FALSE)</f>
        <v>92500</v>
      </c>
      <c r="F116" s="12"/>
      <c r="G116" s="12"/>
      <c r="H116" s="13"/>
      <c r="I116" s="13"/>
    </row>
    <row r="117" spans="1:9" ht="14.25" customHeight="1" x14ac:dyDescent="0.25">
      <c r="A117" s="317"/>
      <c r="B117" s="14" t="s">
        <v>120</v>
      </c>
      <c r="C117" s="14" t="s">
        <v>45</v>
      </c>
      <c r="D117" s="14">
        <v>1</v>
      </c>
      <c r="E117" s="15">
        <f>VLOOKUP(C117,Data!$A$4:$B$363,2,FALSE)</f>
        <v>66000</v>
      </c>
      <c r="F117" s="17">
        <f>SUM(E117*D117+E118*D118+E119*D119+E120*D120+D121*E121)</f>
        <v>383310</v>
      </c>
      <c r="G117" s="17">
        <f>VLOOKUP(B117,Data!$A$4:$B$363,2,FALSE)</f>
        <v>87000</v>
      </c>
      <c r="H117" s="33">
        <f>G117*$I$2-F117</f>
        <v>-113610</v>
      </c>
      <c r="I117" s="33">
        <f>G117*0.85*$I$2-F117</f>
        <v>-154065</v>
      </c>
    </row>
    <row r="118" spans="1:9" ht="14.25" customHeight="1" x14ac:dyDescent="0.25">
      <c r="A118" s="317"/>
      <c r="B118" s="14"/>
      <c r="C118" s="14" t="s">
        <v>26</v>
      </c>
      <c r="D118" s="14">
        <v>7</v>
      </c>
      <c r="E118" s="15">
        <f>VLOOKUP(C118,Data!$A$4:$B$363,2,FALSE)</f>
        <v>2730</v>
      </c>
      <c r="F118" s="17"/>
      <c r="G118" s="17"/>
      <c r="H118" s="33"/>
      <c r="I118" s="33"/>
    </row>
    <row r="119" spans="1:9" ht="14.25" customHeight="1" x14ac:dyDescent="0.25">
      <c r="A119" s="317"/>
      <c r="B119" s="14"/>
      <c r="C119" s="14" t="s">
        <v>57</v>
      </c>
      <c r="D119" s="14">
        <v>2</v>
      </c>
      <c r="E119" s="15">
        <f>VLOOKUP(C119,Data!$A$4:$B$363,2,FALSE)</f>
        <v>500</v>
      </c>
      <c r="F119" s="17"/>
      <c r="G119" s="17"/>
      <c r="H119" s="33"/>
      <c r="I119" s="33"/>
    </row>
    <row r="120" spans="1:9" ht="14.25" customHeight="1" x14ac:dyDescent="0.25">
      <c r="A120" s="317"/>
      <c r="B120" s="14"/>
      <c r="C120" s="14" t="s">
        <v>11</v>
      </c>
      <c r="D120" s="14">
        <v>2</v>
      </c>
      <c r="E120" s="15">
        <f>VLOOKUP(C120,Data!$A$4:$B$363,2,FALSE)</f>
        <v>9850</v>
      </c>
      <c r="F120" s="17"/>
      <c r="G120" s="17"/>
      <c r="H120" s="33"/>
      <c r="I120" s="33"/>
    </row>
    <row r="121" spans="1:9" ht="14.25" customHeight="1" thickBot="1" x14ac:dyDescent="0.3">
      <c r="A121" s="316"/>
      <c r="B121" s="27"/>
      <c r="C121" s="27" t="s">
        <v>121</v>
      </c>
      <c r="D121" s="27">
        <v>3</v>
      </c>
      <c r="E121" s="28">
        <f>VLOOKUP(C121,Data!$A$4:$B$363,2,FALSE)</f>
        <v>92500</v>
      </c>
      <c r="F121" s="125"/>
      <c r="G121" s="125"/>
      <c r="H121" s="34"/>
      <c r="I121" s="34"/>
    </row>
    <row r="122" spans="1:9" ht="14.25" customHeight="1" x14ac:dyDescent="0.25">
      <c r="A122" s="336" t="s">
        <v>122</v>
      </c>
      <c r="B122" s="24" t="s">
        <v>123</v>
      </c>
      <c r="C122" s="24" t="s">
        <v>47</v>
      </c>
      <c r="D122" s="24">
        <v>1</v>
      </c>
      <c r="E122" s="25">
        <f>VLOOKUP(C122,Data!$A$4:$B$363,2,FALSE)</f>
        <v>123000</v>
      </c>
      <c r="F122" s="26">
        <f>SUM(E122*D122+E123*D123+E124*D124+E125*D125+D126*E126)</f>
        <v>378510</v>
      </c>
      <c r="G122" s="26">
        <f>VLOOKUP(B122,Data!$A$4:$B$363,2,FALSE)</f>
        <v>103000</v>
      </c>
      <c r="H122" s="35">
        <f>G122*$I$2-F122</f>
        <v>-59210</v>
      </c>
      <c r="I122" s="35">
        <f>G122*0.85*$I$2-F122</f>
        <v>-107105</v>
      </c>
    </row>
    <row r="123" spans="1:9" ht="14.25" customHeight="1" x14ac:dyDescent="0.25">
      <c r="A123" s="337"/>
      <c r="B123" s="14"/>
      <c r="C123" s="14" t="s">
        <v>79</v>
      </c>
      <c r="D123" s="14">
        <v>6</v>
      </c>
      <c r="E123" s="15">
        <f>VLOOKUP(C123,Data!$A$4:$B$363,2,FALSE)</f>
        <v>3320</v>
      </c>
      <c r="F123" s="17"/>
      <c r="G123" s="17"/>
      <c r="H123" s="33"/>
      <c r="I123" s="33"/>
    </row>
    <row r="124" spans="1:9" ht="14.25" customHeight="1" x14ac:dyDescent="0.25">
      <c r="A124" s="337"/>
      <c r="B124" s="14"/>
      <c r="C124" s="14" t="s">
        <v>124</v>
      </c>
      <c r="D124" s="14">
        <v>2</v>
      </c>
      <c r="E124" s="15">
        <f>VLOOKUP(C124,Data!$A$4:$B$363,2,FALSE)</f>
        <v>3770</v>
      </c>
      <c r="F124" s="17"/>
      <c r="G124" s="17"/>
      <c r="H124" s="33"/>
      <c r="I124" s="33"/>
    </row>
    <row r="125" spans="1:9" ht="14.25" customHeight="1" x14ac:dyDescent="0.25">
      <c r="A125" s="337"/>
      <c r="B125" s="14"/>
      <c r="C125" s="14" t="s">
        <v>65</v>
      </c>
      <c r="D125" s="14">
        <v>7</v>
      </c>
      <c r="E125" s="15">
        <f>VLOOKUP(C125,Data!$A$4:$B$363,2,FALSE)</f>
        <v>6150</v>
      </c>
      <c r="F125" s="17"/>
      <c r="G125" s="17"/>
      <c r="H125" s="33"/>
      <c r="I125" s="33"/>
    </row>
    <row r="126" spans="1:9" ht="14.25" customHeight="1" x14ac:dyDescent="0.25">
      <c r="A126" s="337"/>
      <c r="B126" s="14"/>
      <c r="C126" s="14" t="s">
        <v>125</v>
      </c>
      <c r="D126" s="14">
        <v>2</v>
      </c>
      <c r="E126" s="15">
        <f>VLOOKUP(C126,Data!$A$4:$B$363,2,FALSE)</f>
        <v>92500</v>
      </c>
      <c r="F126" s="17"/>
      <c r="G126" s="17"/>
      <c r="H126" s="33"/>
      <c r="I126" s="33"/>
    </row>
    <row r="127" spans="1:9" ht="14.25" customHeight="1" x14ac:dyDescent="0.25">
      <c r="A127" s="337"/>
      <c r="B127" s="10" t="s">
        <v>126</v>
      </c>
      <c r="C127" s="18" t="s">
        <v>127</v>
      </c>
      <c r="D127" s="10">
        <v>1</v>
      </c>
      <c r="E127" s="11">
        <f>VLOOKUP(C127,Data!$A$4:$B$363,2,FALSE)</f>
        <v>58500</v>
      </c>
      <c r="F127" s="12">
        <f>SUM(E127*D127+E128*D128+E129*D129+E130*D130+E131*D131)</f>
        <v>441600</v>
      </c>
      <c r="G127" s="12">
        <f>VLOOKUP(B127,Data!$A$4:$B$363,2,FALSE)</f>
        <v>83000</v>
      </c>
      <c r="H127" s="13">
        <f>G127*$I$2-F127</f>
        <v>-184300</v>
      </c>
      <c r="I127" s="13">
        <f>G127*0.85*$I$2-F127</f>
        <v>-222895</v>
      </c>
    </row>
    <row r="128" spans="1:9" ht="14.25" customHeight="1" x14ac:dyDescent="0.25">
      <c r="A128" s="337"/>
      <c r="B128" s="10"/>
      <c r="C128" s="10" t="s">
        <v>58</v>
      </c>
      <c r="D128" s="10">
        <v>6</v>
      </c>
      <c r="E128" s="11">
        <f>VLOOKUP(C128,Data!$A$4:$B$363,2,FALSE)</f>
        <v>8200</v>
      </c>
      <c r="F128" s="12"/>
      <c r="G128" s="12"/>
      <c r="H128" s="13"/>
      <c r="I128" s="13"/>
    </row>
    <row r="129" spans="1:9" ht="14.25" customHeight="1" x14ac:dyDescent="0.25">
      <c r="A129" s="337"/>
      <c r="B129" s="10"/>
      <c r="C129" s="150" t="s">
        <v>128</v>
      </c>
      <c r="D129" s="10">
        <v>3</v>
      </c>
      <c r="E129" s="11">
        <f>VLOOKUP(C129,Data!$A$4:$B$363,2,FALSE)</f>
        <v>92500</v>
      </c>
      <c r="F129" s="12"/>
      <c r="G129" s="12"/>
      <c r="H129" s="13"/>
      <c r="I129" s="13"/>
    </row>
    <row r="130" spans="1:9" ht="14.25" customHeight="1" x14ac:dyDescent="0.25">
      <c r="A130" s="337"/>
      <c r="B130" s="10"/>
      <c r="C130" s="10" t="s">
        <v>72</v>
      </c>
      <c r="D130" s="10">
        <v>3</v>
      </c>
      <c r="E130" s="11">
        <f>VLOOKUP(C130,Data!$A$4:$B$363,2,FALSE)</f>
        <v>5000</v>
      </c>
      <c r="F130" s="12"/>
      <c r="G130" s="12"/>
      <c r="H130" s="13"/>
      <c r="I130" s="13"/>
    </row>
    <row r="131" spans="1:9" ht="14.25" customHeight="1" x14ac:dyDescent="0.25">
      <c r="A131" s="337"/>
      <c r="B131" s="10"/>
      <c r="C131" s="10" t="s">
        <v>15</v>
      </c>
      <c r="D131" s="10">
        <v>2</v>
      </c>
      <c r="E131" s="11">
        <f>VLOOKUP(C131,Data!$A$4:$B$363,2,FALSE)</f>
        <v>20700</v>
      </c>
      <c r="F131" s="12"/>
      <c r="G131" s="12"/>
      <c r="H131" s="13"/>
      <c r="I131" s="13"/>
    </row>
    <row r="132" spans="1:9" ht="14.25" customHeight="1" x14ac:dyDescent="0.25">
      <c r="A132" s="337"/>
      <c r="B132" s="14" t="s">
        <v>129</v>
      </c>
      <c r="C132" s="18" t="s">
        <v>130</v>
      </c>
      <c r="D132" s="14">
        <v>1</v>
      </c>
      <c r="E132" s="15">
        <f>VLOOKUP(C132,Data!$A$4:$B$363,2,FALSE)</f>
        <v>129000</v>
      </c>
      <c r="F132" s="17">
        <f>SUM(E132*D132+E133*D133+E134*D134+E135*D135+D136*E136)</f>
        <v>470100</v>
      </c>
      <c r="G132" s="17">
        <f>VLOOKUP(B132,Data!$A$4:$B$363,2,FALSE)</f>
        <v>164000</v>
      </c>
      <c r="H132" s="33">
        <f>G132*$I$2-F132</f>
        <v>38300</v>
      </c>
      <c r="I132" s="33">
        <f>G132*0.85*$I$2-F132</f>
        <v>-37960</v>
      </c>
    </row>
    <row r="133" spans="1:9" ht="14.25" customHeight="1" x14ac:dyDescent="0.25">
      <c r="A133" s="337"/>
      <c r="B133" s="14"/>
      <c r="C133" s="14" t="s">
        <v>79</v>
      </c>
      <c r="D133" s="14">
        <v>5</v>
      </c>
      <c r="E133" s="15">
        <f>VLOOKUP(C133,Data!$A$4:$B$363,2,FALSE)</f>
        <v>3320</v>
      </c>
      <c r="F133" s="17"/>
      <c r="G133" s="17"/>
      <c r="H133" s="33"/>
      <c r="I133" s="33"/>
    </row>
    <row r="134" spans="1:9" ht="14.25" customHeight="1" x14ac:dyDescent="0.25">
      <c r="A134" s="337"/>
      <c r="B134" s="14"/>
      <c r="C134" s="14" t="s">
        <v>58</v>
      </c>
      <c r="D134" s="14">
        <v>5</v>
      </c>
      <c r="E134" s="15">
        <f>VLOOKUP(C134,Data!$A$4:$B$363,2,FALSE)</f>
        <v>8200</v>
      </c>
      <c r="F134" s="17"/>
      <c r="G134" s="17"/>
      <c r="H134" s="33"/>
      <c r="I134" s="33"/>
    </row>
    <row r="135" spans="1:9" ht="14.25" customHeight="1" x14ac:dyDescent="0.25">
      <c r="A135" s="337"/>
      <c r="B135" s="14"/>
      <c r="C135" s="18" t="s">
        <v>128</v>
      </c>
      <c r="D135" s="14">
        <v>3</v>
      </c>
      <c r="E135" s="15">
        <f>VLOOKUP(C135,Data!$A$4:$B$363,2,FALSE)</f>
        <v>92500</v>
      </c>
      <c r="F135" s="17"/>
      <c r="G135" s="17"/>
      <c r="H135" s="33"/>
      <c r="I135" s="33"/>
    </row>
    <row r="136" spans="1:9" ht="14.25" customHeight="1" x14ac:dyDescent="0.25">
      <c r="A136" s="337"/>
      <c r="B136" s="14"/>
      <c r="C136" s="14" t="s">
        <v>131</v>
      </c>
      <c r="D136" s="14">
        <v>2</v>
      </c>
      <c r="E136" s="15">
        <f>VLOOKUP(C136,Data!$A$4:$B$363,2,FALSE)</f>
        <v>3000</v>
      </c>
      <c r="F136" s="17"/>
      <c r="G136" s="17"/>
      <c r="H136" s="33"/>
      <c r="I136" s="33"/>
    </row>
    <row r="137" spans="1:9" ht="14.25" customHeight="1" x14ac:dyDescent="0.25">
      <c r="A137" s="337"/>
      <c r="B137" s="10" t="s">
        <v>132</v>
      </c>
      <c r="C137" s="18" t="s">
        <v>47</v>
      </c>
      <c r="D137" s="10">
        <v>1</v>
      </c>
      <c r="E137" s="11">
        <f>VLOOKUP(C137,Data!$A$4:$B$363,2,FALSE)</f>
        <v>123000</v>
      </c>
      <c r="F137" s="12">
        <f>SUM(E137*D137+E138*D138+E139*D139+E140*D140+E141*D141)</f>
        <v>522649</v>
      </c>
      <c r="G137" s="12">
        <f>VLOOKUP(B137,Data!$A$4:$B$363,2,FALSE)</f>
        <v>91500</v>
      </c>
      <c r="H137" s="13">
        <f>G137*$I$2-F137</f>
        <v>-238999</v>
      </c>
      <c r="I137" s="13">
        <f>G137*0.85*$I$2-SUM(E137*D137+E138*D138+E140*D140+E141*D141)</f>
        <v>-281177.5</v>
      </c>
    </row>
    <row r="138" spans="1:9" ht="14.25" customHeight="1" x14ac:dyDescent="0.25">
      <c r="A138" s="337"/>
      <c r="B138" s="10"/>
      <c r="C138" s="10" t="s">
        <v>26</v>
      </c>
      <c r="D138" s="10">
        <v>6</v>
      </c>
      <c r="E138" s="11">
        <f>VLOOKUP(C138,Data!$A$4:$B$363,2,FALSE)</f>
        <v>2730</v>
      </c>
      <c r="F138" s="12"/>
      <c r="G138" s="12"/>
      <c r="H138" s="13"/>
      <c r="I138" s="13"/>
    </row>
    <row r="139" spans="1:9" ht="14.25" customHeight="1" x14ac:dyDescent="0.25">
      <c r="A139" s="337"/>
      <c r="B139" s="10"/>
      <c r="C139" s="10" t="s">
        <v>133</v>
      </c>
      <c r="D139" s="10">
        <v>1</v>
      </c>
      <c r="E139" s="11">
        <f>VLOOKUP(C139,Data!$A$4:$B$363,2,FALSE)</f>
        <v>369</v>
      </c>
      <c r="F139" s="12"/>
      <c r="G139" s="12"/>
      <c r="H139" s="13"/>
      <c r="I139" s="13"/>
    </row>
    <row r="140" spans="1:9" ht="14.25" customHeight="1" x14ac:dyDescent="0.25">
      <c r="A140" s="337"/>
      <c r="B140" s="10"/>
      <c r="C140" s="10" t="s">
        <v>49</v>
      </c>
      <c r="D140" s="10">
        <v>2</v>
      </c>
      <c r="E140" s="11">
        <f>VLOOKUP(C140,Data!$A$4:$B$363,2,FALSE)</f>
        <v>6450</v>
      </c>
      <c r="F140" s="12"/>
      <c r="G140" s="12"/>
      <c r="H140" s="13"/>
      <c r="I140" s="13"/>
    </row>
    <row r="141" spans="1:9" ht="14.25" customHeight="1" x14ac:dyDescent="0.25">
      <c r="A141" s="337"/>
      <c r="B141" s="10"/>
      <c r="C141" s="18" t="s">
        <v>134</v>
      </c>
      <c r="D141" s="10">
        <v>4</v>
      </c>
      <c r="E141" s="11">
        <f>VLOOKUP(C141,Data!$A$4:$B$363,2,FALSE)</f>
        <v>92500</v>
      </c>
      <c r="F141" s="12"/>
      <c r="G141" s="12"/>
      <c r="H141" s="13"/>
      <c r="I141" s="13"/>
    </row>
    <row r="142" spans="1:9" ht="14.25" customHeight="1" x14ac:dyDescent="0.25">
      <c r="A142" s="337"/>
      <c r="B142" s="14" t="s">
        <v>135</v>
      </c>
      <c r="C142" s="18" t="s">
        <v>136</v>
      </c>
      <c r="D142" s="14">
        <v>1</v>
      </c>
      <c r="E142" s="15">
        <f>VLOOKUP(C142,Data!$A$4:$B$363,2,FALSE)</f>
        <v>85000</v>
      </c>
      <c r="F142" s="17">
        <f>SUM(E142*D142+E143*D143+E144*D144+E145*D145+D146*E146)</f>
        <v>723880</v>
      </c>
      <c r="G142" s="17">
        <f>VLOOKUP(B142,Data!$A$4:$B$363,2,FALSE)</f>
        <v>510000</v>
      </c>
      <c r="H142" s="33">
        <f>G142*$I$2-F142</f>
        <v>857120</v>
      </c>
      <c r="I142" s="33">
        <f>G142*0.85*$I$2-F142</f>
        <v>619970</v>
      </c>
    </row>
    <row r="143" spans="1:9" ht="14.25" customHeight="1" x14ac:dyDescent="0.25">
      <c r="A143" s="337"/>
      <c r="B143" s="14"/>
      <c r="C143" s="14" t="s">
        <v>26</v>
      </c>
      <c r="D143" s="14">
        <v>6</v>
      </c>
      <c r="E143" s="15">
        <f>VLOOKUP(C143,Data!$A$4:$B$363,2,FALSE)</f>
        <v>2730</v>
      </c>
      <c r="F143" s="17"/>
      <c r="G143" s="17"/>
      <c r="H143" s="33"/>
      <c r="I143" s="33"/>
    </row>
    <row r="144" spans="1:9" ht="14.25" customHeight="1" x14ac:dyDescent="0.25">
      <c r="A144" s="337"/>
      <c r="B144" s="14"/>
      <c r="C144" s="18" t="s">
        <v>137</v>
      </c>
      <c r="D144" s="14">
        <v>3</v>
      </c>
      <c r="E144" s="15">
        <f>VLOOKUP(C144,Data!$A$4:$B$363,2,FALSE)</f>
        <v>100000</v>
      </c>
      <c r="F144" s="17"/>
      <c r="G144" s="17"/>
      <c r="H144" s="33"/>
      <c r="I144" s="33"/>
    </row>
    <row r="145" spans="1:9" ht="14.25" customHeight="1" x14ac:dyDescent="0.25">
      <c r="A145" s="337"/>
      <c r="B145" s="14"/>
      <c r="C145" s="14" t="s">
        <v>39</v>
      </c>
      <c r="D145" s="14">
        <v>2</v>
      </c>
      <c r="E145" s="15">
        <f>VLOOKUP(C145,Data!$A$4:$B$363,2,FALSE)</f>
        <v>22500</v>
      </c>
      <c r="F145" s="17"/>
      <c r="G145" s="17"/>
      <c r="H145" s="33"/>
      <c r="I145" s="33"/>
    </row>
    <row r="146" spans="1:9" ht="14.25" customHeight="1" thickBot="1" x14ac:dyDescent="0.3">
      <c r="A146" s="338"/>
      <c r="B146" s="27"/>
      <c r="C146" s="36" t="s">
        <v>25</v>
      </c>
      <c r="D146" s="27">
        <v>3</v>
      </c>
      <c r="E146" s="28">
        <f>VLOOKUP(C146,Data!$A$4:$B$363,2,FALSE)</f>
        <v>92500</v>
      </c>
      <c r="F146" s="29"/>
      <c r="G146" s="29"/>
      <c r="H146" s="34"/>
      <c r="I146" s="34"/>
    </row>
    <row r="147" spans="1:9" ht="14.25" customHeight="1" x14ac:dyDescent="0.25">
      <c r="A147" s="315" t="s">
        <v>558</v>
      </c>
      <c r="B147" s="10" t="s">
        <v>142</v>
      </c>
      <c r="C147" s="10" t="s">
        <v>14</v>
      </c>
      <c r="D147" s="10">
        <v>6</v>
      </c>
      <c r="E147" s="11">
        <f>VLOOKUP(C147,Data!$A$4:$B$363,2,FALSE)</f>
        <v>6800</v>
      </c>
      <c r="F147" s="12">
        <f>SUM(E147*D147+E148*D148+E149*D149+E150*D150)</f>
        <v>59446</v>
      </c>
      <c r="G147" s="12">
        <f>VLOOKUP(B147,Data!$A$4:$B$363,2,FALSE)</f>
        <v>18300</v>
      </c>
      <c r="H147" s="13">
        <f>G147*$I$2-F147</f>
        <v>-2716</v>
      </c>
      <c r="I147" s="13">
        <f>G147*0.85*$I$2-SUM(E147*D147+E148*D148+E150*D150+D149*E149)</f>
        <v>-11225.5</v>
      </c>
    </row>
    <row r="148" spans="1:9" ht="14.25" customHeight="1" x14ac:dyDescent="0.25">
      <c r="A148" s="317"/>
      <c r="B148" s="10"/>
      <c r="C148" s="10" t="s">
        <v>26</v>
      </c>
      <c r="D148" s="10">
        <v>1</v>
      </c>
      <c r="E148" s="11">
        <f>VLOOKUP(C148,Data!$A$4:$B$363,2,FALSE)</f>
        <v>2730</v>
      </c>
      <c r="F148" s="12"/>
      <c r="G148" s="12"/>
      <c r="H148" s="13"/>
      <c r="I148" s="13"/>
    </row>
    <row r="149" spans="1:9" ht="14.25" customHeight="1" x14ac:dyDescent="0.25">
      <c r="A149" s="317"/>
      <c r="B149" s="10"/>
      <c r="C149" s="10" t="s">
        <v>77</v>
      </c>
      <c r="D149" s="10">
        <v>4</v>
      </c>
      <c r="E149" s="11">
        <f>VLOOKUP(C149,Data!$A$4:$B$363,2,FALSE)</f>
        <v>229</v>
      </c>
      <c r="F149" s="12"/>
      <c r="G149" s="12"/>
      <c r="H149" s="13"/>
      <c r="I149" s="13"/>
    </row>
    <row r="150" spans="1:9" ht="14.25" customHeight="1" x14ac:dyDescent="0.25">
      <c r="A150" s="317"/>
      <c r="B150" s="10"/>
      <c r="C150" s="10" t="s">
        <v>72</v>
      </c>
      <c r="D150" s="10">
        <v>3</v>
      </c>
      <c r="E150" s="11">
        <f>VLOOKUP(C150,Data!$A$4:$B$363,2,FALSE)</f>
        <v>5000</v>
      </c>
      <c r="F150" s="12"/>
      <c r="G150" s="12"/>
      <c r="H150" s="13"/>
      <c r="I150" s="13"/>
    </row>
    <row r="151" spans="1:9" ht="14.25" customHeight="1" x14ac:dyDescent="0.25">
      <c r="A151" s="317"/>
      <c r="B151" s="14" t="s">
        <v>143</v>
      </c>
      <c r="C151" s="14" t="s">
        <v>100</v>
      </c>
      <c r="D151" s="14">
        <v>1</v>
      </c>
      <c r="E151" s="15">
        <f>VLOOKUP(C151,Data!$A$4:$B$363,2,FALSE)</f>
        <v>121000</v>
      </c>
      <c r="F151" s="17">
        <f>SUM(E151*D151+E152*D152+E153*D153+E154*D154+D155*E155)</f>
        <v>308080</v>
      </c>
      <c r="G151" s="17">
        <f>VLOOKUP(B151,Data!$A$4:$B$363,2,FALSE)</f>
        <v>87000</v>
      </c>
      <c r="H151" s="33">
        <f>G151*$I$2-F151</f>
        <v>-38380</v>
      </c>
      <c r="I151" s="33">
        <f>G151*0.85*$I$2-F151</f>
        <v>-78835</v>
      </c>
    </row>
    <row r="152" spans="1:9" ht="14.25" customHeight="1" x14ac:dyDescent="0.25">
      <c r="A152" s="317"/>
      <c r="B152" s="14"/>
      <c r="C152" s="14" t="s">
        <v>26</v>
      </c>
      <c r="D152" s="14">
        <v>4</v>
      </c>
      <c r="E152" s="15">
        <f>VLOOKUP(C152,Data!$A$4:$B$363,2,FALSE)</f>
        <v>2730</v>
      </c>
      <c r="F152" s="17"/>
      <c r="G152" s="17"/>
      <c r="H152" s="33"/>
      <c r="I152" s="33"/>
    </row>
    <row r="153" spans="1:9" ht="14.25" customHeight="1" x14ac:dyDescent="0.25">
      <c r="A153" s="317"/>
      <c r="B153" s="14"/>
      <c r="C153" s="14" t="s">
        <v>559</v>
      </c>
      <c r="D153" s="14">
        <v>2</v>
      </c>
      <c r="E153" s="15">
        <f>VLOOKUP(C153,Data!$A$4:$B$363,2,FALSE)</f>
        <v>780</v>
      </c>
      <c r="F153" s="17"/>
      <c r="G153" s="17"/>
      <c r="H153" s="33"/>
      <c r="I153" s="33"/>
    </row>
    <row r="154" spans="1:9" ht="14.25" customHeight="1" x14ac:dyDescent="0.25">
      <c r="A154" s="317"/>
      <c r="B154" s="14"/>
      <c r="C154" s="14" t="s">
        <v>20</v>
      </c>
      <c r="D154" s="14">
        <v>2</v>
      </c>
      <c r="E154" s="15">
        <f>VLOOKUP(C154,Data!$A$4:$B$363,2,FALSE)</f>
        <v>7500</v>
      </c>
      <c r="F154" s="17"/>
      <c r="G154" s="17"/>
      <c r="H154" s="33"/>
      <c r="I154" s="33"/>
    </row>
    <row r="155" spans="1:9" ht="14.25" customHeight="1" thickBot="1" x14ac:dyDescent="0.3">
      <c r="A155" s="317"/>
      <c r="B155" s="27"/>
      <c r="C155" s="14" t="s">
        <v>560</v>
      </c>
      <c r="D155" s="27">
        <v>4</v>
      </c>
      <c r="E155" s="28">
        <f>VLOOKUP(C155,Data!$A$4:$B$363,2,FALSE)</f>
        <v>39900</v>
      </c>
      <c r="F155" s="148"/>
      <c r="G155" s="148"/>
      <c r="H155" s="34"/>
      <c r="I155" s="34"/>
    </row>
    <row r="156" spans="1:9" ht="14.25" customHeight="1" x14ac:dyDescent="0.2"/>
    <row r="157" spans="1:9" ht="14.25" customHeight="1" x14ac:dyDescent="0.2"/>
    <row r="158" spans="1:9" ht="14.25" customHeight="1" x14ac:dyDescent="0.2"/>
    <row r="159" spans="1:9" ht="14.25" customHeight="1" x14ac:dyDescent="0.2"/>
    <row r="160" spans="1:9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autoFilter ref="A4:I146" xr:uid="{00000000-0009-0000-0000-000001000000}"/>
  <mergeCells count="7">
    <mergeCell ref="A147:A155"/>
    <mergeCell ref="A122:A146"/>
    <mergeCell ref="A58:A87"/>
    <mergeCell ref="B2:D2"/>
    <mergeCell ref="A88:A121"/>
    <mergeCell ref="A29:A57"/>
    <mergeCell ref="A5:A28"/>
  </mergeCells>
  <conditionalFormatting sqref="I5:I146 H147:I155">
    <cfRule type="expression" dxfId="62" priority="11">
      <formula>H5&gt;0</formula>
    </cfRule>
  </conditionalFormatting>
  <conditionalFormatting sqref="I5:I146 H147:I155">
    <cfRule type="expression" dxfId="61" priority="12">
      <formula>H5&lt;0</formula>
    </cfRule>
  </conditionalFormatting>
  <conditionalFormatting sqref="H5:H146">
    <cfRule type="expression" dxfId="60" priority="5">
      <formula>H5&gt;0</formula>
    </cfRule>
  </conditionalFormatting>
  <conditionalFormatting sqref="H5:H146">
    <cfRule type="expression" dxfId="59" priority="6">
      <formula>H5&lt;0</formula>
    </cfRule>
  </conditionalFormatting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1"/>
  <sheetViews>
    <sheetView workbookViewId="0">
      <selection activeCell="C16" sqref="C16"/>
    </sheetView>
  </sheetViews>
  <sheetFormatPr baseColWidth="10" defaultColWidth="12.625" defaultRowHeight="15" customHeight="1" x14ac:dyDescent="0.2"/>
  <cols>
    <col min="1" max="1" width="11" customWidth="1"/>
    <col min="2" max="2" width="23.5" customWidth="1"/>
    <col min="3" max="3" width="22.875" customWidth="1"/>
    <col min="4" max="4" width="8" customWidth="1"/>
    <col min="5" max="5" width="9.75" customWidth="1"/>
    <col min="6" max="6" width="12.125" customWidth="1"/>
    <col min="7" max="7" width="15.25" customWidth="1"/>
    <col min="8" max="8" width="12.375" customWidth="1"/>
    <col min="9" max="9" width="14.625" bestFit="1" customWidth="1"/>
    <col min="10" max="26" width="7.625" customWidth="1"/>
  </cols>
  <sheetData>
    <row r="1" spans="1:9" ht="14.25" customHeight="1" x14ac:dyDescent="0.2"/>
    <row r="2" spans="1:9" ht="14.25" customHeight="1" x14ac:dyDescent="0.25">
      <c r="B2" s="299" t="s">
        <v>0</v>
      </c>
      <c r="C2" s="300"/>
      <c r="D2" s="301"/>
      <c r="G2" s="1" t="s">
        <v>1</v>
      </c>
      <c r="H2" s="2">
        <v>1.57</v>
      </c>
    </row>
    <row r="3" spans="1:9" ht="14.25" customHeight="1" x14ac:dyDescent="0.2"/>
    <row r="4" spans="1:9" ht="14.25" customHeight="1" x14ac:dyDescent="0.25">
      <c r="B4" s="30" t="s">
        <v>2</v>
      </c>
      <c r="C4" s="30" t="s">
        <v>3</v>
      </c>
      <c r="D4" s="30" t="s">
        <v>4</v>
      </c>
      <c r="E4" s="30" t="s">
        <v>5</v>
      </c>
      <c r="F4" s="30" t="s">
        <v>6</v>
      </c>
      <c r="G4" s="30" t="s">
        <v>7</v>
      </c>
      <c r="H4" s="30" t="s">
        <v>8</v>
      </c>
    </row>
    <row r="5" spans="1:9" ht="15" customHeight="1" x14ac:dyDescent="0.25">
      <c r="A5" s="341" t="s">
        <v>167</v>
      </c>
      <c r="B5" s="31" t="s">
        <v>168</v>
      </c>
      <c r="C5" s="5" t="s">
        <v>26</v>
      </c>
      <c r="D5" s="5">
        <v>1</v>
      </c>
      <c r="E5" s="6">
        <f>VLOOKUP(C5,Data!$A$4:$B$363,2,FALSE)</f>
        <v>2730</v>
      </c>
      <c r="F5" s="331">
        <f>SUM(E5*D5+E6*D6+E7*D7+E8*D8)</f>
        <v>123490</v>
      </c>
      <c r="G5" s="331">
        <f>VLOOKUP(B5,Data!$A$4:$B$363,2,FALSE)</f>
        <v>78000</v>
      </c>
      <c r="H5" s="332">
        <f>G5*0.85*$H$2-F5</f>
        <v>-19399</v>
      </c>
    </row>
    <row r="6" spans="1:9" ht="14.25" customHeight="1" x14ac:dyDescent="0.25">
      <c r="A6" s="324"/>
      <c r="B6" s="32"/>
      <c r="C6" s="10" t="s">
        <v>169</v>
      </c>
      <c r="D6" s="10">
        <v>4</v>
      </c>
      <c r="E6" s="11">
        <f>VLOOKUP(C6,Data!$A$4:$B$363,2,FALSE)</f>
        <v>2740</v>
      </c>
      <c r="F6" s="324"/>
      <c r="G6" s="324"/>
      <c r="H6" s="327"/>
    </row>
    <row r="7" spans="1:9" ht="14.25" customHeight="1" x14ac:dyDescent="0.25">
      <c r="A7" s="324"/>
      <c r="B7" s="32"/>
      <c r="C7" s="18" t="s">
        <v>170</v>
      </c>
      <c r="D7" s="10">
        <v>2</v>
      </c>
      <c r="E7" s="11">
        <f>VLOOKUP(C7,Data!$A$4:$B$363,2,FALSE)</f>
        <v>39900</v>
      </c>
      <c r="F7" s="324"/>
      <c r="G7" s="324"/>
      <c r="H7" s="327"/>
    </row>
    <row r="8" spans="1:9" ht="14.25" customHeight="1" x14ac:dyDescent="0.25">
      <c r="A8" s="324"/>
      <c r="B8" s="32"/>
      <c r="C8" s="10" t="s">
        <v>72</v>
      </c>
      <c r="D8" s="10">
        <v>6</v>
      </c>
      <c r="E8" s="11">
        <f>VLOOKUP(C8,Data!$A$4:$B$363,2,FALSE)</f>
        <v>5000</v>
      </c>
      <c r="F8" s="339"/>
      <c r="G8" s="339"/>
      <c r="H8" s="340"/>
    </row>
    <row r="9" spans="1:9" ht="14.25" customHeight="1" x14ac:dyDescent="0.25">
      <c r="A9" s="324"/>
      <c r="B9" s="14" t="s">
        <v>171</v>
      </c>
      <c r="C9" s="14" t="s">
        <v>26</v>
      </c>
      <c r="D9" s="14">
        <v>1</v>
      </c>
      <c r="E9" s="15">
        <f>VLOOKUP(C9,Data!$A$4:$B$363,2,FALSE)</f>
        <v>2730</v>
      </c>
      <c r="F9" s="323">
        <f>SUM(E9*D9+E10*D10+E11*D11+E12*D12)</f>
        <v>312540</v>
      </c>
      <c r="G9" s="323">
        <f>VLOOKUP(B9,Data!$A$4:$B$363,2,FALSE)</f>
        <v>279000</v>
      </c>
      <c r="H9" s="325">
        <f>G9*0.85*$H$2-F9</f>
        <v>59785.5</v>
      </c>
    </row>
    <row r="10" spans="1:9" ht="14.25" customHeight="1" x14ac:dyDescent="0.25">
      <c r="A10" s="324"/>
      <c r="B10" s="14"/>
      <c r="C10" s="14" t="s">
        <v>49</v>
      </c>
      <c r="D10" s="14">
        <v>3</v>
      </c>
      <c r="E10" s="15">
        <f>VLOOKUP(C10,Data!$A$4:$B$363,2,FALSE)</f>
        <v>6450</v>
      </c>
      <c r="F10" s="324"/>
      <c r="G10" s="324"/>
      <c r="H10" s="327"/>
      <c r="I10" s="64"/>
    </row>
    <row r="11" spans="1:9" ht="14.25" customHeight="1" x14ac:dyDescent="0.25">
      <c r="A11" s="324"/>
      <c r="B11" s="14"/>
      <c r="C11" s="14" t="s">
        <v>61</v>
      </c>
      <c r="D11" s="14">
        <v>4</v>
      </c>
      <c r="E11" s="15">
        <f>VLOOKUP(C11,Data!$A$4:$B$363,2,FALSE)</f>
        <v>3240</v>
      </c>
      <c r="F11" s="324"/>
      <c r="G11" s="324"/>
      <c r="H11" s="327"/>
    </row>
    <row r="12" spans="1:9" ht="14.25" customHeight="1" x14ac:dyDescent="0.25">
      <c r="A12" s="324"/>
      <c r="B12" s="14"/>
      <c r="C12" s="18" t="s">
        <v>121</v>
      </c>
      <c r="D12" s="14">
        <v>3</v>
      </c>
      <c r="E12" s="15">
        <f>VLOOKUP(C12,Data!$A$4:$B$363,2,FALSE)</f>
        <v>92500</v>
      </c>
      <c r="F12" s="339"/>
      <c r="G12" s="339"/>
      <c r="H12" s="340"/>
    </row>
    <row r="13" spans="1:9" ht="14.25" customHeight="1" x14ac:dyDescent="0.25">
      <c r="A13" s="324"/>
      <c r="B13" s="10" t="s">
        <v>172</v>
      </c>
      <c r="C13" s="10" t="s">
        <v>79</v>
      </c>
      <c r="D13" s="10">
        <v>1</v>
      </c>
      <c r="E13" s="11">
        <f>VLOOKUP(C13,Data!$A$4:$B$363,2,FALSE)</f>
        <v>3320</v>
      </c>
      <c r="F13" s="330">
        <f>SUM(E13*D13+E14*D14+E15*D15+E16*D16)</f>
        <v>303900</v>
      </c>
      <c r="G13" s="330">
        <f>VLOOKUP(B13,Data!$A$4:$B$363,2,FALSE)</f>
        <v>229000</v>
      </c>
      <c r="H13" s="334">
        <f>G13*0.85*$H$2-F13</f>
        <v>1700.5</v>
      </c>
    </row>
    <row r="14" spans="1:9" ht="14.25" customHeight="1" x14ac:dyDescent="0.25">
      <c r="A14" s="324"/>
      <c r="B14" s="10"/>
      <c r="C14" s="10" t="s">
        <v>173</v>
      </c>
      <c r="D14" s="10">
        <v>4</v>
      </c>
      <c r="E14" s="11">
        <f>VLOOKUP(C14,Data!$A$4:$B$363,2,FALSE)</f>
        <v>2000</v>
      </c>
      <c r="F14" s="324"/>
      <c r="G14" s="324"/>
      <c r="H14" s="327"/>
    </row>
    <row r="15" spans="1:9" ht="14.25" customHeight="1" x14ac:dyDescent="0.25">
      <c r="A15" s="324"/>
      <c r="B15" s="10"/>
      <c r="C15" s="18" t="s">
        <v>174</v>
      </c>
      <c r="D15" s="10">
        <v>4</v>
      </c>
      <c r="E15" s="11">
        <f>VLOOKUP(C15,Data!$A$4:$B$363,2,FALSE)</f>
        <v>3770</v>
      </c>
      <c r="F15" s="324"/>
      <c r="G15" s="324"/>
      <c r="H15" s="327"/>
    </row>
    <row r="16" spans="1:9" ht="14.25" customHeight="1" x14ac:dyDescent="0.25">
      <c r="A16" s="324"/>
      <c r="B16" s="10"/>
      <c r="C16" s="18" t="s">
        <v>25</v>
      </c>
      <c r="D16" s="10">
        <v>3</v>
      </c>
      <c r="E16" s="11">
        <f>VLOOKUP(C16,Data!$A$4:$B$363,2,FALSE)</f>
        <v>92500</v>
      </c>
      <c r="F16" s="339"/>
      <c r="G16" s="339"/>
      <c r="H16" s="340"/>
    </row>
    <row r="17" spans="1:8" ht="14.25" customHeight="1" x14ac:dyDescent="0.25">
      <c r="A17" s="324"/>
      <c r="B17" s="14" t="s">
        <v>175</v>
      </c>
      <c r="C17" s="14" t="s">
        <v>79</v>
      </c>
      <c r="D17" s="14">
        <v>1</v>
      </c>
      <c r="E17" s="15">
        <f>VLOOKUP(C17,Data!$A$4:$B$363,2,FALSE)</f>
        <v>3320</v>
      </c>
      <c r="F17" s="323">
        <f>SUM(E17*D17+E18*D18+E19*D19+E20*D20)</f>
        <v>320520</v>
      </c>
      <c r="G17" s="323">
        <f>VLOOKUP(B17,Data!$A$4:$B$363,2,FALSE)</f>
        <v>225000</v>
      </c>
      <c r="H17" s="325">
        <f>G17*0.85*$H$2-F17</f>
        <v>-20257.5</v>
      </c>
    </row>
    <row r="18" spans="1:8" ht="14.25" customHeight="1" x14ac:dyDescent="0.25">
      <c r="A18" s="324"/>
      <c r="B18" s="14"/>
      <c r="C18" s="14" t="s">
        <v>68</v>
      </c>
      <c r="D18" s="14">
        <v>3</v>
      </c>
      <c r="E18" s="15">
        <f>VLOOKUP(C18,Data!$A$4:$B$363,2,FALSE)</f>
        <v>7500</v>
      </c>
      <c r="F18" s="324"/>
      <c r="G18" s="324"/>
      <c r="H18" s="327"/>
    </row>
    <row r="19" spans="1:8" ht="14.25" customHeight="1" x14ac:dyDescent="0.25">
      <c r="A19" s="324"/>
      <c r="B19" s="14"/>
      <c r="C19" s="18" t="s">
        <v>134</v>
      </c>
      <c r="D19" s="14">
        <v>3</v>
      </c>
      <c r="E19" s="15">
        <f>VLOOKUP(C19,Data!$A$4:$B$363,2,FALSE)</f>
        <v>92500</v>
      </c>
      <c r="F19" s="324"/>
      <c r="G19" s="324"/>
      <c r="H19" s="327"/>
    </row>
    <row r="20" spans="1:8" ht="14.25" customHeight="1" x14ac:dyDescent="0.25">
      <c r="A20" s="324"/>
      <c r="B20" s="14"/>
      <c r="C20" s="14" t="s">
        <v>12</v>
      </c>
      <c r="D20" s="14">
        <v>2</v>
      </c>
      <c r="E20" s="15">
        <f>VLOOKUP(C20,Data!$A$4:$B$363,2,FALSE)</f>
        <v>8600</v>
      </c>
      <c r="F20" s="339"/>
      <c r="G20" s="339"/>
      <c r="H20" s="340"/>
    </row>
    <row r="21" spans="1:8" ht="14.25" customHeight="1" x14ac:dyDescent="0.25">
      <c r="A21" s="324"/>
      <c r="B21" s="10" t="s">
        <v>176</v>
      </c>
      <c r="C21" s="10" t="s">
        <v>79</v>
      </c>
      <c r="D21" s="10">
        <v>10</v>
      </c>
      <c r="E21" s="11">
        <f>VLOOKUP(C21,Data!$A$4:$B$363,2,FALSE)</f>
        <v>3320</v>
      </c>
      <c r="F21" s="330">
        <f>SUM(E21*D21+E22*D22+E24*D24+E25*D25)</f>
        <v>308600</v>
      </c>
      <c r="G21" s="330">
        <f>VLOOKUP(B21,Data!$A$4:$B$363,2,FALSE)</f>
        <v>650000</v>
      </c>
      <c r="H21" s="334">
        <f>G21*0.85-F21/0.7</f>
        <v>111642.8571428571</v>
      </c>
    </row>
    <row r="22" spans="1:8" ht="14.25" customHeight="1" x14ac:dyDescent="0.25">
      <c r="A22" s="324"/>
      <c r="B22" s="10"/>
      <c r="C22" s="10" t="s">
        <v>26</v>
      </c>
      <c r="D22" s="10">
        <v>10</v>
      </c>
      <c r="E22" s="11">
        <f>VLOOKUP(C22,Data!$A$4:$B$363,2,FALSE)</f>
        <v>2730</v>
      </c>
      <c r="F22" s="324"/>
      <c r="G22" s="324"/>
      <c r="H22" s="327"/>
    </row>
    <row r="23" spans="1:8" ht="14.25" customHeight="1" x14ac:dyDescent="0.25">
      <c r="A23" s="324"/>
      <c r="B23" s="10"/>
      <c r="C23" s="10" t="s">
        <v>41</v>
      </c>
      <c r="D23" s="10">
        <v>5</v>
      </c>
      <c r="E23" s="11">
        <f>VLOOKUP(C23,Data!$A$4:$B$363,2,FALSE)</f>
        <v>1940</v>
      </c>
      <c r="F23" s="324"/>
      <c r="G23" s="324"/>
      <c r="H23" s="327"/>
    </row>
    <row r="24" spans="1:8" ht="14.25" customHeight="1" x14ac:dyDescent="0.25">
      <c r="A24" s="324"/>
      <c r="B24" s="10"/>
      <c r="C24" s="18" t="s">
        <v>177</v>
      </c>
      <c r="D24" s="10">
        <v>10</v>
      </c>
      <c r="E24" s="11">
        <f>VLOOKUP(C24,Data!$A$4:$B$363,2,FALSE)</f>
        <v>18600</v>
      </c>
      <c r="F24" s="324"/>
      <c r="G24" s="324"/>
      <c r="H24" s="327"/>
    </row>
    <row r="25" spans="1:8" ht="14.25" customHeight="1" x14ac:dyDescent="0.25">
      <c r="A25" s="339"/>
      <c r="B25" s="10"/>
      <c r="C25" s="18" t="s">
        <v>15</v>
      </c>
      <c r="D25" s="10">
        <v>3</v>
      </c>
      <c r="E25" s="11">
        <f>VLOOKUP(C25,Data!$A$4:$B$363,2,FALSE)</f>
        <v>20700</v>
      </c>
      <c r="F25" s="339"/>
      <c r="G25" s="339"/>
      <c r="H25" s="340"/>
    </row>
    <row r="26" spans="1:8" ht="14.25" customHeight="1" x14ac:dyDescent="0.2"/>
    <row r="27" spans="1:8" ht="14.25" customHeight="1" x14ac:dyDescent="0.2"/>
    <row r="28" spans="1:8" ht="14.25" customHeight="1" x14ac:dyDescent="0.2"/>
    <row r="29" spans="1:8" ht="14.25" customHeight="1" x14ac:dyDescent="0.2"/>
    <row r="30" spans="1:8" ht="14.25" customHeight="1" x14ac:dyDescent="0.2"/>
    <row r="31" spans="1:8" ht="14.25" customHeight="1" x14ac:dyDescent="0.2"/>
    <row r="32" spans="1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17">
    <mergeCell ref="A5:A25"/>
    <mergeCell ref="G5:G8"/>
    <mergeCell ref="H5:H8"/>
    <mergeCell ref="G9:G12"/>
    <mergeCell ref="H9:H12"/>
    <mergeCell ref="H17:H20"/>
    <mergeCell ref="F5:F8"/>
    <mergeCell ref="F21:F25"/>
    <mergeCell ref="G21:G25"/>
    <mergeCell ref="H21:H25"/>
    <mergeCell ref="F17:F20"/>
    <mergeCell ref="G17:G20"/>
    <mergeCell ref="B2:D2"/>
    <mergeCell ref="F9:F12"/>
    <mergeCell ref="F13:F16"/>
    <mergeCell ref="G13:G16"/>
    <mergeCell ref="H13:H16"/>
  </mergeCells>
  <conditionalFormatting sqref="H5:H16">
    <cfRule type="expression" dxfId="58" priority="5">
      <formula>$H5&gt;0</formula>
    </cfRule>
  </conditionalFormatting>
  <conditionalFormatting sqref="H5:H16">
    <cfRule type="expression" dxfId="57" priority="6">
      <formula>$H5&lt;0</formula>
    </cfRule>
  </conditionalFormatting>
  <conditionalFormatting sqref="H17:H20">
    <cfRule type="expression" dxfId="56" priority="7">
      <formula>$H17&gt;0</formula>
    </cfRule>
  </conditionalFormatting>
  <conditionalFormatting sqref="H17:H20">
    <cfRule type="expression" dxfId="55" priority="8">
      <formula>$H17&lt;0</formula>
    </cfRule>
  </conditionalFormatting>
  <conditionalFormatting sqref="H21:H25">
    <cfRule type="expression" dxfId="54" priority="9">
      <formula>$H21&gt;0</formula>
    </cfRule>
  </conditionalFormatting>
  <conditionalFormatting sqref="H21:H25">
    <cfRule type="expression" dxfId="53" priority="10">
      <formula>$H21&lt;0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zoomScale="85" zoomScaleNormal="85" workbookViewId="0">
      <selection activeCell="F24" sqref="F24"/>
    </sheetView>
  </sheetViews>
  <sheetFormatPr baseColWidth="10" defaultColWidth="12.625" defaultRowHeight="15" customHeight="1" x14ac:dyDescent="0.2"/>
  <cols>
    <col min="1" max="1" width="11" customWidth="1"/>
    <col min="2" max="2" width="31.75" bestFit="1" customWidth="1"/>
    <col min="3" max="3" width="26.75" bestFit="1" customWidth="1"/>
    <col min="4" max="4" width="8" customWidth="1"/>
    <col min="5" max="5" width="17.75" bestFit="1" customWidth="1"/>
    <col min="6" max="6" width="17.75" customWidth="1"/>
    <col min="7" max="7" width="12.5" customWidth="1"/>
    <col min="8" max="9" width="15.25" customWidth="1"/>
    <col min="10" max="10" width="17.5" customWidth="1"/>
    <col min="11" max="11" width="17.625" bestFit="1" customWidth="1"/>
    <col min="12" max="12" width="11.125" bestFit="1" customWidth="1"/>
    <col min="13" max="29" width="7.625" customWidth="1"/>
  </cols>
  <sheetData>
    <row r="1" spans="1:11" ht="14.25" customHeight="1" thickBot="1" x14ac:dyDescent="0.25"/>
    <row r="2" spans="1:11" ht="14.25" customHeight="1" thickBot="1" x14ac:dyDescent="0.3">
      <c r="B2" s="299" t="s">
        <v>0</v>
      </c>
      <c r="C2" s="300"/>
      <c r="D2" s="301"/>
      <c r="H2" s="1" t="s">
        <v>1</v>
      </c>
      <c r="I2" s="2">
        <v>1</v>
      </c>
      <c r="J2" s="105"/>
    </row>
    <row r="3" spans="1:11" ht="14.25" customHeight="1" thickBot="1" x14ac:dyDescent="0.25"/>
    <row r="4" spans="1:11" ht="14.25" customHeight="1" thickBot="1" x14ac:dyDescent="0.3">
      <c r="B4" s="30" t="s">
        <v>2</v>
      </c>
      <c r="C4" s="30" t="s">
        <v>3</v>
      </c>
      <c r="D4" s="30" t="s">
        <v>4</v>
      </c>
      <c r="E4" s="30" t="s">
        <v>5</v>
      </c>
      <c r="F4" s="30" t="s">
        <v>556</v>
      </c>
      <c r="G4" s="30" t="s">
        <v>6</v>
      </c>
      <c r="H4" s="30" t="s">
        <v>7</v>
      </c>
      <c r="I4" s="30" t="s">
        <v>8</v>
      </c>
      <c r="J4" s="30" t="s">
        <v>557</v>
      </c>
    </row>
    <row r="5" spans="1:11" ht="15" customHeight="1" x14ac:dyDescent="0.25">
      <c r="A5" s="341" t="s">
        <v>138</v>
      </c>
      <c r="B5" s="31" t="s">
        <v>139</v>
      </c>
      <c r="C5" s="5" t="s">
        <v>84</v>
      </c>
      <c r="D5" s="5">
        <v>3</v>
      </c>
      <c r="E5" s="6">
        <f>VLOOKUP(C5,Data!$A$4:$B$363,2,FALSE)</f>
        <v>23800</v>
      </c>
      <c r="F5" s="80">
        <f>(VLOOKUP(C5,Elixires!$B$5:$I$155,5,FALSE)/Elixires!$H$2)</f>
        <v>18906.451612903224</v>
      </c>
      <c r="G5" s="80">
        <f>E5*D5</f>
        <v>71400</v>
      </c>
      <c r="H5" s="331">
        <f>VLOOKUP(B5,Data!$A$4:$B$363,2,FALSE)</f>
        <v>595000</v>
      </c>
      <c r="I5" s="332">
        <f>H5*0.85*$I$2-SUM(E5*D5+E6*D6+E7*D7+E8*D8)</f>
        <v>22050</v>
      </c>
      <c r="J5" s="332">
        <f>H5*0.85*$I$2-SUM(MIN(E5,F5)*D5+MIN(E6,F6)*D6+MIN(E7,F7)*D7+MIN(E8,F8)*D8)</f>
        <v>77337.096774193575</v>
      </c>
    </row>
    <row r="6" spans="1:11" ht="14.25" customHeight="1" x14ac:dyDescent="0.25">
      <c r="A6" s="324"/>
      <c r="B6" s="32"/>
      <c r="C6" s="10" t="s">
        <v>92</v>
      </c>
      <c r="D6" s="10">
        <v>3</v>
      </c>
      <c r="E6" s="11">
        <f>VLOOKUP(C6,Data!$A$4:$B$363,2,FALSE)</f>
        <v>55500</v>
      </c>
      <c r="F6" s="91">
        <f>(VLOOKUP(C6,Elixires!$B$5:$I$155,5,FALSE)/Elixires!$H$2)</f>
        <v>41964.516129032258</v>
      </c>
      <c r="G6" s="91">
        <f t="shared" ref="G6:G27" si="0">E6*D6</f>
        <v>166500</v>
      </c>
      <c r="H6" s="324"/>
      <c r="I6" s="327"/>
      <c r="J6" s="327"/>
    </row>
    <row r="7" spans="1:11" ht="14.25" customHeight="1" x14ac:dyDescent="0.25">
      <c r="A7" s="324"/>
      <c r="B7" s="32"/>
      <c r="C7" s="32" t="s">
        <v>111</v>
      </c>
      <c r="D7" s="10">
        <v>3</v>
      </c>
      <c r="E7" s="11">
        <f>VLOOKUP(C7,Data!$A$4:$B$363,2,FALSE)</f>
        <v>48600</v>
      </c>
      <c r="F7" s="91">
        <f>(VLOOKUP(C7,Elixires!$B$5:$I$155,5,FALSE)/Elixires!$H$2)</f>
        <v>62490.322580645159</v>
      </c>
      <c r="G7" s="91">
        <f t="shared" si="0"/>
        <v>145800</v>
      </c>
      <c r="H7" s="324"/>
      <c r="I7" s="327"/>
      <c r="J7" s="327"/>
    </row>
    <row r="8" spans="1:11" ht="14.25" customHeight="1" x14ac:dyDescent="0.25">
      <c r="A8" s="324"/>
      <c r="B8" s="32"/>
      <c r="C8" s="10" t="s">
        <v>140</v>
      </c>
      <c r="D8" s="10">
        <v>1</v>
      </c>
      <c r="E8" s="11">
        <f>VLOOKUP(C8,Data!$A$4:$B$363,2,FALSE)</f>
        <v>100000</v>
      </c>
      <c r="F8" s="91">
        <f>+E8</f>
        <v>100000</v>
      </c>
      <c r="G8" s="91">
        <f t="shared" si="0"/>
        <v>100000</v>
      </c>
      <c r="H8" s="339"/>
      <c r="I8" s="340"/>
      <c r="J8" s="340"/>
    </row>
    <row r="9" spans="1:11" ht="14.25" customHeight="1" x14ac:dyDescent="0.25">
      <c r="A9" s="324"/>
      <c r="B9" s="14" t="s">
        <v>141</v>
      </c>
      <c r="C9" s="14" t="s">
        <v>142</v>
      </c>
      <c r="D9" s="14">
        <v>3</v>
      </c>
      <c r="E9" s="15">
        <f>VLOOKUP(C9,Data!$A$4:$B$363,2,FALSE)</f>
        <v>18300</v>
      </c>
      <c r="F9" s="72">
        <f>(VLOOKUP(C9,Elixires!$B$5:$I$155,5,FALSE)/Elixires!$H$2)</f>
        <v>19176.129032258064</v>
      </c>
      <c r="G9" s="72">
        <f t="shared" si="0"/>
        <v>54900</v>
      </c>
      <c r="H9" s="323">
        <f>VLOOKUP(B9,Data!$A$4:$B$363,2,FALSE)</f>
        <v>585000</v>
      </c>
      <c r="I9" s="326">
        <f t="shared" ref="I9" si="1">H9*0.85*$I$2-SUM(E9*D9+E10*D10+E11*D11+E12*D12)</f>
        <v>27350</v>
      </c>
      <c r="J9" s="326">
        <f t="shared" ref="J9" si="2">H9*0.85*$I$2-SUM(MIN(E9,F9)*D9+MIN(E10,F10)*D10+MIN(E11,F11)*D11+MIN(E12,F12)*D12)</f>
        <v>27350</v>
      </c>
    </row>
    <row r="10" spans="1:11" ht="14.25" customHeight="1" x14ac:dyDescent="0.25">
      <c r="A10" s="324"/>
      <c r="B10" s="14"/>
      <c r="C10" s="14" t="s">
        <v>143</v>
      </c>
      <c r="D10" s="14">
        <v>3</v>
      </c>
      <c r="E10" s="15">
        <f>VLOOKUP(C10,Data!$A$4:$B$363,2,FALSE)</f>
        <v>87000</v>
      </c>
      <c r="F10" s="72">
        <f>(VLOOKUP(C10,Elixires!$B$5:$I$155,5,FALSE)/Elixires!$H$2)</f>
        <v>99380.645161290318</v>
      </c>
      <c r="G10" s="72">
        <f t="shared" si="0"/>
        <v>261000</v>
      </c>
      <c r="H10" s="324"/>
      <c r="I10" s="326"/>
      <c r="J10" s="326"/>
      <c r="K10" s="104"/>
    </row>
    <row r="11" spans="1:11" ht="14.25" customHeight="1" x14ac:dyDescent="0.25">
      <c r="A11" s="324"/>
      <c r="B11" s="14"/>
      <c r="C11" s="14" t="s">
        <v>144</v>
      </c>
      <c r="D11" s="14">
        <v>3</v>
      </c>
      <c r="E11" s="15">
        <f>VLOOKUP(C11,Data!$A$4:$B$363,2,FALSE)</f>
        <v>18000</v>
      </c>
      <c r="F11" s="72">
        <f>(VLOOKUP(C11,Elixires!$B$5:$I$155,5,FALSE)/Elixires!$H$2)</f>
        <v>19360</v>
      </c>
      <c r="G11" s="72">
        <f t="shared" si="0"/>
        <v>54000</v>
      </c>
      <c r="H11" s="324"/>
      <c r="I11" s="326"/>
      <c r="J11" s="326"/>
      <c r="K11" s="104">
        <f>10*3600</f>
        <v>36000</v>
      </c>
    </row>
    <row r="12" spans="1:11" ht="14.25" customHeight="1" x14ac:dyDescent="0.25">
      <c r="A12" s="324"/>
      <c r="B12" s="14"/>
      <c r="C12" s="14" t="s">
        <v>140</v>
      </c>
      <c r="D12" s="14">
        <v>1</v>
      </c>
      <c r="E12" s="15">
        <f>VLOOKUP(C12,Data!$A$4:$B$363,2,FALSE)</f>
        <v>100000</v>
      </c>
      <c r="F12" s="91">
        <f>+E12</f>
        <v>100000</v>
      </c>
      <c r="G12" s="72">
        <f t="shared" si="0"/>
        <v>100000</v>
      </c>
      <c r="H12" s="339"/>
      <c r="I12" s="326"/>
      <c r="J12" s="326"/>
      <c r="K12" s="104">
        <f>+K11/10</f>
        <v>3600</v>
      </c>
    </row>
    <row r="13" spans="1:11" ht="14.25" customHeight="1" x14ac:dyDescent="0.25">
      <c r="A13" s="324"/>
      <c r="B13" s="10" t="s">
        <v>145</v>
      </c>
      <c r="C13" s="10" t="s">
        <v>89</v>
      </c>
      <c r="D13" s="10">
        <v>3</v>
      </c>
      <c r="E13" s="11">
        <f>VLOOKUP(C13,Data!$A$4:$B$363,2,FALSE)</f>
        <v>30800</v>
      </c>
      <c r="F13" s="91">
        <f>(VLOOKUP(C13,Elixires!$B$5:$I$155,5,FALSE)/Elixires!$H$2)</f>
        <v>27983.870967741936</v>
      </c>
      <c r="G13" s="91">
        <f t="shared" si="0"/>
        <v>92400</v>
      </c>
      <c r="H13" s="330">
        <f>VLOOKUP(B13,Data!$A$4:$B$363,2,FALSE)</f>
        <v>369000</v>
      </c>
      <c r="I13" s="335">
        <f>H13*0.85*$I$2-SUM(E13*D13+E14*D14+E15*D15+E16*D16)</f>
        <v>-27850</v>
      </c>
      <c r="J13" s="335">
        <f>H13*0.85*$I$2-SUM(MIN(E13,F13)*D13+MIN(E14,F14)*D14+MIN(E15,F15)*D15+MIN(E16,F16)*D16)</f>
        <v>-4720.9677419354557</v>
      </c>
      <c r="K13">
        <f>+K12*3</f>
        <v>10800</v>
      </c>
    </row>
    <row r="14" spans="1:11" ht="14.25" customHeight="1" x14ac:dyDescent="0.25">
      <c r="A14" s="324"/>
      <c r="B14" s="10"/>
      <c r="C14" s="10" t="s">
        <v>63</v>
      </c>
      <c r="D14" s="10">
        <v>3</v>
      </c>
      <c r="E14" s="11">
        <f>VLOOKUP(C14,Data!$A$4:$B$363,2,FALSE)</f>
        <v>12200</v>
      </c>
      <c r="F14" s="91">
        <f>(VLOOKUP(C14,Elixires!$B$5:$I$155,5,FALSE)/Elixires!$H$2)</f>
        <v>16329.677419354839</v>
      </c>
      <c r="G14" s="91">
        <f t="shared" si="0"/>
        <v>36600</v>
      </c>
      <c r="H14" s="324"/>
      <c r="I14" s="335"/>
      <c r="J14" s="335"/>
      <c r="K14" s="104"/>
    </row>
    <row r="15" spans="1:11" ht="14.25" customHeight="1" x14ac:dyDescent="0.25">
      <c r="A15" s="324"/>
      <c r="B15" s="10"/>
      <c r="C15" s="10" t="s">
        <v>82</v>
      </c>
      <c r="D15" s="10">
        <v>3</v>
      </c>
      <c r="E15" s="11">
        <f>VLOOKUP(C15,Data!$A$4:$B$363,2,FALSE)</f>
        <v>37500</v>
      </c>
      <c r="F15" s="91">
        <f>(VLOOKUP(C15,Elixires!$B$5:$I$155,5,FALSE)/Elixires!$H$2)</f>
        <v>32606.451612903224</v>
      </c>
      <c r="G15" s="91">
        <f t="shared" si="0"/>
        <v>112500</v>
      </c>
      <c r="H15" s="324"/>
      <c r="I15" s="335"/>
      <c r="J15" s="335"/>
    </row>
    <row r="16" spans="1:11" ht="14.25" customHeight="1" x14ac:dyDescent="0.25">
      <c r="A16" s="324"/>
      <c r="B16" s="10"/>
      <c r="C16" s="10" t="s">
        <v>140</v>
      </c>
      <c r="D16" s="10">
        <v>1</v>
      </c>
      <c r="E16" s="11">
        <f>VLOOKUP(C16,Data!$A$4:$B$363,2,FALSE)</f>
        <v>100000</v>
      </c>
      <c r="F16" s="91">
        <f>+E16</f>
        <v>100000</v>
      </c>
      <c r="G16" s="91">
        <f t="shared" si="0"/>
        <v>100000</v>
      </c>
      <c r="H16" s="339"/>
      <c r="I16" s="335"/>
      <c r="J16" s="335"/>
      <c r="K16" s="77"/>
    </row>
    <row r="17" spans="1:11" ht="14.25" customHeight="1" x14ac:dyDescent="0.25">
      <c r="A17" s="324"/>
      <c r="B17" s="14" t="s">
        <v>146</v>
      </c>
      <c r="C17" s="14" t="s">
        <v>117</v>
      </c>
      <c r="D17" s="14">
        <v>3</v>
      </c>
      <c r="E17" s="15">
        <f>VLOOKUP(C17,Data!$A$4:$B$363,2,FALSE)</f>
        <v>106000</v>
      </c>
      <c r="F17" s="72">
        <f>(VLOOKUP(C17,Elixires!$B$5:$I$155,5,FALSE)/Elixires!$H$2)</f>
        <v>104566.12903225806</v>
      </c>
      <c r="G17" s="72">
        <f t="shared" si="0"/>
        <v>318000</v>
      </c>
      <c r="H17" s="323">
        <f>VLOOKUP(B17,Data!$A$4:$B$363,2,FALSE)</f>
        <v>585000</v>
      </c>
      <c r="I17" s="326">
        <f t="shared" ref="I17" si="3">H17*0.85*$I$2-SUM(E17*D17+E18*D18+E19*D19+E20*D20)</f>
        <v>-106150</v>
      </c>
      <c r="J17" s="326">
        <f>H17*0.85*$I$2-SUM(MIN(E17,F17)*D17+MIN(E18,F18)*D18+MIN(E19,F19)*D19+MIN(E20,F20)*D20)</f>
        <v>-61900</v>
      </c>
    </row>
    <row r="18" spans="1:11" ht="14.25" customHeight="1" x14ac:dyDescent="0.25">
      <c r="A18" s="324"/>
      <c r="B18" s="14"/>
      <c r="C18" s="14" t="s">
        <v>74</v>
      </c>
      <c r="D18" s="14">
        <v>3</v>
      </c>
      <c r="E18" s="15">
        <f>VLOOKUP(C18,Data!$A$4:$B$363,2,FALSE)</f>
        <v>36500</v>
      </c>
      <c r="F18" s="72">
        <f>(VLOOKUP(C18,Elixires!$B$5:$I$155,5,FALSE)/Elixires!$H$2)</f>
        <v>23183.870967741936</v>
      </c>
      <c r="G18" s="72">
        <f t="shared" si="0"/>
        <v>109500</v>
      </c>
      <c r="H18" s="324"/>
      <c r="I18" s="326"/>
      <c r="J18" s="326"/>
      <c r="K18">
        <f>1800/3</f>
        <v>600</v>
      </c>
    </row>
    <row r="19" spans="1:11" ht="14.25" customHeight="1" x14ac:dyDescent="0.25">
      <c r="A19" s="324"/>
      <c r="B19" s="14"/>
      <c r="C19" s="14" t="s">
        <v>56</v>
      </c>
      <c r="D19" s="14">
        <v>3</v>
      </c>
      <c r="E19" s="15">
        <f>VLOOKUP(C19,Data!$A$4:$B$363,2,FALSE)</f>
        <v>25300</v>
      </c>
      <c r="F19" s="72">
        <f>(VLOOKUP(C19,Elixires!$B$5:$I$155,5,FALSE)/Elixires!$H$2)</f>
        <v>25425.806451612902</v>
      </c>
      <c r="G19" s="72">
        <f t="shared" si="0"/>
        <v>75900</v>
      </c>
      <c r="H19" s="324"/>
      <c r="I19" s="326"/>
      <c r="J19" s="326"/>
    </row>
    <row r="20" spans="1:11" ht="14.25" customHeight="1" x14ac:dyDescent="0.25">
      <c r="A20" s="339"/>
      <c r="B20" s="14"/>
      <c r="C20" s="14" t="s">
        <v>140</v>
      </c>
      <c r="D20" s="14">
        <v>1</v>
      </c>
      <c r="E20" s="15">
        <f>VLOOKUP(C20,Data!$A$4:$B$363,2,FALSE)</f>
        <v>100000</v>
      </c>
      <c r="F20" s="91">
        <f>+E20</f>
        <v>100000</v>
      </c>
      <c r="G20" s="72">
        <f t="shared" si="0"/>
        <v>100000</v>
      </c>
      <c r="H20" s="339"/>
      <c r="I20" s="326"/>
      <c r="J20" s="326"/>
    </row>
    <row r="21" spans="1:11" ht="14.25" customHeight="1" x14ac:dyDescent="0.25">
      <c r="A21" s="38"/>
      <c r="B21" s="10" t="s">
        <v>147</v>
      </c>
      <c r="C21" s="39" t="s">
        <v>148</v>
      </c>
      <c r="D21" s="10">
        <v>1</v>
      </c>
      <c r="E21" s="11">
        <f>VLOOKUP(C21,Data!$A$4:$B$363,2,FALSE)</f>
        <v>500000</v>
      </c>
      <c r="F21" s="91">
        <f>+E21</f>
        <v>500000</v>
      </c>
      <c r="G21" s="91">
        <f t="shared" si="0"/>
        <v>500000</v>
      </c>
      <c r="H21" s="330">
        <f>VLOOKUP(B21,Data!$A$4:$B$363,2,FALSE)</f>
        <v>1680000</v>
      </c>
      <c r="I21" s="335">
        <f t="shared" ref="I21" si="4">H21*0.85*$I$2-SUM(E21*D21+E22*D22+E23*D23+E24*D24)</f>
        <v>266400</v>
      </c>
      <c r="J21" s="335">
        <f t="shared" ref="J21" si="5">H21*0.85*$I$2-SUM(MIN(E21,F21)*D21+MIN(E22,F22)*D22+MIN(E23,F23)*D23+MIN(E24,F24)*D24)</f>
        <v>329409.67741935467</v>
      </c>
    </row>
    <row r="22" spans="1:11" ht="14.25" customHeight="1" x14ac:dyDescent="0.25">
      <c r="A22" s="38"/>
      <c r="B22" s="10"/>
      <c r="C22" s="10" t="s">
        <v>149</v>
      </c>
      <c r="D22" s="10">
        <v>3</v>
      </c>
      <c r="E22" s="11">
        <f>VLOOKUP(C22,Data!$A$4:$B$363,2,FALSE)</f>
        <v>23200</v>
      </c>
      <c r="F22" s="91">
        <f>(VLOOKUP(C22,Elixires!$B$5:$I$155,5,FALSE)/Elixires!$H$2)</f>
        <v>14551.612903225807</v>
      </c>
      <c r="G22" s="91">
        <f t="shared" si="0"/>
        <v>69600</v>
      </c>
      <c r="H22" s="324"/>
      <c r="I22" s="335"/>
      <c r="J22" s="335"/>
    </row>
    <row r="23" spans="1:11" ht="14.25" customHeight="1" x14ac:dyDescent="0.25">
      <c r="A23" s="38"/>
      <c r="B23" s="10"/>
      <c r="C23" s="10" t="s">
        <v>129</v>
      </c>
      <c r="D23" s="10">
        <v>3</v>
      </c>
      <c r="E23" s="11">
        <f>VLOOKUP(C23,Data!$A$4:$B$363,2,FALSE)</f>
        <v>164000</v>
      </c>
      <c r="F23" s="91">
        <f>(VLOOKUP(C23,Elixires!$B$5:$I$155,5,FALSE)/Elixires!$H$2)</f>
        <v>151645.16129032258</v>
      </c>
      <c r="G23" s="91">
        <f t="shared" si="0"/>
        <v>492000</v>
      </c>
      <c r="H23" s="324"/>
      <c r="I23" s="335"/>
      <c r="J23" s="335"/>
    </row>
    <row r="24" spans="1:11" ht="14.25" customHeight="1" x14ac:dyDescent="0.25">
      <c r="A24" s="38"/>
      <c r="B24" s="10"/>
      <c r="C24" s="10" t="s">
        <v>140</v>
      </c>
      <c r="D24" s="10">
        <v>1</v>
      </c>
      <c r="E24" s="11">
        <f>VLOOKUP(C24,Data!$A$4:$B$363,2,FALSE)</f>
        <v>100000</v>
      </c>
      <c r="F24" s="91">
        <f>+E24</f>
        <v>100000</v>
      </c>
      <c r="G24" s="91">
        <f t="shared" si="0"/>
        <v>100000</v>
      </c>
      <c r="H24" s="339"/>
      <c r="I24" s="335"/>
      <c r="J24" s="335"/>
    </row>
    <row r="25" spans="1:11" ht="14.25" customHeight="1" x14ac:dyDescent="0.25">
      <c r="A25" s="38"/>
      <c r="B25" s="151" t="s">
        <v>150</v>
      </c>
      <c r="C25" s="14" t="s">
        <v>81</v>
      </c>
      <c r="D25" s="14">
        <v>36</v>
      </c>
      <c r="E25" s="15">
        <f>VLOOKUP(C25,Data!$A$4:$B$363,2,FALSE)</f>
        <v>31800</v>
      </c>
      <c r="F25" s="72">
        <f>(VLOOKUP(C25,Elixires!$B$5:$I$155,5,FALSE)/Elixires!$H$2)</f>
        <v>29560.967741935485</v>
      </c>
      <c r="G25" s="72">
        <f>E25*D25</f>
        <v>1144800</v>
      </c>
      <c r="H25" s="323">
        <f>VLOOKUP(B25,Data!$A$4:$B$363,2,FALSE)</f>
        <v>1950000</v>
      </c>
      <c r="I25" s="326">
        <f t="shared" ref="I25" si="6">H25*0.85*$I$2-SUM(E25*D25+E26*D26+E27*D27+E28*D28)</f>
        <v>-2827300</v>
      </c>
      <c r="J25" s="326">
        <f t="shared" ref="J25" si="7">H25*0.85*$I$2-SUM(MIN(E25,F25)*D25+MIN(E26,F26)*D26+MIN(E27,F27)*D27+MIN(E28,F28)*D28)</f>
        <v>-2504728.3870967738</v>
      </c>
    </row>
    <row r="26" spans="1:11" ht="14.25" customHeight="1" x14ac:dyDescent="0.25">
      <c r="A26" s="38"/>
      <c r="B26" s="14"/>
      <c r="C26" s="14" t="s">
        <v>82</v>
      </c>
      <c r="D26" s="14">
        <v>36</v>
      </c>
      <c r="E26" s="15">
        <f>VLOOKUP(C26,Data!$A$4:$B$363,2,FALSE)</f>
        <v>37500</v>
      </c>
      <c r="F26" s="72">
        <f>(VLOOKUP(C26,Elixires!$B$5:$I$155,5,FALSE)/Elixires!$H$2)</f>
        <v>32606.451612903224</v>
      </c>
      <c r="G26" s="72">
        <f t="shared" si="0"/>
        <v>1350000</v>
      </c>
      <c r="H26" s="324"/>
      <c r="I26" s="326"/>
      <c r="J26" s="326"/>
    </row>
    <row r="27" spans="1:11" ht="14.25" customHeight="1" x14ac:dyDescent="0.25">
      <c r="A27" s="38"/>
      <c r="B27" s="14"/>
      <c r="C27" s="14" t="s">
        <v>104</v>
      </c>
      <c r="D27" s="14">
        <v>36</v>
      </c>
      <c r="E27" s="15">
        <f>VLOOKUP(C27,Data!$A$4:$B$363,2,FALSE)</f>
        <v>27500</v>
      </c>
      <c r="F27" s="72">
        <f>(VLOOKUP(C27,Elixires!$B$5:$I$155,5,FALSE)/Elixires!$H$2)</f>
        <v>25672.258064516129</v>
      </c>
      <c r="G27" s="72">
        <f t="shared" si="0"/>
        <v>990000</v>
      </c>
      <c r="H27" s="324"/>
      <c r="I27" s="326"/>
      <c r="J27" s="326"/>
    </row>
    <row r="28" spans="1:11" ht="14.25" customHeight="1" x14ac:dyDescent="0.25">
      <c r="A28" s="38"/>
      <c r="B28" s="14"/>
      <c r="C28" s="14" t="s">
        <v>140</v>
      </c>
      <c r="D28" s="14">
        <v>10</v>
      </c>
      <c r="E28" s="15">
        <f>VLOOKUP(C28,Data!$A$4:$B$363,2,FALSE)</f>
        <v>100000</v>
      </c>
      <c r="F28" s="91">
        <f>+E28</f>
        <v>100000</v>
      </c>
      <c r="G28" s="72">
        <f>E28*D28</f>
        <v>1000000</v>
      </c>
      <c r="H28" s="339"/>
      <c r="I28" s="326"/>
      <c r="J28" s="326"/>
      <c r="K28" s="64"/>
    </row>
    <row r="29" spans="1:11" ht="14.25" customHeight="1" x14ac:dyDescent="0.25">
      <c r="A29" s="342" t="s">
        <v>555</v>
      </c>
      <c r="B29" s="10" t="s">
        <v>547</v>
      </c>
      <c r="C29" s="10" t="s">
        <v>552</v>
      </c>
      <c r="D29" s="10">
        <v>10</v>
      </c>
      <c r="E29" s="11">
        <f>'Sangres y Aceites'!F49/'Sangres y Aceites'!I2-'Sangres y Aceites'!H21-'Sangres y Aceites'!H5</f>
        <v>36825.857142857145</v>
      </c>
      <c r="F29" s="91"/>
      <c r="G29" s="91">
        <f>SUM(E29*D29+E30*D30+E31*D31)</f>
        <v>768258.57142857148</v>
      </c>
      <c r="H29" s="330">
        <f>G29</f>
        <v>768258.57142857148</v>
      </c>
      <c r="I29" s="334">
        <f>H29*$I$2-G29</f>
        <v>0</v>
      </c>
      <c r="J29" s="334">
        <f>+I29</f>
        <v>0</v>
      </c>
    </row>
    <row r="30" spans="1:11" ht="14.25" customHeight="1" x14ac:dyDescent="0.25">
      <c r="A30" s="342"/>
      <c r="B30" s="10"/>
      <c r="C30" s="10" t="s">
        <v>553</v>
      </c>
      <c r="D30" s="10">
        <v>4</v>
      </c>
      <c r="E30" s="11">
        <f>VLOOKUP(C30,Data!$A$4:$B$363,2,FALSE)</f>
        <v>50000</v>
      </c>
      <c r="F30" s="91"/>
      <c r="G30" s="91"/>
      <c r="H30" s="324"/>
      <c r="I30" s="327"/>
      <c r="J30" s="327"/>
    </row>
    <row r="31" spans="1:11" ht="14.25" customHeight="1" x14ac:dyDescent="0.25">
      <c r="A31" s="342"/>
      <c r="B31" s="10"/>
      <c r="C31" s="10" t="s">
        <v>554</v>
      </c>
      <c r="D31" s="10">
        <v>4</v>
      </c>
      <c r="E31" s="11">
        <f>VLOOKUP(C31,Data!$A$4:$B$363,2,FALSE)</f>
        <v>50000</v>
      </c>
      <c r="F31" s="91"/>
      <c r="G31" s="91"/>
      <c r="H31" s="324"/>
      <c r="I31" s="327"/>
      <c r="J31" s="327"/>
    </row>
    <row r="32" spans="1:11" ht="14.25" customHeight="1" x14ac:dyDescent="0.25">
      <c r="A32" s="342"/>
      <c r="B32" s="151" t="s">
        <v>548</v>
      </c>
      <c r="C32" s="14" t="s">
        <v>549</v>
      </c>
      <c r="D32" s="14">
        <v>50</v>
      </c>
      <c r="E32" s="15">
        <f>VLOOKUP(C32,Data!$A$4:$B$363,2,FALSE)</f>
        <v>54000</v>
      </c>
      <c r="F32" s="72"/>
      <c r="G32" s="72">
        <f>SUM(E32*D32+E34*D34+E35*D35+E36*D36+D33*E33)</f>
        <v>24614360.020473156</v>
      </c>
      <c r="H32" s="323">
        <f>VLOOKUP(B32,Data!$A$4:$B$363,2,FALSE)</f>
        <v>21000000</v>
      </c>
      <c r="I32" s="325">
        <f>H32*0.85*$I$2-G32</f>
        <v>-6764360.0204731561</v>
      </c>
      <c r="J32" s="325">
        <f>I32</f>
        <v>-6764360.0204731561</v>
      </c>
    </row>
    <row r="33" spans="1:11" ht="14.25" customHeight="1" x14ac:dyDescent="0.25">
      <c r="A33" s="342"/>
      <c r="B33" s="97"/>
      <c r="C33" s="14" t="s">
        <v>547</v>
      </c>
      <c r="D33" s="53">
        <v>5</v>
      </c>
      <c r="E33" s="15">
        <f>H29/0.8</f>
        <v>960323.21428571432</v>
      </c>
      <c r="F33" s="72"/>
      <c r="G33" s="72"/>
      <c r="H33" s="323"/>
      <c r="I33" s="326"/>
      <c r="J33" s="326"/>
    </row>
    <row r="34" spans="1:11" ht="14.25" customHeight="1" x14ac:dyDescent="0.25">
      <c r="A34" s="342"/>
      <c r="B34" s="14"/>
      <c r="C34" s="14" t="s">
        <v>304</v>
      </c>
      <c r="D34" s="14">
        <v>50</v>
      </c>
      <c r="E34" s="15">
        <f>'Varios Alquimia'!F13/'Varios Alquimia'!H2-'Sangres y Aceites'!H5</f>
        <v>190254.87898089172</v>
      </c>
      <c r="F34" s="72"/>
      <c r="G34" s="72"/>
      <c r="H34" s="324"/>
      <c r="I34" s="327"/>
      <c r="J34" s="327"/>
    </row>
    <row r="35" spans="1:11" ht="14.25" customHeight="1" x14ac:dyDescent="0.25">
      <c r="A35" s="342"/>
      <c r="B35" s="14"/>
      <c r="C35" s="14" t="s">
        <v>550</v>
      </c>
      <c r="D35" s="14">
        <v>5</v>
      </c>
      <c r="E35" s="15">
        <v>1500000</v>
      </c>
      <c r="F35" s="72"/>
      <c r="G35" s="72"/>
      <c r="H35" s="324"/>
      <c r="I35" s="327"/>
      <c r="J35" s="327"/>
    </row>
    <row r="36" spans="1:11" ht="14.25" customHeight="1" x14ac:dyDescent="0.25">
      <c r="A36" s="342"/>
      <c r="B36" s="14"/>
      <c r="C36" s="14" t="s">
        <v>551</v>
      </c>
      <c r="D36" s="14">
        <v>1</v>
      </c>
      <c r="E36" s="15">
        <f>VLOOKUP(C36,Data!$A$4:$B$363,2,FALSE)</f>
        <v>100000</v>
      </c>
      <c r="F36" s="72"/>
      <c r="G36" s="72"/>
      <c r="H36" s="339"/>
      <c r="I36" s="340"/>
      <c r="J36" s="340"/>
      <c r="K36" s="64"/>
    </row>
    <row r="37" spans="1:11" ht="14.25" customHeight="1" x14ac:dyDescent="0.2"/>
    <row r="38" spans="1:11" ht="14.25" customHeight="1" x14ac:dyDescent="0.2">
      <c r="F38" s="104"/>
    </row>
    <row r="39" spans="1:11" ht="14.25" customHeight="1" x14ac:dyDescent="0.2">
      <c r="E39" s="104"/>
      <c r="F39" s="104"/>
    </row>
    <row r="40" spans="1:11" ht="14.25" customHeight="1" x14ac:dyDescent="0.2"/>
    <row r="41" spans="1:11" ht="14.25" customHeight="1" x14ac:dyDescent="0.2"/>
    <row r="42" spans="1:11" ht="14.25" customHeight="1" x14ac:dyDescent="0.2"/>
    <row r="43" spans="1:11" ht="14.25" customHeight="1" x14ac:dyDescent="0.2"/>
    <row r="44" spans="1:11" ht="14.25" customHeight="1" x14ac:dyDescent="0.2"/>
    <row r="45" spans="1:11" ht="14.25" customHeight="1" x14ac:dyDescent="0.2"/>
    <row r="46" spans="1:11" ht="14.25" customHeight="1" x14ac:dyDescent="0.2"/>
    <row r="47" spans="1:11" ht="14.25" customHeight="1" x14ac:dyDescent="0.2"/>
    <row r="48" spans="1:1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7">
    <mergeCell ref="J5:J8"/>
    <mergeCell ref="J9:J12"/>
    <mergeCell ref="J13:J16"/>
    <mergeCell ref="J17:J20"/>
    <mergeCell ref="J21:J24"/>
    <mergeCell ref="A29:A36"/>
    <mergeCell ref="J29:J31"/>
    <mergeCell ref="J32:J36"/>
    <mergeCell ref="J25:J28"/>
    <mergeCell ref="H32:H36"/>
    <mergeCell ref="I32:I36"/>
    <mergeCell ref="I21:I24"/>
    <mergeCell ref="H29:H31"/>
    <mergeCell ref="I29:I31"/>
    <mergeCell ref="H21:H24"/>
    <mergeCell ref="H25:H28"/>
    <mergeCell ref="I25:I28"/>
    <mergeCell ref="B2:D2"/>
    <mergeCell ref="A5:A20"/>
    <mergeCell ref="H5:H8"/>
    <mergeCell ref="I5:I8"/>
    <mergeCell ref="H9:H12"/>
    <mergeCell ref="H13:H16"/>
    <mergeCell ref="H17:H20"/>
    <mergeCell ref="I9:I12"/>
    <mergeCell ref="I13:I16"/>
    <mergeCell ref="I17:I20"/>
  </mergeCells>
  <conditionalFormatting sqref="I5:J36">
    <cfRule type="expression" dxfId="52" priority="244">
      <formula>$I5&gt;0</formula>
    </cfRule>
  </conditionalFormatting>
  <conditionalFormatting sqref="I5:J36">
    <cfRule type="expression" dxfId="51" priority="246">
      <formula>$I5&lt;0</formula>
    </cfRule>
  </conditionalFormatting>
  <conditionalFormatting sqref="E5:E28">
    <cfRule type="expression" dxfId="50" priority="3">
      <formula>E5&lt;F5</formula>
    </cfRule>
  </conditionalFormatting>
  <conditionalFormatting sqref="F5:F28">
    <cfRule type="expression" dxfId="49" priority="2">
      <formula>F5&lt;E5</formula>
    </cfRule>
  </conditionalFormatting>
  <conditionalFormatting sqref="C5:C28">
    <cfRule type="expression" dxfId="48" priority="1">
      <formula>F5&lt;E5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</vt:lpstr>
      <vt:lpstr>Procesamiento</vt:lpstr>
      <vt:lpstr>Fallos</vt:lpstr>
      <vt:lpstr>Sangres y Aceites</vt:lpstr>
      <vt:lpstr>Esencias</vt:lpstr>
      <vt:lpstr>Manos</vt:lpstr>
      <vt:lpstr>Elixires</vt:lpstr>
      <vt:lpstr>Varios Alquimia</vt:lpstr>
      <vt:lpstr>Frascos y piedras</vt:lpstr>
      <vt:lpstr>Paquetes Imperiales</vt:lpstr>
      <vt:lpstr>Cristales</vt:lpstr>
      <vt:lpstr>Platos Cocina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Lacheta, Diego Manuel</dc:creator>
  <cp:lastModifiedBy>Diego Lacheta</cp:lastModifiedBy>
  <dcterms:created xsi:type="dcterms:W3CDTF">2019-11-12T17:00:19Z</dcterms:created>
  <dcterms:modified xsi:type="dcterms:W3CDTF">2021-10-04T17:04:10Z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2019-11-12T17:49:01.2929741Z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ActionId">
    <vt:lpwstr>d1cbcd55-3a2d-4255-beda-7f85acbdd847</vt:lpwstr>
  </property>
  <property fmtid="{D5CDD505-2E9C-101B-9397-08002B2CF9AE}" pid="7" name="MSIP_Label_1bc0f418-96a4-4caf-9d7c-ccc5ec7f9d91_Extended_MSFT_Method">
    <vt:lpwstr>Manual</vt:lpwstr>
  </property>
  <property fmtid="{D5CDD505-2E9C-101B-9397-08002B2CF9AE}" pid="8" name="Sensitivity">
    <vt:lpwstr>Unrestricted</vt:lpwstr>
  </property>
</Properties>
</file>