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eb-corpus\information\"/>
    </mc:Choice>
  </mc:AlternateContent>
  <xr:revisionPtr revIDLastSave="0" documentId="13_ncr:1_{38A70C49-4DBA-4039-A9DB-1BE2C602CA0F}" xr6:coauthVersionLast="41" xr6:coauthVersionMax="41" xr10:uidLastSave="{00000000-0000-0000-0000-000000000000}"/>
  <bookViews>
    <workbookView xWindow="7560" yWindow="615" windowWidth="18660" windowHeight="16740" activeTab="7" xr2:uid="{00000000-000D-0000-FFFF-FFFF00000000}"/>
  </bookViews>
  <sheets>
    <sheet name="eb03" sheetId="1" r:id="rId1"/>
    <sheet name="eb07" sheetId="2" r:id="rId2"/>
    <sheet name="eb09" sheetId="5" r:id="rId3"/>
    <sheet name="eb11" sheetId="3" r:id="rId4"/>
    <sheet name="page_totals" sheetId="8" r:id="rId5"/>
    <sheet name="scan_time" sheetId="6" r:id="rId6"/>
    <sheet name="calc pph" sheetId="11" r:id="rId7"/>
    <sheet name="sum-sp 19" sheetId="10" r:id="rId8"/>
    <sheet name="wordcount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 i="10" l="1"/>
  <c r="C14" i="10"/>
  <c r="B6" i="6"/>
  <c r="D9" i="10"/>
  <c r="D10" i="10"/>
  <c r="D11" i="10"/>
  <c r="D8" i="10"/>
  <c r="B16" i="10" l="1"/>
  <c r="P3" i="3"/>
  <c r="M4" i="5"/>
  <c r="M5" i="2"/>
  <c r="E10" i="10"/>
  <c r="E9" i="10"/>
  <c r="C12" i="10"/>
  <c r="E11" i="10"/>
  <c r="C10" i="10"/>
  <c r="D5" i="10"/>
  <c r="D12" i="10" l="1"/>
  <c r="E12" i="10" s="1"/>
  <c r="E8" i="10"/>
  <c r="F37" i="11"/>
  <c r="B37" i="11"/>
  <c r="B36" i="11"/>
  <c r="B33" i="11"/>
  <c r="B32" i="11"/>
  <c r="B31" i="11"/>
  <c r="C15" i="11" l="1"/>
  <c r="D14" i="11"/>
  <c r="E14" i="11" s="1"/>
  <c r="J15" i="11" s="1"/>
  <c r="D13" i="11"/>
  <c r="E13" i="11" s="1"/>
  <c r="J14" i="11" s="1"/>
  <c r="C5" i="10"/>
  <c r="E5" i="10" s="1"/>
  <c r="K25" i="11"/>
  <c r="J25" i="11"/>
  <c r="I25" i="11"/>
  <c r="H25" i="11"/>
  <c r="G25" i="11"/>
  <c r="F25" i="11"/>
  <c r="E25" i="11"/>
  <c r="D25" i="11"/>
  <c r="C25" i="11"/>
  <c r="B25" i="11"/>
  <c r="L24" i="11"/>
  <c r="L23" i="11"/>
  <c r="L22" i="11"/>
  <c r="L21" i="11"/>
  <c r="D12" i="11"/>
  <c r="E12" i="11" s="1"/>
  <c r="D11" i="11"/>
  <c r="E11" i="11" s="1"/>
  <c r="K10" i="11"/>
  <c r="K11" i="11" s="1"/>
  <c r="E3" i="10"/>
  <c r="E4" i="10"/>
  <c r="E2" i="10"/>
  <c r="E15" i="11" l="1"/>
  <c r="D15" i="11"/>
  <c r="J13" i="11"/>
  <c r="B27" i="11"/>
  <c r="L25" i="11"/>
  <c r="G7" i="9"/>
  <c r="H3" i="9"/>
  <c r="F4" i="9"/>
  <c r="H4" i="9" s="1"/>
  <c r="F5" i="9"/>
  <c r="H5" i="9" s="1"/>
  <c r="F6" i="9"/>
  <c r="H6" i="9" s="1"/>
  <c r="F3" i="9"/>
  <c r="H7" i="9" l="1"/>
  <c r="J12" i="11"/>
  <c r="K12" i="11" s="1"/>
  <c r="F7" i="9"/>
  <c r="K13" i="11" l="1"/>
  <c r="B13" i="6"/>
  <c r="K14" i="11" l="1"/>
  <c r="K4" i="2"/>
  <c r="K3" i="2"/>
  <c r="K15" i="11" l="1"/>
  <c r="B3" i="8"/>
  <c r="B4" i="8"/>
  <c r="B5" i="8"/>
  <c r="B2" i="8"/>
  <c r="K5" i="2"/>
  <c r="K6" i="2"/>
  <c r="K7" i="2"/>
  <c r="K8" i="2"/>
  <c r="K9" i="2"/>
  <c r="K38" i="2"/>
  <c r="K39" i="2"/>
  <c r="K40" i="2"/>
  <c r="K41" i="2"/>
  <c r="K42" i="2"/>
  <c r="K43" i="2"/>
  <c r="K45" i="2"/>
  <c r="K46" i="2"/>
  <c r="K47" i="2"/>
  <c r="K48" i="2"/>
  <c r="K49" i="2"/>
  <c r="K50" i="2"/>
  <c r="K51" i="2"/>
  <c r="K52" i="2"/>
  <c r="K53" i="2"/>
  <c r="K54" i="2"/>
  <c r="K55" i="2"/>
  <c r="K56" i="2"/>
  <c r="K57" i="2"/>
  <c r="K58" i="2"/>
  <c r="K59" i="2"/>
  <c r="K10" i="2"/>
  <c r="K11" i="2"/>
  <c r="K12" i="2"/>
  <c r="K13" i="2"/>
  <c r="B7" i="8" l="1"/>
  <c r="N54" i="3"/>
  <c r="N55" i="3"/>
  <c r="N56" i="3"/>
  <c r="N57" i="3"/>
  <c r="N58" i="3"/>
  <c r="N59" i="3"/>
  <c r="N60" i="3"/>
  <c r="N61" i="3"/>
  <c r="N62" i="3"/>
  <c r="N36" i="3"/>
  <c r="N37" i="3"/>
  <c r="N38" i="3"/>
  <c r="N39" i="3"/>
  <c r="N40" i="3"/>
  <c r="N41" i="3"/>
  <c r="N42" i="3"/>
  <c r="N43" i="3"/>
  <c r="N44" i="3"/>
  <c r="N45" i="3"/>
  <c r="N46" i="3"/>
  <c r="N47" i="3"/>
  <c r="N48" i="3"/>
  <c r="N49" i="3"/>
  <c r="N50" i="3"/>
  <c r="N51" i="3"/>
  <c r="N52" i="3"/>
  <c r="N53" i="3"/>
  <c r="N30" i="3"/>
  <c r="N29" i="3"/>
  <c r="N35" i="3"/>
  <c r="N34" i="3"/>
  <c r="N3" i="3"/>
  <c r="N2" i="3"/>
  <c r="N4" i="3"/>
  <c r="N5" i="3"/>
  <c r="N6" i="3"/>
  <c r="N7" i="3"/>
  <c r="N8" i="3"/>
  <c r="N9" i="3"/>
  <c r="N10" i="3"/>
  <c r="N11" i="3"/>
  <c r="N12" i="3"/>
  <c r="N13" i="3"/>
  <c r="N14" i="3"/>
  <c r="N15" i="3"/>
  <c r="N16" i="3"/>
  <c r="N17" i="3"/>
  <c r="N18" i="3"/>
  <c r="N19" i="3"/>
  <c r="N20" i="3"/>
  <c r="N21" i="3"/>
  <c r="N22" i="3"/>
  <c r="N23" i="3"/>
  <c r="N24" i="3"/>
  <c r="N25" i="3"/>
  <c r="N26" i="3"/>
  <c r="N27" i="3"/>
  <c r="N28" i="3"/>
  <c r="K37" i="2"/>
  <c r="N31" i="3" l="1"/>
  <c r="K63" i="2"/>
  <c r="K31" i="5"/>
  <c r="K30" i="5"/>
  <c r="K2" i="5"/>
  <c r="K29" i="5"/>
  <c r="K4" i="5"/>
  <c r="K5" i="5"/>
  <c r="K6" i="5"/>
  <c r="K7" i="5"/>
  <c r="K8" i="5"/>
  <c r="K9" i="5"/>
  <c r="K10" i="5"/>
  <c r="K11" i="5"/>
  <c r="K12" i="5"/>
  <c r="K13" i="5"/>
  <c r="K14" i="5"/>
  <c r="K15" i="5"/>
  <c r="K16" i="5"/>
  <c r="K17" i="5"/>
  <c r="K18" i="5"/>
  <c r="K19" i="5"/>
  <c r="K20" i="5"/>
  <c r="K21" i="5"/>
  <c r="K22" i="5"/>
  <c r="K23" i="5"/>
  <c r="K24" i="5"/>
  <c r="K25" i="5"/>
  <c r="K26" i="5"/>
  <c r="K27" i="5"/>
  <c r="K28" i="5"/>
  <c r="K3" i="5"/>
  <c r="K39" i="5"/>
  <c r="K40" i="5"/>
  <c r="K41" i="5"/>
  <c r="K42" i="5"/>
  <c r="K43" i="5"/>
  <c r="K44" i="5"/>
  <c r="K45" i="5"/>
  <c r="K46" i="5"/>
  <c r="K47" i="5"/>
  <c r="K48" i="5"/>
  <c r="K49" i="5"/>
  <c r="K50" i="5"/>
  <c r="K51" i="5"/>
  <c r="K52" i="5"/>
  <c r="K53" i="5"/>
  <c r="K54" i="5"/>
  <c r="K55" i="5"/>
  <c r="K56" i="5"/>
  <c r="K57" i="5"/>
  <c r="K58" i="5"/>
  <c r="K59" i="5"/>
  <c r="K60" i="5"/>
  <c r="K61" i="5"/>
  <c r="K62" i="2"/>
  <c r="K14" i="2"/>
  <c r="K15" i="2"/>
  <c r="K16" i="2"/>
  <c r="K17" i="2"/>
  <c r="K18" i="2"/>
  <c r="K19" i="2"/>
  <c r="K20" i="2"/>
  <c r="K21" i="2"/>
  <c r="K22" i="2"/>
  <c r="K23" i="2"/>
  <c r="K24" i="2"/>
  <c r="K25" i="2"/>
  <c r="K26" i="2"/>
  <c r="K27" i="2"/>
  <c r="K28" i="2"/>
  <c r="K29" i="2"/>
  <c r="K30" i="2"/>
  <c r="K31" i="2"/>
  <c r="K32" i="2"/>
  <c r="K33" i="2"/>
  <c r="K34" i="2"/>
  <c r="K35" i="2"/>
  <c r="K36" i="2"/>
  <c r="K2" i="2"/>
  <c r="K23" i="1"/>
  <c r="K27" i="1"/>
  <c r="K31" i="1" l="1"/>
  <c r="M28" i="5"/>
  <c r="K34" i="5"/>
  <c r="C6" i="6"/>
  <c r="B6" i="11"/>
  <c r="C6" i="11" s="1"/>
  <c r="D6" i="11" s="1"/>
  <c r="K61" i="2"/>
  <c r="K37" i="5"/>
  <c r="K33" i="5"/>
  <c r="B5" i="11" s="1"/>
  <c r="C5" i="11" s="1"/>
  <c r="D5" i="11" s="1"/>
  <c r="O10" i="6"/>
  <c r="B4" i="11" l="1"/>
  <c r="C4" i="11" s="1"/>
  <c r="D4" i="11" s="1"/>
  <c r="K35" i="5"/>
  <c r="O25" i="6"/>
  <c r="K64" i="2"/>
  <c r="O24" i="6"/>
  <c r="C33" i="6"/>
  <c r="D33" i="6" s="1"/>
  <c r="L23" i="6" l="1"/>
  <c r="L24" i="6"/>
  <c r="L25" i="6"/>
  <c r="L26" i="6"/>
  <c r="K27" i="6"/>
  <c r="G27" i="6"/>
  <c r="H27" i="6"/>
  <c r="I27" i="6"/>
  <c r="J27" i="6"/>
  <c r="D27" i="6"/>
  <c r="E27" i="6"/>
  <c r="F27" i="6"/>
  <c r="C19" i="6"/>
  <c r="D18" i="6"/>
  <c r="D17" i="6"/>
  <c r="C13" i="6"/>
  <c r="D12" i="6"/>
  <c r="D11" i="6"/>
  <c r="E11" i="6" s="1"/>
  <c r="E12" i="6" l="1"/>
  <c r="N12" i="6" s="1"/>
  <c r="E18" i="6"/>
  <c r="N14" i="6" s="1"/>
  <c r="E17" i="6"/>
  <c r="N13" i="6" s="1"/>
  <c r="E13" i="6"/>
  <c r="N11" i="6"/>
  <c r="O11" i="6" s="1"/>
  <c r="D19" i="6"/>
  <c r="D13" i="6"/>
  <c r="B27" i="6"/>
  <c r="C27" i="6"/>
  <c r="E19" i="6" l="1"/>
  <c r="B29" i="6"/>
  <c r="L27" i="6"/>
  <c r="O12" i="6"/>
  <c r="D6" i="6"/>
  <c r="O13" i="6" l="1"/>
  <c r="O14" i="6" l="1"/>
  <c r="B5" i="6"/>
  <c r="N32" i="3"/>
  <c r="C5" i="6" l="1"/>
  <c r="D5" i="6" s="1"/>
  <c r="O15" i="6"/>
  <c r="K2" i="1"/>
  <c r="K3" i="1"/>
  <c r="K4" i="1"/>
  <c r="K5" i="1"/>
  <c r="K6" i="1"/>
  <c r="K7" i="1"/>
  <c r="K8" i="1"/>
  <c r="K9" i="1"/>
  <c r="K10" i="1"/>
  <c r="K11" i="1"/>
  <c r="K12" i="1"/>
  <c r="K13" i="1"/>
  <c r="K14" i="1"/>
  <c r="K15" i="1"/>
  <c r="K16" i="1"/>
  <c r="K17" i="1"/>
  <c r="K18" i="1"/>
  <c r="K19" i="1"/>
  <c r="K20" i="1"/>
  <c r="K21" i="1"/>
  <c r="K22" i="1"/>
  <c r="K24" i="1"/>
  <c r="K25" i="1"/>
  <c r="K26" i="1"/>
  <c r="M3" i="1" l="1"/>
  <c r="K30" i="1"/>
  <c r="K32" i="1" s="1"/>
  <c r="K34" i="1"/>
  <c r="B4" i="6"/>
  <c r="O23" i="6" l="1"/>
  <c r="O27" i="6" s="1"/>
  <c r="B3" i="11"/>
  <c r="C4" i="6"/>
  <c r="D4" i="6" s="1"/>
  <c r="K66" i="2"/>
  <c r="B3" i="6"/>
  <c r="C3" i="6" s="1"/>
  <c r="C7" i="6" s="1"/>
  <c r="C3" i="11" l="1"/>
  <c r="B7" i="11"/>
  <c r="D3" i="6"/>
  <c r="D7" i="6" s="1"/>
  <c r="B7" i="6"/>
  <c r="L11" i="11" l="1"/>
  <c r="L10" i="11"/>
  <c r="L12" i="11"/>
  <c r="L13" i="11"/>
  <c r="L14" i="11"/>
  <c r="L15" i="11"/>
  <c r="D3" i="11"/>
  <c r="D7" i="11" s="1"/>
  <c r="C7" i="11"/>
  <c r="P10" i="6"/>
  <c r="P11" i="6"/>
  <c r="P12" i="6"/>
  <c r="P13" i="6"/>
  <c r="P14" i="6"/>
  <c r="P15" i="6"/>
</calcChain>
</file>

<file path=xl/sharedStrings.xml><?xml version="1.0" encoding="utf-8"?>
<sst xmlns="http://schemas.openxmlformats.org/spreadsheetml/2006/main" count="445" uniqueCount="201">
  <si>
    <t>a</t>
  </si>
  <si>
    <t>b</t>
  </si>
  <si>
    <t>c</t>
  </si>
  <si>
    <t>d</t>
  </si>
  <si>
    <t>f</t>
  </si>
  <si>
    <t>e</t>
  </si>
  <si>
    <t>g</t>
  </si>
  <si>
    <t>h</t>
  </si>
  <si>
    <t>i</t>
  </si>
  <si>
    <t>j</t>
  </si>
  <si>
    <t>k</t>
  </si>
  <si>
    <t>l</t>
  </si>
  <si>
    <t>m</t>
  </si>
  <si>
    <t>n</t>
  </si>
  <si>
    <t>o</t>
  </si>
  <si>
    <t>p</t>
  </si>
  <si>
    <t>q</t>
  </si>
  <si>
    <t>r</t>
  </si>
  <si>
    <t>s</t>
  </si>
  <si>
    <t>t</t>
  </si>
  <si>
    <t>u</t>
  </si>
  <si>
    <t>v</t>
  </si>
  <si>
    <t>w</t>
  </si>
  <si>
    <t>x</t>
  </si>
  <si>
    <t>y</t>
  </si>
  <si>
    <t>z</t>
  </si>
  <si>
    <t>eb7_alpha</t>
  </si>
  <si>
    <t>eb11_alpha</t>
  </si>
  <si>
    <t>eb3_alpha</t>
  </si>
  <si>
    <t>pages</t>
  </si>
  <si>
    <t>v1</t>
  </si>
  <si>
    <t>v1_start</t>
  </si>
  <si>
    <t>v1_end</t>
  </si>
  <si>
    <t>v2</t>
  </si>
  <si>
    <t>v2_start</t>
  </si>
  <si>
    <t>v2_end</t>
  </si>
  <si>
    <t>v3</t>
  </si>
  <si>
    <t>v3_start</t>
  </si>
  <si>
    <t>v3_end</t>
  </si>
  <si>
    <t>ij</t>
  </si>
  <si>
    <t>uv</t>
  </si>
  <si>
    <t>Total pages</t>
  </si>
  <si>
    <t>Column1</t>
  </si>
  <si>
    <t>_preface</t>
  </si>
  <si>
    <t>_index</t>
  </si>
  <si>
    <t>eb7_plates2</t>
  </si>
  <si>
    <t>eb7_plates3</t>
  </si>
  <si>
    <t>eb7_plates4</t>
  </si>
  <si>
    <t>eb7_plates5</t>
  </si>
  <si>
    <t>eb7_plates6</t>
  </si>
  <si>
    <t>eb7_plates7</t>
  </si>
  <si>
    <t>eb7_plates8</t>
  </si>
  <si>
    <t>eb7_plates9</t>
  </si>
  <si>
    <t>eb7_plates10</t>
  </si>
  <si>
    <t>eb7_plates11</t>
  </si>
  <si>
    <t>eb7_plates12</t>
  </si>
  <si>
    <t>eb7_plates13</t>
  </si>
  <si>
    <t>eb7_plates14</t>
  </si>
  <si>
    <t>eb7_plates15</t>
  </si>
  <si>
    <t>eb7_plates16</t>
  </si>
  <si>
    <t>eb7_plates17</t>
  </si>
  <si>
    <t>eb7_plates18</t>
  </si>
  <si>
    <t>eb7_plates19</t>
  </si>
  <si>
    <t>eb7_plates20</t>
  </si>
  <si>
    <t>eb7_plates21</t>
  </si>
  <si>
    <t>v4</t>
  </si>
  <si>
    <t>v4_start</t>
  </si>
  <si>
    <t>v4_end</t>
  </si>
  <si>
    <t>notes</t>
  </si>
  <si>
    <t>v11 integrates plates with articles, so that will change the page counts.</t>
  </si>
  <si>
    <t>eb09_alpha</t>
  </si>
  <si>
    <t>_contributors</t>
  </si>
  <si>
    <t>AVG per letter</t>
  </si>
  <si>
    <t>ed</t>
  </si>
  <si>
    <t>pp</t>
  </si>
  <si>
    <t>Total</t>
  </si>
  <si>
    <t>RA</t>
  </si>
  <si>
    <t>hrs/wk</t>
  </si>
  <si>
    <t>hrs/sem</t>
  </si>
  <si>
    <t>pp/sem</t>
  </si>
  <si>
    <t>FOUR EDITIONS</t>
  </si>
  <si>
    <t>wks-20h/w</t>
  </si>
  <si>
    <t>term</t>
  </si>
  <si>
    <t># wks</t>
  </si>
  <si>
    <t># hrs</t>
  </si>
  <si>
    <t># pp</t>
  </si>
  <si>
    <t>totals</t>
  </si>
  <si>
    <t>f17</t>
  </si>
  <si>
    <t>sp18</t>
  </si>
  <si>
    <t>PAGE COUNTS by letter</t>
  </si>
  <si>
    <t>T</t>
  </si>
  <si>
    <t xml:space="preserve">U </t>
  </si>
  <si>
    <t>V</t>
  </si>
  <si>
    <t>R</t>
  </si>
  <si>
    <t>S</t>
  </si>
  <si>
    <t>X</t>
  </si>
  <si>
    <t>Y</t>
  </si>
  <si>
    <t>Z</t>
  </si>
  <si>
    <t>W</t>
  </si>
  <si>
    <t>total pp</t>
  </si>
  <si>
    <t>A</t>
  </si>
  <si>
    <t>R:Z total</t>
  </si>
  <si>
    <t xml:space="preserve"> </t>
  </si>
  <si>
    <t>cumulative</t>
  </si>
  <si>
    <t>%</t>
  </si>
  <si>
    <t>_plates</t>
  </si>
  <si>
    <t>Total text pages</t>
  </si>
  <si>
    <t>Total image pages</t>
  </si>
  <si>
    <t>_authors</t>
  </si>
  <si>
    <t>Total apparatus pages</t>
  </si>
  <si>
    <t>total apparatus pages</t>
  </si>
  <si>
    <t>total pages</t>
  </si>
  <si>
    <t>edition</t>
  </si>
  <si>
    <t>eb03</t>
  </si>
  <si>
    <t>eb07</t>
  </si>
  <si>
    <t>eb09</t>
  </si>
  <si>
    <t>eb11</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</si>
  <si>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</si>
  <si>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</si>
  <si>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</si>
  <si>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</si>
  <si>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</si>
  <si>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</si>
  <si>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</si>
  <si>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</si>
  <si>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</si>
  <si>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</si>
  <si>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</si>
  <si>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</si>
  <si>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</si>
  <si>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</si>
  <si>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</si>
  <si>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</si>
  <si>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</si>
  <si>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</si>
  <si>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</si>
  <si>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</si>
  <si>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</si>
  <si>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</si>
  <si>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</si>
  <si>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</si>
  <si>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</si>
  <si>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_diss_index</t>
  </si>
  <si>
    <t>d3_math-sci</t>
  </si>
  <si>
    <t>d1_hist_philo</t>
  </si>
  <si>
    <t>d2_eth_philo</t>
  </si>
  <si>
    <t>d4_math-sci</t>
  </si>
  <si>
    <t>_genl_index</t>
  </si>
  <si>
    <t>total_pp</t>
  </si>
  <si>
    <t>total</t>
  </si>
  <si>
    <t>_diss_cont</t>
  </si>
  <si>
    <t>Total Text Pages</t>
  </si>
  <si>
    <t>sum18</t>
  </si>
  <si>
    <t>hrs-45p/h</t>
  </si>
  <si>
    <t>AY 18-19</t>
  </si>
  <si>
    <t>f18</t>
  </si>
  <si>
    <t>sp19</t>
  </si>
  <si>
    <t>sum19</t>
  </si>
  <si>
    <t>WORD COUNTS/PAGE</t>
  </si>
  <si>
    <t>s1</t>
  </si>
  <si>
    <t>s2</t>
  </si>
  <si>
    <t>s3</t>
  </si>
  <si>
    <t>s4</t>
  </si>
  <si>
    <t>avg</t>
  </si>
  <si>
    <t>pages-r</t>
  </si>
  <si>
    <t>words</t>
  </si>
  <si>
    <t>_errata</t>
  </si>
  <si>
    <t>_vol-contents</t>
  </si>
  <si>
    <t>Spring and Summer 2018</t>
  </si>
  <si>
    <t>summer 2018</t>
  </si>
  <si>
    <t>student</t>
  </si>
  <si>
    <t>hours</t>
  </si>
  <si>
    <t>mh</t>
  </si>
  <si>
    <t>rs</t>
  </si>
  <si>
    <t>tg</t>
  </si>
  <si>
    <t>pph</t>
  </si>
  <si>
    <t>wks-30h/w</t>
  </si>
  <si>
    <t>by sp18</t>
  </si>
  <si>
    <t>pph rate</t>
  </si>
  <si>
    <t>su19</t>
  </si>
  <si>
    <t>f19</t>
  </si>
  <si>
    <t>hrs-pph</t>
  </si>
  <si>
    <t>$ @4 sem</t>
  </si>
  <si>
    <t>Regular semester</t>
  </si>
  <si>
    <t>15 weeks + 1 week sp or fall break</t>
  </si>
  <si>
    <t>Summer</t>
  </si>
  <si>
    <t>15 weeks with no break from end of finals to start of class; better to consider it 14 weeks.</t>
  </si>
  <si>
    <t>hrs for 3@1 sem (15 wks)</t>
  </si>
  <si>
    <t>cost/sem (15 wks)</t>
  </si>
  <si>
    <t>1 @ 15wk semester</t>
  </si>
  <si>
    <t>1 @ 14wk summer</t>
  </si>
  <si>
    <t>s-z through 3/19/19</t>
  </si>
  <si>
    <t>kr</t>
  </si>
  <si>
    <t>AVG=7 pages per hour</t>
  </si>
  <si>
    <t>u-z</t>
  </si>
  <si>
    <t>Column2</t>
  </si>
  <si>
    <t>Total A-Q</t>
  </si>
  <si>
    <t>Column3</t>
  </si>
  <si>
    <t>a-q</t>
  </si>
  <si>
    <t>a-q total pages</t>
  </si>
  <si>
    <t>percent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</si>
</sst>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2" fillId="0" borderId="0" applyFont="0" applyFill="0" applyBorder="0" applyAlignment="0" applyProtection="0"/>
    <xf numFmtId="0" fontId="3" fillId="0" borderId="0" applyNumberFormat="0" applyFill="0" applyBorder="0" applyAlignment="0" applyProtection="0"/>
    <xf numFmtId="9" fontId="2" fillId="0" borderId="0" applyFont="0" applyFill="0" applyBorder="0" applyAlignment="0" applyProtection="0"/>
  </cellStyleXfs>
  <cellXfs count="24">
    <xf numFmtId="0" fontId="0" fillId="0" borderId="0" xfId="0"/>
    <xf numFmtId="1" fontId="0" fillId="0" borderId="0" xfId="0" applyNumberFormat="1"/>
    <xf numFmtId="1" fontId="1" fillId="0" borderId="0" xfId="0" applyNumberFormat="1" applyFont="1"/>
    <xf numFmtId="1" fontId="0" fillId="0" borderId="1" xfId="0" applyNumberFormat="1" applyBorder="1"/>
    <xf numFmtId="164" fontId="0" fillId="0" borderId="0" xfId="0" applyNumberFormat="1"/>
    <xf numFmtId="164" fontId="1" fillId="0" borderId="0" xfId="0" applyNumberFormat="1" applyFont="1"/>
    <xf numFmtId="165" fontId="0" fillId="0" borderId="0" xfId="1" applyNumberFormat="1" applyFont="1"/>
    <xf numFmtId="165" fontId="1" fillId="0" borderId="0" xfId="1" applyNumberFormat="1" applyFont="1"/>
    <xf numFmtId="0" fontId="1" fillId="0" borderId="0" xfId="0" applyFont="1"/>
    <xf numFmtId="1" fontId="0" fillId="0" borderId="2" xfId="0" applyNumberFormat="1" applyBorder="1"/>
    <xf numFmtId="2" fontId="0" fillId="0" borderId="0" xfId="0" applyNumberFormat="1"/>
    <xf numFmtId="164" fontId="0" fillId="0" borderId="0" xfId="1" applyNumberFormat="1" applyFont="1"/>
    <xf numFmtId="1" fontId="0" fillId="0" borderId="3" xfId="0" applyNumberFormat="1" applyBorder="1"/>
    <xf numFmtId="1" fontId="0" fillId="0" borderId="6" xfId="0" applyNumberFormat="1" applyBorder="1"/>
    <xf numFmtId="164" fontId="0" fillId="0" borderId="7" xfId="0" applyNumberFormat="1" applyBorder="1"/>
    <xf numFmtId="1" fontId="0" fillId="0" borderId="8" xfId="0" applyNumberFormat="1" applyBorder="1"/>
    <xf numFmtId="165" fontId="0" fillId="0" borderId="9" xfId="1" applyNumberFormat="1" applyFont="1" applyBorder="1"/>
    <xf numFmtId="164" fontId="1" fillId="0" borderId="5" xfId="0" applyNumberFormat="1" applyFont="1" applyBorder="1" applyAlignment="1">
      <alignment horizontal="right"/>
    </xf>
    <xf numFmtId="165" fontId="1" fillId="0" borderId="4" xfId="1" applyNumberFormat="1" applyFont="1" applyBorder="1" applyAlignment="1">
      <alignment horizontal="right"/>
    </xf>
    <xf numFmtId="164" fontId="1" fillId="0" borderId="10" xfId="0" applyNumberFormat="1" applyFont="1" applyBorder="1"/>
    <xf numFmtId="1" fontId="0" fillId="0" borderId="9" xfId="0" applyNumberFormat="1" applyBorder="1"/>
    <xf numFmtId="165" fontId="1" fillId="2" borderId="0" xfId="1" applyNumberFormat="1" applyFont="1" applyFill="1"/>
    <xf numFmtId="165" fontId="4" fillId="0" borderId="0" xfId="2" applyNumberFormat="1" applyFont="1"/>
    <xf numFmtId="9" fontId="0" fillId="0" borderId="0" xfId="3" applyFont="1"/>
  </cellXfs>
  <cellStyles count="4">
    <cellStyle name="Comma" xfId="1" builtinId="3"/>
    <cellStyle name="Hyperlink" xfId="2" builtinId="8"/>
    <cellStyle name="Normal" xfId="0" builtinId="0"/>
    <cellStyle name="Percent" xfId="3" builtinId="5"/>
  </cellStyles>
  <dxfs count="10">
    <dxf>
      <numFmt numFmtId="1" formatCode="0"/>
    </dxf>
    <dxf>
      <numFmt numFmtId="1" formatCode="0"/>
    </dxf>
    <dxf>
      <numFmt numFmtId="1" formatCode="0"/>
    </dxf>
    <dxf>
      <numFmt numFmtId="1" formatCode="0"/>
    </dxf>
    <dxf>
      <numFmt numFmtId="0" formatCode="General"/>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14</xdr:col>
      <xdr:colOff>0</xdr:colOff>
      <xdr:row>4</xdr:row>
      <xdr:rowOff>0</xdr:rowOff>
    </xdr:from>
    <xdr:to>
      <xdr:col>24</xdr:col>
      <xdr:colOff>590550</xdr:colOff>
      <xdr:row>26</xdr:row>
      <xdr:rowOff>152400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601075" y="247650"/>
          <a:ext cx="6686550" cy="409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Notes: pagination varies slightly for each of the the 3 scans of vol. 1. </a:t>
          </a:r>
        </a:p>
        <a:p>
          <a:endParaRPr lang="en-US" sz="1100"/>
        </a:p>
        <a:p>
          <a:r>
            <a:rPr lang="en-US" sz="1100"/>
            <a:t>eb7_01_gb(3) includes demographic tables following Napier's preface, which are not included in either of the other versions.</a:t>
          </a:r>
        </a:p>
        <a:p>
          <a:endParaRPr lang="en-US" sz="1100"/>
        </a:p>
        <a:p>
          <a:r>
            <a:rPr lang="en-US" sz="1100"/>
            <a:t>Additionally, there's some variation in the front</a:t>
          </a:r>
          <a:r>
            <a:rPr lang="en-US" sz="1100" baseline="0"/>
            <a:t> matter preceding the </a:t>
          </a:r>
          <a:r>
            <a:rPr lang="en-US" sz="1100"/>
            <a:t>treatises, like the inclusion of a title page in some versions that is missing in others.</a:t>
          </a:r>
        </a:p>
        <a:p>
          <a:endParaRPr lang="en-US" sz="1100"/>
        </a:p>
        <a:p>
          <a:r>
            <a:rPr lang="en-US" sz="1100"/>
            <a:t>The actual</a:t>
          </a:r>
          <a:r>
            <a:rPr lang="en-US" sz="1100" baseline="0"/>
            <a:t> page numbers are the same in all versions.</a:t>
          </a:r>
        </a:p>
        <a:p>
          <a:endParaRPr lang="en-US" sz="1100" baseline="0"/>
        </a:p>
        <a:p>
          <a:r>
            <a:rPr lang="en-US" sz="1100" baseline="0"/>
            <a:t>2) page numbers for plates at ends of volumes are the pdf numbers, since they are unpaginated.</a:t>
          </a:r>
        </a:p>
        <a:p>
          <a:endParaRPr lang="en-US" sz="1100" baseline="0"/>
        </a:p>
        <a:p>
          <a:r>
            <a:rPr lang="en-US" sz="1100"/>
            <a:t>3) First edition to have an index.</a:t>
          </a:r>
        </a:p>
        <a:p>
          <a:endParaRPr lang="en-US" sz="1100"/>
        </a:p>
        <a:p>
          <a:r>
            <a:rPr lang="en-US" sz="1100"/>
            <a:t>4) Napier's preface and list of authors occurs</a:t>
          </a:r>
          <a:r>
            <a:rPr lang="en-US" sz="1100" baseline="0"/>
            <a:t> twice. In eb07_22_gb and eb07_01(ht).</a:t>
          </a:r>
        </a:p>
        <a:p>
          <a:endParaRPr lang="en-US" sz="1100" baseline="0"/>
        </a:p>
        <a:p>
          <a:r>
            <a:rPr lang="en-US" sz="1100" baseline="0"/>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95250</xdr:colOff>
      <xdr:row>1</xdr:row>
      <xdr:rowOff>57150</xdr:rowOff>
    </xdr:from>
    <xdr:to>
      <xdr:col>21</xdr:col>
      <xdr:colOff>180975</xdr:colOff>
      <xdr:row>18</xdr:row>
      <xdr:rowOff>142875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582275" y="247650"/>
          <a:ext cx="3133725" cy="3324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full-page plates are integrated into articles, so total page count is not all text. 9th is first edition to include large numbers of text cuts--1000's--so scanning will</a:t>
          </a:r>
          <a:r>
            <a:rPr lang="en-US" sz="1100" baseline="0"/>
            <a:t> be like 11th.</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295275</xdr:colOff>
      <xdr:row>30</xdr:row>
      <xdr:rowOff>180976</xdr:rowOff>
    </xdr:from>
    <xdr:to>
      <xdr:col>11</xdr:col>
      <xdr:colOff>514350</xdr:colOff>
      <xdr:row>45</xdr:row>
      <xdr:rowOff>77932</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2624570" y="5895976"/>
          <a:ext cx="3977121" cy="27544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NOTES:</a:t>
          </a:r>
        </a:p>
        <a:p>
          <a:r>
            <a:rPr lang="en-US" sz="1100"/>
            <a:t>- Figures for eb11 assume using PG transcriptions for 60% (16,639</a:t>
          </a:r>
          <a:r>
            <a:rPr lang="en-US" sz="1100" baseline="0"/>
            <a:t> pp)</a:t>
          </a:r>
          <a:r>
            <a:rPr lang="en-US" sz="1100"/>
            <a:t> of the edition. Page calculation</a:t>
          </a:r>
          <a:r>
            <a:rPr lang="en-US" sz="1100" baseline="0"/>
            <a:t> in B6 is 40% of total 27,732 pp.</a:t>
          </a:r>
          <a:endParaRPr lang="en-US" sz="1100"/>
        </a:p>
        <a:p>
          <a:r>
            <a:rPr lang="en-US" sz="1100"/>
            <a:t>- Actual scan</a:t>
          </a:r>
          <a:r>
            <a:rPr lang="en-US" sz="1100" baseline="0"/>
            <a:t> rate average is 30 secs/page.</a:t>
          </a:r>
        </a:p>
        <a:p>
          <a:r>
            <a:rPr lang="en-US" sz="1100" baseline="0"/>
            <a:t>- Calculations are based on 45secs/page (80pages/hour), to make them more realistic and allow for training and complications.</a:t>
          </a:r>
        </a:p>
        <a:p>
          <a:r>
            <a:rPr lang="en-US" sz="1100" baseline="0"/>
            <a:t>- Letters R+S are 12.35% of the total 4-edition project (9643/78061=12.353535).</a:t>
          </a:r>
        </a:p>
        <a:p>
          <a:r>
            <a:rPr lang="en-US" sz="1100" baseline="0"/>
            <a:t>- 9th ed was first to include thousands of cutouts. Since older editions are mostly straight text columns, scanning should improve for 7th and 3rd, tho 3rd also has long "s" to factor in.</a:t>
          </a:r>
          <a:endParaRPr lang="en-US" sz="1100"/>
        </a:p>
      </xdr:txBody>
    </xdr:sp>
    <xdr:clientData/>
  </xdr:twoCellAnchor>
  <xdr:twoCellAnchor>
    <xdr:from>
      <xdr:col>5</xdr:col>
      <xdr:colOff>9526</xdr:colOff>
      <xdr:row>1</xdr:row>
      <xdr:rowOff>114300</xdr:rowOff>
    </xdr:from>
    <xdr:to>
      <xdr:col>11</xdr:col>
      <xdr:colOff>352426</xdr:colOff>
      <xdr:row>7</xdr:row>
      <xdr:rowOff>38100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295651" y="304800"/>
          <a:ext cx="40005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- 30p/hr rate</a:t>
          </a:r>
          <a:r>
            <a:rPr lang="en-US" sz="1100" baseline="0"/>
            <a:t> (5-3-18)</a:t>
          </a:r>
        </a:p>
        <a:p>
          <a:r>
            <a:rPr lang="en-US" sz="1100" baseline="0"/>
            <a:t>- page counts do not include plates or indexes. They only include pages needing OCR.</a:t>
          </a:r>
        </a:p>
        <a:p>
          <a:r>
            <a:rPr lang="en-US" sz="1100" baseline="0"/>
            <a:t>- </a:t>
          </a:r>
          <a:r>
            <a:rPr lang="en-US" sz="1100">
              <a:solidFill>
                <a:schemeClr val="dk1"/>
              </a:solidFill>
              <a:effectLst/>
              <a:latin typeface="+mn-lt"/>
              <a:ea typeface="+mn-ea"/>
              <a:cs typeface="+mn-cs"/>
            </a:rPr>
            <a:t>Figures for eb11 assume using PG transcriptions for 56% of the edition.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19051</xdr:colOff>
      <xdr:row>0</xdr:row>
      <xdr:rowOff>171450</xdr:rowOff>
    </xdr:from>
    <xdr:to>
      <xdr:col>14</xdr:col>
      <xdr:colOff>76201</xdr:colOff>
      <xdr:row>6</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5210176" y="171450"/>
          <a:ext cx="38576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insert pph rate</a:t>
          </a:r>
          <a:r>
            <a:rPr lang="en-US" sz="1100" baseline="0"/>
            <a:t> in G2; see projected result in L14.</a:t>
          </a:r>
        </a:p>
        <a:p>
          <a:r>
            <a:rPr lang="en-US" sz="1100" baseline="0"/>
            <a:t>- page counts do not include plates or indexes. They only include pages needing OCR.</a:t>
          </a:r>
        </a:p>
        <a:p>
          <a:r>
            <a:rPr lang="en-US" sz="1100" baseline="0"/>
            <a:t>- </a:t>
          </a:r>
          <a:r>
            <a:rPr lang="en-US" sz="1100">
              <a:solidFill>
                <a:schemeClr val="dk1"/>
              </a:solidFill>
              <a:effectLst/>
              <a:latin typeface="+mn-lt"/>
              <a:ea typeface="+mn-ea"/>
              <a:cs typeface="+mn-cs"/>
            </a:rPr>
            <a:t>Figures for eb11 assume using PG transcriptions for 60% of the edition. </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29" totalsRowShown="0">
  <autoFilter ref="A1:M29" xr:uid="{00000000-0009-0000-0100-000002000000}"/>
  <sortState xmlns:xlrd2="http://schemas.microsoft.com/office/spreadsheetml/2017/richdata2" ref="A2:K25">
    <sortCondition ref="A1:A25"/>
  </sortState>
  <tableColumns count="13">
    <tableColumn id="1" xr3:uid="{00000000-0010-0000-0000-000001000000}" name="eb3_alpha"/>
    <tableColumn id="2" xr3:uid="{00000000-0010-0000-0000-000002000000}" name="v1"/>
    <tableColumn id="3" xr3:uid="{00000000-0010-0000-0000-000003000000}" name="v1_start"/>
    <tableColumn id="4" xr3:uid="{00000000-0010-0000-0000-000004000000}" name="v1_end"/>
    <tableColumn id="5" xr3:uid="{00000000-0010-0000-0000-000005000000}" name="v2"/>
    <tableColumn id="6" xr3:uid="{00000000-0010-0000-0000-000006000000}" name="v2_start"/>
    <tableColumn id="7" xr3:uid="{00000000-0010-0000-0000-000007000000}" name="v2_end"/>
    <tableColumn id="8" xr3:uid="{00000000-0010-0000-0000-000008000000}" name="v3"/>
    <tableColumn id="9" xr3:uid="{00000000-0010-0000-0000-000009000000}" name="v3_start"/>
    <tableColumn id="10" xr3:uid="{00000000-0010-0000-0000-00000A000000}" name="v3_end"/>
    <tableColumn id="11" xr3:uid="{00000000-0010-0000-0000-00000B000000}" name="pages" dataDxfId="9">
      <calculatedColumnFormula>SUM(D2-C2+1,G2-F2,J2-I2)</calculatedColumnFormula>
    </tableColumn>
    <tableColumn id="13" xr3:uid="{52ACF64C-FA1A-47D1-A090-D7759B209BBA}" name="Column2"/>
    <tableColumn id="14" xr3:uid="{FF8C44FD-BE8B-48B4-B8D4-B263B5195840}" name="Column3" dataDxfId="8">
      <calculatedColumnFormula>SUM(K2:K17)</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M59" totalsRowShown="0">
  <autoFilter ref="A1:M59" xr:uid="{00000000-0009-0000-0100-000001000000}"/>
  <sortState xmlns:xlrd2="http://schemas.microsoft.com/office/spreadsheetml/2017/richdata2" ref="A2:K27">
    <sortCondition ref="A1:A27"/>
  </sortState>
  <tableColumns count="13">
    <tableColumn id="1" xr3:uid="{00000000-0010-0000-0100-000001000000}" name="eb7_alpha"/>
    <tableColumn id="2" xr3:uid="{00000000-0010-0000-0100-000002000000}" name="v1"/>
    <tableColumn id="3" xr3:uid="{00000000-0010-0000-0100-000003000000}" name="v1_start"/>
    <tableColumn id="4" xr3:uid="{00000000-0010-0000-0100-000004000000}" name="v1_end"/>
    <tableColumn id="5" xr3:uid="{00000000-0010-0000-0100-000005000000}" name="v2"/>
    <tableColumn id="6" xr3:uid="{00000000-0010-0000-0100-000006000000}" name="v2_start"/>
    <tableColumn id="7" xr3:uid="{00000000-0010-0000-0100-000007000000}" name="v2_end"/>
    <tableColumn id="8" xr3:uid="{00000000-0010-0000-0100-000008000000}" name="v3"/>
    <tableColumn id="9" xr3:uid="{00000000-0010-0000-0100-000009000000}" name="v3_start"/>
    <tableColumn id="10" xr3:uid="{00000000-0010-0000-0100-00000A000000}" name="v3_end"/>
    <tableColumn id="11" xr3:uid="{00000000-0010-0000-0100-00000B000000}" name="pages" dataDxfId="7">
      <calculatedColumnFormula>SUM(D2-C2,G2-F2,J2-I2)</calculatedColumnFormula>
    </tableColumn>
    <tableColumn id="12" xr3:uid="{5A2EDF84-0B6E-422C-95DE-E3A2C7AAB72D}" name="Column1"/>
    <tableColumn id="13" xr3:uid="{D9DAE4E4-CB08-4121-8431-B2BF6B4AEEE4}" name="Column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5" displayName="Table15" ref="A1:M31" totalsRowShown="0">
  <autoFilter ref="A1:M31" xr:uid="{00000000-0009-0000-0100-000004000000}"/>
  <tableColumns count="13">
    <tableColumn id="1" xr3:uid="{00000000-0010-0000-0200-000001000000}" name="eb09_alpha"/>
    <tableColumn id="2" xr3:uid="{00000000-0010-0000-0200-000002000000}" name="v1"/>
    <tableColumn id="3" xr3:uid="{00000000-0010-0000-0200-000003000000}" name="v1_start"/>
    <tableColumn id="4" xr3:uid="{00000000-0010-0000-0200-000004000000}" name="v1_end"/>
    <tableColumn id="5" xr3:uid="{00000000-0010-0000-0200-000005000000}" name="v2"/>
    <tableColumn id="6" xr3:uid="{00000000-0010-0000-0200-000006000000}" name="v2_start"/>
    <tableColumn id="7" xr3:uid="{00000000-0010-0000-0200-000007000000}" name="v2_end"/>
    <tableColumn id="8" xr3:uid="{00000000-0010-0000-0200-000008000000}" name="v3"/>
    <tableColumn id="9" xr3:uid="{00000000-0010-0000-0200-000009000000}" name="v3_start"/>
    <tableColumn id="10" xr3:uid="{00000000-0010-0000-0200-00000A000000}" name="v3_end"/>
    <tableColumn id="11" xr3:uid="{00000000-0010-0000-0200-00000B000000}" name="pages" dataDxfId="6">
      <calculatedColumnFormula>SUM(D2-C2+1,G2-F2,J2-I2)</calculatedColumnFormula>
    </tableColumn>
    <tableColumn id="12" xr3:uid="{29E77ED3-0B93-4CA9-9E81-66E591090F4C}" name="Column1"/>
    <tableColumn id="13" xr3:uid="{360488C6-1C3B-4FEB-B3EC-0F132D171DAE}" name="Column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P30" totalsRowShown="0">
  <autoFilter ref="A1:P30" xr:uid="{00000000-0009-0000-0100-000003000000}"/>
  <sortState xmlns:xlrd2="http://schemas.microsoft.com/office/spreadsheetml/2017/richdata2" ref="A2:N27">
    <sortCondition ref="A1:A27"/>
  </sortState>
  <tableColumns count="16">
    <tableColumn id="1" xr3:uid="{00000000-0010-0000-0300-000001000000}" name="eb11_alpha"/>
    <tableColumn id="2" xr3:uid="{00000000-0010-0000-0300-000002000000}" name="v1"/>
    <tableColumn id="3" xr3:uid="{00000000-0010-0000-0300-000003000000}" name="v1_start"/>
    <tableColumn id="4" xr3:uid="{00000000-0010-0000-0300-000004000000}" name="v1_end"/>
    <tableColumn id="5" xr3:uid="{00000000-0010-0000-0300-000005000000}" name="v2"/>
    <tableColumn id="6" xr3:uid="{00000000-0010-0000-0300-000006000000}" name="v2_start"/>
    <tableColumn id="7" xr3:uid="{00000000-0010-0000-0300-000007000000}" name="v2_end"/>
    <tableColumn id="8" xr3:uid="{00000000-0010-0000-0300-000008000000}" name="v3"/>
    <tableColumn id="9" xr3:uid="{00000000-0010-0000-0300-000009000000}" name="v3_start"/>
    <tableColumn id="10" xr3:uid="{00000000-0010-0000-0300-00000A000000}" name="v3_end"/>
    <tableColumn id="11" xr3:uid="{00000000-0010-0000-0300-00000B000000}" name="v4"/>
    <tableColumn id="12" xr3:uid="{00000000-0010-0000-0300-00000C000000}" name="v4_start"/>
    <tableColumn id="13" xr3:uid="{00000000-0010-0000-0300-00000D000000}" name="v4_end"/>
    <tableColumn id="14" xr3:uid="{00000000-0010-0000-0300-00000E000000}" name="pages" dataDxfId="5">
      <calculatedColumnFormula>SUM(D2-C2+1,G2-F2,J2-I2,M2-L2)</calculatedColumnFormula>
    </tableColumn>
    <tableColumn id="15" xr3:uid="{79AD93C4-BD7E-4BB8-BB7A-38FFAFA8C541}" name="Column1"/>
    <tableColumn id="16" xr3:uid="{734AAE21-605C-4CCB-8CF1-799A1DAB3D4F}" name="Column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AE7" totalsRowShown="0">
  <autoFilter ref="A1:AE7" xr:uid="{00000000-0009-0000-0100-000005000000}"/>
  <tableColumns count="31">
    <tableColumn id="1" xr3:uid="{00000000-0010-0000-0400-000001000000}" name="edition"/>
    <tableColumn id="23" xr3:uid="{00000000-0010-0000-0400-000017000000}" name="total_pp" dataDxfId="4">
      <calculatedColumnFormula>SUM(Table5[[#This Row],[v1]:[v29]])</calculatedColumnFormula>
    </tableColumn>
    <tableColumn id="2" xr3:uid="{00000000-0010-0000-0400-000002000000}" name="v1" dataDxfId="3"/>
    <tableColumn id="3" xr3:uid="{00000000-0010-0000-0400-000003000000}" name="v2"/>
    <tableColumn id="4" xr3:uid="{00000000-0010-0000-0400-000004000000}" name="v3"/>
    <tableColumn id="5" xr3:uid="{00000000-0010-0000-0400-000005000000}" name="v4" dataDxfId="2"/>
    <tableColumn id="6" xr3:uid="{00000000-0010-0000-0400-000006000000}" name="v5"/>
    <tableColumn id="7" xr3:uid="{00000000-0010-0000-0400-000007000000}" name="v6"/>
    <tableColumn id="8" xr3:uid="{00000000-0010-0000-0400-000008000000}" name="v7"/>
    <tableColumn id="9" xr3:uid="{00000000-0010-0000-0400-000009000000}" name="v8"/>
    <tableColumn id="10" xr3:uid="{00000000-0010-0000-0400-00000A000000}" name="v9"/>
    <tableColumn id="11" xr3:uid="{00000000-0010-0000-0400-00000B000000}" name="v10"/>
    <tableColumn id="12" xr3:uid="{00000000-0010-0000-0400-00000C000000}" name="v11"/>
    <tableColumn id="13" xr3:uid="{00000000-0010-0000-0400-00000D000000}" name="v12"/>
    <tableColumn id="14" xr3:uid="{00000000-0010-0000-0400-00000E000000}" name="v13"/>
    <tableColumn id="15" xr3:uid="{00000000-0010-0000-0400-00000F000000}" name="v14"/>
    <tableColumn id="16" xr3:uid="{00000000-0010-0000-0400-000010000000}" name="v15"/>
    <tableColumn id="17" xr3:uid="{00000000-0010-0000-0400-000011000000}" name="v16"/>
    <tableColumn id="18" xr3:uid="{00000000-0010-0000-0400-000012000000}" name="v17"/>
    <tableColumn id="19" xr3:uid="{00000000-0010-0000-0400-000013000000}" name="v18"/>
    <tableColumn id="20" xr3:uid="{00000000-0010-0000-0400-000014000000}" name="v19"/>
    <tableColumn id="21" xr3:uid="{00000000-0010-0000-0400-000015000000}" name="v20"/>
    <tableColumn id="22" xr3:uid="{00000000-0010-0000-0400-000016000000}" name="v21"/>
    <tableColumn id="24" xr3:uid="{00000000-0010-0000-0400-000018000000}" name="v22" dataDxfId="1"/>
    <tableColumn id="25" xr3:uid="{00000000-0010-0000-0400-000019000000}" name="v23"/>
    <tableColumn id="26" xr3:uid="{00000000-0010-0000-0400-00001A000000}" name="v24"/>
    <tableColumn id="27" xr3:uid="{00000000-0010-0000-0400-00001B000000}" name="v25" dataDxfId="0"/>
    <tableColumn id="28" xr3:uid="{00000000-0010-0000-0400-00001C000000}" name="v26"/>
    <tableColumn id="29" xr3:uid="{00000000-0010-0000-0400-00001D000000}" name="v27"/>
    <tableColumn id="30" xr3:uid="{00000000-0010-0000-0400-00001E000000}" name="v28"/>
    <tableColumn id="31" xr3:uid="{00000000-0010-0000-0400-00001F000000}" name="v2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workbookViewId="0">
      <selection activeCell="K30" sqref="K30"/>
    </sheetView>
  </sheetViews>
  <sheetFormatPr defaultRowHeight="15" x14ac:dyDescent="0.25"/>
  <cols>
    <col min="1" max="1" width="12.28515625" customWidth="1"/>
    <col min="2" max="2" width="5.140625" customWidth="1"/>
    <col min="3" max="3" width="10.140625" customWidth="1"/>
    <col min="4" max="4" width="9.5703125" customWidth="1"/>
    <col min="5" max="5" width="5.140625" customWidth="1"/>
    <col min="6" max="6" width="10.140625" customWidth="1"/>
    <col min="7" max="7" width="9.5703125" customWidth="1"/>
    <col min="8" max="8" width="5.140625" customWidth="1"/>
    <col min="9" max="9" width="10.140625" customWidth="1"/>
    <col min="10" max="10" width="9.5703125" customWidth="1"/>
    <col min="11" max="11" width="12.7109375" style="1" customWidth="1"/>
  </cols>
  <sheetData>
    <row r="1" spans="1:13" x14ac:dyDescent="0.25">
      <c r="A1" t="s">
        <v>28</v>
      </c>
      <c r="B1" t="s">
        <v>30</v>
      </c>
      <c r="C1" t="s">
        <v>31</v>
      </c>
      <c r="D1" t="s">
        <v>32</v>
      </c>
      <c r="E1" t="s">
        <v>33</v>
      </c>
      <c r="F1" t="s">
        <v>34</v>
      </c>
      <c r="G1" t="s">
        <v>35</v>
      </c>
      <c r="H1" t="s">
        <v>36</v>
      </c>
      <c r="I1" t="s">
        <v>37</v>
      </c>
      <c r="J1" t="s">
        <v>38</v>
      </c>
      <c r="K1" s="1" t="s">
        <v>29</v>
      </c>
      <c r="L1" t="s">
        <v>195</v>
      </c>
      <c r="M1" t="s">
        <v>197</v>
      </c>
    </row>
    <row r="2" spans="1:13" x14ac:dyDescent="0.25">
      <c r="A2" t="s">
        <v>43</v>
      </c>
      <c r="B2">
        <v>1</v>
      </c>
      <c r="C2">
        <v>1</v>
      </c>
      <c r="D2">
        <v>16</v>
      </c>
      <c r="K2" s="1">
        <f>SUM(D2-C2+1,G2-F2,J2-I2)</f>
        <v>16</v>
      </c>
      <c r="M2" s="1"/>
    </row>
    <row r="3" spans="1:13" x14ac:dyDescent="0.25">
      <c r="A3" t="s">
        <v>0</v>
      </c>
      <c r="B3">
        <v>1</v>
      </c>
      <c r="C3">
        <v>1</v>
      </c>
      <c r="D3">
        <v>799</v>
      </c>
      <c r="E3">
        <v>2</v>
      </c>
      <c r="F3">
        <v>1</v>
      </c>
      <c r="G3">
        <v>707</v>
      </c>
      <c r="K3" s="1">
        <f t="shared" ref="K3:K26" si="0">SUM(D3-C3+1,G3-F3,J3-I3)</f>
        <v>1505</v>
      </c>
      <c r="L3" t="s">
        <v>196</v>
      </c>
      <c r="M3" s="1">
        <f>SUM(K3:K18)</f>
        <v>11959</v>
      </c>
    </row>
    <row r="4" spans="1:13" x14ac:dyDescent="0.25">
      <c r="A4" t="s">
        <v>1</v>
      </c>
      <c r="B4">
        <v>2</v>
      </c>
      <c r="C4">
        <v>707</v>
      </c>
      <c r="D4">
        <v>799</v>
      </c>
      <c r="E4">
        <v>3</v>
      </c>
      <c r="F4">
        <v>1</v>
      </c>
      <c r="G4">
        <v>806</v>
      </c>
      <c r="K4" s="1">
        <f t="shared" si="0"/>
        <v>898</v>
      </c>
      <c r="M4" s="1"/>
    </row>
    <row r="5" spans="1:13" x14ac:dyDescent="0.25">
      <c r="A5" t="s">
        <v>2</v>
      </c>
      <c r="B5">
        <v>4</v>
      </c>
      <c r="C5">
        <v>1</v>
      </c>
      <c r="D5">
        <v>789</v>
      </c>
      <c r="E5">
        <v>5</v>
      </c>
      <c r="F5">
        <v>1</v>
      </c>
      <c r="G5">
        <v>642</v>
      </c>
      <c r="K5" s="1">
        <f t="shared" si="0"/>
        <v>1430</v>
      </c>
      <c r="M5" s="1"/>
    </row>
    <row r="6" spans="1:13" x14ac:dyDescent="0.25">
      <c r="A6" t="s">
        <v>3</v>
      </c>
      <c r="B6">
        <v>5</v>
      </c>
      <c r="C6">
        <v>643</v>
      </c>
      <c r="D6">
        <v>807</v>
      </c>
      <c r="E6">
        <v>6</v>
      </c>
      <c r="F6">
        <v>1</v>
      </c>
      <c r="G6">
        <v>226</v>
      </c>
      <c r="K6" s="1">
        <f t="shared" si="0"/>
        <v>390</v>
      </c>
      <c r="M6" s="1"/>
    </row>
    <row r="7" spans="1:13" x14ac:dyDescent="0.25">
      <c r="A7" t="s">
        <v>5</v>
      </c>
      <c r="B7">
        <v>6</v>
      </c>
      <c r="C7">
        <v>226</v>
      </c>
      <c r="D7">
        <v>800</v>
      </c>
      <c r="E7">
        <v>7</v>
      </c>
      <c r="F7">
        <v>1</v>
      </c>
      <c r="G7">
        <v>81</v>
      </c>
      <c r="K7" s="1">
        <f t="shared" si="0"/>
        <v>655</v>
      </c>
      <c r="M7" s="1"/>
    </row>
    <row r="8" spans="1:13" x14ac:dyDescent="0.25">
      <c r="A8" t="s">
        <v>4</v>
      </c>
      <c r="B8">
        <v>7</v>
      </c>
      <c r="C8">
        <v>82</v>
      </c>
      <c r="D8">
        <v>515</v>
      </c>
      <c r="K8" s="1">
        <f t="shared" si="0"/>
        <v>434</v>
      </c>
      <c r="M8" s="1"/>
    </row>
    <row r="9" spans="1:13" x14ac:dyDescent="0.25">
      <c r="A9" t="s">
        <v>6</v>
      </c>
      <c r="B9">
        <v>7</v>
      </c>
      <c r="C9">
        <v>515</v>
      </c>
      <c r="D9">
        <v>799</v>
      </c>
      <c r="E9">
        <v>8</v>
      </c>
      <c r="F9">
        <v>1</v>
      </c>
      <c r="G9">
        <v>257</v>
      </c>
      <c r="K9" s="1">
        <f t="shared" si="0"/>
        <v>541</v>
      </c>
      <c r="M9" s="1"/>
    </row>
    <row r="10" spans="1:13" x14ac:dyDescent="0.25">
      <c r="A10" t="s">
        <v>7</v>
      </c>
      <c r="B10">
        <v>8</v>
      </c>
      <c r="C10">
        <v>257</v>
      </c>
      <c r="D10">
        <v>799</v>
      </c>
      <c r="E10">
        <v>9</v>
      </c>
      <c r="F10">
        <v>1</v>
      </c>
      <c r="G10">
        <v>50</v>
      </c>
      <c r="K10" s="1">
        <f t="shared" si="0"/>
        <v>592</v>
      </c>
      <c r="M10" s="1"/>
    </row>
    <row r="11" spans="1:13" x14ac:dyDescent="0.25">
      <c r="A11" t="s">
        <v>39</v>
      </c>
      <c r="B11">
        <v>9</v>
      </c>
      <c r="C11">
        <v>50</v>
      </c>
      <c r="D11">
        <v>418</v>
      </c>
      <c r="K11" s="1">
        <f t="shared" si="0"/>
        <v>369</v>
      </c>
      <c r="M11" s="1"/>
    </row>
    <row r="12" spans="1:13" x14ac:dyDescent="0.25">
      <c r="A12" t="s">
        <v>10</v>
      </c>
      <c r="B12">
        <v>9</v>
      </c>
      <c r="C12">
        <v>418</v>
      </c>
      <c r="D12">
        <v>490</v>
      </c>
      <c r="K12" s="1">
        <f t="shared" si="0"/>
        <v>73</v>
      </c>
      <c r="M12" s="1"/>
    </row>
    <row r="13" spans="1:13" x14ac:dyDescent="0.25">
      <c r="A13" t="s">
        <v>11</v>
      </c>
      <c r="B13">
        <v>9</v>
      </c>
      <c r="C13">
        <v>491</v>
      </c>
      <c r="D13">
        <v>799</v>
      </c>
      <c r="E13">
        <v>10</v>
      </c>
      <c r="F13">
        <v>1</v>
      </c>
      <c r="G13">
        <v>355</v>
      </c>
      <c r="K13" s="1">
        <f t="shared" si="0"/>
        <v>663</v>
      </c>
      <c r="M13" s="1"/>
    </row>
    <row r="14" spans="1:13" x14ac:dyDescent="0.25">
      <c r="A14" t="s">
        <v>12</v>
      </c>
      <c r="B14">
        <v>10</v>
      </c>
      <c r="C14">
        <v>355</v>
      </c>
      <c r="D14">
        <v>786</v>
      </c>
      <c r="E14">
        <v>11</v>
      </c>
      <c r="F14">
        <v>1</v>
      </c>
      <c r="G14">
        <v>814</v>
      </c>
      <c r="H14">
        <v>12</v>
      </c>
      <c r="I14">
        <v>1</v>
      </c>
      <c r="J14">
        <v>613</v>
      </c>
      <c r="K14" s="1">
        <f t="shared" si="0"/>
        <v>1857</v>
      </c>
      <c r="M14" s="1"/>
    </row>
    <row r="15" spans="1:13" x14ac:dyDescent="0.25">
      <c r="A15" t="s">
        <v>13</v>
      </c>
      <c r="B15">
        <v>12</v>
      </c>
      <c r="C15">
        <v>613</v>
      </c>
      <c r="D15">
        <v>799</v>
      </c>
      <c r="E15">
        <v>13</v>
      </c>
      <c r="F15">
        <v>1</v>
      </c>
      <c r="G15">
        <v>165</v>
      </c>
      <c r="K15" s="1">
        <f t="shared" si="0"/>
        <v>351</v>
      </c>
      <c r="M15" s="1"/>
    </row>
    <row r="16" spans="1:13" x14ac:dyDescent="0.25">
      <c r="A16" t="s">
        <v>14</v>
      </c>
      <c r="B16">
        <v>13</v>
      </c>
      <c r="C16">
        <v>165</v>
      </c>
      <c r="D16">
        <v>579</v>
      </c>
      <c r="K16" s="1">
        <f t="shared" si="0"/>
        <v>415</v>
      </c>
      <c r="M16" s="1"/>
    </row>
    <row r="17" spans="1:13" x14ac:dyDescent="0.25">
      <c r="A17" t="s">
        <v>15</v>
      </c>
      <c r="B17">
        <v>13</v>
      </c>
      <c r="C17">
        <v>580</v>
      </c>
      <c r="D17">
        <v>799</v>
      </c>
      <c r="E17">
        <v>14</v>
      </c>
      <c r="F17">
        <v>1</v>
      </c>
      <c r="G17">
        <v>797</v>
      </c>
      <c r="H17">
        <v>15</v>
      </c>
      <c r="I17">
        <v>1</v>
      </c>
      <c r="J17">
        <v>724</v>
      </c>
      <c r="K17" s="1">
        <f t="shared" si="0"/>
        <v>1739</v>
      </c>
      <c r="M17" s="1"/>
    </row>
    <row r="18" spans="1:13" x14ac:dyDescent="0.25">
      <c r="A18" t="s">
        <v>16</v>
      </c>
      <c r="B18">
        <v>15</v>
      </c>
      <c r="C18">
        <v>724</v>
      </c>
      <c r="D18">
        <v>770</v>
      </c>
      <c r="K18" s="1">
        <f t="shared" si="0"/>
        <v>47</v>
      </c>
      <c r="M18" s="1"/>
    </row>
    <row r="19" spans="1:13" x14ac:dyDescent="0.25">
      <c r="A19" t="s">
        <v>17</v>
      </c>
      <c r="B19">
        <v>15</v>
      </c>
      <c r="C19">
        <v>770</v>
      </c>
      <c r="D19">
        <v>799</v>
      </c>
      <c r="E19">
        <v>16</v>
      </c>
      <c r="F19">
        <v>1</v>
      </c>
      <c r="G19">
        <v>579</v>
      </c>
      <c r="K19" s="1">
        <f t="shared" si="0"/>
        <v>608</v>
      </c>
      <c r="M19" s="1"/>
    </row>
    <row r="20" spans="1:13" x14ac:dyDescent="0.25">
      <c r="A20" t="s">
        <v>18</v>
      </c>
      <c r="B20">
        <v>16</v>
      </c>
      <c r="C20">
        <v>579</v>
      </c>
      <c r="D20">
        <v>799</v>
      </c>
      <c r="E20">
        <v>17</v>
      </c>
      <c r="F20">
        <v>1</v>
      </c>
      <c r="G20">
        <v>827</v>
      </c>
      <c r="H20">
        <v>18</v>
      </c>
      <c r="I20">
        <v>1</v>
      </c>
      <c r="J20">
        <v>267</v>
      </c>
      <c r="K20" s="1">
        <f t="shared" si="0"/>
        <v>1313</v>
      </c>
      <c r="M20" s="1"/>
    </row>
    <row r="21" spans="1:13" x14ac:dyDescent="0.25">
      <c r="A21" t="s">
        <v>19</v>
      </c>
      <c r="B21">
        <v>18</v>
      </c>
      <c r="C21">
        <v>267</v>
      </c>
      <c r="D21">
        <v>614</v>
      </c>
      <c r="K21" s="1">
        <f t="shared" si="0"/>
        <v>348</v>
      </c>
      <c r="M21" s="1"/>
    </row>
    <row r="22" spans="1:13" x14ac:dyDescent="0.25">
      <c r="A22" t="s">
        <v>40</v>
      </c>
      <c r="B22">
        <v>18</v>
      </c>
      <c r="C22">
        <v>615</v>
      </c>
      <c r="D22">
        <v>697</v>
      </c>
      <c r="K22" s="1">
        <f t="shared" si="0"/>
        <v>83</v>
      </c>
      <c r="M22" s="1"/>
    </row>
    <row r="23" spans="1:13" x14ac:dyDescent="0.25">
      <c r="A23" t="s">
        <v>22</v>
      </c>
      <c r="B23">
        <v>18</v>
      </c>
      <c r="C23">
        <v>697</v>
      </c>
      <c r="D23">
        <v>919</v>
      </c>
      <c r="K23" s="1">
        <f t="shared" si="0"/>
        <v>223</v>
      </c>
      <c r="M23" s="1"/>
    </row>
    <row r="24" spans="1:13" x14ac:dyDescent="0.25">
      <c r="A24" t="s">
        <v>23</v>
      </c>
      <c r="B24">
        <v>18</v>
      </c>
      <c r="C24">
        <v>919</v>
      </c>
      <c r="D24">
        <v>923</v>
      </c>
      <c r="K24" s="1">
        <f t="shared" si="0"/>
        <v>5</v>
      </c>
      <c r="M24" s="1"/>
    </row>
    <row r="25" spans="1:13" x14ac:dyDescent="0.25">
      <c r="A25" t="s">
        <v>24</v>
      </c>
      <c r="B25">
        <v>18</v>
      </c>
      <c r="C25">
        <v>923</v>
      </c>
      <c r="D25">
        <v>929</v>
      </c>
      <c r="K25" s="1">
        <f t="shared" si="0"/>
        <v>7</v>
      </c>
      <c r="M25" s="1"/>
    </row>
    <row r="26" spans="1:13" x14ac:dyDescent="0.25">
      <c r="A26" t="s">
        <v>25</v>
      </c>
      <c r="B26">
        <v>18</v>
      </c>
      <c r="C26">
        <v>929</v>
      </c>
      <c r="D26">
        <v>945</v>
      </c>
      <c r="K26" s="1">
        <f t="shared" si="0"/>
        <v>17</v>
      </c>
      <c r="M26" s="1"/>
    </row>
    <row r="27" spans="1:13" x14ac:dyDescent="0.25">
      <c r="A27" t="s">
        <v>105</v>
      </c>
      <c r="B27">
        <v>19</v>
      </c>
      <c r="C27">
        <v>1</v>
      </c>
      <c r="D27">
        <v>521</v>
      </c>
      <c r="E27">
        <v>20</v>
      </c>
      <c r="F27">
        <v>1</v>
      </c>
      <c r="G27">
        <v>527</v>
      </c>
      <c r="K27" s="1">
        <f>SUM(D27-C27+1,G27-F27,J27-I27)</f>
        <v>1047</v>
      </c>
      <c r="M27" s="1"/>
    </row>
    <row r="28" spans="1:13" x14ac:dyDescent="0.25">
      <c r="A28" t="s">
        <v>166</v>
      </c>
      <c r="B28">
        <v>16</v>
      </c>
      <c r="C28">
        <v>800</v>
      </c>
      <c r="M28" s="1"/>
    </row>
    <row r="29" spans="1:13" x14ac:dyDescent="0.25">
      <c r="A29" t="s">
        <v>166</v>
      </c>
      <c r="B29">
        <v>17</v>
      </c>
      <c r="C29">
        <v>828</v>
      </c>
      <c r="M29" s="1"/>
    </row>
    <row r="30" spans="1:13" x14ac:dyDescent="0.25">
      <c r="A30" t="s">
        <v>106</v>
      </c>
      <c r="K30" s="1">
        <f>SUM(K2:K26)</f>
        <v>14579</v>
      </c>
    </row>
    <row r="31" spans="1:13" x14ac:dyDescent="0.25">
      <c r="A31" t="s">
        <v>107</v>
      </c>
      <c r="K31" s="1">
        <f>K27</f>
        <v>1047</v>
      </c>
    </row>
    <row r="32" spans="1:13" x14ac:dyDescent="0.25">
      <c r="A32" t="s">
        <v>41</v>
      </c>
      <c r="K32" s="1">
        <f>SUM(K30:K31)</f>
        <v>15626</v>
      </c>
    </row>
    <row r="34" spans="1:11" x14ac:dyDescent="0.25">
      <c r="A34" t="s">
        <v>72</v>
      </c>
      <c r="K34" s="1">
        <f>SUM(K3:K26)/26</f>
        <v>560.11538461538464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topLeftCell="A37" workbookViewId="0">
      <selection activeCell="K61" sqref="K61"/>
    </sheetView>
  </sheetViews>
  <sheetFormatPr defaultRowHeight="15" x14ac:dyDescent="0.25"/>
  <cols>
    <col min="1" max="1" width="14.42578125" customWidth="1"/>
    <col min="3" max="3" width="10.140625" customWidth="1"/>
    <col min="4" max="4" width="9.5703125" customWidth="1"/>
    <col min="6" max="6" width="10.140625" customWidth="1"/>
    <col min="7" max="7" width="9.5703125" customWidth="1"/>
    <col min="9" max="9" width="10.140625" customWidth="1"/>
    <col min="10" max="10" width="9.5703125" customWidth="1"/>
    <col min="11" max="11" width="9.140625" style="1"/>
  </cols>
  <sheetData>
    <row r="1" spans="1:13" x14ac:dyDescent="0.25">
      <c r="A1" t="s">
        <v>26</v>
      </c>
      <c r="B1" t="s">
        <v>30</v>
      </c>
      <c r="C1" t="s">
        <v>31</v>
      </c>
      <c r="D1" t="s">
        <v>32</v>
      </c>
      <c r="E1" t="s">
        <v>33</v>
      </c>
      <c r="F1" t="s">
        <v>34</v>
      </c>
      <c r="G1" t="s">
        <v>35</v>
      </c>
      <c r="H1" t="s">
        <v>36</v>
      </c>
      <c r="I1" t="s">
        <v>37</v>
      </c>
      <c r="J1" t="s">
        <v>38</v>
      </c>
      <c r="K1" s="1" t="s">
        <v>29</v>
      </c>
      <c r="L1" t="s">
        <v>42</v>
      </c>
      <c r="M1" t="s">
        <v>195</v>
      </c>
    </row>
    <row r="2" spans="1:13" x14ac:dyDescent="0.25">
      <c r="A2" t="s">
        <v>43</v>
      </c>
      <c r="B2">
        <v>1</v>
      </c>
      <c r="C2">
        <v>5</v>
      </c>
      <c r="D2">
        <v>43</v>
      </c>
      <c r="K2" s="1">
        <f>SUM(D2-C2+1,G2-F2,J2-I2)</f>
        <v>39</v>
      </c>
    </row>
    <row r="3" spans="1:13" x14ac:dyDescent="0.25">
      <c r="A3" t="s">
        <v>108</v>
      </c>
      <c r="B3">
        <v>1</v>
      </c>
      <c r="C3">
        <v>45</v>
      </c>
      <c r="D3">
        <v>52</v>
      </c>
      <c r="K3" s="1">
        <f>SUM(D3-C3,G3-F3,J3-I3)</f>
        <v>7</v>
      </c>
    </row>
    <row r="4" spans="1:13" x14ac:dyDescent="0.25">
      <c r="A4" t="s">
        <v>150</v>
      </c>
      <c r="B4">
        <v>1</v>
      </c>
      <c r="C4">
        <v>1</v>
      </c>
      <c r="D4">
        <v>5</v>
      </c>
      <c r="K4" s="1">
        <f>SUM(D4-C4,G4-F4,J4-I4)</f>
        <v>4</v>
      </c>
    </row>
    <row r="5" spans="1:13" x14ac:dyDescent="0.25">
      <c r="A5" t="s">
        <v>144</v>
      </c>
      <c r="B5">
        <v>1</v>
      </c>
      <c r="C5">
        <v>1</v>
      </c>
      <c r="D5">
        <v>289</v>
      </c>
      <c r="K5" s="1">
        <f t="shared" ref="K5:K9" si="0">SUM(D5-C5+1,G5-F5,J5-I5)</f>
        <v>289</v>
      </c>
      <c r="L5" t="s">
        <v>196</v>
      </c>
      <c r="M5" s="1">
        <f>SUM(K5:K27)</f>
        <v>13566</v>
      </c>
    </row>
    <row r="6" spans="1:13" x14ac:dyDescent="0.25">
      <c r="A6" t="s">
        <v>145</v>
      </c>
      <c r="B6">
        <v>1</v>
      </c>
      <c r="C6">
        <v>291</v>
      </c>
      <c r="D6">
        <v>429</v>
      </c>
      <c r="K6" s="1">
        <f t="shared" si="0"/>
        <v>139</v>
      </c>
    </row>
    <row r="7" spans="1:13" x14ac:dyDescent="0.25">
      <c r="A7" t="s">
        <v>143</v>
      </c>
      <c r="B7">
        <v>1</v>
      </c>
      <c r="C7">
        <v>431</v>
      </c>
      <c r="D7">
        <v>572</v>
      </c>
      <c r="K7" s="1">
        <f t="shared" si="0"/>
        <v>142</v>
      </c>
    </row>
    <row r="8" spans="1:13" x14ac:dyDescent="0.25">
      <c r="A8" t="s">
        <v>146</v>
      </c>
      <c r="B8">
        <v>1</v>
      </c>
      <c r="C8">
        <v>573</v>
      </c>
      <c r="D8">
        <v>677</v>
      </c>
      <c r="K8" s="1">
        <f t="shared" si="0"/>
        <v>105</v>
      </c>
    </row>
    <row r="9" spans="1:13" x14ac:dyDescent="0.25">
      <c r="A9" t="s">
        <v>142</v>
      </c>
      <c r="B9">
        <v>1</v>
      </c>
      <c r="C9">
        <v>681</v>
      </c>
      <c r="D9">
        <v>711</v>
      </c>
      <c r="K9" s="1">
        <f t="shared" si="0"/>
        <v>31</v>
      </c>
    </row>
    <row r="10" spans="1:13" x14ac:dyDescent="0.25">
      <c r="A10" t="s">
        <v>147</v>
      </c>
      <c r="B10">
        <v>1</v>
      </c>
      <c r="C10">
        <v>1</v>
      </c>
      <c r="D10">
        <v>164</v>
      </c>
      <c r="K10" s="1">
        <f t="shared" ref="K10:K13" si="1">SUM(D10-C10+1,G10-F10,J10-I10)</f>
        <v>164</v>
      </c>
    </row>
    <row r="11" spans="1:13" x14ac:dyDescent="0.25">
      <c r="A11" t="s">
        <v>0</v>
      </c>
      <c r="B11">
        <v>2</v>
      </c>
      <c r="C11">
        <v>1</v>
      </c>
      <c r="D11">
        <v>828</v>
      </c>
      <c r="E11">
        <v>3</v>
      </c>
      <c r="F11">
        <v>1</v>
      </c>
      <c r="G11">
        <v>792</v>
      </c>
      <c r="H11">
        <v>4</v>
      </c>
      <c r="I11">
        <v>1</v>
      </c>
      <c r="J11">
        <v>264</v>
      </c>
      <c r="K11" s="1">
        <f t="shared" si="1"/>
        <v>1882</v>
      </c>
    </row>
    <row r="12" spans="1:13" x14ac:dyDescent="0.25">
      <c r="A12" t="s">
        <v>1</v>
      </c>
      <c r="B12">
        <v>4</v>
      </c>
      <c r="C12">
        <v>264</v>
      </c>
      <c r="D12">
        <v>800</v>
      </c>
      <c r="E12">
        <v>5</v>
      </c>
      <c r="F12">
        <v>1</v>
      </c>
      <c r="G12">
        <v>762</v>
      </c>
      <c r="K12" s="1">
        <f t="shared" si="1"/>
        <v>1298</v>
      </c>
    </row>
    <row r="13" spans="1:13" x14ac:dyDescent="0.25">
      <c r="A13" t="s">
        <v>2</v>
      </c>
      <c r="B13">
        <v>5</v>
      </c>
      <c r="C13">
        <v>762</v>
      </c>
      <c r="D13">
        <v>796</v>
      </c>
      <c r="E13">
        <v>6</v>
      </c>
      <c r="F13">
        <v>1</v>
      </c>
      <c r="H13">
        <v>7</v>
      </c>
      <c r="I13">
        <v>1</v>
      </c>
      <c r="J13">
        <v>579</v>
      </c>
      <c r="K13" s="1">
        <f t="shared" si="1"/>
        <v>612</v>
      </c>
    </row>
    <row r="14" spans="1:13" x14ac:dyDescent="0.25">
      <c r="A14" t="s">
        <v>3</v>
      </c>
      <c r="B14">
        <v>7</v>
      </c>
      <c r="C14">
        <v>580</v>
      </c>
      <c r="D14">
        <v>782</v>
      </c>
      <c r="E14">
        <v>8</v>
      </c>
      <c r="F14">
        <v>1</v>
      </c>
      <c r="G14">
        <v>389</v>
      </c>
      <c r="K14" s="1">
        <f t="shared" ref="K14:K59" si="2">SUM(D14-C14+1,G14-F14,J14-I14)</f>
        <v>591</v>
      </c>
    </row>
    <row r="15" spans="1:13" x14ac:dyDescent="0.25">
      <c r="A15" t="s">
        <v>5</v>
      </c>
      <c r="B15">
        <v>8</v>
      </c>
      <c r="C15">
        <v>389</v>
      </c>
      <c r="D15">
        <v>803</v>
      </c>
      <c r="E15">
        <v>9</v>
      </c>
      <c r="F15">
        <v>1</v>
      </c>
      <c r="G15">
        <v>470</v>
      </c>
      <c r="K15" s="1">
        <f t="shared" si="2"/>
        <v>884</v>
      </c>
    </row>
    <row r="16" spans="1:13" x14ac:dyDescent="0.25">
      <c r="A16" t="s">
        <v>4</v>
      </c>
      <c r="B16">
        <v>9</v>
      </c>
      <c r="C16">
        <v>470</v>
      </c>
      <c r="D16">
        <v>808</v>
      </c>
      <c r="E16">
        <v>10</v>
      </c>
      <c r="F16">
        <v>1</v>
      </c>
      <c r="G16">
        <v>280</v>
      </c>
      <c r="K16" s="1">
        <f t="shared" si="2"/>
        <v>618</v>
      </c>
    </row>
    <row r="17" spans="1:11" x14ac:dyDescent="0.25">
      <c r="A17" t="s">
        <v>6</v>
      </c>
      <c r="B17">
        <v>10</v>
      </c>
      <c r="C17">
        <v>280</v>
      </c>
      <c r="D17">
        <v>781</v>
      </c>
      <c r="E17">
        <v>11</v>
      </c>
      <c r="F17">
        <v>1</v>
      </c>
      <c r="G17">
        <v>98</v>
      </c>
      <c r="K17" s="1">
        <f t="shared" si="2"/>
        <v>599</v>
      </c>
    </row>
    <row r="18" spans="1:11" x14ac:dyDescent="0.25">
      <c r="A18" t="s">
        <v>7</v>
      </c>
      <c r="B18">
        <v>11</v>
      </c>
      <c r="C18">
        <v>99</v>
      </c>
      <c r="D18">
        <v>772</v>
      </c>
      <c r="E18">
        <v>12</v>
      </c>
      <c r="F18">
        <v>1</v>
      </c>
      <c r="G18">
        <v>139</v>
      </c>
      <c r="K18" s="1">
        <f t="shared" si="2"/>
        <v>812</v>
      </c>
    </row>
    <row r="19" spans="1:11" x14ac:dyDescent="0.25">
      <c r="A19" t="s">
        <v>8</v>
      </c>
      <c r="B19">
        <v>12</v>
      </c>
      <c r="C19">
        <v>140</v>
      </c>
      <c r="D19">
        <v>491</v>
      </c>
      <c r="K19" s="1">
        <f t="shared" si="2"/>
        <v>352</v>
      </c>
    </row>
    <row r="20" spans="1:11" x14ac:dyDescent="0.25">
      <c r="A20" t="s">
        <v>9</v>
      </c>
      <c r="B20">
        <v>12</v>
      </c>
      <c r="C20">
        <v>492</v>
      </c>
      <c r="D20">
        <v>657</v>
      </c>
      <c r="K20" s="1">
        <f t="shared" si="2"/>
        <v>166</v>
      </c>
    </row>
    <row r="21" spans="1:11" x14ac:dyDescent="0.25">
      <c r="A21" t="s">
        <v>10</v>
      </c>
      <c r="B21">
        <v>12</v>
      </c>
      <c r="C21">
        <v>658</v>
      </c>
      <c r="D21">
        <v>767</v>
      </c>
      <c r="K21" s="1">
        <f t="shared" si="2"/>
        <v>110</v>
      </c>
    </row>
    <row r="22" spans="1:11" x14ac:dyDescent="0.25">
      <c r="A22" t="s">
        <v>11</v>
      </c>
      <c r="B22">
        <v>13</v>
      </c>
      <c r="C22">
        <v>1</v>
      </c>
      <c r="D22">
        <v>616</v>
      </c>
      <c r="K22" s="1">
        <f t="shared" si="2"/>
        <v>616</v>
      </c>
    </row>
    <row r="23" spans="1:11" x14ac:dyDescent="0.25">
      <c r="A23" t="s">
        <v>12</v>
      </c>
      <c r="B23">
        <v>13</v>
      </c>
      <c r="C23">
        <v>617</v>
      </c>
      <c r="D23">
        <v>774</v>
      </c>
      <c r="E23">
        <v>14</v>
      </c>
      <c r="F23">
        <v>1</v>
      </c>
      <c r="G23">
        <v>820</v>
      </c>
      <c r="H23">
        <v>15</v>
      </c>
      <c r="I23">
        <v>1</v>
      </c>
      <c r="J23">
        <v>684</v>
      </c>
      <c r="K23" s="1">
        <f t="shared" si="2"/>
        <v>1660</v>
      </c>
    </row>
    <row r="24" spans="1:11" x14ac:dyDescent="0.25">
      <c r="A24" t="s">
        <v>13</v>
      </c>
      <c r="B24">
        <v>15</v>
      </c>
      <c r="C24">
        <v>684</v>
      </c>
      <c r="D24">
        <v>792</v>
      </c>
      <c r="E24">
        <v>16</v>
      </c>
      <c r="F24">
        <v>1</v>
      </c>
      <c r="G24">
        <v>313</v>
      </c>
      <c r="K24" s="1">
        <f t="shared" si="2"/>
        <v>421</v>
      </c>
    </row>
    <row r="25" spans="1:11" x14ac:dyDescent="0.25">
      <c r="A25" t="s">
        <v>14</v>
      </c>
      <c r="B25">
        <v>16</v>
      </c>
      <c r="C25">
        <v>314</v>
      </c>
      <c r="D25">
        <v>689</v>
      </c>
      <c r="K25" s="1">
        <f t="shared" si="2"/>
        <v>376</v>
      </c>
    </row>
    <row r="26" spans="1:11" x14ac:dyDescent="0.25">
      <c r="A26" t="s">
        <v>15</v>
      </c>
      <c r="B26">
        <v>16</v>
      </c>
      <c r="C26">
        <v>690</v>
      </c>
      <c r="D26">
        <v>792</v>
      </c>
      <c r="E26">
        <v>17</v>
      </c>
      <c r="F26">
        <v>1</v>
      </c>
      <c r="G26">
        <v>800</v>
      </c>
      <c r="H26">
        <v>18</v>
      </c>
      <c r="I26">
        <v>1</v>
      </c>
      <c r="J26">
        <v>761</v>
      </c>
      <c r="K26" s="1">
        <f t="shared" si="2"/>
        <v>1662</v>
      </c>
    </row>
    <row r="27" spans="1:11" x14ac:dyDescent="0.25">
      <c r="A27" t="s">
        <v>16</v>
      </c>
      <c r="B27">
        <v>18</v>
      </c>
      <c r="C27">
        <v>762</v>
      </c>
      <c r="D27">
        <v>798</v>
      </c>
      <c r="K27" s="1">
        <f t="shared" si="2"/>
        <v>37</v>
      </c>
    </row>
    <row r="28" spans="1:11" x14ac:dyDescent="0.25">
      <c r="A28" t="s">
        <v>17</v>
      </c>
      <c r="B28">
        <v>19</v>
      </c>
      <c r="C28">
        <v>1</v>
      </c>
      <c r="D28">
        <v>594</v>
      </c>
      <c r="K28" s="1">
        <f t="shared" si="2"/>
        <v>594</v>
      </c>
    </row>
    <row r="29" spans="1:11" x14ac:dyDescent="0.25">
      <c r="A29" t="s">
        <v>18</v>
      </c>
      <c r="B29">
        <v>19</v>
      </c>
      <c r="C29">
        <v>594</v>
      </c>
      <c r="D29">
        <v>792</v>
      </c>
      <c r="E29">
        <v>20</v>
      </c>
      <c r="F29">
        <v>1</v>
      </c>
      <c r="G29">
        <v>848</v>
      </c>
      <c r="H29">
        <v>21</v>
      </c>
      <c r="I29">
        <v>1</v>
      </c>
      <c r="J29">
        <v>66</v>
      </c>
      <c r="K29" s="1">
        <f t="shared" si="2"/>
        <v>1111</v>
      </c>
    </row>
    <row r="30" spans="1:11" x14ac:dyDescent="0.25">
      <c r="A30" t="s">
        <v>19</v>
      </c>
      <c r="B30">
        <v>21</v>
      </c>
      <c r="C30">
        <v>66</v>
      </c>
      <c r="D30">
        <v>444</v>
      </c>
      <c r="K30" s="1">
        <f t="shared" si="2"/>
        <v>379</v>
      </c>
    </row>
    <row r="31" spans="1:11" x14ac:dyDescent="0.25">
      <c r="A31" t="s">
        <v>20</v>
      </c>
      <c r="B31">
        <v>21</v>
      </c>
      <c r="C31">
        <v>445</v>
      </c>
      <c r="D31">
        <v>533</v>
      </c>
      <c r="K31" s="1">
        <f t="shared" si="2"/>
        <v>89</v>
      </c>
    </row>
    <row r="32" spans="1:11" x14ac:dyDescent="0.25">
      <c r="A32" t="s">
        <v>21</v>
      </c>
      <c r="B32">
        <v>21</v>
      </c>
      <c r="C32">
        <v>534</v>
      </c>
      <c r="D32">
        <v>704</v>
      </c>
      <c r="K32" s="1">
        <f t="shared" si="2"/>
        <v>171</v>
      </c>
    </row>
    <row r="33" spans="1:11" x14ac:dyDescent="0.25">
      <c r="A33" t="s">
        <v>22</v>
      </c>
      <c r="B33">
        <v>21</v>
      </c>
      <c r="C33">
        <v>705</v>
      </c>
      <c r="D33">
        <v>953</v>
      </c>
      <c r="K33" s="1">
        <f t="shared" si="2"/>
        <v>249</v>
      </c>
    </row>
    <row r="34" spans="1:11" x14ac:dyDescent="0.25">
      <c r="A34" t="s">
        <v>23</v>
      </c>
      <c r="B34">
        <v>21</v>
      </c>
      <c r="C34">
        <v>953</v>
      </c>
      <c r="D34">
        <v>957</v>
      </c>
      <c r="K34" s="1">
        <f t="shared" si="2"/>
        <v>5</v>
      </c>
    </row>
    <row r="35" spans="1:11" x14ac:dyDescent="0.25">
      <c r="A35" t="s">
        <v>24</v>
      </c>
      <c r="B35">
        <v>21</v>
      </c>
      <c r="C35">
        <v>957</v>
      </c>
      <c r="D35">
        <v>973</v>
      </c>
      <c r="K35" s="1">
        <f t="shared" si="2"/>
        <v>17</v>
      </c>
    </row>
    <row r="36" spans="1:11" x14ac:dyDescent="0.25">
      <c r="A36" t="s">
        <v>25</v>
      </c>
      <c r="B36">
        <v>21</v>
      </c>
      <c r="C36">
        <v>974</v>
      </c>
      <c r="D36">
        <v>1027</v>
      </c>
      <c r="K36" s="1">
        <f t="shared" si="2"/>
        <v>54</v>
      </c>
    </row>
    <row r="37" spans="1:11" x14ac:dyDescent="0.25">
      <c r="A37" t="s">
        <v>43</v>
      </c>
      <c r="B37">
        <v>22</v>
      </c>
      <c r="C37">
        <v>1</v>
      </c>
      <c r="D37">
        <v>43</v>
      </c>
      <c r="K37" s="1">
        <f t="shared" si="2"/>
        <v>43</v>
      </c>
    </row>
    <row r="38" spans="1:11" x14ac:dyDescent="0.25">
      <c r="A38" t="s">
        <v>108</v>
      </c>
      <c r="B38">
        <v>22</v>
      </c>
      <c r="C38">
        <v>45</v>
      </c>
      <c r="D38">
        <v>52</v>
      </c>
      <c r="K38" s="1">
        <f t="shared" si="2"/>
        <v>8</v>
      </c>
    </row>
    <row r="39" spans="1:11" x14ac:dyDescent="0.25">
      <c r="A39" t="s">
        <v>44</v>
      </c>
      <c r="B39">
        <v>22</v>
      </c>
      <c r="C39">
        <v>1</v>
      </c>
      <c r="D39">
        <v>2</v>
      </c>
      <c r="E39">
        <v>22</v>
      </c>
      <c r="F39">
        <v>1</v>
      </c>
      <c r="G39">
        <v>164</v>
      </c>
      <c r="K39" s="1">
        <f t="shared" si="2"/>
        <v>165</v>
      </c>
    </row>
    <row r="40" spans="1:11" x14ac:dyDescent="0.25">
      <c r="A40" t="s">
        <v>45</v>
      </c>
      <c r="B40">
        <v>2</v>
      </c>
      <c r="C40">
        <v>838</v>
      </c>
      <c r="D40">
        <v>914</v>
      </c>
      <c r="K40" s="1">
        <f t="shared" si="2"/>
        <v>77</v>
      </c>
    </row>
    <row r="41" spans="1:11" x14ac:dyDescent="0.25">
      <c r="A41" t="s">
        <v>46</v>
      </c>
      <c r="B41">
        <v>3</v>
      </c>
      <c r="C41">
        <v>808</v>
      </c>
      <c r="D41">
        <v>950</v>
      </c>
      <c r="K41" s="1">
        <f t="shared" si="2"/>
        <v>143</v>
      </c>
    </row>
    <row r="42" spans="1:11" x14ac:dyDescent="0.25">
      <c r="A42" t="s">
        <v>47</v>
      </c>
      <c r="B42">
        <v>4</v>
      </c>
      <c r="C42">
        <v>789</v>
      </c>
      <c r="D42">
        <v>853</v>
      </c>
      <c r="K42" s="1">
        <f t="shared" si="2"/>
        <v>65</v>
      </c>
    </row>
    <row r="43" spans="1:11" x14ac:dyDescent="0.25">
      <c r="A43" t="s">
        <v>48</v>
      </c>
      <c r="B43">
        <v>5</v>
      </c>
      <c r="C43">
        <v>810</v>
      </c>
      <c r="D43">
        <v>888</v>
      </c>
      <c r="K43" s="1">
        <f t="shared" si="2"/>
        <v>79</v>
      </c>
    </row>
    <row r="44" spans="1:11" x14ac:dyDescent="0.25">
      <c r="A44" t="s">
        <v>49</v>
      </c>
    </row>
    <row r="45" spans="1:11" x14ac:dyDescent="0.25">
      <c r="A45" t="s">
        <v>50</v>
      </c>
      <c r="B45">
        <v>7</v>
      </c>
      <c r="C45">
        <v>792</v>
      </c>
      <c r="D45">
        <v>842</v>
      </c>
      <c r="K45" s="1">
        <f t="shared" si="2"/>
        <v>51</v>
      </c>
    </row>
    <row r="46" spans="1:11" x14ac:dyDescent="0.25">
      <c r="A46" t="s">
        <v>51</v>
      </c>
      <c r="B46">
        <v>8</v>
      </c>
      <c r="C46">
        <v>814</v>
      </c>
      <c r="D46">
        <v>888</v>
      </c>
      <c r="K46" s="1">
        <f t="shared" si="2"/>
        <v>75</v>
      </c>
    </row>
    <row r="47" spans="1:11" x14ac:dyDescent="0.25">
      <c r="A47" t="s">
        <v>52</v>
      </c>
      <c r="B47">
        <v>9</v>
      </c>
      <c r="C47">
        <v>816</v>
      </c>
      <c r="D47">
        <v>889</v>
      </c>
      <c r="K47" s="1">
        <f t="shared" si="2"/>
        <v>74</v>
      </c>
    </row>
    <row r="48" spans="1:11" x14ac:dyDescent="0.25">
      <c r="A48" t="s">
        <v>53</v>
      </c>
      <c r="B48">
        <v>10</v>
      </c>
      <c r="C48">
        <v>799</v>
      </c>
      <c r="D48">
        <v>858</v>
      </c>
      <c r="K48" s="1">
        <f t="shared" si="2"/>
        <v>60</v>
      </c>
    </row>
    <row r="49" spans="1:11" x14ac:dyDescent="0.25">
      <c r="A49" t="s">
        <v>54</v>
      </c>
      <c r="B49">
        <v>11</v>
      </c>
      <c r="C49">
        <v>786</v>
      </c>
      <c r="D49">
        <v>832</v>
      </c>
      <c r="K49" s="1">
        <f t="shared" si="2"/>
        <v>47</v>
      </c>
    </row>
    <row r="50" spans="1:11" x14ac:dyDescent="0.25">
      <c r="A50" t="s">
        <v>55</v>
      </c>
      <c r="B50">
        <v>12</v>
      </c>
      <c r="C50">
        <v>776</v>
      </c>
      <c r="D50">
        <v>842</v>
      </c>
      <c r="K50" s="1">
        <f t="shared" si="2"/>
        <v>67</v>
      </c>
    </row>
    <row r="51" spans="1:11" x14ac:dyDescent="0.25">
      <c r="A51" t="s">
        <v>56</v>
      </c>
      <c r="B51">
        <v>13</v>
      </c>
      <c r="C51">
        <v>782</v>
      </c>
      <c r="D51">
        <v>794</v>
      </c>
      <c r="K51" s="1">
        <f t="shared" si="2"/>
        <v>13</v>
      </c>
    </row>
    <row r="52" spans="1:11" x14ac:dyDescent="0.25">
      <c r="A52" t="s">
        <v>57</v>
      </c>
      <c r="B52">
        <v>14</v>
      </c>
      <c r="C52">
        <v>823</v>
      </c>
      <c r="D52">
        <v>937</v>
      </c>
      <c r="K52" s="1">
        <f t="shared" si="2"/>
        <v>115</v>
      </c>
    </row>
    <row r="53" spans="1:11" x14ac:dyDescent="0.25">
      <c r="A53" t="s">
        <v>58</v>
      </c>
      <c r="B53">
        <v>15</v>
      </c>
      <c r="C53">
        <v>806</v>
      </c>
      <c r="D53">
        <v>846</v>
      </c>
      <c r="K53" s="1">
        <f t="shared" si="2"/>
        <v>41</v>
      </c>
    </row>
    <row r="54" spans="1:11" x14ac:dyDescent="0.25">
      <c r="A54" t="s">
        <v>59</v>
      </c>
      <c r="B54">
        <v>16</v>
      </c>
      <c r="C54">
        <v>806</v>
      </c>
      <c r="D54">
        <v>860</v>
      </c>
      <c r="K54" s="1">
        <f t="shared" si="2"/>
        <v>55</v>
      </c>
    </row>
    <row r="55" spans="1:11" x14ac:dyDescent="0.25">
      <c r="A55" t="s">
        <v>60</v>
      </c>
      <c r="B55">
        <v>17</v>
      </c>
      <c r="C55">
        <v>814</v>
      </c>
      <c r="D55">
        <v>840</v>
      </c>
      <c r="K55" s="1">
        <f t="shared" si="2"/>
        <v>27</v>
      </c>
    </row>
    <row r="56" spans="1:11" x14ac:dyDescent="0.25">
      <c r="A56" t="s">
        <v>61</v>
      </c>
      <c r="B56">
        <v>18</v>
      </c>
      <c r="C56">
        <v>808</v>
      </c>
      <c r="D56">
        <v>824</v>
      </c>
      <c r="K56" s="1">
        <f t="shared" si="2"/>
        <v>17</v>
      </c>
    </row>
    <row r="57" spans="1:11" x14ac:dyDescent="0.25">
      <c r="A57" t="s">
        <v>62</v>
      </c>
      <c r="B57">
        <v>19</v>
      </c>
      <c r="C57">
        <v>810</v>
      </c>
      <c r="D57">
        <v>858</v>
      </c>
      <c r="K57" s="1">
        <f t="shared" si="2"/>
        <v>49</v>
      </c>
    </row>
    <row r="58" spans="1:11" x14ac:dyDescent="0.25">
      <c r="A58" t="s">
        <v>63</v>
      </c>
      <c r="B58">
        <v>20</v>
      </c>
      <c r="C58">
        <v>851</v>
      </c>
      <c r="D58">
        <v>1047</v>
      </c>
      <c r="K58" s="1">
        <f t="shared" si="2"/>
        <v>197</v>
      </c>
    </row>
    <row r="59" spans="1:11" x14ac:dyDescent="0.25">
      <c r="A59" t="s">
        <v>64</v>
      </c>
      <c r="B59">
        <v>21</v>
      </c>
      <c r="C59">
        <v>1030</v>
      </c>
      <c r="D59">
        <v>1079</v>
      </c>
      <c r="K59" s="1">
        <f t="shared" si="2"/>
        <v>50</v>
      </c>
    </row>
    <row r="61" spans="1:11" x14ac:dyDescent="0.25">
      <c r="A61" t="s">
        <v>106</v>
      </c>
      <c r="K61" s="1">
        <f>SUM(K5:K37)</f>
        <v>16278</v>
      </c>
    </row>
    <row r="62" spans="1:11" x14ac:dyDescent="0.25">
      <c r="A62" t="s">
        <v>107</v>
      </c>
      <c r="K62" s="1">
        <f>SUM(K40:K59)</f>
        <v>1302</v>
      </c>
    </row>
    <row r="63" spans="1:11" x14ac:dyDescent="0.25">
      <c r="A63" t="s">
        <v>109</v>
      </c>
      <c r="K63" s="1">
        <f>SUM(K38:K39)</f>
        <v>173</v>
      </c>
    </row>
    <row r="64" spans="1:11" x14ac:dyDescent="0.25">
      <c r="A64" t="s">
        <v>41</v>
      </c>
      <c r="K64" s="1">
        <f>SUM(K61:K63)</f>
        <v>17753</v>
      </c>
    </row>
    <row r="66" spans="1:11" x14ac:dyDescent="0.25">
      <c r="A66" t="s">
        <v>72</v>
      </c>
      <c r="K66" s="1">
        <f>SUM(K61/26)</f>
        <v>626.07692307692309</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1"/>
  <sheetViews>
    <sheetView workbookViewId="0">
      <selection activeCell="K33" sqref="K33"/>
    </sheetView>
  </sheetViews>
  <sheetFormatPr defaultRowHeight="15" x14ac:dyDescent="0.25"/>
  <cols>
    <col min="1" max="1" width="20.140625" bestFit="1" customWidth="1"/>
  </cols>
  <sheetData>
    <row r="1" spans="1:13" x14ac:dyDescent="0.25">
      <c r="A1" t="s">
        <v>70</v>
      </c>
      <c r="B1" t="s">
        <v>30</v>
      </c>
      <c r="C1" t="s">
        <v>31</v>
      </c>
      <c r="D1" t="s">
        <v>32</v>
      </c>
      <c r="E1" t="s">
        <v>33</v>
      </c>
      <c r="F1" t="s">
        <v>34</v>
      </c>
      <c r="G1" t="s">
        <v>35</v>
      </c>
      <c r="H1" t="s">
        <v>36</v>
      </c>
      <c r="I1" t="s">
        <v>37</v>
      </c>
      <c r="J1" t="s">
        <v>38</v>
      </c>
      <c r="K1" s="1" t="s">
        <v>29</v>
      </c>
      <c r="L1" t="s">
        <v>42</v>
      </c>
      <c r="M1" t="s">
        <v>195</v>
      </c>
    </row>
    <row r="2" spans="1:13" x14ac:dyDescent="0.25">
      <c r="A2" t="s">
        <v>43</v>
      </c>
      <c r="B2">
        <v>1</v>
      </c>
      <c r="C2">
        <v>1</v>
      </c>
      <c r="D2">
        <v>8</v>
      </c>
      <c r="K2" s="3">
        <f>SUM(D2-C2+1,G2-F2,J2-I2)</f>
        <v>8</v>
      </c>
    </row>
    <row r="3" spans="1:13" x14ac:dyDescent="0.25">
      <c r="A3" t="s">
        <v>0</v>
      </c>
      <c r="B3">
        <v>1</v>
      </c>
      <c r="C3">
        <v>1</v>
      </c>
      <c r="D3">
        <v>908</v>
      </c>
      <c r="E3">
        <v>2</v>
      </c>
      <c r="F3">
        <v>1</v>
      </c>
      <c r="G3">
        <v>832</v>
      </c>
      <c r="H3">
        <v>3</v>
      </c>
      <c r="I3">
        <v>1</v>
      </c>
      <c r="J3">
        <v>172</v>
      </c>
      <c r="K3" s="1">
        <f>SUM(D3-C3+1,G3-F3,J3-I3)</f>
        <v>1910</v>
      </c>
    </row>
    <row r="4" spans="1:13" x14ac:dyDescent="0.25">
      <c r="A4" t="s">
        <v>1</v>
      </c>
      <c r="B4">
        <v>3</v>
      </c>
      <c r="C4">
        <v>173</v>
      </c>
      <c r="D4">
        <v>864</v>
      </c>
      <c r="E4">
        <v>4</v>
      </c>
      <c r="F4">
        <v>1</v>
      </c>
      <c r="G4">
        <v>615</v>
      </c>
      <c r="K4" s="1">
        <f t="shared" ref="K4:K31" si="0">SUM(D4-C4+1,G4-F4,J4-I4)</f>
        <v>1306</v>
      </c>
      <c r="L4" t="s">
        <v>198</v>
      </c>
      <c r="M4" s="1">
        <f>SUM(K3:K19)</f>
        <v>16407</v>
      </c>
    </row>
    <row r="5" spans="1:13" x14ac:dyDescent="0.25">
      <c r="A5" t="s">
        <v>2</v>
      </c>
      <c r="B5">
        <v>4</v>
      </c>
      <c r="C5">
        <v>616</v>
      </c>
      <c r="D5">
        <v>812</v>
      </c>
      <c r="E5">
        <v>5</v>
      </c>
      <c r="F5">
        <v>1</v>
      </c>
      <c r="G5">
        <v>830</v>
      </c>
      <c r="H5">
        <v>6</v>
      </c>
      <c r="I5">
        <v>1</v>
      </c>
      <c r="J5">
        <v>755</v>
      </c>
      <c r="K5" s="1">
        <f t="shared" si="0"/>
        <v>1780</v>
      </c>
    </row>
    <row r="6" spans="1:13" x14ac:dyDescent="0.25">
      <c r="A6" t="s">
        <v>3</v>
      </c>
      <c r="B6">
        <v>6</v>
      </c>
      <c r="C6">
        <v>756</v>
      </c>
      <c r="D6">
        <v>848</v>
      </c>
      <c r="E6">
        <v>7</v>
      </c>
      <c r="F6">
        <v>1</v>
      </c>
      <c r="G6">
        <v>587</v>
      </c>
      <c r="K6" s="1">
        <f t="shared" si="0"/>
        <v>679</v>
      </c>
    </row>
    <row r="7" spans="1:13" x14ac:dyDescent="0.25">
      <c r="A7" t="s">
        <v>5</v>
      </c>
      <c r="B7">
        <v>7</v>
      </c>
      <c r="C7">
        <v>588</v>
      </c>
      <c r="D7">
        <v>830</v>
      </c>
      <c r="E7">
        <v>8</v>
      </c>
      <c r="F7">
        <v>1</v>
      </c>
      <c r="G7">
        <v>832</v>
      </c>
      <c r="K7" s="1">
        <f t="shared" si="0"/>
        <v>1074</v>
      </c>
    </row>
    <row r="8" spans="1:13" x14ac:dyDescent="0.25">
      <c r="A8" t="s">
        <v>4</v>
      </c>
      <c r="B8">
        <v>8</v>
      </c>
      <c r="C8">
        <v>833</v>
      </c>
      <c r="D8">
        <v>856</v>
      </c>
      <c r="E8">
        <v>9</v>
      </c>
      <c r="F8">
        <v>1</v>
      </c>
      <c r="G8">
        <v>856</v>
      </c>
      <c r="K8" s="1">
        <f t="shared" si="0"/>
        <v>879</v>
      </c>
    </row>
    <row r="9" spans="1:13" x14ac:dyDescent="0.25">
      <c r="A9" t="s">
        <v>6</v>
      </c>
      <c r="B9">
        <v>10</v>
      </c>
      <c r="C9">
        <v>1</v>
      </c>
      <c r="D9">
        <v>856</v>
      </c>
      <c r="E9">
        <v>11</v>
      </c>
      <c r="F9">
        <v>1</v>
      </c>
      <c r="G9">
        <v>354</v>
      </c>
      <c r="K9" s="1">
        <f t="shared" si="0"/>
        <v>1209</v>
      </c>
    </row>
    <row r="10" spans="1:13" x14ac:dyDescent="0.25">
      <c r="A10" t="s">
        <v>7</v>
      </c>
      <c r="B10">
        <v>11</v>
      </c>
      <c r="C10">
        <v>355</v>
      </c>
      <c r="D10">
        <v>856</v>
      </c>
      <c r="E10">
        <v>12</v>
      </c>
      <c r="F10">
        <v>1</v>
      </c>
      <c r="G10">
        <v>601</v>
      </c>
      <c r="K10" s="1">
        <f t="shared" si="0"/>
        <v>1102</v>
      </c>
    </row>
    <row r="11" spans="1:13" x14ac:dyDescent="0.25">
      <c r="A11" t="s">
        <v>8</v>
      </c>
      <c r="B11">
        <v>12</v>
      </c>
      <c r="C11">
        <v>602</v>
      </c>
      <c r="D11">
        <v>848</v>
      </c>
      <c r="E11">
        <v>13</v>
      </c>
      <c r="F11">
        <v>1</v>
      </c>
      <c r="G11">
        <v>527</v>
      </c>
      <c r="K11" s="1">
        <f t="shared" si="0"/>
        <v>773</v>
      </c>
    </row>
    <row r="12" spans="1:13" x14ac:dyDescent="0.25">
      <c r="A12" t="s">
        <v>9</v>
      </c>
      <c r="B12">
        <v>13</v>
      </c>
      <c r="C12">
        <v>528</v>
      </c>
      <c r="D12">
        <v>809</v>
      </c>
      <c r="K12" s="1">
        <f t="shared" si="0"/>
        <v>282</v>
      </c>
    </row>
    <row r="13" spans="1:13" x14ac:dyDescent="0.25">
      <c r="A13" t="s">
        <v>10</v>
      </c>
      <c r="B13">
        <v>13</v>
      </c>
      <c r="C13">
        <v>810</v>
      </c>
      <c r="D13">
        <v>854</v>
      </c>
      <c r="E13">
        <v>14</v>
      </c>
      <c r="F13">
        <v>1</v>
      </c>
      <c r="G13">
        <v>162</v>
      </c>
      <c r="K13" s="1">
        <f t="shared" si="0"/>
        <v>206</v>
      </c>
    </row>
    <row r="14" spans="1:13" x14ac:dyDescent="0.25">
      <c r="A14" t="s">
        <v>11</v>
      </c>
      <c r="B14">
        <v>14</v>
      </c>
      <c r="C14">
        <v>163</v>
      </c>
      <c r="D14">
        <v>868</v>
      </c>
      <c r="E14">
        <v>15</v>
      </c>
      <c r="F14">
        <v>1</v>
      </c>
      <c r="G14">
        <v>123</v>
      </c>
      <c r="K14" s="1">
        <f t="shared" si="0"/>
        <v>828</v>
      </c>
    </row>
    <row r="15" spans="1:13" x14ac:dyDescent="0.25">
      <c r="A15" t="s">
        <v>12</v>
      </c>
      <c r="B15">
        <v>15</v>
      </c>
      <c r="C15">
        <v>124</v>
      </c>
      <c r="D15">
        <v>848</v>
      </c>
      <c r="E15">
        <v>16</v>
      </c>
      <c r="F15">
        <v>1</v>
      </c>
      <c r="G15">
        <v>868</v>
      </c>
      <c r="H15">
        <v>17</v>
      </c>
      <c r="I15">
        <v>1</v>
      </c>
      <c r="J15">
        <v>158</v>
      </c>
      <c r="K15" s="1">
        <f t="shared" si="0"/>
        <v>1749</v>
      </c>
    </row>
    <row r="16" spans="1:13" x14ac:dyDescent="0.25">
      <c r="A16" t="s">
        <v>13</v>
      </c>
      <c r="B16">
        <v>17</v>
      </c>
      <c r="C16">
        <v>159</v>
      </c>
      <c r="D16">
        <v>688</v>
      </c>
      <c r="K16" s="1">
        <f t="shared" si="0"/>
        <v>530</v>
      </c>
    </row>
    <row r="17" spans="1:13" x14ac:dyDescent="0.25">
      <c r="A17" t="s">
        <v>14</v>
      </c>
      <c r="B17">
        <v>17</v>
      </c>
      <c r="C17">
        <v>689</v>
      </c>
      <c r="D17">
        <v>858</v>
      </c>
      <c r="E17">
        <v>18</v>
      </c>
      <c r="F17">
        <v>1</v>
      </c>
      <c r="G17">
        <v>113</v>
      </c>
      <c r="K17" s="1">
        <f t="shared" si="0"/>
        <v>282</v>
      </c>
    </row>
    <row r="18" spans="1:13" x14ac:dyDescent="0.25">
      <c r="A18" t="s">
        <v>15</v>
      </c>
      <c r="B18">
        <v>18</v>
      </c>
      <c r="C18">
        <v>114</v>
      </c>
      <c r="D18">
        <v>858</v>
      </c>
      <c r="E18">
        <v>19</v>
      </c>
      <c r="F18">
        <v>1</v>
      </c>
      <c r="G18">
        <v>886</v>
      </c>
      <c r="H18">
        <v>20</v>
      </c>
      <c r="I18">
        <v>1</v>
      </c>
      <c r="J18">
        <v>144</v>
      </c>
      <c r="K18" s="1">
        <f t="shared" si="0"/>
        <v>1773</v>
      </c>
    </row>
    <row r="19" spans="1:13" x14ac:dyDescent="0.25">
      <c r="A19" t="s">
        <v>16</v>
      </c>
      <c r="B19">
        <v>20</v>
      </c>
      <c r="C19">
        <v>145</v>
      </c>
      <c r="D19">
        <v>189</v>
      </c>
      <c r="K19" s="1">
        <f t="shared" si="0"/>
        <v>45</v>
      </c>
    </row>
    <row r="20" spans="1:13" x14ac:dyDescent="0.25">
      <c r="A20" t="s">
        <v>17</v>
      </c>
      <c r="B20">
        <v>20</v>
      </c>
      <c r="C20">
        <v>190</v>
      </c>
      <c r="D20">
        <v>862</v>
      </c>
      <c r="E20">
        <v>21</v>
      </c>
      <c r="F20">
        <v>1</v>
      </c>
      <c r="G20">
        <v>119</v>
      </c>
      <c r="K20" s="1">
        <f t="shared" si="0"/>
        <v>791</v>
      </c>
    </row>
    <row r="21" spans="1:13" x14ac:dyDescent="0.25">
      <c r="A21" t="s">
        <v>18</v>
      </c>
      <c r="B21">
        <v>21</v>
      </c>
      <c r="C21">
        <v>120</v>
      </c>
      <c r="D21">
        <v>856</v>
      </c>
      <c r="E21">
        <v>22</v>
      </c>
      <c r="F21">
        <v>1</v>
      </c>
      <c r="G21">
        <v>856</v>
      </c>
      <c r="K21" s="1">
        <f t="shared" si="0"/>
        <v>1592</v>
      </c>
    </row>
    <row r="22" spans="1:13" x14ac:dyDescent="0.25">
      <c r="A22" t="s">
        <v>19</v>
      </c>
      <c r="B22">
        <v>23</v>
      </c>
      <c r="C22">
        <v>1</v>
      </c>
      <c r="D22">
        <v>714</v>
      </c>
      <c r="K22" s="1">
        <f t="shared" si="0"/>
        <v>714</v>
      </c>
    </row>
    <row r="23" spans="1:13" x14ac:dyDescent="0.25">
      <c r="A23" t="s">
        <v>20</v>
      </c>
      <c r="B23">
        <v>23</v>
      </c>
      <c r="C23">
        <v>715</v>
      </c>
      <c r="D23">
        <v>860</v>
      </c>
      <c r="E23">
        <v>24</v>
      </c>
      <c r="F23">
        <v>1</v>
      </c>
      <c r="G23">
        <v>22</v>
      </c>
      <c r="K23" s="1">
        <f t="shared" si="0"/>
        <v>167</v>
      </c>
    </row>
    <row r="24" spans="1:13" x14ac:dyDescent="0.25">
      <c r="A24" t="s">
        <v>21</v>
      </c>
      <c r="B24">
        <v>24</v>
      </c>
      <c r="C24">
        <v>23</v>
      </c>
      <c r="D24">
        <v>303</v>
      </c>
      <c r="K24" s="1">
        <f t="shared" si="0"/>
        <v>281</v>
      </c>
    </row>
    <row r="25" spans="1:13" x14ac:dyDescent="0.25">
      <c r="A25" t="s">
        <v>22</v>
      </c>
      <c r="B25">
        <v>24</v>
      </c>
      <c r="C25">
        <v>304</v>
      </c>
      <c r="D25">
        <v>715</v>
      </c>
      <c r="K25" s="1">
        <f t="shared" si="0"/>
        <v>412</v>
      </c>
    </row>
    <row r="26" spans="1:13" x14ac:dyDescent="0.25">
      <c r="A26" t="s">
        <v>23</v>
      </c>
      <c r="B26">
        <v>24</v>
      </c>
      <c r="C26">
        <v>716</v>
      </c>
      <c r="D26">
        <v>721</v>
      </c>
      <c r="K26" s="1">
        <f t="shared" si="0"/>
        <v>6</v>
      </c>
    </row>
    <row r="27" spans="1:13" x14ac:dyDescent="0.25">
      <c r="A27" t="s">
        <v>24</v>
      </c>
      <c r="B27">
        <v>24</v>
      </c>
      <c r="C27">
        <v>722</v>
      </c>
      <c r="D27">
        <v>760</v>
      </c>
      <c r="K27" s="1">
        <f t="shared" si="0"/>
        <v>39</v>
      </c>
    </row>
    <row r="28" spans="1:13" x14ac:dyDescent="0.25">
      <c r="A28" t="s">
        <v>25</v>
      </c>
      <c r="B28">
        <v>24</v>
      </c>
      <c r="C28">
        <v>761</v>
      </c>
      <c r="D28">
        <v>834</v>
      </c>
      <c r="K28" s="1">
        <f t="shared" si="0"/>
        <v>74</v>
      </c>
      <c r="L28" t="s">
        <v>194</v>
      </c>
      <c r="M28" s="1">
        <f>SUM(K23:K28)</f>
        <v>979</v>
      </c>
    </row>
    <row r="29" spans="1:13" x14ac:dyDescent="0.25">
      <c r="A29" t="s">
        <v>43</v>
      </c>
      <c r="B29">
        <v>25</v>
      </c>
      <c r="C29">
        <v>1</v>
      </c>
      <c r="D29">
        <v>6</v>
      </c>
      <c r="K29" s="3">
        <f t="shared" si="0"/>
        <v>6</v>
      </c>
    </row>
    <row r="30" spans="1:13" x14ac:dyDescent="0.25">
      <c r="A30" t="s">
        <v>44</v>
      </c>
      <c r="B30">
        <v>25</v>
      </c>
      <c r="C30">
        <v>1</v>
      </c>
      <c r="D30">
        <v>480</v>
      </c>
      <c r="K30" s="3">
        <f t="shared" si="0"/>
        <v>480</v>
      </c>
    </row>
    <row r="31" spans="1:13" x14ac:dyDescent="0.25">
      <c r="A31" t="s">
        <v>71</v>
      </c>
      <c r="B31">
        <v>25</v>
      </c>
      <c r="C31">
        <v>483</v>
      </c>
      <c r="D31">
        <v>499</v>
      </c>
      <c r="K31" s="3">
        <f t="shared" si="0"/>
        <v>17</v>
      </c>
    </row>
    <row r="32" spans="1:13" x14ac:dyDescent="0.25">
      <c r="K32" s="1"/>
    </row>
    <row r="33" spans="1:11" x14ac:dyDescent="0.25">
      <c r="A33" t="s">
        <v>106</v>
      </c>
      <c r="K33" s="1">
        <f>SUM(K2:K29)</f>
        <v>20497</v>
      </c>
    </row>
    <row r="34" spans="1:11" x14ac:dyDescent="0.25">
      <c r="A34" t="s">
        <v>110</v>
      </c>
      <c r="K34" s="1">
        <f>SUM(K30:K31)</f>
        <v>497</v>
      </c>
    </row>
    <row r="35" spans="1:11" x14ac:dyDescent="0.25">
      <c r="A35" t="s">
        <v>111</v>
      </c>
      <c r="K35" s="1">
        <f>SUM(K33:K34)</f>
        <v>20994</v>
      </c>
    </row>
    <row r="36" spans="1:11" x14ac:dyDescent="0.25">
      <c r="K36" s="1"/>
    </row>
    <row r="37" spans="1:11" x14ac:dyDescent="0.25">
      <c r="A37" t="s">
        <v>72</v>
      </c>
      <c r="K37" s="1">
        <f>SUM(K3:K28)/26</f>
        <v>787.80769230769226</v>
      </c>
    </row>
    <row r="39" spans="1:11" x14ac:dyDescent="0.25">
      <c r="A39" t="s">
        <v>167</v>
      </c>
      <c r="B39">
        <v>1</v>
      </c>
      <c r="C39">
        <v>909</v>
      </c>
      <c r="D39">
        <v>909</v>
      </c>
      <c r="K39" s="3">
        <f t="shared" ref="K39:K61" si="1">SUM(D39-C39+1,G39-F39,J39-I39)</f>
        <v>1</v>
      </c>
    </row>
    <row r="40" spans="1:11" x14ac:dyDescent="0.25">
      <c r="A40" t="s">
        <v>167</v>
      </c>
      <c r="B40">
        <v>2</v>
      </c>
      <c r="C40">
        <v>833</v>
      </c>
      <c r="D40">
        <v>833</v>
      </c>
      <c r="K40" s="3">
        <f t="shared" si="1"/>
        <v>1</v>
      </c>
    </row>
    <row r="41" spans="1:11" x14ac:dyDescent="0.25">
      <c r="A41" t="s">
        <v>167</v>
      </c>
      <c r="B41">
        <v>3</v>
      </c>
      <c r="C41">
        <v>865</v>
      </c>
      <c r="D41">
        <v>865</v>
      </c>
      <c r="K41" s="3">
        <f t="shared" si="1"/>
        <v>1</v>
      </c>
    </row>
    <row r="42" spans="1:11" x14ac:dyDescent="0.25">
      <c r="A42" t="s">
        <v>167</v>
      </c>
      <c r="B42">
        <v>4</v>
      </c>
      <c r="C42">
        <v>813</v>
      </c>
      <c r="D42">
        <v>813</v>
      </c>
      <c r="K42" s="3">
        <f t="shared" si="1"/>
        <v>1</v>
      </c>
    </row>
    <row r="43" spans="1:11" x14ac:dyDescent="0.25">
      <c r="A43" t="s">
        <v>167</v>
      </c>
      <c r="B43">
        <v>6</v>
      </c>
      <c r="C43">
        <v>849</v>
      </c>
      <c r="D43">
        <v>849</v>
      </c>
      <c r="K43" s="3">
        <f t="shared" si="1"/>
        <v>1</v>
      </c>
    </row>
    <row r="44" spans="1:11" x14ac:dyDescent="0.25">
      <c r="A44" t="s">
        <v>167</v>
      </c>
      <c r="B44">
        <v>7</v>
      </c>
      <c r="C44">
        <v>831</v>
      </c>
      <c r="D44">
        <v>831</v>
      </c>
      <c r="K44" s="3">
        <f t="shared" si="1"/>
        <v>1</v>
      </c>
    </row>
    <row r="45" spans="1:11" x14ac:dyDescent="0.25">
      <c r="A45" t="s">
        <v>167</v>
      </c>
      <c r="B45">
        <v>8</v>
      </c>
      <c r="C45">
        <v>857</v>
      </c>
      <c r="D45">
        <v>857</v>
      </c>
      <c r="K45" s="3">
        <f t="shared" si="1"/>
        <v>1</v>
      </c>
    </row>
    <row r="46" spans="1:11" x14ac:dyDescent="0.25">
      <c r="A46" t="s">
        <v>167</v>
      </c>
      <c r="B46">
        <v>9</v>
      </c>
      <c r="C46">
        <v>857</v>
      </c>
      <c r="D46">
        <v>857</v>
      </c>
      <c r="K46" s="3">
        <f t="shared" si="1"/>
        <v>1</v>
      </c>
    </row>
    <row r="47" spans="1:11" x14ac:dyDescent="0.25">
      <c r="A47" t="s">
        <v>167</v>
      </c>
      <c r="B47">
        <v>10</v>
      </c>
      <c r="C47">
        <v>857</v>
      </c>
      <c r="D47">
        <v>857</v>
      </c>
      <c r="K47" s="3">
        <f t="shared" si="1"/>
        <v>1</v>
      </c>
    </row>
    <row r="48" spans="1:11" x14ac:dyDescent="0.25">
      <c r="A48" t="s">
        <v>167</v>
      </c>
      <c r="B48">
        <v>11</v>
      </c>
      <c r="C48">
        <v>857</v>
      </c>
      <c r="D48">
        <v>857</v>
      </c>
      <c r="K48" s="3">
        <f t="shared" si="1"/>
        <v>1</v>
      </c>
    </row>
    <row r="49" spans="1:11" x14ac:dyDescent="0.25">
      <c r="A49" t="s">
        <v>167</v>
      </c>
      <c r="B49">
        <v>12</v>
      </c>
      <c r="C49">
        <v>849</v>
      </c>
      <c r="D49">
        <v>849</v>
      </c>
      <c r="K49" s="3">
        <f t="shared" si="1"/>
        <v>1</v>
      </c>
    </row>
    <row r="50" spans="1:11" x14ac:dyDescent="0.25">
      <c r="A50" t="s">
        <v>167</v>
      </c>
      <c r="B50">
        <v>13</v>
      </c>
      <c r="C50">
        <v>855</v>
      </c>
      <c r="D50">
        <v>855</v>
      </c>
      <c r="K50" s="3">
        <f t="shared" si="1"/>
        <v>1</v>
      </c>
    </row>
    <row r="51" spans="1:11" x14ac:dyDescent="0.25">
      <c r="A51" t="s">
        <v>167</v>
      </c>
      <c r="B51">
        <v>14</v>
      </c>
      <c r="C51">
        <v>869</v>
      </c>
      <c r="D51">
        <v>869</v>
      </c>
      <c r="K51" s="3">
        <f t="shared" si="1"/>
        <v>1</v>
      </c>
    </row>
    <row r="52" spans="1:11" x14ac:dyDescent="0.25">
      <c r="A52" t="s">
        <v>167</v>
      </c>
      <c r="B52">
        <v>15</v>
      </c>
      <c r="C52">
        <v>849</v>
      </c>
      <c r="D52">
        <v>850</v>
      </c>
      <c r="K52" s="3">
        <f t="shared" si="1"/>
        <v>2</v>
      </c>
    </row>
    <row r="53" spans="1:11" x14ac:dyDescent="0.25">
      <c r="A53" t="s">
        <v>167</v>
      </c>
      <c r="B53">
        <v>16</v>
      </c>
      <c r="C53">
        <v>869</v>
      </c>
      <c r="D53">
        <v>869</v>
      </c>
      <c r="K53" s="3">
        <f t="shared" si="1"/>
        <v>1</v>
      </c>
    </row>
    <row r="54" spans="1:11" x14ac:dyDescent="0.25">
      <c r="A54" t="s">
        <v>167</v>
      </c>
      <c r="B54">
        <v>17</v>
      </c>
      <c r="C54">
        <v>859</v>
      </c>
      <c r="D54">
        <v>860</v>
      </c>
      <c r="K54" s="3">
        <f t="shared" si="1"/>
        <v>2</v>
      </c>
    </row>
    <row r="55" spans="1:11" x14ac:dyDescent="0.25">
      <c r="A55" t="s">
        <v>167</v>
      </c>
      <c r="B55">
        <v>18</v>
      </c>
      <c r="C55">
        <v>859</v>
      </c>
      <c r="D55">
        <v>860</v>
      </c>
      <c r="K55" s="3">
        <f t="shared" si="1"/>
        <v>2</v>
      </c>
    </row>
    <row r="56" spans="1:11" x14ac:dyDescent="0.25">
      <c r="A56" t="s">
        <v>167</v>
      </c>
      <c r="B56">
        <v>19</v>
      </c>
      <c r="C56">
        <v>886</v>
      </c>
      <c r="D56">
        <v>887</v>
      </c>
      <c r="K56" s="3">
        <f t="shared" si="1"/>
        <v>2</v>
      </c>
    </row>
    <row r="57" spans="1:11" x14ac:dyDescent="0.25">
      <c r="A57" t="s">
        <v>167</v>
      </c>
      <c r="B57">
        <v>20</v>
      </c>
      <c r="C57">
        <v>863</v>
      </c>
      <c r="D57">
        <v>864</v>
      </c>
      <c r="K57" s="3">
        <f t="shared" si="1"/>
        <v>2</v>
      </c>
    </row>
    <row r="58" spans="1:11" x14ac:dyDescent="0.25">
      <c r="A58" t="s">
        <v>167</v>
      </c>
      <c r="B58">
        <v>21</v>
      </c>
      <c r="C58">
        <v>857</v>
      </c>
      <c r="D58">
        <v>858</v>
      </c>
      <c r="K58" s="3">
        <f t="shared" si="1"/>
        <v>2</v>
      </c>
    </row>
    <row r="59" spans="1:11" x14ac:dyDescent="0.25">
      <c r="A59" t="s">
        <v>167</v>
      </c>
      <c r="B59">
        <v>22</v>
      </c>
      <c r="C59">
        <v>857</v>
      </c>
      <c r="D59">
        <v>858</v>
      </c>
      <c r="K59" s="3">
        <f t="shared" si="1"/>
        <v>2</v>
      </c>
    </row>
    <row r="60" spans="1:11" x14ac:dyDescent="0.25">
      <c r="A60" t="s">
        <v>167</v>
      </c>
      <c r="B60">
        <v>23</v>
      </c>
      <c r="C60">
        <v>861</v>
      </c>
      <c r="D60">
        <v>862</v>
      </c>
      <c r="K60" s="3">
        <f t="shared" si="1"/>
        <v>2</v>
      </c>
    </row>
    <row r="61" spans="1:11" x14ac:dyDescent="0.25">
      <c r="A61" t="s">
        <v>167</v>
      </c>
      <c r="B61">
        <v>24</v>
      </c>
      <c r="C61">
        <v>835</v>
      </c>
      <c r="D61">
        <v>836</v>
      </c>
      <c r="K61" s="3">
        <f t="shared" si="1"/>
        <v>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2"/>
  <sheetViews>
    <sheetView workbookViewId="0">
      <selection activeCell="N31" sqref="N31"/>
    </sheetView>
  </sheetViews>
  <sheetFormatPr defaultRowHeight="15" x14ac:dyDescent="0.25"/>
  <cols>
    <col min="1" max="1" width="13.28515625" customWidth="1"/>
    <col min="3" max="3" width="10.140625" customWidth="1"/>
    <col min="4" max="4" width="9.5703125" customWidth="1"/>
    <col min="6" max="6" width="10.140625" customWidth="1"/>
    <col min="7" max="7" width="9.5703125" customWidth="1"/>
    <col min="9" max="9" width="10.140625" customWidth="1"/>
    <col min="10" max="10" width="9.5703125" customWidth="1"/>
    <col min="12" max="12" width="10.140625" customWidth="1"/>
    <col min="13" max="13" width="9.5703125" customWidth="1"/>
    <col min="17" max="17" width="69" customWidth="1"/>
  </cols>
  <sheetData>
    <row r="1" spans="1:17" x14ac:dyDescent="0.25">
      <c r="A1" t="s">
        <v>27</v>
      </c>
      <c r="B1" t="s">
        <v>30</v>
      </c>
      <c r="C1" t="s">
        <v>31</v>
      </c>
      <c r="D1" t="s">
        <v>32</v>
      </c>
      <c r="E1" t="s">
        <v>33</v>
      </c>
      <c r="F1" t="s">
        <v>34</v>
      </c>
      <c r="G1" t="s">
        <v>35</v>
      </c>
      <c r="H1" t="s">
        <v>36</v>
      </c>
      <c r="I1" t="s">
        <v>37</v>
      </c>
      <c r="J1" t="s">
        <v>38</v>
      </c>
      <c r="K1" t="s">
        <v>65</v>
      </c>
      <c r="L1" t="s">
        <v>66</v>
      </c>
      <c r="M1" t="s">
        <v>67</v>
      </c>
      <c r="N1" s="1" t="s">
        <v>29</v>
      </c>
      <c r="O1" t="s">
        <v>42</v>
      </c>
      <c r="P1" t="s">
        <v>195</v>
      </c>
      <c r="Q1" t="s">
        <v>68</v>
      </c>
    </row>
    <row r="2" spans="1:17" x14ac:dyDescent="0.25">
      <c r="A2" t="s">
        <v>43</v>
      </c>
      <c r="B2">
        <v>1</v>
      </c>
      <c r="C2">
        <v>7</v>
      </c>
      <c r="D2">
        <v>24</v>
      </c>
      <c r="N2" s="1">
        <f t="shared" ref="N2:N28" si="0">SUM(D2-C2+1,G2-F2,J2-I2,M2-L2)</f>
        <v>18</v>
      </c>
    </row>
    <row r="3" spans="1:17" x14ac:dyDescent="0.25">
      <c r="A3" t="s">
        <v>0</v>
      </c>
      <c r="B3">
        <v>1</v>
      </c>
      <c r="C3">
        <v>1</v>
      </c>
      <c r="D3">
        <v>976</v>
      </c>
      <c r="E3">
        <v>2</v>
      </c>
      <c r="F3">
        <v>1</v>
      </c>
      <c r="G3">
        <v>976</v>
      </c>
      <c r="H3">
        <v>3</v>
      </c>
      <c r="I3">
        <v>1</v>
      </c>
      <c r="J3">
        <v>86</v>
      </c>
      <c r="N3" s="1">
        <f t="shared" si="0"/>
        <v>2036</v>
      </c>
      <c r="O3" t="s">
        <v>198</v>
      </c>
      <c r="P3" s="1">
        <f>SUM(N3:N19)</f>
        <v>21218</v>
      </c>
      <c r="Q3" t="s">
        <v>69</v>
      </c>
    </row>
    <row r="4" spans="1:17" x14ac:dyDescent="0.25">
      <c r="A4" t="s">
        <v>1</v>
      </c>
      <c r="B4">
        <v>3</v>
      </c>
      <c r="C4">
        <v>87</v>
      </c>
      <c r="D4">
        <v>992</v>
      </c>
      <c r="E4">
        <v>4</v>
      </c>
      <c r="F4">
        <v>1</v>
      </c>
      <c r="G4">
        <v>911</v>
      </c>
      <c r="N4" s="1">
        <f t="shared" si="0"/>
        <v>1816</v>
      </c>
    </row>
    <row r="5" spans="1:17" x14ac:dyDescent="0.25">
      <c r="A5" t="s">
        <v>2</v>
      </c>
      <c r="B5">
        <v>4</v>
      </c>
      <c r="C5">
        <v>912</v>
      </c>
      <c r="D5">
        <v>1004</v>
      </c>
      <c r="E5">
        <v>5</v>
      </c>
      <c r="F5">
        <v>1</v>
      </c>
      <c r="G5">
        <v>964</v>
      </c>
      <c r="H5">
        <v>6</v>
      </c>
      <c r="I5">
        <v>1</v>
      </c>
      <c r="J5">
        <v>992</v>
      </c>
      <c r="K5">
        <v>7</v>
      </c>
      <c r="L5">
        <v>1</v>
      </c>
      <c r="M5">
        <v>724</v>
      </c>
      <c r="N5" s="1">
        <f t="shared" si="0"/>
        <v>2770</v>
      </c>
    </row>
    <row r="6" spans="1:17" x14ac:dyDescent="0.25">
      <c r="A6" t="s">
        <v>3</v>
      </c>
      <c r="B6">
        <v>7</v>
      </c>
      <c r="C6">
        <v>725</v>
      </c>
      <c r="D6">
        <v>984</v>
      </c>
      <c r="E6">
        <v>8</v>
      </c>
      <c r="F6">
        <v>1</v>
      </c>
      <c r="G6">
        <v>787</v>
      </c>
      <c r="N6" s="1">
        <f t="shared" si="0"/>
        <v>1046</v>
      </c>
    </row>
    <row r="7" spans="1:17" x14ac:dyDescent="0.25">
      <c r="A7" t="s">
        <v>5</v>
      </c>
      <c r="B7">
        <v>8</v>
      </c>
      <c r="C7">
        <v>788</v>
      </c>
      <c r="D7">
        <v>1000</v>
      </c>
      <c r="E7">
        <v>9</v>
      </c>
      <c r="F7">
        <v>1</v>
      </c>
      <c r="G7">
        <v>960</v>
      </c>
      <c r="H7">
        <v>10</v>
      </c>
      <c r="I7">
        <v>1</v>
      </c>
      <c r="J7">
        <v>110</v>
      </c>
      <c r="N7" s="1">
        <f t="shared" si="0"/>
        <v>1281</v>
      </c>
    </row>
    <row r="8" spans="1:17" x14ac:dyDescent="0.25">
      <c r="A8" t="s">
        <v>4</v>
      </c>
      <c r="B8">
        <v>10</v>
      </c>
      <c r="C8">
        <v>111</v>
      </c>
      <c r="D8">
        <v>944</v>
      </c>
      <c r="E8">
        <v>11</v>
      </c>
      <c r="F8">
        <v>1</v>
      </c>
      <c r="G8">
        <v>376</v>
      </c>
      <c r="N8" s="1">
        <f t="shared" si="0"/>
        <v>1209</v>
      </c>
    </row>
    <row r="9" spans="1:17" x14ac:dyDescent="0.25">
      <c r="A9" t="s">
        <v>6</v>
      </c>
      <c r="B9">
        <v>11</v>
      </c>
      <c r="C9">
        <v>377</v>
      </c>
      <c r="D9">
        <v>944</v>
      </c>
      <c r="E9">
        <v>12</v>
      </c>
      <c r="F9">
        <v>1</v>
      </c>
      <c r="G9">
        <v>779</v>
      </c>
      <c r="N9" s="1">
        <f t="shared" si="0"/>
        <v>1346</v>
      </c>
    </row>
    <row r="10" spans="1:17" x14ac:dyDescent="0.25">
      <c r="A10" t="s">
        <v>7</v>
      </c>
      <c r="B10">
        <v>12</v>
      </c>
      <c r="C10">
        <v>780</v>
      </c>
      <c r="D10">
        <v>960</v>
      </c>
      <c r="E10">
        <v>13</v>
      </c>
      <c r="F10">
        <v>1</v>
      </c>
      <c r="G10">
        <v>960</v>
      </c>
      <c r="H10">
        <v>14</v>
      </c>
      <c r="I10">
        <v>1</v>
      </c>
      <c r="J10">
        <v>212</v>
      </c>
      <c r="N10" s="1">
        <f t="shared" si="0"/>
        <v>1351</v>
      </c>
    </row>
    <row r="11" spans="1:17" x14ac:dyDescent="0.25">
      <c r="A11" t="s">
        <v>8</v>
      </c>
      <c r="B11">
        <v>14</v>
      </c>
      <c r="C11">
        <v>213</v>
      </c>
      <c r="D11">
        <v>920</v>
      </c>
      <c r="E11">
        <v>15</v>
      </c>
      <c r="F11">
        <v>1</v>
      </c>
      <c r="G11">
        <v>102</v>
      </c>
      <c r="N11" s="1">
        <f t="shared" si="0"/>
        <v>809</v>
      </c>
    </row>
    <row r="12" spans="1:17" x14ac:dyDescent="0.25">
      <c r="A12" t="s">
        <v>9</v>
      </c>
      <c r="B12">
        <v>15</v>
      </c>
      <c r="C12">
        <v>103</v>
      </c>
      <c r="D12">
        <v>616</v>
      </c>
      <c r="N12" s="1">
        <f t="shared" si="0"/>
        <v>514</v>
      </c>
    </row>
    <row r="13" spans="1:17" x14ac:dyDescent="0.25">
      <c r="A13" t="s">
        <v>10</v>
      </c>
      <c r="B13">
        <v>15</v>
      </c>
      <c r="C13">
        <v>619</v>
      </c>
      <c r="D13">
        <v>960</v>
      </c>
      <c r="N13" s="1">
        <f t="shared" si="0"/>
        <v>342</v>
      </c>
    </row>
    <row r="14" spans="1:17" x14ac:dyDescent="0.25">
      <c r="A14" t="s">
        <v>11</v>
      </c>
      <c r="B14">
        <v>16</v>
      </c>
      <c r="C14">
        <v>1</v>
      </c>
      <c r="D14">
        <v>992</v>
      </c>
      <c r="E14">
        <v>17</v>
      </c>
      <c r="F14">
        <v>1</v>
      </c>
      <c r="G14">
        <v>187</v>
      </c>
      <c r="N14" s="1">
        <f t="shared" si="0"/>
        <v>1178</v>
      </c>
    </row>
    <row r="15" spans="1:17" x14ac:dyDescent="0.25">
      <c r="A15" t="s">
        <v>12</v>
      </c>
      <c r="B15">
        <v>17</v>
      </c>
      <c r="C15">
        <v>188</v>
      </c>
      <c r="D15">
        <v>1020</v>
      </c>
      <c r="E15">
        <v>18</v>
      </c>
      <c r="F15">
        <v>1</v>
      </c>
      <c r="G15">
        <v>968</v>
      </c>
      <c r="H15">
        <v>19</v>
      </c>
      <c r="I15">
        <v>1</v>
      </c>
      <c r="J15">
        <v>145</v>
      </c>
      <c r="N15" s="1">
        <f t="shared" si="0"/>
        <v>1944</v>
      </c>
    </row>
    <row r="16" spans="1:17" x14ac:dyDescent="0.25">
      <c r="A16" t="s">
        <v>13</v>
      </c>
      <c r="B16">
        <v>19</v>
      </c>
      <c r="C16">
        <v>146</v>
      </c>
      <c r="D16">
        <v>930</v>
      </c>
      <c r="N16" s="1">
        <f t="shared" si="0"/>
        <v>785</v>
      </c>
    </row>
    <row r="17" spans="1:15" x14ac:dyDescent="0.25">
      <c r="A17" t="s">
        <v>14</v>
      </c>
      <c r="B17">
        <v>19</v>
      </c>
      <c r="C17">
        <v>931</v>
      </c>
      <c r="D17">
        <v>996</v>
      </c>
      <c r="E17">
        <v>20</v>
      </c>
      <c r="F17">
        <v>1</v>
      </c>
      <c r="G17">
        <v>430</v>
      </c>
      <c r="N17" s="1">
        <f t="shared" si="0"/>
        <v>495</v>
      </c>
    </row>
    <row r="18" spans="1:15" x14ac:dyDescent="0.25">
      <c r="A18" t="s">
        <v>15</v>
      </c>
      <c r="B18">
        <v>20</v>
      </c>
      <c r="C18">
        <v>431</v>
      </c>
      <c r="D18">
        <v>980</v>
      </c>
      <c r="E18">
        <v>21</v>
      </c>
      <c r="F18">
        <v>1</v>
      </c>
      <c r="G18">
        <v>984</v>
      </c>
      <c r="H18">
        <v>22</v>
      </c>
      <c r="I18">
        <v>1</v>
      </c>
      <c r="J18">
        <v>704</v>
      </c>
      <c r="N18" s="1">
        <f t="shared" si="0"/>
        <v>2236</v>
      </c>
    </row>
    <row r="19" spans="1:15" x14ac:dyDescent="0.25">
      <c r="A19" t="s">
        <v>16</v>
      </c>
      <c r="B19">
        <v>22</v>
      </c>
      <c r="C19">
        <v>705</v>
      </c>
      <c r="D19">
        <v>764</v>
      </c>
      <c r="N19" s="1">
        <f t="shared" si="0"/>
        <v>60</v>
      </c>
    </row>
    <row r="20" spans="1:15" x14ac:dyDescent="0.25">
      <c r="A20" t="s">
        <v>17</v>
      </c>
      <c r="B20">
        <v>22</v>
      </c>
      <c r="C20">
        <v>765</v>
      </c>
      <c r="D20">
        <v>976</v>
      </c>
      <c r="E20">
        <v>23</v>
      </c>
      <c r="F20">
        <v>1</v>
      </c>
      <c r="G20">
        <v>952</v>
      </c>
      <c r="N20" s="1">
        <f t="shared" si="0"/>
        <v>1163</v>
      </c>
    </row>
    <row r="21" spans="1:15" x14ac:dyDescent="0.25">
      <c r="A21" t="s">
        <v>18</v>
      </c>
      <c r="B21">
        <v>23</v>
      </c>
      <c r="C21">
        <v>953</v>
      </c>
      <c r="D21">
        <v>1024</v>
      </c>
      <c r="E21">
        <v>24</v>
      </c>
      <c r="F21">
        <v>1</v>
      </c>
      <c r="G21">
        <v>1024</v>
      </c>
      <c r="H21">
        <v>25</v>
      </c>
      <c r="I21">
        <v>1</v>
      </c>
      <c r="J21">
        <v>1064</v>
      </c>
      <c r="K21">
        <v>26</v>
      </c>
      <c r="L21">
        <v>1</v>
      </c>
      <c r="M21">
        <v>320</v>
      </c>
      <c r="N21" s="1">
        <f t="shared" si="0"/>
        <v>2477</v>
      </c>
    </row>
    <row r="22" spans="1:15" x14ac:dyDescent="0.25">
      <c r="A22" t="s">
        <v>19</v>
      </c>
      <c r="B22">
        <v>26</v>
      </c>
      <c r="C22">
        <v>321</v>
      </c>
      <c r="D22">
        <v>1064</v>
      </c>
      <c r="E22">
        <v>27</v>
      </c>
      <c r="F22">
        <v>1</v>
      </c>
      <c r="G22">
        <v>552</v>
      </c>
      <c r="N22" s="1">
        <f t="shared" si="0"/>
        <v>1295</v>
      </c>
    </row>
    <row r="23" spans="1:15" x14ac:dyDescent="0.25">
      <c r="A23" t="s">
        <v>20</v>
      </c>
      <c r="B23">
        <v>27</v>
      </c>
      <c r="C23">
        <v>553</v>
      </c>
      <c r="D23">
        <v>829</v>
      </c>
      <c r="N23" s="1">
        <f t="shared" si="0"/>
        <v>277</v>
      </c>
    </row>
    <row r="24" spans="1:15" x14ac:dyDescent="0.25">
      <c r="A24" t="s">
        <v>21</v>
      </c>
      <c r="B24">
        <v>27</v>
      </c>
      <c r="C24">
        <v>830</v>
      </c>
      <c r="D24">
        <v>1064</v>
      </c>
      <c r="E24">
        <v>28</v>
      </c>
      <c r="F24">
        <v>1</v>
      </c>
      <c r="G24">
        <v>222</v>
      </c>
      <c r="N24" s="1">
        <f t="shared" si="0"/>
        <v>456</v>
      </c>
    </row>
    <row r="25" spans="1:15" x14ac:dyDescent="0.25">
      <c r="A25" t="s">
        <v>22</v>
      </c>
      <c r="B25">
        <v>28</v>
      </c>
      <c r="C25">
        <v>223</v>
      </c>
      <c r="D25">
        <v>880</v>
      </c>
      <c r="N25" s="1">
        <f t="shared" si="0"/>
        <v>658</v>
      </c>
    </row>
    <row r="26" spans="1:15" x14ac:dyDescent="0.25">
      <c r="A26" t="s">
        <v>23</v>
      </c>
      <c r="B26">
        <v>28</v>
      </c>
      <c r="C26">
        <v>881</v>
      </c>
      <c r="D26">
        <v>889</v>
      </c>
      <c r="N26" s="1">
        <f t="shared" si="0"/>
        <v>9</v>
      </c>
    </row>
    <row r="27" spans="1:15" x14ac:dyDescent="0.25">
      <c r="A27" t="s">
        <v>24</v>
      </c>
      <c r="B27">
        <v>28</v>
      </c>
      <c r="C27">
        <v>890</v>
      </c>
      <c r="D27">
        <v>947</v>
      </c>
      <c r="N27" s="1">
        <f t="shared" si="0"/>
        <v>58</v>
      </c>
    </row>
    <row r="28" spans="1:15" x14ac:dyDescent="0.25">
      <c r="A28" t="s">
        <v>25</v>
      </c>
      <c r="B28">
        <v>28</v>
      </c>
      <c r="C28">
        <v>948</v>
      </c>
      <c r="D28">
        <v>1064</v>
      </c>
      <c r="N28" s="1">
        <f t="shared" si="0"/>
        <v>117</v>
      </c>
    </row>
    <row r="29" spans="1:15" x14ac:dyDescent="0.25">
      <c r="A29" t="s">
        <v>43</v>
      </c>
      <c r="B29">
        <v>29</v>
      </c>
      <c r="C29">
        <v>5</v>
      </c>
      <c r="D29">
        <v>8</v>
      </c>
      <c r="N29" s="1">
        <f>SUM(D29-C29+1,G29-F29,J29-I29,M29-L29)</f>
        <v>4</v>
      </c>
    </row>
    <row r="30" spans="1:15" x14ac:dyDescent="0.25">
      <c r="A30" t="s">
        <v>44</v>
      </c>
      <c r="B30">
        <v>29</v>
      </c>
      <c r="C30">
        <v>1</v>
      </c>
      <c r="D30">
        <v>947</v>
      </c>
      <c r="N30" s="1">
        <f>SUM(D30-C30+1,G30-F30,J30-I30,M30-L30)</f>
        <v>947</v>
      </c>
    </row>
    <row r="31" spans="1:15" x14ac:dyDescent="0.25">
      <c r="A31" t="s">
        <v>41</v>
      </c>
      <c r="N31" s="1">
        <f>SUM(N3:N29)</f>
        <v>27732</v>
      </c>
      <c r="O31" s="1"/>
    </row>
    <row r="32" spans="1:15" x14ac:dyDescent="0.25">
      <c r="A32" t="s">
        <v>72</v>
      </c>
      <c r="N32" s="1">
        <f>SUM(N31/26)</f>
        <v>1066.6153846153845</v>
      </c>
    </row>
    <row r="34" spans="1:14" x14ac:dyDescent="0.25">
      <c r="A34" t="s">
        <v>108</v>
      </c>
      <c r="B34">
        <v>1</v>
      </c>
      <c r="C34">
        <v>25</v>
      </c>
      <c r="D34">
        <v>32</v>
      </c>
      <c r="N34" s="1">
        <f>SUM(D34-C34+1,G34-F34,J34-I34,M34-L34)</f>
        <v>8</v>
      </c>
    </row>
    <row r="35" spans="1:14" x14ac:dyDescent="0.25">
      <c r="A35" t="s">
        <v>108</v>
      </c>
      <c r="B35">
        <v>2</v>
      </c>
      <c r="C35">
        <v>5</v>
      </c>
      <c r="D35">
        <v>12</v>
      </c>
      <c r="N35" s="1">
        <f>SUM(D35-C35+1,G35-F35,J35-I35,M35-L35)</f>
        <v>8</v>
      </c>
    </row>
    <row r="36" spans="1:14" x14ac:dyDescent="0.25">
      <c r="A36" t="s">
        <v>108</v>
      </c>
      <c r="B36">
        <v>3</v>
      </c>
      <c r="N36" s="1">
        <f t="shared" ref="N36:N61" si="1">SUM(D36-C36+1,G36-F36,J36-I36,M36-L36)</f>
        <v>1</v>
      </c>
    </row>
    <row r="37" spans="1:14" x14ac:dyDescent="0.25">
      <c r="A37" t="s">
        <v>108</v>
      </c>
      <c r="B37">
        <v>4</v>
      </c>
      <c r="N37" s="1">
        <f t="shared" si="1"/>
        <v>1</v>
      </c>
    </row>
    <row r="38" spans="1:14" x14ac:dyDescent="0.25">
      <c r="A38" t="s">
        <v>108</v>
      </c>
      <c r="B38">
        <v>5</v>
      </c>
      <c r="N38" s="1">
        <f t="shared" si="1"/>
        <v>1</v>
      </c>
    </row>
    <row r="39" spans="1:14" x14ac:dyDescent="0.25">
      <c r="A39" t="s">
        <v>108</v>
      </c>
      <c r="B39">
        <v>6</v>
      </c>
      <c r="N39" s="1">
        <f t="shared" si="1"/>
        <v>1</v>
      </c>
    </row>
    <row r="40" spans="1:14" x14ac:dyDescent="0.25">
      <c r="A40" t="s">
        <v>108</v>
      </c>
      <c r="B40">
        <v>7</v>
      </c>
      <c r="N40" s="1">
        <f t="shared" si="1"/>
        <v>1</v>
      </c>
    </row>
    <row r="41" spans="1:14" x14ac:dyDescent="0.25">
      <c r="A41" t="s">
        <v>108</v>
      </c>
      <c r="B41">
        <v>8</v>
      </c>
      <c r="N41" s="1">
        <f t="shared" si="1"/>
        <v>1</v>
      </c>
    </row>
    <row r="42" spans="1:14" x14ac:dyDescent="0.25">
      <c r="A42" t="s">
        <v>108</v>
      </c>
      <c r="B42">
        <v>9</v>
      </c>
      <c r="N42" s="1">
        <f t="shared" si="1"/>
        <v>1</v>
      </c>
    </row>
    <row r="43" spans="1:14" x14ac:dyDescent="0.25">
      <c r="A43" t="s">
        <v>108</v>
      </c>
      <c r="B43">
        <v>10</v>
      </c>
      <c r="N43" s="1">
        <f t="shared" si="1"/>
        <v>1</v>
      </c>
    </row>
    <row r="44" spans="1:14" x14ac:dyDescent="0.25">
      <c r="A44" t="s">
        <v>108</v>
      </c>
      <c r="B44">
        <v>11</v>
      </c>
      <c r="N44" s="1">
        <f t="shared" si="1"/>
        <v>1</v>
      </c>
    </row>
    <row r="45" spans="1:14" x14ac:dyDescent="0.25">
      <c r="A45" t="s">
        <v>108</v>
      </c>
      <c r="B45">
        <v>12</v>
      </c>
      <c r="N45" s="1">
        <f t="shared" si="1"/>
        <v>1</v>
      </c>
    </row>
    <row r="46" spans="1:14" x14ac:dyDescent="0.25">
      <c r="A46" t="s">
        <v>108</v>
      </c>
      <c r="B46">
        <v>13</v>
      </c>
      <c r="N46" s="1">
        <f t="shared" si="1"/>
        <v>1</v>
      </c>
    </row>
    <row r="47" spans="1:14" x14ac:dyDescent="0.25">
      <c r="A47" t="s">
        <v>108</v>
      </c>
      <c r="B47">
        <v>14</v>
      </c>
      <c r="N47" s="1">
        <f t="shared" si="1"/>
        <v>1</v>
      </c>
    </row>
    <row r="48" spans="1:14" x14ac:dyDescent="0.25">
      <c r="A48" t="s">
        <v>108</v>
      </c>
      <c r="B48">
        <v>15</v>
      </c>
      <c r="N48" s="1">
        <f t="shared" si="1"/>
        <v>1</v>
      </c>
    </row>
    <row r="49" spans="1:14" x14ac:dyDescent="0.25">
      <c r="A49" t="s">
        <v>108</v>
      </c>
      <c r="B49">
        <v>16</v>
      </c>
      <c r="N49" s="1">
        <f t="shared" si="1"/>
        <v>1</v>
      </c>
    </row>
    <row r="50" spans="1:14" x14ac:dyDescent="0.25">
      <c r="A50" t="s">
        <v>108</v>
      </c>
      <c r="B50">
        <v>17</v>
      </c>
      <c r="N50" s="1">
        <f t="shared" si="1"/>
        <v>1</v>
      </c>
    </row>
    <row r="51" spans="1:14" x14ac:dyDescent="0.25">
      <c r="A51" t="s">
        <v>108</v>
      </c>
      <c r="B51">
        <v>18</v>
      </c>
      <c r="N51" s="1">
        <f t="shared" si="1"/>
        <v>1</v>
      </c>
    </row>
    <row r="52" spans="1:14" x14ac:dyDescent="0.25">
      <c r="A52" t="s">
        <v>108</v>
      </c>
      <c r="B52">
        <v>19</v>
      </c>
      <c r="N52" s="1">
        <f t="shared" si="1"/>
        <v>1</v>
      </c>
    </row>
    <row r="53" spans="1:14" x14ac:dyDescent="0.25">
      <c r="A53" t="s">
        <v>108</v>
      </c>
      <c r="B53">
        <v>20</v>
      </c>
      <c r="N53" s="1">
        <f t="shared" si="1"/>
        <v>1</v>
      </c>
    </row>
    <row r="54" spans="1:14" x14ac:dyDescent="0.25">
      <c r="A54" t="s">
        <v>108</v>
      </c>
      <c r="B54">
        <v>21</v>
      </c>
      <c r="N54" s="1">
        <f t="shared" si="1"/>
        <v>1</v>
      </c>
    </row>
    <row r="55" spans="1:14" x14ac:dyDescent="0.25">
      <c r="A55" t="s">
        <v>108</v>
      </c>
      <c r="B55">
        <v>22</v>
      </c>
      <c r="C55">
        <v>5</v>
      </c>
      <c r="D55">
        <v>14</v>
      </c>
      <c r="N55" s="1">
        <f t="shared" si="1"/>
        <v>10</v>
      </c>
    </row>
    <row r="56" spans="1:14" x14ac:dyDescent="0.25">
      <c r="A56" t="s">
        <v>108</v>
      </c>
      <c r="B56">
        <v>23</v>
      </c>
      <c r="N56" s="1">
        <f t="shared" si="1"/>
        <v>1</v>
      </c>
    </row>
    <row r="57" spans="1:14" x14ac:dyDescent="0.25">
      <c r="A57" t="s">
        <v>108</v>
      </c>
      <c r="B57">
        <v>24</v>
      </c>
      <c r="N57" s="1">
        <f t="shared" si="1"/>
        <v>1</v>
      </c>
    </row>
    <row r="58" spans="1:14" x14ac:dyDescent="0.25">
      <c r="A58" t="s">
        <v>108</v>
      </c>
      <c r="B58">
        <v>25</v>
      </c>
      <c r="N58" s="1">
        <f t="shared" si="1"/>
        <v>1</v>
      </c>
    </row>
    <row r="59" spans="1:14" x14ac:dyDescent="0.25">
      <c r="A59" t="s">
        <v>108</v>
      </c>
      <c r="B59">
        <v>26</v>
      </c>
      <c r="N59" s="1">
        <f t="shared" si="1"/>
        <v>1</v>
      </c>
    </row>
    <row r="60" spans="1:14" x14ac:dyDescent="0.25">
      <c r="A60" t="s">
        <v>108</v>
      </c>
      <c r="B60">
        <v>27</v>
      </c>
      <c r="N60" s="1">
        <f t="shared" si="1"/>
        <v>1</v>
      </c>
    </row>
    <row r="61" spans="1:14" x14ac:dyDescent="0.25">
      <c r="A61" t="s">
        <v>108</v>
      </c>
      <c r="B61">
        <v>28</v>
      </c>
      <c r="N61" s="1">
        <f t="shared" si="1"/>
        <v>1</v>
      </c>
    </row>
    <row r="62" spans="1:14" x14ac:dyDescent="0.25">
      <c r="A62" t="s">
        <v>108</v>
      </c>
      <c r="B62">
        <v>29</v>
      </c>
      <c r="C62">
        <v>949</v>
      </c>
      <c r="D62">
        <v>974</v>
      </c>
      <c r="N62" s="1">
        <f>SUM(D62-C62+1,G62-F62,J62-I62,M62-L62)</f>
        <v>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7"/>
  <sheetViews>
    <sheetView workbookViewId="0">
      <selection activeCell="B4" sqref="B4"/>
    </sheetView>
  </sheetViews>
  <sheetFormatPr defaultRowHeight="15" x14ac:dyDescent="0.25"/>
  <cols>
    <col min="1" max="1" width="9.5703125" customWidth="1"/>
    <col min="2" max="3" width="10.7109375" customWidth="1"/>
    <col min="4" max="4" width="13.28515625" customWidth="1"/>
    <col min="5" max="5" width="12.42578125" customWidth="1"/>
    <col min="6" max="20" width="9.140625" customWidth="1"/>
  </cols>
  <sheetData>
    <row r="1" spans="1:31" x14ac:dyDescent="0.25">
      <c r="A1" t="s">
        <v>112</v>
      </c>
      <c r="B1" t="s">
        <v>148</v>
      </c>
      <c r="C1" t="s">
        <v>30</v>
      </c>
      <c r="D1" t="s">
        <v>33</v>
      </c>
      <c r="E1" t="s">
        <v>36</v>
      </c>
      <c r="F1" t="s">
        <v>65</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row>
    <row r="2" spans="1:31" x14ac:dyDescent="0.25">
      <c r="A2" t="s">
        <v>113</v>
      </c>
      <c r="B2">
        <f>SUM(Table5[[#This Row],[v1]:[v29]])</f>
        <v>15679</v>
      </c>
      <c r="C2" s="1">
        <v>817</v>
      </c>
      <c r="D2" s="1">
        <v>802</v>
      </c>
      <c r="E2">
        <v>812</v>
      </c>
      <c r="F2" s="1">
        <v>798</v>
      </c>
      <c r="G2">
        <v>810</v>
      </c>
      <c r="H2">
        <v>802</v>
      </c>
      <c r="I2">
        <v>802</v>
      </c>
      <c r="J2">
        <v>796</v>
      </c>
      <c r="K2">
        <v>806</v>
      </c>
      <c r="L2">
        <v>792</v>
      </c>
      <c r="M2">
        <v>818</v>
      </c>
      <c r="N2">
        <v>802</v>
      </c>
      <c r="O2">
        <v>802</v>
      </c>
      <c r="P2">
        <v>796</v>
      </c>
      <c r="Q2">
        <v>802</v>
      </c>
      <c r="R2">
        <v>800</v>
      </c>
      <c r="S2">
        <v>828</v>
      </c>
      <c r="T2">
        <v>944</v>
      </c>
      <c r="U2">
        <v>522</v>
      </c>
      <c r="V2">
        <v>528</v>
      </c>
      <c r="X2" s="1"/>
      <c r="Y2" s="1"/>
      <c r="AA2" s="1"/>
    </row>
    <row r="3" spans="1:31" x14ac:dyDescent="0.25">
      <c r="A3" t="s">
        <v>114</v>
      </c>
      <c r="B3">
        <f>SUM(Table5[[#This Row],[v1]:[v29]])</f>
        <v>18980</v>
      </c>
      <c r="C3" s="1">
        <v>904</v>
      </c>
      <c r="D3" s="1">
        <v>967</v>
      </c>
      <c r="E3" s="1">
        <v>943</v>
      </c>
      <c r="F3" s="1">
        <v>846</v>
      </c>
      <c r="G3">
        <v>880</v>
      </c>
      <c r="H3">
        <v>869</v>
      </c>
      <c r="I3">
        <v>837</v>
      </c>
      <c r="J3">
        <v>887</v>
      </c>
      <c r="K3">
        <v>879</v>
      </c>
      <c r="L3">
        <v>850</v>
      </c>
      <c r="M3">
        <v>825</v>
      </c>
      <c r="N3">
        <v>889</v>
      </c>
      <c r="O3">
        <v>801</v>
      </c>
      <c r="P3">
        <v>945</v>
      </c>
      <c r="Q3">
        <v>883</v>
      </c>
      <c r="R3">
        <v>891</v>
      </c>
      <c r="S3">
        <v>847</v>
      </c>
      <c r="T3">
        <v>826</v>
      </c>
      <c r="U3">
        <v>870</v>
      </c>
      <c r="V3">
        <v>1050</v>
      </c>
      <c r="W3">
        <v>1080</v>
      </c>
      <c r="X3" s="1">
        <v>211</v>
      </c>
      <c r="Y3" s="1"/>
      <c r="Z3" s="1"/>
      <c r="AA3" s="1"/>
    </row>
    <row r="4" spans="1:31" x14ac:dyDescent="0.25">
      <c r="A4" t="s">
        <v>115</v>
      </c>
      <c r="B4">
        <f>SUM(Table5[[#This Row],[v1]:[v29]])</f>
        <v>21830</v>
      </c>
      <c r="C4" s="1">
        <v>967</v>
      </c>
      <c r="D4">
        <v>901</v>
      </c>
      <c r="E4" s="1">
        <v>877</v>
      </c>
      <c r="F4" s="1">
        <v>891</v>
      </c>
      <c r="G4">
        <v>839</v>
      </c>
      <c r="H4">
        <v>879</v>
      </c>
      <c r="I4">
        <v>849</v>
      </c>
      <c r="J4">
        <v>887</v>
      </c>
      <c r="K4">
        <v>889</v>
      </c>
      <c r="L4">
        <v>876</v>
      </c>
      <c r="M4">
        <v>891</v>
      </c>
      <c r="N4">
        <v>869</v>
      </c>
      <c r="O4">
        <v>885</v>
      </c>
      <c r="P4">
        <v>893</v>
      </c>
      <c r="Q4">
        <v>875</v>
      </c>
      <c r="R4">
        <v>895</v>
      </c>
      <c r="S4">
        <v>919</v>
      </c>
      <c r="T4">
        <v>889</v>
      </c>
      <c r="U4">
        <v>905</v>
      </c>
      <c r="V4">
        <v>891</v>
      </c>
      <c r="W4">
        <v>891</v>
      </c>
      <c r="X4" s="1">
        <v>887</v>
      </c>
      <c r="Y4">
        <v>895</v>
      </c>
      <c r="Z4" s="1">
        <v>882</v>
      </c>
      <c r="AA4" s="1">
        <v>508</v>
      </c>
    </row>
    <row r="5" spans="1:31" x14ac:dyDescent="0.25">
      <c r="A5" t="s">
        <v>116</v>
      </c>
      <c r="B5">
        <f>SUM(Table5[[#This Row],[v1]:[v29]])</f>
        <v>30042</v>
      </c>
      <c r="C5">
        <v>1044</v>
      </c>
      <c r="D5">
        <v>1044</v>
      </c>
      <c r="E5">
        <v>1022</v>
      </c>
      <c r="F5">
        <v>1050</v>
      </c>
      <c r="G5">
        <v>1016</v>
      </c>
      <c r="H5">
        <v>1026</v>
      </c>
      <c r="I5">
        <v>1012</v>
      </c>
      <c r="J5">
        <v>1034</v>
      </c>
      <c r="K5">
        <v>1016</v>
      </c>
      <c r="L5">
        <v>980</v>
      </c>
      <c r="M5">
        <v>978</v>
      </c>
      <c r="N5">
        <v>990</v>
      </c>
      <c r="O5">
        <v>994</v>
      </c>
      <c r="P5">
        <v>976</v>
      </c>
      <c r="Q5">
        <v>1026</v>
      </c>
      <c r="R5">
        <v>1018</v>
      </c>
      <c r="S5">
        <v>1054</v>
      </c>
      <c r="T5">
        <v>1014</v>
      </c>
      <c r="U5">
        <v>1058</v>
      </c>
      <c r="V5">
        <v>1046</v>
      </c>
      <c r="W5">
        <v>1030</v>
      </c>
      <c r="X5">
        <v>998</v>
      </c>
      <c r="Y5">
        <v>1084</v>
      </c>
      <c r="Z5">
        <v>1114</v>
      </c>
      <c r="AA5">
        <v>1110</v>
      </c>
      <c r="AB5">
        <v>1114</v>
      </c>
      <c r="AC5">
        <v>1106</v>
      </c>
      <c r="AD5">
        <v>1100</v>
      </c>
      <c r="AE5">
        <v>988</v>
      </c>
    </row>
    <row r="7" spans="1:31" x14ac:dyDescent="0.25">
      <c r="A7" t="s">
        <v>149</v>
      </c>
      <c r="B7">
        <f>SUM(B2:B6)</f>
        <v>86531</v>
      </c>
      <c r="C7" s="1"/>
      <c r="D7" s="1"/>
      <c r="F7" s="1"/>
      <c r="X7" s="1"/>
      <c r="Y7" s="1"/>
      <c r="AA7"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33"/>
  <sheetViews>
    <sheetView zoomScale="110" zoomScaleNormal="110" workbookViewId="0">
      <selection activeCell="B6" sqref="B6"/>
    </sheetView>
  </sheetViews>
  <sheetFormatPr defaultColWidth="8" defaultRowHeight="15" x14ac:dyDescent="0.25"/>
  <cols>
    <col min="1" max="1" width="8" style="1"/>
    <col min="2" max="2" width="10.85546875" style="6" bestFit="1" customWidth="1"/>
    <col min="3" max="3" width="10.7109375" style="6" customWidth="1"/>
    <col min="4" max="4" width="10.85546875" style="6" bestFit="1" customWidth="1"/>
    <col min="5" max="5" width="9.5703125" style="6" customWidth="1"/>
    <col min="6" max="6" width="8.28515625" style="6" bestFit="1" customWidth="1"/>
    <col min="7" max="7" width="9.85546875" style="6" bestFit="1" customWidth="1"/>
    <col min="8" max="8" width="8.140625" style="6" bestFit="1" customWidth="1"/>
    <col min="9" max="10" width="8.28515625" style="6" bestFit="1" customWidth="1"/>
    <col min="11" max="11" width="9.85546875" style="6" bestFit="1" customWidth="1"/>
    <col min="12" max="12" width="10.85546875" style="6" bestFit="1" customWidth="1"/>
    <col min="13" max="13" width="8" style="1"/>
    <col min="14" max="14" width="11.7109375" style="6" customWidth="1"/>
    <col min="15" max="15" width="14.5703125" style="6" customWidth="1"/>
    <col min="16" max="16" width="8" style="4" customWidth="1"/>
    <col min="17" max="16384" width="8" style="1"/>
  </cols>
  <sheetData>
    <row r="1" spans="1:16" x14ac:dyDescent="0.25">
      <c r="A1" s="2" t="s">
        <v>80</v>
      </c>
    </row>
    <row r="2" spans="1:16" x14ac:dyDescent="0.25">
      <c r="A2" s="1" t="s">
        <v>73</v>
      </c>
      <c r="B2" s="6" t="s">
        <v>74</v>
      </c>
      <c r="C2" s="6" t="s">
        <v>153</v>
      </c>
      <c r="D2" s="6" t="s">
        <v>81</v>
      </c>
    </row>
    <row r="3" spans="1:16" x14ac:dyDescent="0.25">
      <c r="A3" s="1">
        <v>3</v>
      </c>
      <c r="B3" s="6">
        <f>'eb03'!$K$30</f>
        <v>14579</v>
      </c>
      <c r="C3" s="6">
        <f>SUM(B3)/45</f>
        <v>323.97777777777776</v>
      </c>
      <c r="D3" s="6">
        <f>SUM(C3)/20</f>
        <v>16.198888888888888</v>
      </c>
    </row>
    <row r="4" spans="1:16" x14ac:dyDescent="0.25">
      <c r="A4" s="1">
        <v>7</v>
      </c>
      <c r="B4" s="6">
        <f>'eb07'!$K$61</f>
        <v>16278</v>
      </c>
      <c r="C4" s="6">
        <f>SUM(B4)/45</f>
        <v>361.73333333333335</v>
      </c>
      <c r="D4" s="6">
        <f t="shared" ref="D4:D6" si="0">SUM(C4)/20</f>
        <v>18.086666666666666</v>
      </c>
    </row>
    <row r="5" spans="1:16" x14ac:dyDescent="0.25">
      <c r="A5" s="1">
        <v>9</v>
      </c>
      <c r="B5" s="6">
        <f>'eb09'!$K$33</f>
        <v>20497</v>
      </c>
      <c r="C5" s="6">
        <f>SUM(B5)/45</f>
        <v>455.48888888888888</v>
      </c>
      <c r="D5" s="6">
        <f t="shared" si="0"/>
        <v>22.774444444444445</v>
      </c>
    </row>
    <row r="6" spans="1:16" x14ac:dyDescent="0.25">
      <c r="A6" s="1">
        <v>11</v>
      </c>
      <c r="B6" s="6">
        <f>('eb11'!$N$31)*0.44</f>
        <v>12202.08</v>
      </c>
      <c r="C6" s="6">
        <f>SUM(B6)/45</f>
        <v>271.15733333333333</v>
      </c>
      <c r="D6" s="6">
        <f t="shared" si="0"/>
        <v>13.557866666666666</v>
      </c>
    </row>
    <row r="7" spans="1:16" x14ac:dyDescent="0.25">
      <c r="A7" s="1" t="s">
        <v>75</v>
      </c>
      <c r="B7" s="6">
        <f>SUM(B3:B6)</f>
        <v>63556.08</v>
      </c>
      <c r="C7" s="6">
        <f>SUM(C3:C6)</f>
        <v>1412.3573333333334</v>
      </c>
      <c r="D7" s="6">
        <f>SUM(D3:D6)</f>
        <v>70.617866666666671</v>
      </c>
    </row>
    <row r="9" spans="1:16" x14ac:dyDescent="0.25">
      <c r="A9" s="2" t="s">
        <v>168</v>
      </c>
      <c r="N9" s="7" t="s">
        <v>74</v>
      </c>
      <c r="O9" s="7" t="s">
        <v>103</v>
      </c>
      <c r="P9" s="5" t="s">
        <v>104</v>
      </c>
    </row>
    <row r="10" spans="1:16" x14ac:dyDescent="0.25">
      <c r="A10" s="1" t="s">
        <v>82</v>
      </c>
      <c r="B10" s="6" t="s">
        <v>77</v>
      </c>
      <c r="C10" s="6" t="s">
        <v>83</v>
      </c>
      <c r="D10" s="6" t="s">
        <v>84</v>
      </c>
      <c r="E10" s="6" t="s">
        <v>85</v>
      </c>
      <c r="M10" s="1" t="s">
        <v>87</v>
      </c>
      <c r="N10" s="6">
        <v>3200</v>
      </c>
      <c r="O10" s="6">
        <f>$N$10</f>
        <v>3200</v>
      </c>
      <c r="P10" s="4">
        <f>SUM(O10/B7*100)</f>
        <v>5.0349234880439449</v>
      </c>
    </row>
    <row r="11" spans="1:16" x14ac:dyDescent="0.25">
      <c r="A11" s="1" t="s">
        <v>88</v>
      </c>
      <c r="B11" s="6">
        <v>10</v>
      </c>
      <c r="C11" s="6">
        <v>5</v>
      </c>
      <c r="D11" s="6">
        <f>SUM(B11*C11)</f>
        <v>50</v>
      </c>
      <c r="E11" s="6">
        <f>SUM(D11*30)</f>
        <v>1500</v>
      </c>
      <c r="M11" s="1" t="s">
        <v>88</v>
      </c>
      <c r="N11" s="6">
        <f>$E$11</f>
        <v>1500</v>
      </c>
      <c r="O11" s="6">
        <f>SUM(N10:N11)</f>
        <v>4700</v>
      </c>
      <c r="P11" s="4">
        <f>SUM(O11/B7*100)</f>
        <v>7.3950438730645445</v>
      </c>
    </row>
    <row r="12" spans="1:16" x14ac:dyDescent="0.25">
      <c r="A12" s="1" t="s">
        <v>152</v>
      </c>
      <c r="B12" s="6">
        <v>30</v>
      </c>
      <c r="C12" s="6">
        <v>13</v>
      </c>
      <c r="D12" s="6">
        <f>SUM(B12*C12)</f>
        <v>390</v>
      </c>
      <c r="E12" s="6">
        <f>SUM(D12*30)</f>
        <v>11700</v>
      </c>
      <c r="K12" s="6" t="s">
        <v>102</v>
      </c>
      <c r="M12" s="1" t="s">
        <v>152</v>
      </c>
      <c r="N12" s="6">
        <f>$E$12</f>
        <v>11700</v>
      </c>
      <c r="O12" s="6">
        <f>SUM(O11,N12)</f>
        <v>16400</v>
      </c>
      <c r="P12" s="4">
        <f>SUM(O12/B7*100)</f>
        <v>25.803982876225216</v>
      </c>
    </row>
    <row r="13" spans="1:16" x14ac:dyDescent="0.25">
      <c r="A13" s="1" t="s">
        <v>86</v>
      </c>
      <c r="B13" s="6">
        <f>SUM(B11:B12)</f>
        <v>40</v>
      </c>
      <c r="C13" s="6">
        <f>SUM(C11:C12)</f>
        <v>18</v>
      </c>
      <c r="D13" s="6">
        <f>SUM(D11:D12)</f>
        <v>440</v>
      </c>
      <c r="E13" s="6">
        <f>SUM(E11:E12)</f>
        <v>13200</v>
      </c>
      <c r="M13" s="1" t="s">
        <v>155</v>
      </c>
      <c r="N13" s="6">
        <f>$E$17</f>
        <v>9000</v>
      </c>
      <c r="O13" s="6">
        <f>SUM(N13,O12)</f>
        <v>25400</v>
      </c>
      <c r="P13" s="4">
        <f>SUM(O13/B7*100)</f>
        <v>39.964705186348809</v>
      </c>
    </row>
    <row r="14" spans="1:16" x14ac:dyDescent="0.25">
      <c r="M14" s="1" t="s">
        <v>156</v>
      </c>
      <c r="N14" s="6">
        <f>$E$18</f>
        <v>9000</v>
      </c>
      <c r="O14" s="6">
        <f>SUM(N14,O13)</f>
        <v>34400</v>
      </c>
      <c r="P14" s="4">
        <f>SUM(O14/B7*100)</f>
        <v>54.125427496472398</v>
      </c>
    </row>
    <row r="15" spans="1:16" x14ac:dyDescent="0.25">
      <c r="A15" s="2" t="s">
        <v>154</v>
      </c>
      <c r="M15" s="1" t="s">
        <v>157</v>
      </c>
      <c r="N15" s="6">
        <v>2000</v>
      </c>
      <c r="O15" s="6">
        <f>SUM(N15,O14)</f>
        <v>36400</v>
      </c>
      <c r="P15" s="4">
        <f>SUM(O15/B7*100)</f>
        <v>57.27225467649987</v>
      </c>
    </row>
    <row r="16" spans="1:16" x14ac:dyDescent="0.25">
      <c r="A16" s="1" t="s">
        <v>82</v>
      </c>
      <c r="B16" s="6" t="s">
        <v>77</v>
      </c>
      <c r="C16" s="6" t="s">
        <v>83</v>
      </c>
      <c r="D16" s="6" t="s">
        <v>84</v>
      </c>
      <c r="E16" s="6" t="s">
        <v>85</v>
      </c>
    </row>
    <row r="17" spans="1:15" x14ac:dyDescent="0.25">
      <c r="A17" s="1" t="s">
        <v>155</v>
      </c>
      <c r="B17" s="6">
        <v>20</v>
      </c>
      <c r="C17" s="6">
        <v>15</v>
      </c>
      <c r="D17" s="6">
        <f>SUM(B17*C17)</f>
        <v>300</v>
      </c>
      <c r="E17" s="6">
        <f>SUM(D17*30)</f>
        <v>9000</v>
      </c>
    </row>
    <row r="18" spans="1:15" x14ac:dyDescent="0.25">
      <c r="A18" s="1" t="s">
        <v>156</v>
      </c>
      <c r="B18" s="6">
        <v>20</v>
      </c>
      <c r="C18" s="6">
        <v>15</v>
      </c>
      <c r="D18" s="6">
        <f>SUM(B18*C18)</f>
        <v>300</v>
      </c>
      <c r="E18" s="6">
        <f>SUM(D18*30)</f>
        <v>9000</v>
      </c>
    </row>
    <row r="19" spans="1:15" x14ac:dyDescent="0.25">
      <c r="A19" s="1" t="s">
        <v>86</v>
      </c>
      <c r="C19" s="6">
        <f>SUM(C17:C18)</f>
        <v>30</v>
      </c>
      <c r="D19" s="6">
        <f t="shared" ref="D19:E19" si="1">SUM(D17:D18)</f>
        <v>600</v>
      </c>
      <c r="E19" s="6">
        <f t="shared" si="1"/>
        <v>18000</v>
      </c>
    </row>
    <row r="21" spans="1:15" x14ac:dyDescent="0.25">
      <c r="A21" s="2" t="s">
        <v>89</v>
      </c>
      <c r="O21" s="6" t="s">
        <v>151</v>
      </c>
    </row>
    <row r="22" spans="1:15" x14ac:dyDescent="0.25">
      <c r="A22" s="1" t="s">
        <v>73</v>
      </c>
      <c r="B22" s="6" t="s">
        <v>93</v>
      </c>
      <c r="C22" s="6" t="s">
        <v>94</v>
      </c>
      <c r="D22" s="6" t="s">
        <v>90</v>
      </c>
      <c r="E22" s="6" t="s">
        <v>91</v>
      </c>
      <c r="F22" s="6" t="s">
        <v>92</v>
      </c>
      <c r="G22" s="6" t="s">
        <v>98</v>
      </c>
      <c r="H22" s="6" t="s">
        <v>95</v>
      </c>
      <c r="I22" s="6" t="s">
        <v>96</v>
      </c>
      <c r="J22" s="6" t="s">
        <v>97</v>
      </c>
      <c r="K22" s="6" t="s">
        <v>100</v>
      </c>
      <c r="L22" s="6" t="s">
        <v>99</v>
      </c>
    </row>
    <row r="23" spans="1:15" x14ac:dyDescent="0.25">
      <c r="A23" s="1">
        <v>3</v>
      </c>
      <c r="B23" s="6">
        <v>608</v>
      </c>
      <c r="C23" s="6">
        <v>1313</v>
      </c>
      <c r="D23" s="6">
        <v>348</v>
      </c>
      <c r="E23" s="6">
        <v>83</v>
      </c>
      <c r="G23" s="6">
        <v>223</v>
      </c>
      <c r="H23" s="6">
        <v>5</v>
      </c>
      <c r="I23" s="6">
        <v>7</v>
      </c>
      <c r="J23" s="6">
        <v>17</v>
      </c>
      <c r="K23" s="6">
        <v>1505</v>
      </c>
      <c r="L23" s="6">
        <f t="shared" ref="L23:L26" si="2">SUM(B23:K23)</f>
        <v>4109</v>
      </c>
      <c r="O23" s="6">
        <f>'eb03'!$K$30</f>
        <v>14579</v>
      </c>
    </row>
    <row r="24" spans="1:15" x14ac:dyDescent="0.25">
      <c r="A24" s="1">
        <v>7</v>
      </c>
      <c r="B24" s="6">
        <v>593</v>
      </c>
      <c r="C24" s="6">
        <v>1110</v>
      </c>
      <c r="D24" s="6">
        <v>378</v>
      </c>
      <c r="E24" s="6">
        <v>88</v>
      </c>
      <c r="F24" s="6">
        <v>170</v>
      </c>
      <c r="G24" s="6">
        <v>248</v>
      </c>
      <c r="H24" s="6">
        <v>4</v>
      </c>
      <c r="I24" s="6">
        <v>16</v>
      </c>
      <c r="J24" s="6">
        <v>53</v>
      </c>
      <c r="K24" s="6">
        <v>1881</v>
      </c>
      <c r="L24" s="6">
        <f t="shared" si="2"/>
        <v>4541</v>
      </c>
      <c r="O24" s="6">
        <f>'eb07'!$K$61</f>
        <v>16278</v>
      </c>
    </row>
    <row r="25" spans="1:15" x14ac:dyDescent="0.25">
      <c r="A25" s="1">
        <v>9</v>
      </c>
      <c r="B25" s="6">
        <v>790</v>
      </c>
      <c r="C25" s="6">
        <v>1591</v>
      </c>
      <c r="D25" s="6">
        <v>713</v>
      </c>
      <c r="E25" s="6">
        <v>166</v>
      </c>
      <c r="F25" s="6">
        <v>280</v>
      </c>
      <c r="G25" s="6">
        <v>411</v>
      </c>
      <c r="H25" s="6">
        <v>5</v>
      </c>
      <c r="I25" s="6">
        <v>38</v>
      </c>
      <c r="J25" s="6">
        <v>73</v>
      </c>
      <c r="K25" s="6">
        <v>1909</v>
      </c>
      <c r="L25" s="6">
        <f t="shared" si="2"/>
        <v>5976</v>
      </c>
      <c r="O25" s="6">
        <f>'eb09'!$K$33</f>
        <v>20497</v>
      </c>
    </row>
    <row r="26" spans="1:15" x14ac:dyDescent="0.25">
      <c r="A26" s="1">
        <v>11</v>
      </c>
      <c r="B26" s="6">
        <v>1162</v>
      </c>
      <c r="C26" s="6">
        <v>2476</v>
      </c>
      <c r="D26" s="6">
        <v>1294</v>
      </c>
      <c r="E26" s="6">
        <v>276</v>
      </c>
      <c r="F26" s="6">
        <v>455</v>
      </c>
      <c r="G26" s="6">
        <v>657</v>
      </c>
      <c r="H26" s="6">
        <v>8</v>
      </c>
      <c r="I26" s="6">
        <v>57</v>
      </c>
      <c r="J26" s="6">
        <v>116</v>
      </c>
      <c r="K26" s="6">
        <v>2035</v>
      </c>
      <c r="L26" s="6">
        <f t="shared" si="2"/>
        <v>8536</v>
      </c>
      <c r="O26" s="6">
        <v>27732</v>
      </c>
    </row>
    <row r="27" spans="1:15" x14ac:dyDescent="0.25">
      <c r="A27" s="1" t="s">
        <v>75</v>
      </c>
      <c r="B27" s="6">
        <f>SUM(B23:B26)</f>
        <v>3153</v>
      </c>
      <c r="C27" s="6">
        <f>SUM(C23:C26)</f>
        <v>6490</v>
      </c>
      <c r="D27" s="6">
        <f t="shared" ref="D27:F27" si="3">SUM(D23:D26)</f>
        <v>2733</v>
      </c>
      <c r="E27" s="6">
        <f t="shared" si="3"/>
        <v>613</v>
      </c>
      <c r="F27" s="6">
        <f t="shared" si="3"/>
        <v>905</v>
      </c>
      <c r="G27" s="6">
        <f t="shared" ref="G27" si="4">SUM(G23:G26)</f>
        <v>1539</v>
      </c>
      <c r="H27" s="6">
        <f t="shared" ref="H27" si="5">SUM(H23:H26)</f>
        <v>22</v>
      </c>
      <c r="I27" s="6">
        <f t="shared" ref="I27" si="6">SUM(I23:I26)</f>
        <v>118</v>
      </c>
      <c r="J27" s="6">
        <f t="shared" ref="J27:K27" si="7">SUM(J23:J26)</f>
        <v>259</v>
      </c>
      <c r="K27" s="6">
        <f t="shared" si="7"/>
        <v>7330</v>
      </c>
      <c r="L27" s="6">
        <f>SUM(B27:K27)</f>
        <v>23162</v>
      </c>
      <c r="O27" s="7">
        <f>SUM(O23:O26)</f>
        <v>79086</v>
      </c>
    </row>
    <row r="29" spans="1:15" x14ac:dyDescent="0.25">
      <c r="A29" s="1" t="s">
        <v>101</v>
      </c>
      <c r="B29" s="6">
        <f>SUM(B27:J27)</f>
        <v>15832</v>
      </c>
    </row>
    <row r="32" spans="1:15" x14ac:dyDescent="0.25">
      <c r="A32" s="1" t="s">
        <v>76</v>
      </c>
      <c r="B32" s="6" t="s">
        <v>77</v>
      </c>
      <c r="C32" s="6" t="s">
        <v>78</v>
      </c>
      <c r="D32" s="6" t="s">
        <v>79</v>
      </c>
    </row>
    <row r="33" spans="2:4" x14ac:dyDescent="0.25">
      <c r="B33" s="6">
        <v>20</v>
      </c>
      <c r="C33" s="6">
        <f>SUM(B33)*16</f>
        <v>320</v>
      </c>
      <c r="D33" s="6">
        <f>SUM(C33)*80</f>
        <v>25600</v>
      </c>
    </row>
  </sheetData>
  <pageMargins left="0.7" right="0.7" top="0.75" bottom="0.75" header="0.3" footer="0.3"/>
  <pageSetup scale="96" fitToHeight="0"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workbookViewId="0">
      <selection activeCell="B6" sqref="B6"/>
    </sheetView>
  </sheetViews>
  <sheetFormatPr defaultColWidth="8" defaultRowHeight="15" x14ac:dyDescent="0.25"/>
  <cols>
    <col min="1" max="1" width="8" style="1"/>
    <col min="2" max="2" width="10.85546875" style="6" bestFit="1" customWidth="1"/>
    <col min="3" max="3" width="10.7109375" style="6" customWidth="1"/>
    <col min="4" max="4" width="10.85546875" style="11" bestFit="1" customWidth="1"/>
    <col min="5" max="5" width="9.5703125" style="6" customWidth="1"/>
    <col min="6" max="7" width="9.85546875" style="6" bestFit="1" customWidth="1"/>
    <col min="8" max="8" width="8.140625" style="6" bestFit="1" customWidth="1"/>
    <col min="9" max="10" width="8.28515625" style="6" bestFit="1" customWidth="1"/>
    <col min="11" max="11" width="12.28515625" style="6" bestFit="1" customWidth="1"/>
    <col min="12" max="12" width="9.28515625" style="6" bestFit="1" customWidth="1"/>
    <col min="13" max="13" width="8" style="1"/>
    <col min="14" max="14" width="11.7109375" style="6" customWidth="1"/>
    <col min="15" max="15" width="14.5703125" style="6" customWidth="1"/>
    <col min="16" max="16" width="8" style="4" customWidth="1"/>
    <col min="17" max="16384" width="8" style="1"/>
  </cols>
  <sheetData>
    <row r="1" spans="1:16" x14ac:dyDescent="0.25">
      <c r="A1" s="2" t="s">
        <v>80</v>
      </c>
    </row>
    <row r="2" spans="1:16" x14ac:dyDescent="0.25">
      <c r="A2" s="1" t="s">
        <v>73</v>
      </c>
      <c r="B2" s="6" t="s">
        <v>74</v>
      </c>
      <c r="C2" s="6" t="s">
        <v>181</v>
      </c>
      <c r="D2" s="11" t="s">
        <v>176</v>
      </c>
      <c r="F2" s="21" t="s">
        <v>178</v>
      </c>
      <c r="G2" s="21">
        <v>23</v>
      </c>
    </row>
    <row r="3" spans="1:16" x14ac:dyDescent="0.25">
      <c r="A3" s="1">
        <v>3</v>
      </c>
      <c r="B3" s="6">
        <f>'eb03'!$K$30</f>
        <v>14579</v>
      </c>
      <c r="C3" s="6">
        <f>SUM(B3)/G2</f>
        <v>633.86956521739125</v>
      </c>
      <c r="D3" s="11">
        <f>SUM(C3)/30</f>
        <v>21.128985507246377</v>
      </c>
    </row>
    <row r="4" spans="1:16" x14ac:dyDescent="0.25">
      <c r="A4" s="1">
        <v>7</v>
      </c>
      <c r="B4" s="6">
        <f>'eb07'!$K$61</f>
        <v>16278</v>
      </c>
      <c r="C4" s="6">
        <f>SUM(B4)/G2</f>
        <v>707.73913043478262</v>
      </c>
      <c r="D4" s="11">
        <f t="shared" ref="D4:D6" si="0">SUM(C4)/30</f>
        <v>23.591304347826089</v>
      </c>
    </row>
    <row r="5" spans="1:16" x14ac:dyDescent="0.25">
      <c r="A5" s="1">
        <v>9</v>
      </c>
      <c r="B5" s="6">
        <f>'eb09'!$K$33</f>
        <v>20497</v>
      </c>
      <c r="C5" s="6">
        <f>SUM(B5)/G2</f>
        <v>891.17391304347825</v>
      </c>
      <c r="D5" s="11">
        <f t="shared" si="0"/>
        <v>29.705797101449274</v>
      </c>
    </row>
    <row r="6" spans="1:16" x14ac:dyDescent="0.25">
      <c r="A6" s="1">
        <v>11</v>
      </c>
      <c r="B6" s="6">
        <f>('eb11'!$N$31)*0.4</f>
        <v>11092.800000000001</v>
      </c>
      <c r="C6" s="6">
        <f>SUM(B6)/G2</f>
        <v>482.29565217391308</v>
      </c>
      <c r="D6" s="11">
        <f t="shared" si="0"/>
        <v>16.076521739130435</v>
      </c>
    </row>
    <row r="7" spans="1:16" x14ac:dyDescent="0.25">
      <c r="A7" s="1" t="s">
        <v>75</v>
      </c>
      <c r="B7" s="6">
        <f>SUM(B3:B6)</f>
        <v>62446.8</v>
      </c>
      <c r="C7" s="6">
        <f>SUM(C3:C6)</f>
        <v>2715.0782608695649</v>
      </c>
      <c r="D7" s="11">
        <f>SUM(D3:D6)</f>
        <v>90.502608695652185</v>
      </c>
    </row>
    <row r="9" spans="1:16" x14ac:dyDescent="0.25">
      <c r="A9" s="2" t="s">
        <v>154</v>
      </c>
      <c r="I9" s="12"/>
      <c r="J9" s="18" t="s">
        <v>74</v>
      </c>
      <c r="K9" s="18" t="s">
        <v>103</v>
      </c>
      <c r="L9" s="17" t="s">
        <v>104</v>
      </c>
      <c r="N9" s="1"/>
      <c r="O9" s="1"/>
      <c r="P9" s="1"/>
    </row>
    <row r="10" spans="1:16" x14ac:dyDescent="0.25">
      <c r="A10" s="1" t="s">
        <v>82</v>
      </c>
      <c r="B10" s="6" t="s">
        <v>77</v>
      </c>
      <c r="C10" s="6" t="s">
        <v>83</v>
      </c>
      <c r="D10" s="11" t="s">
        <v>84</v>
      </c>
      <c r="E10" s="6" t="s">
        <v>85</v>
      </c>
      <c r="I10" s="13" t="s">
        <v>177</v>
      </c>
      <c r="J10" s="6">
        <v>3700</v>
      </c>
      <c r="K10" s="6">
        <f>$J$10</f>
        <v>3700</v>
      </c>
      <c r="L10" s="14">
        <f>SUM(K10/B7*100)</f>
        <v>5.9250433969394747</v>
      </c>
      <c r="N10" s="1"/>
      <c r="O10" s="1"/>
      <c r="P10" s="1"/>
    </row>
    <row r="11" spans="1:16" x14ac:dyDescent="0.25">
      <c r="A11" s="1" t="s">
        <v>155</v>
      </c>
      <c r="B11" s="6">
        <v>40</v>
      </c>
      <c r="C11" s="6">
        <v>15</v>
      </c>
      <c r="D11" s="11">
        <f>SUM(B11*C11)</f>
        <v>600</v>
      </c>
      <c r="E11" s="6">
        <f>SUM(D11*G2)</f>
        <v>13800</v>
      </c>
      <c r="I11" s="13" t="s">
        <v>152</v>
      </c>
      <c r="J11" s="6">
        <v>2250</v>
      </c>
      <c r="K11" s="6">
        <f>SUM(K10,J11)</f>
        <v>5950</v>
      </c>
      <c r="L11" s="14">
        <f>SUM(K11/B7*100)</f>
        <v>9.5281103275107757</v>
      </c>
      <c r="N11" s="1"/>
      <c r="O11" s="1"/>
      <c r="P11" s="1"/>
    </row>
    <row r="12" spans="1:16" x14ac:dyDescent="0.25">
      <c r="A12" s="1" t="s">
        <v>156</v>
      </c>
      <c r="B12" s="6">
        <v>40</v>
      </c>
      <c r="C12" s="6">
        <v>15</v>
      </c>
      <c r="D12" s="11">
        <f>SUM(B12*C12)</f>
        <v>600</v>
      </c>
      <c r="E12" s="6">
        <f>SUM(D12*G2)</f>
        <v>13800</v>
      </c>
      <c r="I12" s="13" t="s">
        <v>155</v>
      </c>
      <c r="J12" s="6">
        <f>$E$11</f>
        <v>13800</v>
      </c>
      <c r="K12" s="6">
        <f>SUM(J12,K11)</f>
        <v>19750</v>
      </c>
      <c r="L12" s="14">
        <f>SUM(K12/B7*100)</f>
        <v>31.626920835014765</v>
      </c>
      <c r="N12" s="1"/>
      <c r="O12" s="1"/>
      <c r="P12" s="1"/>
    </row>
    <row r="13" spans="1:16" x14ac:dyDescent="0.25">
      <c r="A13" s="1" t="s">
        <v>179</v>
      </c>
      <c r="B13" s="6">
        <v>50</v>
      </c>
      <c r="C13" s="6">
        <v>14</v>
      </c>
      <c r="D13" s="11">
        <f>SUM(B13*C13)</f>
        <v>700</v>
      </c>
      <c r="E13" s="6">
        <f>SUM(D13*G2)</f>
        <v>16100</v>
      </c>
      <c r="I13" s="13" t="s">
        <v>156</v>
      </c>
      <c r="J13" s="6">
        <f>$E$12</f>
        <v>13800</v>
      </c>
      <c r="K13" s="6">
        <f>SUM(J13,K12)</f>
        <v>33550</v>
      </c>
      <c r="L13" s="14">
        <f>SUM(K13/B7*100)</f>
        <v>53.725731342518742</v>
      </c>
      <c r="N13" s="1"/>
      <c r="O13" s="1"/>
      <c r="P13" s="1"/>
    </row>
    <row r="14" spans="1:16" x14ac:dyDescent="0.25">
      <c r="A14" s="1" t="s">
        <v>180</v>
      </c>
      <c r="B14" s="6">
        <v>40</v>
      </c>
      <c r="C14" s="6">
        <v>15</v>
      </c>
      <c r="D14" s="11">
        <f>SUM(B14*C14)</f>
        <v>600</v>
      </c>
      <c r="E14" s="6">
        <f>SUM(D14*G2)</f>
        <v>13800</v>
      </c>
      <c r="I14" s="13" t="s">
        <v>157</v>
      </c>
      <c r="J14" s="6">
        <f>$E$13</f>
        <v>16100</v>
      </c>
      <c r="K14" s="6">
        <f>SUM(J14,K13)</f>
        <v>49650</v>
      </c>
      <c r="L14" s="14">
        <f>SUM(K14/B7*100)</f>
        <v>79.507676934606735</v>
      </c>
      <c r="N14" s="1"/>
      <c r="O14" s="1"/>
      <c r="P14" s="1"/>
    </row>
    <row r="15" spans="1:16" x14ac:dyDescent="0.25">
      <c r="A15" s="1" t="s">
        <v>86</v>
      </c>
      <c r="C15" s="6">
        <f>SUM(C11:C14)</f>
        <v>59</v>
      </c>
      <c r="D15" s="11">
        <f>SUM(D11:D14)</f>
        <v>2500</v>
      </c>
      <c r="E15" s="6">
        <f>SUM(E11:E14)</f>
        <v>57500</v>
      </c>
      <c r="I15" s="15" t="s">
        <v>180</v>
      </c>
      <c r="J15" s="20">
        <f>$E$14</f>
        <v>13800</v>
      </c>
      <c r="K15" s="16">
        <f>SUM(J15,K14)</f>
        <v>63450</v>
      </c>
      <c r="L15" s="19">
        <f>SUM(K15/B7*100)</f>
        <v>101.60648744211072</v>
      </c>
      <c r="N15" s="1"/>
      <c r="O15" s="1"/>
      <c r="P15" s="1"/>
    </row>
    <row r="16" spans="1:16" x14ac:dyDescent="0.25">
      <c r="N16" s="1"/>
      <c r="O16" s="1"/>
      <c r="P16" s="1"/>
    </row>
    <row r="17" spans="1:16" x14ac:dyDescent="0.25">
      <c r="B17" s="1"/>
      <c r="C17" s="1"/>
      <c r="D17" s="1"/>
      <c r="E17" s="1"/>
      <c r="N17" s="1"/>
      <c r="O17" s="1"/>
      <c r="P17" s="1"/>
    </row>
    <row r="19" spans="1:16" x14ac:dyDescent="0.25">
      <c r="A19" s="2" t="s">
        <v>89</v>
      </c>
    </row>
    <row r="20" spans="1:16" x14ac:dyDescent="0.25">
      <c r="A20" s="1" t="s">
        <v>73</v>
      </c>
      <c r="B20" s="6" t="s">
        <v>93</v>
      </c>
      <c r="C20" s="6" t="s">
        <v>94</v>
      </c>
      <c r="D20" s="11" t="s">
        <v>90</v>
      </c>
      <c r="E20" s="6" t="s">
        <v>91</v>
      </c>
      <c r="F20" s="6" t="s">
        <v>92</v>
      </c>
      <c r="G20" s="6" t="s">
        <v>98</v>
      </c>
      <c r="H20" s="6" t="s">
        <v>95</v>
      </c>
      <c r="I20" s="6" t="s">
        <v>96</v>
      </c>
      <c r="J20" s="6" t="s">
        <v>97</v>
      </c>
      <c r="K20" s="6" t="s">
        <v>100</v>
      </c>
      <c r="L20" s="6" t="s">
        <v>99</v>
      </c>
    </row>
    <row r="21" spans="1:16" x14ac:dyDescent="0.25">
      <c r="A21" s="1">
        <v>3</v>
      </c>
      <c r="B21" s="6">
        <v>608</v>
      </c>
      <c r="C21" s="6">
        <v>1313</v>
      </c>
      <c r="D21" s="11">
        <v>348</v>
      </c>
      <c r="E21" s="6">
        <v>83</v>
      </c>
      <c r="G21" s="6">
        <v>223</v>
      </c>
      <c r="H21" s="6">
        <v>5</v>
      </c>
      <c r="I21" s="6">
        <v>7</v>
      </c>
      <c r="J21" s="6">
        <v>17</v>
      </c>
      <c r="K21" s="6">
        <v>1505</v>
      </c>
      <c r="L21" s="6">
        <f t="shared" ref="L21:L24" si="1">SUM(B21:K21)</f>
        <v>4109</v>
      </c>
    </row>
    <row r="22" spans="1:16" x14ac:dyDescent="0.25">
      <c r="A22" s="1">
        <v>7</v>
      </c>
      <c r="B22" s="6">
        <v>593</v>
      </c>
      <c r="C22" s="6">
        <v>1110</v>
      </c>
      <c r="D22" s="11">
        <v>378</v>
      </c>
      <c r="E22" s="6">
        <v>88</v>
      </c>
      <c r="F22" s="6">
        <v>170</v>
      </c>
      <c r="G22" s="6">
        <v>248</v>
      </c>
      <c r="H22" s="6">
        <v>4</v>
      </c>
      <c r="I22" s="6">
        <v>16</v>
      </c>
      <c r="J22" s="6">
        <v>53</v>
      </c>
      <c r="K22" s="6">
        <v>1881</v>
      </c>
      <c r="L22" s="6">
        <f t="shared" si="1"/>
        <v>4541</v>
      </c>
    </row>
    <row r="23" spans="1:16" x14ac:dyDescent="0.25">
      <c r="A23" s="1">
        <v>9</v>
      </c>
      <c r="B23" s="6">
        <v>790</v>
      </c>
      <c r="C23" s="6">
        <v>1591</v>
      </c>
      <c r="D23" s="11">
        <v>713</v>
      </c>
      <c r="E23" s="6">
        <v>166</v>
      </c>
      <c r="F23" s="6">
        <v>280</v>
      </c>
      <c r="G23" s="6">
        <v>411</v>
      </c>
      <c r="H23" s="6">
        <v>5</v>
      </c>
      <c r="I23" s="6">
        <v>38</v>
      </c>
      <c r="J23" s="6">
        <v>73</v>
      </c>
      <c r="K23" s="6">
        <v>1909</v>
      </c>
      <c r="L23" s="6">
        <f t="shared" si="1"/>
        <v>5976</v>
      </c>
    </row>
    <row r="24" spans="1:16" x14ac:dyDescent="0.25">
      <c r="A24" s="1">
        <v>11</v>
      </c>
      <c r="B24" s="6">
        <v>1162</v>
      </c>
      <c r="C24" s="6">
        <v>2476</v>
      </c>
      <c r="D24" s="11">
        <v>1294</v>
      </c>
      <c r="E24" s="6">
        <v>276</v>
      </c>
      <c r="F24" s="6">
        <v>455</v>
      </c>
      <c r="G24" s="6">
        <v>657</v>
      </c>
      <c r="H24" s="6">
        <v>8</v>
      </c>
      <c r="I24" s="6">
        <v>57</v>
      </c>
      <c r="J24" s="6">
        <v>116</v>
      </c>
      <c r="K24" s="6">
        <v>2035</v>
      </c>
      <c r="L24" s="6">
        <f t="shared" si="1"/>
        <v>8536</v>
      </c>
    </row>
    <row r="25" spans="1:16" x14ac:dyDescent="0.25">
      <c r="A25" s="1" t="s">
        <v>75</v>
      </c>
      <c r="B25" s="6">
        <f>SUM(B21:B24)</f>
        <v>3153</v>
      </c>
      <c r="C25" s="6">
        <f>SUM(C21:C24)</f>
        <v>6490</v>
      </c>
      <c r="D25" s="11">
        <f t="shared" ref="D25:K25" si="2">SUM(D21:D24)</f>
        <v>2733</v>
      </c>
      <c r="E25" s="6">
        <f t="shared" si="2"/>
        <v>613</v>
      </c>
      <c r="F25" s="6">
        <f t="shared" si="2"/>
        <v>905</v>
      </c>
      <c r="G25" s="6">
        <f t="shared" si="2"/>
        <v>1539</v>
      </c>
      <c r="H25" s="6">
        <f t="shared" si="2"/>
        <v>22</v>
      </c>
      <c r="I25" s="6">
        <f t="shared" si="2"/>
        <v>118</v>
      </c>
      <c r="J25" s="6">
        <f t="shared" si="2"/>
        <v>259</v>
      </c>
      <c r="K25" s="6">
        <f t="shared" si="2"/>
        <v>7330</v>
      </c>
      <c r="L25" s="6">
        <f>SUM(B25:K25)</f>
        <v>23162</v>
      </c>
      <c r="O25" s="7"/>
    </row>
    <row r="27" spans="1:16" x14ac:dyDescent="0.25">
      <c r="A27" s="1" t="s">
        <v>101</v>
      </c>
      <c r="B27" s="6">
        <f>SUM(B25:J25)</f>
        <v>15832</v>
      </c>
    </row>
    <row r="31" spans="1:16" x14ac:dyDescent="0.25">
      <c r="B31" s="6">
        <f>30*15</f>
        <v>450</v>
      </c>
      <c r="C31" s="6" t="s">
        <v>187</v>
      </c>
      <c r="F31" s="6" t="s">
        <v>183</v>
      </c>
      <c r="H31" s="6" t="s">
        <v>184</v>
      </c>
    </row>
    <row r="32" spans="1:16" x14ac:dyDescent="0.25">
      <c r="B32" s="6">
        <f>450*15</f>
        <v>6750</v>
      </c>
      <c r="C32" s="6" t="s">
        <v>188</v>
      </c>
      <c r="F32" s="6" t="s">
        <v>185</v>
      </c>
      <c r="H32" s="6" t="s">
        <v>186</v>
      </c>
    </row>
    <row r="33" spans="2:6" x14ac:dyDescent="0.25">
      <c r="B33" s="6">
        <f>6750*4</f>
        <v>27000</v>
      </c>
      <c r="C33" s="22" t="s">
        <v>182</v>
      </c>
    </row>
    <row r="36" spans="2:6" x14ac:dyDescent="0.25">
      <c r="B36" s="6">
        <f>10*15*15</f>
        <v>2250</v>
      </c>
      <c r="C36" s="6" t="s">
        <v>189</v>
      </c>
    </row>
    <row r="37" spans="2:6" x14ac:dyDescent="0.25">
      <c r="B37" s="6">
        <f>10*15*14</f>
        <v>2100</v>
      </c>
      <c r="C37" s="6" t="s">
        <v>190</v>
      </c>
      <c r="F37" s="6">
        <f>2100*4</f>
        <v>8400</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tabSelected="1" workbookViewId="0">
      <selection activeCell="L19" sqref="L18:L19"/>
    </sheetView>
  </sheetViews>
  <sheetFormatPr defaultRowHeight="15" x14ac:dyDescent="0.25"/>
  <cols>
    <col min="1" max="1" width="20.85546875" customWidth="1"/>
    <col min="2" max="2" width="7.85546875" bestFit="1" customWidth="1"/>
    <col min="5" max="5" width="9.140625" style="10"/>
  </cols>
  <sheetData>
    <row r="1" spans="1:6" x14ac:dyDescent="0.25">
      <c r="A1" t="s">
        <v>169</v>
      </c>
      <c r="B1" t="s">
        <v>170</v>
      </c>
      <c r="C1" t="s">
        <v>29</v>
      </c>
      <c r="D1" t="s">
        <v>171</v>
      </c>
      <c r="E1" s="10" t="s">
        <v>175</v>
      </c>
    </row>
    <row r="2" spans="1:6" x14ac:dyDescent="0.25">
      <c r="B2" t="s">
        <v>172</v>
      </c>
      <c r="C2">
        <v>522</v>
      </c>
      <c r="D2">
        <v>105</v>
      </c>
      <c r="E2" s="10">
        <f>SUM(C2/D2)</f>
        <v>4.9714285714285715</v>
      </c>
    </row>
    <row r="3" spans="1:6" x14ac:dyDescent="0.25">
      <c r="B3" t="s">
        <v>173</v>
      </c>
      <c r="C3">
        <v>450</v>
      </c>
      <c r="D3">
        <v>125</v>
      </c>
      <c r="E3" s="10">
        <f t="shared" ref="E3:E4" si="0">SUM(C3/D3)</f>
        <v>3.6</v>
      </c>
    </row>
    <row r="4" spans="1:6" x14ac:dyDescent="0.25">
      <c r="B4" t="s">
        <v>174</v>
      </c>
      <c r="C4">
        <v>912</v>
      </c>
      <c r="D4">
        <v>116</v>
      </c>
      <c r="E4" s="10">
        <f t="shared" si="0"/>
        <v>7.8620689655172411</v>
      </c>
    </row>
    <row r="5" spans="1:6" x14ac:dyDescent="0.25">
      <c r="C5">
        <f>SUM(C2:C4)</f>
        <v>1884</v>
      </c>
      <c r="D5">
        <f>SUM(D2:D4)</f>
        <v>346</v>
      </c>
      <c r="E5" s="10">
        <f>SUM(C5/D5)</f>
        <v>5.4450867052023124</v>
      </c>
    </row>
    <row r="7" spans="1:6" x14ac:dyDescent="0.25">
      <c r="A7" t="s">
        <v>191</v>
      </c>
    </row>
    <row r="8" spans="1:6" x14ac:dyDescent="0.25">
      <c r="B8" t="s">
        <v>172</v>
      </c>
      <c r="C8">
        <v>1744</v>
      </c>
      <c r="D8">
        <f>SUM(105)+(15*9)+(10*9)</f>
        <v>330</v>
      </c>
      <c r="E8" s="10">
        <f>SUM(C8/D8)</f>
        <v>5.2848484848484851</v>
      </c>
    </row>
    <row r="9" spans="1:6" x14ac:dyDescent="0.25">
      <c r="B9" t="s">
        <v>173</v>
      </c>
      <c r="C9">
        <v>1684</v>
      </c>
      <c r="D9">
        <f>SUM(125)+(15*10)+(10*9)</f>
        <v>365</v>
      </c>
      <c r="E9" s="10">
        <f t="shared" ref="E9:E11" si="1">SUM(C9/D9)</f>
        <v>4.6136986301369864</v>
      </c>
    </row>
    <row r="10" spans="1:6" x14ac:dyDescent="0.25">
      <c r="B10" t="s">
        <v>174</v>
      </c>
      <c r="C10">
        <f>SUM(1752+1343+709)</f>
        <v>3804</v>
      </c>
      <c r="D10">
        <f>SUM(116)+(15*10)+(10*10)</f>
        <v>366</v>
      </c>
      <c r="E10" s="10">
        <f t="shared" si="1"/>
        <v>10.39344262295082</v>
      </c>
    </row>
    <row r="11" spans="1:6" x14ac:dyDescent="0.25">
      <c r="B11" t="s">
        <v>192</v>
      </c>
      <c r="C11">
        <v>238</v>
      </c>
      <c r="D11">
        <f>SUM(10*5)</f>
        <v>50</v>
      </c>
      <c r="E11" s="10">
        <f t="shared" si="1"/>
        <v>4.76</v>
      </c>
    </row>
    <row r="12" spans="1:6" x14ac:dyDescent="0.25">
      <c r="C12">
        <f>SUM(C8:C11)</f>
        <v>7470</v>
      </c>
      <c r="D12">
        <f>SUM(D8:D11)</f>
        <v>1111</v>
      </c>
      <c r="E12" s="10">
        <f>SUM(C12/D12)</f>
        <v>6.7236723672367233</v>
      </c>
    </row>
    <row r="13" spans="1:6" x14ac:dyDescent="0.25">
      <c r="B13" s="9"/>
      <c r="C13" s="1"/>
      <c r="D13" s="1"/>
      <c r="F13" s="1"/>
    </row>
    <row r="14" spans="1:6" x14ac:dyDescent="0.25">
      <c r="B14" t="s">
        <v>75</v>
      </c>
      <c r="C14">
        <f>SUM(C5+C12)</f>
        <v>9354</v>
      </c>
      <c r="E14" s="10" t="s">
        <v>193</v>
      </c>
    </row>
    <row r="16" spans="1:6" x14ac:dyDescent="0.25">
      <c r="A16" t="s">
        <v>199</v>
      </c>
      <c r="B16" s="1">
        <f>SUM('eb03'!M3+'eb11'!P3+'eb09'!M4+'eb07'!M5)</f>
        <v>63150</v>
      </c>
    </row>
    <row r="17" spans="1:2" x14ac:dyDescent="0.25">
      <c r="A17" t="s">
        <v>200</v>
      </c>
      <c r="B17" s="23">
        <f>SUM(C14/B16)</f>
        <v>0.14812351543942992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activeCell="F10" sqref="F10"/>
    </sheetView>
  </sheetViews>
  <sheetFormatPr defaultRowHeight="15" x14ac:dyDescent="0.25"/>
  <cols>
    <col min="6" max="6" width="9.140625" style="1"/>
    <col min="8" max="8" width="14.140625" style="6" customWidth="1"/>
  </cols>
  <sheetData>
    <row r="1" spans="1:8" x14ac:dyDescent="0.25">
      <c r="A1" s="8" t="s">
        <v>158</v>
      </c>
    </row>
    <row r="2" spans="1:8" s="8" customFormat="1" x14ac:dyDescent="0.25">
      <c r="A2" s="8" t="s">
        <v>93</v>
      </c>
      <c r="B2" s="8" t="s">
        <v>159</v>
      </c>
      <c r="C2" s="8" t="s">
        <v>160</v>
      </c>
      <c r="D2" s="8" t="s">
        <v>161</v>
      </c>
      <c r="E2" s="8" t="s">
        <v>162</v>
      </c>
      <c r="F2" s="2" t="s">
        <v>163</v>
      </c>
      <c r="G2" s="8" t="s">
        <v>164</v>
      </c>
      <c r="H2" s="7" t="s">
        <v>165</v>
      </c>
    </row>
    <row r="3" spans="1:8" x14ac:dyDescent="0.25">
      <c r="A3" t="s">
        <v>113</v>
      </c>
      <c r="B3">
        <v>1103</v>
      </c>
      <c r="C3">
        <v>1036</v>
      </c>
      <c r="D3">
        <v>1084</v>
      </c>
      <c r="F3" s="1">
        <f>AVERAGE(B3:E3)</f>
        <v>1074.3333333333333</v>
      </c>
      <c r="G3" s="6">
        <v>608</v>
      </c>
      <c r="H3" s="6">
        <f>SUM(F3*G3)</f>
        <v>653194.66666666663</v>
      </c>
    </row>
    <row r="4" spans="1:8" x14ac:dyDescent="0.25">
      <c r="A4" t="s">
        <v>114</v>
      </c>
      <c r="B4">
        <v>1249</v>
      </c>
      <c r="C4">
        <v>1216</v>
      </c>
      <c r="D4">
        <v>1246</v>
      </c>
      <c r="F4" s="1">
        <f t="shared" ref="F4:F6" si="0">AVERAGE(B4:E4)</f>
        <v>1237</v>
      </c>
      <c r="G4" s="6">
        <v>593</v>
      </c>
      <c r="H4" s="6">
        <f t="shared" ref="H4:H6" si="1">SUM(F4*G4)</f>
        <v>733541</v>
      </c>
    </row>
    <row r="5" spans="1:8" x14ac:dyDescent="0.25">
      <c r="A5" t="s">
        <v>115</v>
      </c>
      <c r="B5">
        <v>1050</v>
      </c>
      <c r="C5">
        <v>1508</v>
      </c>
      <c r="D5">
        <v>1185</v>
      </c>
      <c r="E5">
        <v>1319</v>
      </c>
      <c r="F5" s="1">
        <f t="shared" si="0"/>
        <v>1265.5</v>
      </c>
      <c r="G5" s="6">
        <v>790</v>
      </c>
      <c r="H5" s="6">
        <f t="shared" si="1"/>
        <v>999745</v>
      </c>
    </row>
    <row r="6" spans="1:8" x14ac:dyDescent="0.25">
      <c r="A6" t="s">
        <v>116</v>
      </c>
      <c r="B6">
        <v>1449</v>
      </c>
      <c r="C6">
        <v>1519</v>
      </c>
      <c r="D6">
        <v>1575</v>
      </c>
      <c r="F6" s="1">
        <f t="shared" si="0"/>
        <v>1514.3333333333333</v>
      </c>
      <c r="G6" s="6">
        <v>1162</v>
      </c>
      <c r="H6" s="6">
        <f t="shared" si="1"/>
        <v>1759655.3333333333</v>
      </c>
    </row>
    <row r="7" spans="1:8" x14ac:dyDescent="0.25">
      <c r="F7" s="1">
        <f>AVERAGE(F3:F6)</f>
        <v>1272.7916666666665</v>
      </c>
      <c r="G7" s="6">
        <f>SUM(G3:G6)</f>
        <v>3153</v>
      </c>
      <c r="H7" s="6">
        <f>SUM(H3:H6)</f>
        <v>4146136</v>
      </c>
    </row>
    <row r="9" spans="1:8" x14ac:dyDescent="0.25">
      <c r="A9" s="6"/>
    </row>
    <row r="10" spans="1:8" x14ac:dyDescent="0.25">
      <c r="A10" s="6"/>
    </row>
    <row r="11" spans="1:8" x14ac:dyDescent="0.25">
      <c r="A11" s="6"/>
    </row>
    <row r="12" spans="1:8" x14ac:dyDescent="0.25">
      <c r="A12" s="6"/>
    </row>
    <row r="13" spans="1:8" x14ac:dyDescent="0.25">
      <c r="A13" s="6"/>
    </row>
    <row r="14" spans="1:8" x14ac:dyDescent="0.25">
      <c r="A14"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eb03</vt:lpstr>
      <vt:lpstr>eb07</vt:lpstr>
      <vt:lpstr>eb09</vt:lpstr>
      <vt:lpstr>eb11</vt:lpstr>
      <vt:lpstr>page_totals</vt:lpstr>
      <vt:lpstr>scan_time</vt:lpstr>
      <vt:lpstr>calc pph</vt:lpstr>
      <vt:lpstr>sum-sp 19</vt:lpstr>
      <vt:lpstr>wordcounts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 Logan</dc:creator>
  <cp:lastModifiedBy>pl</cp:lastModifiedBy>
  <cp:lastPrinted>2016-11-25T22:20:07Z</cp:lastPrinted>
  <dcterms:created xsi:type="dcterms:W3CDTF">2015-11-11T20:32:46Z</dcterms:created>
  <dcterms:modified xsi:type="dcterms:W3CDTF">2019-04-01T00:37:35Z</dcterms:modified>
</cp:coreProperties>
</file>