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DL\Covid_Guatemala\Gran_panorama\Modelo\"/>
    </mc:Choice>
  </mc:AlternateContent>
  <xr:revisionPtr revIDLastSave="0" documentId="13_ncr:1_{A1D662DD-8339-4A92-8C9D-CF729FE258F1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resultado" sheetId="1" r:id="rId1"/>
    <sheet name="parametros_calculos_adicionales" sheetId="2" r:id="rId2"/>
    <sheet name="ind_macro" sheetId="3" r:id="rId3"/>
    <sheet name="fatalidad_corona_virus" sheetId="4" r:id="rId4"/>
    <sheet name="gráfic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M7" i="1"/>
  <c r="L12" i="1"/>
  <c r="L10" i="1"/>
  <c r="L11" i="1"/>
  <c r="L9" i="1"/>
  <c r="L8" i="1"/>
  <c r="L7" i="1"/>
  <c r="K12" i="1"/>
  <c r="K11" i="1"/>
  <c r="D21" i="1" l="1"/>
  <c r="C21" i="1"/>
  <c r="D7" i="2"/>
  <c r="D8" i="2"/>
  <c r="D26" i="1"/>
  <c r="C26" i="1"/>
  <c r="C28" i="1" s="1"/>
  <c r="C30" i="1" s="1"/>
  <c r="C31" i="1" s="1"/>
  <c r="I11" i="1" s="1"/>
  <c r="D28" i="1" l="1"/>
  <c r="D30" i="1" s="1"/>
  <c r="D31" i="1" s="1"/>
  <c r="I12" i="1" s="1"/>
  <c r="J12" i="1" s="1"/>
  <c r="J11" i="1"/>
  <c r="D9" i="3"/>
  <c r="H8" i="2" s="1"/>
  <c r="C9" i="3"/>
  <c r="I8" i="2" s="1"/>
  <c r="C8" i="2"/>
  <c r="H8" i="1" s="1"/>
  <c r="I7" i="2"/>
  <c r="H7" i="2"/>
  <c r="AV17" i="2" s="1"/>
  <c r="C7" i="2"/>
  <c r="H7" i="1" s="1"/>
  <c r="C4" i="2"/>
  <c r="H10" i="1"/>
  <c r="H9" i="1"/>
  <c r="J10" i="1" l="1"/>
  <c r="J8" i="1"/>
  <c r="J7" i="1"/>
  <c r="J9" i="1"/>
  <c r="K17" i="2"/>
  <c r="S17" i="2"/>
  <c r="AA17" i="2"/>
  <c r="AI17" i="2"/>
  <c r="AQ17" i="2"/>
  <c r="AY17" i="2"/>
  <c r="U16" i="2"/>
  <c r="AK16" i="2"/>
  <c r="BA16" i="2"/>
  <c r="I17" i="2"/>
  <c r="Y17" i="2"/>
  <c r="AG17" i="2"/>
  <c r="AW17" i="2"/>
  <c r="F16" i="2"/>
  <c r="N16" i="2"/>
  <c r="V16" i="2"/>
  <c r="AD16" i="2"/>
  <c r="AL16" i="2"/>
  <c r="AT16" i="2"/>
  <c r="BB16" i="2"/>
  <c r="J17" i="2"/>
  <c r="R17" i="2"/>
  <c r="Z17" i="2"/>
  <c r="AH17" i="2"/>
  <c r="AP17" i="2"/>
  <c r="AX17" i="2"/>
  <c r="G16" i="2"/>
  <c r="O16" i="2"/>
  <c r="W16" i="2"/>
  <c r="AE16" i="2"/>
  <c r="AM16" i="2"/>
  <c r="AU16" i="2"/>
  <c r="H16" i="2"/>
  <c r="P16" i="2"/>
  <c r="X16" i="2"/>
  <c r="AF16" i="2"/>
  <c r="AN16" i="2"/>
  <c r="AV16" i="2"/>
  <c r="D17" i="2"/>
  <c r="L17" i="2"/>
  <c r="T17" i="2"/>
  <c r="AB17" i="2"/>
  <c r="AJ17" i="2"/>
  <c r="AR17" i="2"/>
  <c r="AZ17" i="2"/>
  <c r="I16" i="2"/>
  <c r="Q16" i="2"/>
  <c r="Y16" i="2"/>
  <c r="AG16" i="2"/>
  <c r="AO16" i="2"/>
  <c r="AW16" i="2"/>
  <c r="E17" i="2"/>
  <c r="M17" i="2"/>
  <c r="U17" i="2"/>
  <c r="AC17" i="2"/>
  <c r="AK17" i="2"/>
  <c r="AS17" i="2"/>
  <c r="BA17" i="2"/>
  <c r="J16" i="2"/>
  <c r="R16" i="2"/>
  <c r="Z16" i="2"/>
  <c r="AH16" i="2"/>
  <c r="AP16" i="2"/>
  <c r="AX16" i="2"/>
  <c r="F17" i="2"/>
  <c r="N17" i="2"/>
  <c r="V17" i="2"/>
  <c r="AD17" i="2"/>
  <c r="AL17" i="2"/>
  <c r="AT17" i="2"/>
  <c r="BB17" i="2"/>
  <c r="K16" i="2"/>
  <c r="S16" i="2"/>
  <c r="AA16" i="2"/>
  <c r="AI16" i="2"/>
  <c r="AQ16" i="2"/>
  <c r="AY16" i="2"/>
  <c r="G17" i="2"/>
  <c r="O17" i="2"/>
  <c r="W17" i="2"/>
  <c r="AE17" i="2"/>
  <c r="AM17" i="2"/>
  <c r="AU17" i="2"/>
  <c r="E16" i="2"/>
  <c r="M16" i="2"/>
  <c r="AC16" i="2"/>
  <c r="AS16" i="2"/>
  <c r="Q17" i="2"/>
  <c r="AO17" i="2"/>
  <c r="D16" i="2"/>
  <c r="L16" i="2"/>
  <c r="T16" i="2"/>
  <c r="AB16" i="2"/>
  <c r="AJ16" i="2"/>
  <c r="AR16" i="2"/>
  <c r="AZ16" i="2"/>
  <c r="H17" i="2"/>
  <c r="P17" i="2"/>
  <c r="X17" i="2"/>
  <c r="AF17" i="2"/>
  <c r="AN17" i="2"/>
  <c r="C16" i="2" l="1"/>
  <c r="C17" i="2"/>
</calcChain>
</file>

<file path=xl/sharedStrings.xml><?xml version="1.0" encoding="utf-8"?>
<sst xmlns="http://schemas.openxmlformats.org/spreadsheetml/2006/main" count="98" uniqueCount="75">
  <si>
    <t>Duración de la pandemia (meses)</t>
  </si>
  <si>
    <t>Pérdida económica pérdida de vidas (USD)</t>
  </si>
  <si>
    <t>PIB per cápida (USD)</t>
  </si>
  <si>
    <t>Esperanza de vida (anos)</t>
  </si>
  <si>
    <t>Escenario_libre_sin_vacuna</t>
  </si>
  <si>
    <t>Inflación promedio (%)</t>
  </si>
  <si>
    <t>Variación del PIB (%)</t>
  </si>
  <si>
    <t>Valor presente neto PIB total (USD)</t>
  </si>
  <si>
    <t>Valor presente neto vida promedio restante (USD)</t>
  </si>
  <si>
    <t>Escenario_libre_con_vacuna</t>
  </si>
  <si>
    <t>Escenario_libre_sin_vacuna/Escenario_libre_con_vacuna</t>
  </si>
  <si>
    <t>Total</t>
  </si>
  <si>
    <t>Población inicial (cantidad)</t>
  </si>
  <si>
    <t>Tasa de fallecimientos (%)</t>
  </si>
  <si>
    <t>Tiempo para vacuna (meses)</t>
  </si>
  <si>
    <t>Inflación (%)</t>
  </si>
  <si>
    <t>Año</t>
  </si>
  <si>
    <t>Promedio</t>
  </si>
  <si>
    <t>Variación nominal PIB (%)</t>
  </si>
  <si>
    <t>Muertes equivalentes por reclusión (personas equivalentes)</t>
  </si>
  <si>
    <t>Muertes por pandemia (personas)</t>
  </si>
  <si>
    <t>Muertes totales</t>
  </si>
  <si>
    <t>Pérdida económica total (USD)/Valor presente neto PIB (USD)</t>
  </si>
  <si>
    <t>Escenario resultante</t>
  </si>
  <si>
    <t>Vacuna (si/no)</t>
  </si>
  <si>
    <t>Atraso en contagio (semanas)</t>
  </si>
  <si>
    <t>Vida restante promedio (anos)</t>
  </si>
  <si>
    <t>Edad promedio Guatemala (anos)</t>
  </si>
  <si>
    <t>no</t>
  </si>
  <si>
    <t>si</t>
  </si>
  <si>
    <t>Pérdida de trabajos (%)</t>
  </si>
  <si>
    <t>Aislamiento social(si/no)</t>
  </si>
  <si>
    <t>Duración de las restricciones (meses)</t>
  </si>
  <si>
    <t>Duración del aislamiento social (meses)</t>
  </si>
  <si>
    <t>Horas perdidas (horas/semana*persona)</t>
  </si>
  <si>
    <t>Tiempo perdido por aislamiento (horas/día*persona) (fines de semana)</t>
  </si>
  <si>
    <t>Tiempo perdido por aislamiento (horas/día*persona) (semana laboral)</t>
  </si>
  <si>
    <t>Horas perdidas aislamiento social (horas/aislamiento*persona)</t>
  </si>
  <si>
    <t>Horas perdidas aislamiento social (horas/aislamiento)</t>
  </si>
  <si>
    <t>Vidas equivalentes</t>
  </si>
  <si>
    <t>Escenario_restringido_con_vacuna</t>
  </si>
  <si>
    <t>0 to 9</t>
  </si>
  <si>
    <t>10 to 19</t>
  </si>
  <si>
    <t>20 to 29</t>
  </si>
  <si>
    <t>30 to 39</t>
  </si>
  <si>
    <t>40 to 49</t>
  </si>
  <si>
    <t>50 to 59</t>
  </si>
  <si>
    <t>60 to 69</t>
  </si>
  <si>
    <t>70 to 79</t>
  </si>
  <si>
    <t>80+</t>
  </si>
  <si>
    <t xml:space="preserve">Age-group (years) </t>
  </si>
  <si>
    <t xml:space="preserve">% symptomatic cases requiring hospitalisation </t>
  </si>
  <si>
    <t xml:space="preserve">% hospitalised cases requiring critical care </t>
  </si>
  <si>
    <t>Infection Fatality Ratio</t>
  </si>
  <si>
    <t>Population proportion Guatemala</t>
  </si>
  <si>
    <t>Población total infectada (%)</t>
  </si>
  <si>
    <t>1 semana</t>
  </si>
  <si>
    <t>2 semana</t>
  </si>
  <si>
    <t>3 semana</t>
  </si>
  <si>
    <t>4 semana</t>
  </si>
  <si>
    <t>6 semana</t>
  </si>
  <si>
    <t>1 nuevo caso</t>
  </si>
  <si>
    <t>2 nuevos casos</t>
  </si>
  <si>
    <t>El infectado contagia cada 1 semana</t>
  </si>
  <si>
    <t>El infectado contagia cada 2 semanas</t>
  </si>
  <si>
    <t>Creación_vacuna_tiempo (meses)</t>
  </si>
  <si>
    <t>Compra_entrega_inoculación (meses)</t>
  </si>
  <si>
    <t>Pérdida económica por reducción en la productividad (MUSD)</t>
  </si>
  <si>
    <t>Escenario 1: Sin aislamiento/No vacuna/1 semana atraso en contagio/5 meses pandemia</t>
  </si>
  <si>
    <t>Escenario 2: Sin aislamiento/Si vacuna/1 semana atraso en contagio/5 meses pandemia</t>
  </si>
  <si>
    <t>Escenario 3: Sin aislamiento/No vacuna/2 semana atraso en contagio/10 meses pandemia</t>
  </si>
  <si>
    <t>Escenario 4: Sin aislamiento/Si vacuna/2 semana atraso en contagio/10 meses pandemia</t>
  </si>
  <si>
    <t>Escenario 6: Con aislamiento 16 meses/Si vacuna en 18 meses/1 semana atraso en contagio</t>
  </si>
  <si>
    <t>Escenario 5: Con aislamiento 12 meses/Si vacuna en 15 meses/1 semana atraso en contagio</t>
  </si>
  <si>
    <t>5 nuevos 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</si>
</sst>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d\.m\.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venir Light"/>
    </font>
    <font>
      <sz val="8"/>
      <color theme="1"/>
      <name val="Avenir Light"/>
    </font>
    <font>
      <b/>
      <sz val="10"/>
      <color theme="1"/>
      <name val="Calibri"/>
      <family val="2"/>
      <scheme val="minor"/>
    </font>
    <font>
      <b/>
      <sz val="8"/>
      <color rgb="FF666666"/>
      <name val="Verdana"/>
      <family val="2"/>
    </font>
    <font>
      <b/>
      <sz val="6"/>
      <color theme="1"/>
      <name val="Avenir Light"/>
    </font>
    <font>
      <sz val="8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3" fontId="3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0" fontId="4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/>
    <xf numFmtId="0" fontId="9" fillId="3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111370</xdr:colOff>
      <xdr:row>8</xdr:row>
      <xdr:rowOff>22713</xdr:rowOff>
    </xdr:from>
    <xdr:to>
      <xdr:col>3</xdr:col>
      <xdr:colOff>505678</xdr:colOff>
      <xdr:row>10</xdr:row>
      <xdr:rowOff>36635</xdr:rowOff>
    </xdr:to>
    <xdr:pic>
      <xdr:nvPicPr>
        <xdr:cNvPr id="2" name="Picture 1" descr="Infected Person Icon of Glyph style - Available in SVG, PNG, EPS ...">
          <a:extLst>
            <a:ext uri="{FF2B5EF4-FFF2-40B4-BE49-F238E27FC236}">
              <a16:creationId xmlns:a16="http://schemas.microsoft.com/office/drawing/2014/main" id="{E59E1B79-72A6-4E99-96A8-6FA91DA2B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774" y="1546713"/>
          <a:ext cx="394308" cy="39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534866</xdr:colOff>
      <xdr:row>7</xdr:row>
      <xdr:rowOff>65941</xdr:rowOff>
    </xdr:from>
    <xdr:to>
      <xdr:col>4</xdr:col>
      <xdr:colOff>175848</xdr:colOff>
      <xdr:row>8</xdr:row>
      <xdr:rowOff>51288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DDDC092-2C7B-450A-8FED-9B9F74788526}"/>
            </a:ext>
          </a:extLst>
        </xdr:cNvPr>
        <xdr:cNvCxnSpPr/>
      </xdr:nvCxnSpPr>
      <xdr:spPr>
        <a:xfrm flipV="1">
          <a:off x="2359270" y="1399441"/>
          <a:ext cx="249116" cy="1758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584689</xdr:colOff>
      <xdr:row>9</xdr:row>
      <xdr:rowOff>64478</xdr:rowOff>
    </xdr:from>
    <xdr:to>
      <xdr:col>4</xdr:col>
      <xdr:colOff>197828</xdr:colOff>
      <xdr:row>10</xdr:row>
      <xdr:rowOff>21981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D46B216-D83D-4F6B-8662-B312F8900786}"/>
            </a:ext>
          </a:extLst>
        </xdr:cNvPr>
        <xdr:cNvCxnSpPr/>
      </xdr:nvCxnSpPr>
      <xdr:spPr>
        <a:xfrm>
          <a:off x="2409093" y="1778978"/>
          <a:ext cx="221273" cy="1480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232998</xdr:colOff>
      <xdr:row>5</xdr:row>
      <xdr:rowOff>180974</xdr:rowOff>
    </xdr:from>
    <xdr:to>
      <xdr:col>4</xdr:col>
      <xdr:colOff>505867</xdr:colOff>
      <xdr:row>7</xdr:row>
      <xdr:rowOff>73268</xdr:rowOff>
    </xdr:to>
    <xdr:pic>
      <xdr:nvPicPr>
        <xdr:cNvPr id="10" name="Picture 9" descr="Infected Person Icon of Glyph style - Available in SVG, PNG, EPS ...">
          <a:extLst>
            <a:ext uri="{FF2B5EF4-FFF2-40B4-BE49-F238E27FC236}">
              <a16:creationId xmlns:a16="http://schemas.microsoft.com/office/drawing/2014/main" id="{E13E9AD7-1BFA-4396-B2A9-7FD451D23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5536" y="1133474"/>
          <a:ext cx="272869" cy="27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19051</xdr:colOff>
      <xdr:row>11</xdr:row>
      <xdr:rowOff>99647</xdr:rowOff>
    </xdr:from>
    <xdr:to>
      <xdr:col>5</xdr:col>
      <xdr:colOff>240324</xdr:colOff>
      <xdr:row>12</xdr:row>
      <xdr:rowOff>57150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709AE4A-89A8-40D6-929B-5C5630BC583C}"/>
            </a:ext>
          </a:extLst>
        </xdr:cNvPr>
        <xdr:cNvCxnSpPr/>
      </xdr:nvCxnSpPr>
      <xdr:spPr>
        <a:xfrm>
          <a:off x="3059724" y="2195147"/>
          <a:ext cx="221273" cy="1480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24913</xdr:colOff>
      <xdr:row>9</xdr:row>
      <xdr:rowOff>17951</xdr:rowOff>
    </xdr:from>
    <xdr:to>
      <xdr:col>5</xdr:col>
      <xdr:colOff>282820</xdr:colOff>
      <xdr:row>9</xdr:row>
      <xdr:rowOff>149469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AF32438-880D-476F-98C5-74C990B7642A}"/>
            </a:ext>
          </a:extLst>
        </xdr:cNvPr>
        <xdr:cNvCxnSpPr>
          <a:cxnSpLocks/>
        </xdr:cNvCxnSpPr>
      </xdr:nvCxnSpPr>
      <xdr:spPr>
        <a:xfrm flipV="1">
          <a:off x="3065586" y="1732451"/>
          <a:ext cx="257907" cy="1315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231532</xdr:colOff>
      <xdr:row>9</xdr:row>
      <xdr:rowOff>69605</xdr:rowOff>
    </xdr:from>
    <xdr:to>
      <xdr:col>4</xdr:col>
      <xdr:colOff>504401</xdr:colOff>
      <xdr:row>10</xdr:row>
      <xdr:rowOff>152399</xdr:rowOff>
    </xdr:to>
    <xdr:pic>
      <xdr:nvPicPr>
        <xdr:cNvPr id="20" name="Picture 19" descr="Infected Person Icon of Glyph style - Available in SVG, PNG, EPS ...">
          <a:extLst>
            <a:ext uri="{FF2B5EF4-FFF2-40B4-BE49-F238E27FC236}">
              <a16:creationId xmlns:a16="http://schemas.microsoft.com/office/drawing/2014/main" id="{DC742913-9065-4D45-BAD9-4DA3837A9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4070" y="1784105"/>
          <a:ext cx="272869" cy="27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594948</xdr:colOff>
      <xdr:row>5</xdr:row>
      <xdr:rowOff>1831</xdr:rowOff>
    </xdr:from>
    <xdr:to>
      <xdr:col>5</xdr:col>
      <xdr:colOff>244720</xdr:colOff>
      <xdr:row>5</xdr:row>
      <xdr:rowOff>133349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CD6DF48-A7CC-4773-A1F0-147B644C0804}"/>
            </a:ext>
          </a:extLst>
        </xdr:cNvPr>
        <xdr:cNvCxnSpPr>
          <a:cxnSpLocks/>
        </xdr:cNvCxnSpPr>
      </xdr:nvCxnSpPr>
      <xdr:spPr>
        <a:xfrm flipV="1">
          <a:off x="3027486" y="954331"/>
          <a:ext cx="257907" cy="1315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571502</xdr:colOff>
      <xdr:row>7</xdr:row>
      <xdr:rowOff>58614</xdr:rowOff>
    </xdr:from>
    <xdr:to>
      <xdr:col>5</xdr:col>
      <xdr:colOff>241789</xdr:colOff>
      <xdr:row>8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D44274E-D572-495D-BA12-2DD103CDFC43}"/>
            </a:ext>
          </a:extLst>
        </xdr:cNvPr>
        <xdr:cNvCxnSpPr>
          <a:cxnSpLocks/>
        </xdr:cNvCxnSpPr>
      </xdr:nvCxnSpPr>
      <xdr:spPr>
        <a:xfrm>
          <a:off x="3004040" y="1392114"/>
          <a:ext cx="278422" cy="1318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14654</xdr:colOff>
      <xdr:row>10</xdr:row>
      <xdr:rowOff>139212</xdr:rowOff>
    </xdr:from>
    <xdr:to>
      <xdr:col>5</xdr:col>
      <xdr:colOff>315058</xdr:colOff>
      <xdr:row>10</xdr:row>
      <xdr:rowOff>153865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B77792A1-22E1-44A3-8404-61A782EBC58F}"/>
            </a:ext>
          </a:extLst>
        </xdr:cNvPr>
        <xdr:cNvCxnSpPr>
          <a:cxnSpLocks/>
        </xdr:cNvCxnSpPr>
      </xdr:nvCxnSpPr>
      <xdr:spPr>
        <a:xfrm>
          <a:off x="3055327" y="2044212"/>
          <a:ext cx="300404" cy="146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376605</xdr:colOff>
      <xdr:row>11</xdr:row>
      <xdr:rowOff>148736</xdr:rowOff>
    </xdr:from>
    <xdr:to>
      <xdr:col>6</xdr:col>
      <xdr:colOff>41339</xdr:colOff>
      <xdr:row>13</xdr:row>
      <xdr:rowOff>41030</xdr:rowOff>
    </xdr:to>
    <xdr:pic>
      <xdr:nvPicPr>
        <xdr:cNvPr id="28" name="Picture 27" descr="Infected Person Icon of Glyph style - Available in SVG, PNG, EPS ...">
          <a:extLst>
            <a:ext uri="{FF2B5EF4-FFF2-40B4-BE49-F238E27FC236}">
              <a16:creationId xmlns:a16="http://schemas.microsoft.com/office/drawing/2014/main" id="{63E64F2D-C80A-43CF-BAA4-84B78DEBE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7278" y="2244236"/>
          <a:ext cx="272869" cy="27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367812</xdr:colOff>
      <xdr:row>9</xdr:row>
      <xdr:rowOff>169251</xdr:rowOff>
    </xdr:from>
    <xdr:to>
      <xdr:col>6</xdr:col>
      <xdr:colOff>32546</xdr:colOff>
      <xdr:row>11</xdr:row>
      <xdr:rowOff>61545</xdr:rowOff>
    </xdr:to>
    <xdr:pic>
      <xdr:nvPicPr>
        <xdr:cNvPr id="29" name="Picture 28" descr="Infected Person Icon of Glyph style - Available in SVG, PNG, EPS ...">
          <a:extLst>
            <a:ext uri="{FF2B5EF4-FFF2-40B4-BE49-F238E27FC236}">
              <a16:creationId xmlns:a16="http://schemas.microsoft.com/office/drawing/2014/main" id="{D6B2F4A2-28E8-4D5F-8EAA-1961B23DB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8485" y="1883751"/>
          <a:ext cx="272869" cy="27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381000</xdr:colOff>
      <xdr:row>8</xdr:row>
      <xdr:rowOff>50555</xdr:rowOff>
    </xdr:from>
    <xdr:to>
      <xdr:col>6</xdr:col>
      <xdr:colOff>45734</xdr:colOff>
      <xdr:row>9</xdr:row>
      <xdr:rowOff>133349</xdr:rowOff>
    </xdr:to>
    <xdr:pic>
      <xdr:nvPicPr>
        <xdr:cNvPr id="30" name="Picture 29" descr="Infected Person Icon of Glyph style - Available in SVG, PNG, EPS ...">
          <a:extLst>
            <a:ext uri="{FF2B5EF4-FFF2-40B4-BE49-F238E27FC236}">
              <a16:creationId xmlns:a16="http://schemas.microsoft.com/office/drawing/2014/main" id="{EE5C44AA-4918-47AD-AA5D-9BF67DD04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673" y="1574555"/>
          <a:ext cx="272869" cy="27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350226</xdr:colOff>
      <xdr:row>3</xdr:row>
      <xdr:rowOff>173646</xdr:rowOff>
    </xdr:from>
    <xdr:to>
      <xdr:col>6</xdr:col>
      <xdr:colOff>14960</xdr:colOff>
      <xdr:row>5</xdr:row>
      <xdr:rowOff>65940</xdr:rowOff>
    </xdr:to>
    <xdr:pic>
      <xdr:nvPicPr>
        <xdr:cNvPr id="31" name="Picture 30" descr="Infected Person Icon of Glyph style - Available in SVG, PNG, EPS ...">
          <a:extLst>
            <a:ext uri="{FF2B5EF4-FFF2-40B4-BE49-F238E27FC236}">
              <a16:creationId xmlns:a16="http://schemas.microsoft.com/office/drawing/2014/main" id="{DDCEA9BD-C04D-4C92-A0E9-64B2C2B23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899" y="745146"/>
          <a:ext cx="272869" cy="27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363415</xdr:colOff>
      <xdr:row>6</xdr:row>
      <xdr:rowOff>54950</xdr:rowOff>
    </xdr:from>
    <xdr:to>
      <xdr:col>6</xdr:col>
      <xdr:colOff>28149</xdr:colOff>
      <xdr:row>7</xdr:row>
      <xdr:rowOff>137744</xdr:rowOff>
    </xdr:to>
    <xdr:pic>
      <xdr:nvPicPr>
        <xdr:cNvPr id="32" name="Picture 31" descr="Infected Person Icon of Glyph style - Available in SVG, PNG, EPS ...">
          <a:extLst>
            <a:ext uri="{FF2B5EF4-FFF2-40B4-BE49-F238E27FC236}">
              <a16:creationId xmlns:a16="http://schemas.microsoft.com/office/drawing/2014/main" id="{D151332B-D757-44EC-B8FA-AE7BE456E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88" y="1197950"/>
          <a:ext cx="272869" cy="27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111370</xdr:colOff>
      <xdr:row>8</xdr:row>
      <xdr:rowOff>22713</xdr:rowOff>
    </xdr:from>
    <xdr:ext cx="394308" cy="394922"/>
    <xdr:pic>
      <xdr:nvPicPr>
        <xdr:cNvPr id="33" name="Picture 32" descr="Infected Person Icon of Glyph style - Available in SVG, PNG, EPS ...">
          <a:extLst>
            <a:ext uri="{FF2B5EF4-FFF2-40B4-BE49-F238E27FC236}">
              <a16:creationId xmlns:a16="http://schemas.microsoft.com/office/drawing/2014/main" id="{E8852FF1-0511-4CD1-8B92-108A343EC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774" y="1546713"/>
          <a:ext cx="394308" cy="39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534866</xdr:colOff>
      <xdr:row>7</xdr:row>
      <xdr:rowOff>65941</xdr:rowOff>
    </xdr:from>
    <xdr:to>
      <xdr:col>8</xdr:col>
      <xdr:colOff>175848</xdr:colOff>
      <xdr:row>8</xdr:row>
      <xdr:rowOff>51288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166D93D-17C4-426C-BC5A-4CB009F2B43B}"/>
            </a:ext>
          </a:extLst>
        </xdr:cNvPr>
        <xdr:cNvCxnSpPr/>
      </xdr:nvCxnSpPr>
      <xdr:spPr>
        <a:xfrm flipV="1">
          <a:off x="2359270" y="1399441"/>
          <a:ext cx="249116" cy="1758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584689</xdr:colOff>
      <xdr:row>9</xdr:row>
      <xdr:rowOff>64478</xdr:rowOff>
    </xdr:from>
    <xdr:to>
      <xdr:col>8</xdr:col>
      <xdr:colOff>197828</xdr:colOff>
      <xdr:row>10</xdr:row>
      <xdr:rowOff>21981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E158D685-F1B7-4181-B786-23F8AAB7CC2C}"/>
            </a:ext>
          </a:extLst>
        </xdr:cNvPr>
        <xdr:cNvCxnSpPr/>
      </xdr:nvCxnSpPr>
      <xdr:spPr>
        <a:xfrm>
          <a:off x="2409093" y="1778978"/>
          <a:ext cx="221273" cy="1480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232998</xdr:colOff>
      <xdr:row>5</xdr:row>
      <xdr:rowOff>180974</xdr:rowOff>
    </xdr:from>
    <xdr:ext cx="272869" cy="273294"/>
    <xdr:pic>
      <xdr:nvPicPr>
        <xdr:cNvPr id="36" name="Picture 35" descr="Infected Person Icon of Glyph style - Available in SVG, PNG, EPS ...">
          <a:extLst>
            <a:ext uri="{FF2B5EF4-FFF2-40B4-BE49-F238E27FC236}">
              <a16:creationId xmlns:a16="http://schemas.microsoft.com/office/drawing/2014/main" id="{480068CB-2307-4E94-911F-500A54B6F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5536" y="1133474"/>
          <a:ext cx="272869" cy="27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19051</xdr:colOff>
      <xdr:row>11</xdr:row>
      <xdr:rowOff>99647</xdr:rowOff>
    </xdr:from>
    <xdr:to>
      <xdr:col>9</xdr:col>
      <xdr:colOff>240324</xdr:colOff>
      <xdr:row>12</xdr:row>
      <xdr:rowOff>57150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B4ECD73-28C1-43C2-A19F-3156843E9FA9}"/>
            </a:ext>
          </a:extLst>
        </xdr:cNvPr>
        <xdr:cNvCxnSpPr/>
      </xdr:nvCxnSpPr>
      <xdr:spPr>
        <a:xfrm>
          <a:off x="3059724" y="2195147"/>
          <a:ext cx="221273" cy="1480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24913</xdr:colOff>
      <xdr:row>9</xdr:row>
      <xdr:rowOff>17951</xdr:rowOff>
    </xdr:from>
    <xdr:to>
      <xdr:col>9</xdr:col>
      <xdr:colOff>282820</xdr:colOff>
      <xdr:row>9</xdr:row>
      <xdr:rowOff>149469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A52AF43B-0CA0-4091-B3B8-5DEA34EBB53E}"/>
            </a:ext>
          </a:extLst>
        </xdr:cNvPr>
        <xdr:cNvCxnSpPr>
          <a:cxnSpLocks/>
        </xdr:cNvCxnSpPr>
      </xdr:nvCxnSpPr>
      <xdr:spPr>
        <a:xfrm flipV="1">
          <a:off x="3065586" y="1732451"/>
          <a:ext cx="257907" cy="1315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231532</xdr:colOff>
      <xdr:row>9</xdr:row>
      <xdr:rowOff>69605</xdr:rowOff>
    </xdr:from>
    <xdr:ext cx="272869" cy="273294"/>
    <xdr:pic>
      <xdr:nvPicPr>
        <xdr:cNvPr id="39" name="Picture 38" descr="Infected Person Icon of Glyph style - Available in SVG, PNG, EPS ...">
          <a:extLst>
            <a:ext uri="{FF2B5EF4-FFF2-40B4-BE49-F238E27FC236}">
              <a16:creationId xmlns:a16="http://schemas.microsoft.com/office/drawing/2014/main" id="{2EE29F9A-4E43-4804-80FF-A65983038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4070" y="1784105"/>
          <a:ext cx="272869" cy="27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594948</xdr:colOff>
      <xdr:row>5</xdr:row>
      <xdr:rowOff>1831</xdr:rowOff>
    </xdr:from>
    <xdr:to>
      <xdr:col>9</xdr:col>
      <xdr:colOff>244720</xdr:colOff>
      <xdr:row>5</xdr:row>
      <xdr:rowOff>133349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C97D682-9F6B-4032-B784-5CD7A5C219DA}"/>
            </a:ext>
          </a:extLst>
        </xdr:cNvPr>
        <xdr:cNvCxnSpPr>
          <a:cxnSpLocks/>
        </xdr:cNvCxnSpPr>
      </xdr:nvCxnSpPr>
      <xdr:spPr>
        <a:xfrm flipV="1">
          <a:off x="3027486" y="954331"/>
          <a:ext cx="257907" cy="1315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571502</xdr:colOff>
      <xdr:row>7</xdr:row>
      <xdr:rowOff>58614</xdr:rowOff>
    </xdr:from>
    <xdr:to>
      <xdr:col>9</xdr:col>
      <xdr:colOff>241789</xdr:colOff>
      <xdr:row>8</xdr:row>
      <xdr:rowOff>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1D99632E-1135-48FF-B90C-A78F68029D7C}"/>
            </a:ext>
          </a:extLst>
        </xdr:cNvPr>
        <xdr:cNvCxnSpPr>
          <a:cxnSpLocks/>
        </xdr:cNvCxnSpPr>
      </xdr:nvCxnSpPr>
      <xdr:spPr>
        <a:xfrm>
          <a:off x="3004040" y="1392114"/>
          <a:ext cx="278422" cy="1318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14654</xdr:colOff>
      <xdr:row>10</xdr:row>
      <xdr:rowOff>139212</xdr:rowOff>
    </xdr:from>
    <xdr:to>
      <xdr:col>9</xdr:col>
      <xdr:colOff>315058</xdr:colOff>
      <xdr:row>10</xdr:row>
      <xdr:rowOff>153865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373A7DCB-E718-4BEE-8776-CB4027F6A4A9}"/>
            </a:ext>
          </a:extLst>
        </xdr:cNvPr>
        <xdr:cNvCxnSpPr>
          <a:cxnSpLocks/>
        </xdr:cNvCxnSpPr>
      </xdr:nvCxnSpPr>
      <xdr:spPr>
        <a:xfrm>
          <a:off x="3055327" y="2044212"/>
          <a:ext cx="300404" cy="146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376605</xdr:colOff>
      <xdr:row>11</xdr:row>
      <xdr:rowOff>148736</xdr:rowOff>
    </xdr:from>
    <xdr:ext cx="272869" cy="273294"/>
    <xdr:pic>
      <xdr:nvPicPr>
        <xdr:cNvPr id="43" name="Picture 42" descr="Infected Person Icon of Glyph style - Available in SVG, PNG, EPS ...">
          <a:extLst>
            <a:ext uri="{FF2B5EF4-FFF2-40B4-BE49-F238E27FC236}">
              <a16:creationId xmlns:a16="http://schemas.microsoft.com/office/drawing/2014/main" id="{6268FF88-AE53-4783-83DE-9E8DC87EC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7278" y="2244236"/>
          <a:ext cx="272869" cy="27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367812</xdr:colOff>
      <xdr:row>9</xdr:row>
      <xdr:rowOff>169251</xdr:rowOff>
    </xdr:from>
    <xdr:ext cx="272869" cy="273294"/>
    <xdr:pic>
      <xdr:nvPicPr>
        <xdr:cNvPr id="44" name="Picture 43" descr="Infected Person Icon of Glyph style - Available in SVG, PNG, EPS ...">
          <a:extLst>
            <a:ext uri="{FF2B5EF4-FFF2-40B4-BE49-F238E27FC236}">
              <a16:creationId xmlns:a16="http://schemas.microsoft.com/office/drawing/2014/main" id="{374EB629-9054-4C5E-96E8-077687979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8485" y="1883751"/>
          <a:ext cx="272869" cy="27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381000</xdr:colOff>
      <xdr:row>8</xdr:row>
      <xdr:rowOff>50555</xdr:rowOff>
    </xdr:from>
    <xdr:ext cx="272869" cy="273294"/>
    <xdr:pic>
      <xdr:nvPicPr>
        <xdr:cNvPr id="45" name="Picture 44" descr="Infected Person Icon of Glyph style - Available in SVG, PNG, EPS ...">
          <a:extLst>
            <a:ext uri="{FF2B5EF4-FFF2-40B4-BE49-F238E27FC236}">
              <a16:creationId xmlns:a16="http://schemas.microsoft.com/office/drawing/2014/main" id="{A8917173-AEFC-4B90-A0F6-669466CD4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673" y="1574555"/>
          <a:ext cx="272869" cy="27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350226</xdr:colOff>
      <xdr:row>3</xdr:row>
      <xdr:rowOff>173646</xdr:rowOff>
    </xdr:from>
    <xdr:ext cx="272869" cy="273294"/>
    <xdr:pic>
      <xdr:nvPicPr>
        <xdr:cNvPr id="46" name="Picture 45" descr="Infected Person Icon of Glyph style - Available in SVG, PNG, EPS ...">
          <a:extLst>
            <a:ext uri="{FF2B5EF4-FFF2-40B4-BE49-F238E27FC236}">
              <a16:creationId xmlns:a16="http://schemas.microsoft.com/office/drawing/2014/main" id="{054B4944-445C-4D08-9564-1C5542C08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899" y="745146"/>
          <a:ext cx="272869" cy="27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363415</xdr:colOff>
      <xdr:row>6</xdr:row>
      <xdr:rowOff>54950</xdr:rowOff>
    </xdr:from>
    <xdr:ext cx="272869" cy="273294"/>
    <xdr:pic>
      <xdr:nvPicPr>
        <xdr:cNvPr id="47" name="Picture 46" descr="Infected Person Icon of Glyph style - Available in SVG, PNG, EPS ...">
          <a:extLst>
            <a:ext uri="{FF2B5EF4-FFF2-40B4-BE49-F238E27FC236}">
              <a16:creationId xmlns:a16="http://schemas.microsoft.com/office/drawing/2014/main" id="{943CAF3D-38BA-42B3-8159-0443928D6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88" y="1197950"/>
          <a:ext cx="272869" cy="27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33"/>
  <sheetViews>
    <sheetView showGridLines="0" topLeftCell="A13" zoomScale="160" zoomScaleNormal="160" workbookViewId="0">
      <selection activeCell="G23" sqref="G23"/>
    </sheetView>
  </sheetViews>
  <sheetFormatPr defaultColWidth="17.28515625" defaultRowHeight="11.25"/>
  <cols>
    <col min="1" max="1" width="3.85546875" style="6" customWidth="1"/>
    <col min="2" max="2" width="53.7109375" style="6" customWidth="1"/>
    <col min="3" max="3" width="16.28515625" style="6" customWidth="1"/>
    <col min="4" max="4" width="15.85546875" style="6" customWidth="1"/>
    <col min="5" max="5" width="15.7109375" style="6" customWidth="1"/>
    <col min="6" max="6" width="5.140625" style="6" customWidth="1"/>
    <col min="7" max="7" width="53.7109375" style="26" customWidth="1"/>
    <col min="8" max="8" width="12" style="6" customWidth="1"/>
    <col min="9" max="9" width="20.28515625" style="6" customWidth="1"/>
    <col min="10" max="10" width="8.28515625" style="6" customWidth="1"/>
    <col min="11" max="11" width="24.28515625" style="6" customWidth="1"/>
    <col min="12" max="12" width="18.85546875" style="6" customWidth="1"/>
    <col min="13" max="13" width="19.42578125" style="6" customWidth="1"/>
    <col min="14" max="16384" width="17.28515625" style="6"/>
  </cols>
  <sheetData>
    <row r="5" spans="2:13">
      <c r="B5" s="7"/>
      <c r="C5" s="7"/>
      <c r="D5" s="7"/>
    </row>
    <row r="6" spans="2:13" s="5" customFormat="1" ht="33.75">
      <c r="B6" s="9" t="s">
        <v>31</v>
      </c>
      <c r="C6" s="9" t="s">
        <v>24</v>
      </c>
      <c r="D6" s="9" t="s">
        <v>25</v>
      </c>
      <c r="E6" s="9" t="s">
        <v>0</v>
      </c>
      <c r="F6" s="4"/>
      <c r="G6" s="9" t="s">
        <v>23</v>
      </c>
      <c r="H6" s="38" t="s">
        <v>20</v>
      </c>
      <c r="I6" s="38" t="s">
        <v>19</v>
      </c>
      <c r="J6" s="38" t="s">
        <v>21</v>
      </c>
      <c r="K6" s="38" t="s">
        <v>67</v>
      </c>
      <c r="L6" s="38" t="s">
        <v>1</v>
      </c>
      <c r="M6" s="38" t="s">
        <v>22</v>
      </c>
    </row>
    <row r="7" spans="2:13">
      <c r="B7" s="6" t="s">
        <v>28</v>
      </c>
      <c r="C7" s="6" t="s">
        <v>28</v>
      </c>
      <c r="D7" s="6">
        <v>1</v>
      </c>
      <c r="E7" s="12">
        <v>5</v>
      </c>
      <c r="F7" s="12"/>
      <c r="G7" s="37" t="s">
        <v>68</v>
      </c>
      <c r="H7" s="20">
        <f>parametros_calculos_adicionales!C7*parametros_calculos_adicionales!E7*parametros_calculos_adicionales!D7</f>
        <v>120930.07725</v>
      </c>
      <c r="I7" s="20">
        <v>0</v>
      </c>
      <c r="J7" s="27">
        <f t="shared" ref="J7:J12" si="0">SUM(H7:I7)</f>
        <v>120930.07725</v>
      </c>
      <c r="K7" s="20">
        <v>0</v>
      </c>
      <c r="L7" s="19">
        <f>parametros_calculos_adicionales!$C$16*resultado!H7*-1/1000000</f>
        <v>-73101.764454878765</v>
      </c>
      <c r="M7" s="39">
        <f>SUM(K7:L7)/parametros_calculos_adicionales!$C$17*1000000</f>
        <v>-2.3023829104707579E-2</v>
      </c>
    </row>
    <row r="8" spans="2:13">
      <c r="B8" s="6" t="s">
        <v>28</v>
      </c>
      <c r="C8" s="6" t="s">
        <v>29</v>
      </c>
      <c r="D8" s="6">
        <v>1</v>
      </c>
      <c r="E8" s="12">
        <v>5</v>
      </c>
      <c r="F8" s="12"/>
      <c r="G8" s="37" t="s">
        <v>69</v>
      </c>
      <c r="H8" s="20">
        <f>parametros_calculos_adicionales!C8*parametros_calculos_adicionales!E8*parametros_calculos_adicionales!D8</f>
        <v>120930.07725</v>
      </c>
      <c r="I8" s="20">
        <v>0</v>
      </c>
      <c r="J8" s="27">
        <f t="shared" si="0"/>
        <v>120930.07725</v>
      </c>
      <c r="K8" s="20">
        <v>0</v>
      </c>
      <c r="L8" s="19">
        <f>parametros_calculos_adicionales!$C$16*resultado!H8*-1/1000000</f>
        <v>-73101.764454878765</v>
      </c>
      <c r="M8" s="39">
        <f>SUM(K8:L8)/parametros_calculos_adicionales!$C$17*1000000</f>
        <v>-2.3023829104707579E-2</v>
      </c>
    </row>
    <row r="9" spans="2:13">
      <c r="B9" s="6" t="s">
        <v>28</v>
      </c>
      <c r="C9" s="6" t="s">
        <v>28</v>
      </c>
      <c r="D9" s="6">
        <v>2</v>
      </c>
      <c r="E9" s="12">
        <v>10</v>
      </c>
      <c r="F9" s="12"/>
      <c r="G9" s="37" t="s">
        <v>70</v>
      </c>
      <c r="H9" s="20">
        <f>parametros_calculos_adicionales!C8*parametros_calculos_adicionales!E8*parametros_calculos_adicionales!D8</f>
        <v>120930.07725</v>
      </c>
      <c r="I9" s="20">
        <v>0</v>
      </c>
      <c r="J9" s="27">
        <f t="shared" si="0"/>
        <v>120930.07725</v>
      </c>
      <c r="K9" s="20">
        <v>0</v>
      </c>
      <c r="L9" s="19">
        <f>parametros_calculos_adicionales!$C$16*resultado!H9*-1/1000000</f>
        <v>-73101.764454878765</v>
      </c>
      <c r="M9" s="39">
        <f>SUM(K9:L9)/parametros_calculos_adicionales!$C$17*1000000</f>
        <v>-2.3023829104707579E-2</v>
      </c>
    </row>
    <row r="10" spans="2:13">
      <c r="B10" s="6" t="s">
        <v>28</v>
      </c>
      <c r="C10" s="6" t="s">
        <v>29</v>
      </c>
      <c r="D10" s="6">
        <v>2</v>
      </c>
      <c r="E10" s="12">
        <v>10</v>
      </c>
      <c r="F10" s="12"/>
      <c r="G10" s="37" t="s">
        <v>71</v>
      </c>
      <c r="H10" s="20">
        <f>parametros_calculos_adicionales!C8*parametros_calculos_adicionales!E8*parametros_calculos_adicionales!D8</f>
        <v>120930.07725</v>
      </c>
      <c r="I10" s="20">
        <v>0</v>
      </c>
      <c r="J10" s="27">
        <f t="shared" si="0"/>
        <v>120930.07725</v>
      </c>
      <c r="K10" s="20">
        <v>0</v>
      </c>
      <c r="L10" s="19">
        <f>parametros_calculos_adicionales!$C$16*resultado!H10*-1/1000000</f>
        <v>-73101.764454878765</v>
      </c>
      <c r="M10" s="39">
        <f>SUM(K10:L10)/parametros_calculos_adicionales!$C$17*1000000</f>
        <v>-2.3023829104707579E-2</v>
      </c>
    </row>
    <row r="11" spans="2:13">
      <c r="G11" s="37" t="s">
        <v>73</v>
      </c>
      <c r="H11" s="20">
        <v>471</v>
      </c>
      <c r="I11" s="20">
        <f>C31</f>
        <v>137357.64313862156</v>
      </c>
      <c r="J11" s="27">
        <f t="shared" si="0"/>
        <v>137828.64313862156</v>
      </c>
      <c r="K11" s="19">
        <f>I11*parametros_calculos_adicionales!$C$16*-1/1000000</f>
        <v>-83032.164562656879</v>
      </c>
      <c r="L11" s="19">
        <f>parametros_calculos_adicionales!$C$16*resultado!H11*-1/1000000</f>
        <v>-284.71768017702067</v>
      </c>
      <c r="M11" s="39">
        <f>SUM(K11:L11)/parametros_calculos_adicionales!$C$17*1000000</f>
        <v>-2.6241140314473343E-2</v>
      </c>
    </row>
    <row r="12" spans="2:13">
      <c r="G12" s="37" t="s">
        <v>72</v>
      </c>
      <c r="H12" s="20">
        <v>473</v>
      </c>
      <c r="I12" s="20">
        <f>D31</f>
        <v>183143.52418482874</v>
      </c>
      <c r="J12" s="27">
        <f t="shared" si="0"/>
        <v>183616.52418482874</v>
      </c>
      <c r="K12" s="19">
        <f>I12*parametros_calculos_adicionales!$C$16*-1/1000000</f>
        <v>-110709.55275020917</v>
      </c>
      <c r="L12" s="19">
        <f>parametros_calculos_adicionales!$C$16*resultado!H12*-1/1000000</f>
        <v>-285.92667244953452</v>
      </c>
      <c r="M12" s="39">
        <f>SUM(K12:L12)/parametros_calculos_adicionales!$C$17*1000000</f>
        <v>-3.4958676697875869E-2</v>
      </c>
    </row>
    <row r="13" spans="2:13">
      <c r="H13" s="20"/>
      <c r="I13" s="20"/>
      <c r="J13" s="20"/>
      <c r="K13" s="20"/>
    </row>
    <row r="14" spans="2:13">
      <c r="H14" s="20"/>
      <c r="I14" s="20"/>
      <c r="J14" s="20"/>
      <c r="K14" s="20"/>
    </row>
    <row r="15" spans="2:13" ht="33.75">
      <c r="B15" s="9" t="s">
        <v>31</v>
      </c>
      <c r="C15" s="9" t="s">
        <v>65</v>
      </c>
      <c r="D15" s="9" t="s">
        <v>66</v>
      </c>
      <c r="E15" s="9" t="s">
        <v>32</v>
      </c>
      <c r="H15" s="20"/>
      <c r="I15" s="20"/>
      <c r="J15" s="20"/>
      <c r="K15" s="20"/>
    </row>
    <row r="16" spans="2:13">
      <c r="B16" s="6" t="s">
        <v>29</v>
      </c>
      <c r="C16" s="6">
        <v>12</v>
      </c>
      <c r="D16" s="6">
        <v>3</v>
      </c>
      <c r="E16" s="6">
        <v>12</v>
      </c>
      <c r="F16" s="28"/>
      <c r="H16" s="20"/>
      <c r="I16" s="20"/>
      <c r="J16" s="20"/>
      <c r="K16" s="20"/>
    </row>
    <row r="17" spans="2:7">
      <c r="B17" s="6" t="s">
        <v>29</v>
      </c>
      <c r="C17" s="6">
        <v>16</v>
      </c>
      <c r="D17" s="6">
        <v>3</v>
      </c>
      <c r="E17" s="6">
        <v>16</v>
      </c>
      <c r="F17" s="28"/>
      <c r="G17" s="29"/>
    </row>
    <row r="20" spans="2:7">
      <c r="B20" s="8" t="s">
        <v>12</v>
      </c>
      <c r="C20" s="6">
        <v>17915567</v>
      </c>
      <c r="D20" s="6">
        <v>17915567</v>
      </c>
    </row>
    <row r="21" spans="2:7">
      <c r="B21" s="8" t="s">
        <v>33</v>
      </c>
      <c r="C21" s="6">
        <f>E16</f>
        <v>12</v>
      </c>
      <c r="D21" s="6">
        <f>E17</f>
        <v>16</v>
      </c>
    </row>
    <row r="22" spans="2:7">
      <c r="B22" s="31"/>
    </row>
    <row r="23" spans="2:7">
      <c r="B23" s="8" t="s">
        <v>36</v>
      </c>
      <c r="C23" s="6">
        <v>2</v>
      </c>
      <c r="D23" s="6">
        <v>2</v>
      </c>
    </row>
    <row r="24" spans="2:7">
      <c r="B24" s="8" t="s">
        <v>35</v>
      </c>
      <c r="C24" s="6">
        <v>6</v>
      </c>
      <c r="D24" s="6">
        <v>6</v>
      </c>
    </row>
    <row r="26" spans="2:7">
      <c r="B26" s="8" t="s">
        <v>34</v>
      </c>
      <c r="C26" s="6">
        <f>+C23*5+2*C24</f>
        <v>22</v>
      </c>
      <c r="D26" s="6">
        <f>+D23*5+2*D24</f>
        <v>22</v>
      </c>
    </row>
    <row r="28" spans="2:7">
      <c r="B28" s="8" t="s">
        <v>37</v>
      </c>
      <c r="C28" s="6">
        <f>C26*C21*(52/4)</f>
        <v>3432</v>
      </c>
      <c r="D28" s="6">
        <f>D26*D21*(52/4)</f>
        <v>4576</v>
      </c>
    </row>
    <row r="29" spans="2:7">
      <c r="C29" s="11"/>
      <c r="D29" s="11"/>
    </row>
    <row r="30" spans="2:7">
      <c r="B30" s="8" t="s">
        <v>38</v>
      </c>
      <c r="C30" s="6">
        <f>+C28*C20</f>
        <v>61486225944</v>
      </c>
      <c r="D30" s="6">
        <f>+D28*D20</f>
        <v>81981634592</v>
      </c>
    </row>
    <row r="31" spans="2:7">
      <c r="B31" s="8" t="s">
        <v>39</v>
      </c>
      <c r="C31" s="12">
        <f>C30/(parametros_calculos_adicionales!C4*365*24)</f>
        <v>137357.64313862156</v>
      </c>
      <c r="D31" s="12">
        <f>D30/(parametros_calculos_adicionales!C4*365*24)</f>
        <v>183143.52418482874</v>
      </c>
    </row>
    <row r="33" spans="2:3">
      <c r="B33" s="8"/>
      <c r="C33" s="1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E17"/>
  <sheetViews>
    <sheetView showGridLines="0" workbookViewId="0">
      <selection activeCell="A2" sqref="A2"/>
    </sheetView>
  </sheetViews>
  <sheetFormatPr defaultRowHeight="15"/>
  <cols>
    <col min="1" max="1" width="3.5703125" customWidth="1"/>
    <col min="2" max="2" width="41.28515625" bestFit="1" customWidth="1"/>
    <col min="3" max="3" width="16.7109375" customWidth="1"/>
    <col min="4" max="4" width="14.85546875" customWidth="1"/>
    <col min="5" max="5" width="15.5703125" customWidth="1"/>
    <col min="6" max="6" width="15.140625" customWidth="1"/>
    <col min="7" max="7" width="13.140625" customWidth="1"/>
    <col min="8" max="8" width="11.7109375" customWidth="1"/>
    <col min="9" max="9" width="13.140625" customWidth="1"/>
  </cols>
  <sheetData>
    <row r="2" spans="2:57">
      <c r="B2" s="10" t="s">
        <v>27</v>
      </c>
      <c r="C2" s="12">
        <v>22.9</v>
      </c>
    </row>
    <row r="3" spans="2:57">
      <c r="B3" s="8" t="s">
        <v>3</v>
      </c>
      <c r="C3" s="12">
        <v>74</v>
      </c>
    </row>
    <row r="4" spans="2:57">
      <c r="B4" s="8" t="s">
        <v>26</v>
      </c>
      <c r="C4" s="12">
        <f>C3-C2</f>
        <v>51.1</v>
      </c>
    </row>
    <row r="5" spans="2:57">
      <c r="B5" s="8"/>
      <c r="C5" s="6"/>
    </row>
    <row r="6" spans="2:57" ht="45">
      <c r="B6" s="8"/>
      <c r="C6" s="9" t="s">
        <v>55</v>
      </c>
      <c r="D6" s="9" t="s">
        <v>13</v>
      </c>
      <c r="E6" s="9" t="s">
        <v>12</v>
      </c>
      <c r="F6" s="9" t="s">
        <v>2</v>
      </c>
      <c r="G6" s="9" t="s">
        <v>14</v>
      </c>
      <c r="H6" s="9" t="s">
        <v>6</v>
      </c>
      <c r="I6" s="9" t="s">
        <v>5</v>
      </c>
      <c r="J6" s="30" t="s">
        <v>30</v>
      </c>
    </row>
    <row r="7" spans="2:57">
      <c r="B7" s="13" t="s">
        <v>4</v>
      </c>
      <c r="C7" s="25">
        <f>90/100</f>
        <v>0.9</v>
      </c>
      <c r="D7" s="32">
        <f>0.75%</f>
        <v>7.4999999999999997E-3</v>
      </c>
      <c r="E7" s="6">
        <v>17915567</v>
      </c>
      <c r="F7" s="6">
        <v>7423.81</v>
      </c>
      <c r="G7" s="6">
        <v>12</v>
      </c>
      <c r="H7" s="6">
        <f>ind_macro!$D$9/100</f>
        <v>5.5E-2</v>
      </c>
      <c r="I7" s="32">
        <f>ind_macro!$C$9/100</f>
        <v>3.740000000000001E-2</v>
      </c>
    </row>
    <row r="8" spans="2:57">
      <c r="B8" s="8" t="s">
        <v>9</v>
      </c>
      <c r="C8" s="25">
        <f>90/100</f>
        <v>0.9</v>
      </c>
      <c r="D8" s="32">
        <f>0.75%</f>
        <v>7.4999999999999997E-3</v>
      </c>
      <c r="E8" s="6">
        <v>17915567</v>
      </c>
      <c r="F8" s="6">
        <v>7423.81</v>
      </c>
      <c r="G8" s="6">
        <v>12</v>
      </c>
      <c r="H8" s="6">
        <f>ind_macro!$D$9/100</f>
        <v>5.5E-2</v>
      </c>
      <c r="I8" s="32">
        <f>ind_macro!$C$9/100</f>
        <v>3.740000000000001E-2</v>
      </c>
    </row>
    <row r="9" spans="2:57">
      <c r="B9" s="8" t="s">
        <v>40</v>
      </c>
      <c r="C9" s="21"/>
      <c r="D9" s="21"/>
      <c r="E9" s="21"/>
      <c r="F9" s="6">
        <v>7423.81</v>
      </c>
      <c r="G9" s="21"/>
      <c r="H9" s="21"/>
      <c r="J9" s="25">
        <v>0.37</v>
      </c>
    </row>
    <row r="10" spans="2:57">
      <c r="B10" s="8"/>
      <c r="C10" s="21"/>
      <c r="D10" s="1"/>
      <c r="E10" s="1"/>
      <c r="F10" s="6">
        <v>7423.81</v>
      </c>
      <c r="J10" s="25">
        <v>0.37</v>
      </c>
    </row>
    <row r="11" spans="2:57">
      <c r="B11" s="8"/>
      <c r="C11" s="21"/>
      <c r="D11" s="1"/>
      <c r="E11" s="1"/>
      <c r="F11" s="1"/>
    </row>
    <row r="13" spans="2:57">
      <c r="B13" s="13" t="s">
        <v>10</v>
      </c>
    </row>
    <row r="14" spans="2:57" ht="15.75" thickBot="1">
      <c r="B14" s="13"/>
    </row>
    <row r="15" spans="2:57" ht="15.75" thickBot="1">
      <c r="B15" s="13"/>
      <c r="C15" s="16" t="s">
        <v>11</v>
      </c>
      <c r="D15" s="17">
        <v>1</v>
      </c>
      <c r="E15" s="17">
        <v>2</v>
      </c>
      <c r="F15" s="17">
        <v>3</v>
      </c>
      <c r="G15" s="17">
        <v>4</v>
      </c>
      <c r="H15" s="17">
        <v>5</v>
      </c>
      <c r="I15" s="17">
        <v>6</v>
      </c>
      <c r="J15" s="17">
        <v>7</v>
      </c>
      <c r="K15" s="17">
        <v>8</v>
      </c>
      <c r="L15" s="17">
        <v>9</v>
      </c>
      <c r="M15" s="17">
        <v>10</v>
      </c>
      <c r="N15" s="17">
        <v>11</v>
      </c>
      <c r="O15" s="17">
        <v>12</v>
      </c>
      <c r="P15" s="17">
        <v>13</v>
      </c>
      <c r="Q15" s="17">
        <v>14</v>
      </c>
      <c r="R15" s="17">
        <v>15</v>
      </c>
      <c r="S15" s="17">
        <v>16</v>
      </c>
      <c r="T15" s="17">
        <v>17</v>
      </c>
      <c r="U15" s="17">
        <v>18</v>
      </c>
      <c r="V15" s="17">
        <v>19</v>
      </c>
      <c r="W15" s="17">
        <v>20</v>
      </c>
      <c r="X15" s="17">
        <v>21</v>
      </c>
      <c r="Y15" s="17">
        <v>22</v>
      </c>
      <c r="Z15" s="17">
        <v>23</v>
      </c>
      <c r="AA15" s="17">
        <v>24</v>
      </c>
      <c r="AB15" s="17">
        <v>25</v>
      </c>
      <c r="AC15" s="17">
        <v>26</v>
      </c>
      <c r="AD15" s="17">
        <v>27</v>
      </c>
      <c r="AE15" s="17">
        <v>28</v>
      </c>
      <c r="AF15" s="17">
        <v>29</v>
      </c>
      <c r="AG15" s="17">
        <v>30</v>
      </c>
      <c r="AH15" s="17">
        <v>31</v>
      </c>
      <c r="AI15" s="17">
        <v>32</v>
      </c>
      <c r="AJ15" s="17">
        <v>33</v>
      </c>
      <c r="AK15" s="17">
        <v>34</v>
      </c>
      <c r="AL15" s="17">
        <v>35</v>
      </c>
      <c r="AM15" s="17">
        <v>36</v>
      </c>
      <c r="AN15" s="17">
        <v>37</v>
      </c>
      <c r="AO15" s="17">
        <v>38</v>
      </c>
      <c r="AP15" s="17">
        <v>39</v>
      </c>
      <c r="AQ15" s="17">
        <v>40</v>
      </c>
      <c r="AR15" s="17">
        <v>41</v>
      </c>
      <c r="AS15" s="17">
        <v>42</v>
      </c>
      <c r="AT15" s="17">
        <v>43</v>
      </c>
      <c r="AU15" s="17">
        <v>44</v>
      </c>
      <c r="AV15" s="17">
        <v>45</v>
      </c>
      <c r="AW15" s="17">
        <v>46</v>
      </c>
      <c r="AX15" s="17">
        <v>47</v>
      </c>
      <c r="AY15" s="17">
        <v>48</v>
      </c>
      <c r="AZ15" s="17">
        <v>49</v>
      </c>
      <c r="BA15" s="17">
        <v>50</v>
      </c>
      <c r="BB15" s="18">
        <v>51</v>
      </c>
      <c r="BC15" s="3"/>
      <c r="BD15" s="3"/>
      <c r="BE15" s="3"/>
    </row>
    <row r="16" spans="2:57">
      <c r="B16" s="8" t="s">
        <v>8</v>
      </c>
      <c r="C16" s="15">
        <f>SUM(D16:BB16)</f>
        <v>604496.13625694404</v>
      </c>
      <c r="D16" s="14">
        <f t="shared" ref="D16:AI16" si="0">$F$7*(1+$H$7)^D$15/(1+$I$7)^D$15</f>
        <v>7549.758579140158</v>
      </c>
      <c r="E16" s="14">
        <f t="shared" si="0"/>
        <v>7677.8439377220593</v>
      </c>
      <c r="F16" s="14">
        <f t="shared" si="0"/>
        <v>7808.1023272573475</v>
      </c>
      <c r="G16" s="14">
        <f t="shared" si="0"/>
        <v>7940.5706142823401</v>
      </c>
      <c r="H16" s="14">
        <f t="shared" si="0"/>
        <v>8075.2862907922381</v>
      </c>
      <c r="I16" s="14">
        <f t="shared" si="0"/>
        <v>8212.2874848523315</v>
      </c>
      <c r="J16" s="14">
        <f t="shared" si="0"/>
        <v>8351.6129713892515</v>
      </c>
      <c r="K16" s="14">
        <f t="shared" si="0"/>
        <v>8493.3021831652768</v>
      </c>
      <c r="L16" s="14">
        <f t="shared" si="0"/>
        <v>8637.395221938852</v>
      </c>
      <c r="M16" s="14">
        <f t="shared" si="0"/>
        <v>8783.9328698144291</v>
      </c>
      <c r="N16" s="14">
        <f t="shared" si="0"/>
        <v>8932.9566007848662</v>
      </c>
      <c r="O16" s="14">
        <f t="shared" si="0"/>
        <v>9084.5085924696668</v>
      </c>
      <c r="P16" s="14">
        <f t="shared" si="0"/>
        <v>9238.6317380523378</v>
      </c>
      <c r="Q16" s="14">
        <f t="shared" si="0"/>
        <v>9395.3696584202971</v>
      </c>
      <c r="R16" s="14">
        <f t="shared" si="0"/>
        <v>9554.7667145107134</v>
      </c>
      <c r="S16" s="14">
        <f t="shared" si="0"/>
        <v>9716.8680198658149</v>
      </c>
      <c r="T16" s="14">
        <f t="shared" si="0"/>
        <v>9881.7194534012287</v>
      </c>
      <c r="U16" s="14">
        <f t="shared" si="0"/>
        <v>10049.367672390876</v>
      </c>
      <c r="V16" s="14">
        <f t="shared" si="0"/>
        <v>10219.860125672232</v>
      </c>
      <c r="W16" s="14">
        <f t="shared" si="0"/>
        <v>10393.245067075577</v>
      </c>
      <c r="X16" s="14">
        <f t="shared" si="0"/>
        <v>10569.571569081098</v>
      </c>
      <c r="Y16" s="14">
        <f t="shared" si="0"/>
        <v>10748.889536707688</v>
      </c>
      <c r="Z16" s="14">
        <f t="shared" si="0"/>
        <v>10931.249721637372</v>
      </c>
      <c r="AA16" s="14">
        <f t="shared" si="0"/>
        <v>11116.703736579355</v>
      </c>
      <c r="AB16" s="14">
        <f t="shared" si="0"/>
        <v>11305.304069877791</v>
      </c>
      <c r="AC16" s="14">
        <f t="shared" si="0"/>
        <v>11497.104100367329</v>
      </c>
      <c r="AD16" s="14">
        <f t="shared" si="0"/>
        <v>11692.158112480751</v>
      </c>
      <c r="AE16" s="14">
        <f t="shared" si="0"/>
        <v>11890.521311612867</v>
      </c>
      <c r="AF16" s="14">
        <f t="shared" si="0"/>
        <v>12092.249839745104</v>
      </c>
      <c r="AG16" s="14">
        <f t="shared" si="0"/>
        <v>12297.400791335149</v>
      </c>
      <c r="AH16" s="14">
        <f t="shared" si="0"/>
        <v>12506.032229476172</v>
      </c>
      <c r="AI16" s="14">
        <f t="shared" si="0"/>
        <v>12718.203202330205</v>
      </c>
      <c r="AJ16" s="14">
        <f t="shared" ref="AJ16:BB16" si="1">$F$7*(1+$H$7)^AJ$15/(1+$I$7)^AJ$15</f>
        <v>12933.973759840337</v>
      </c>
      <c r="AK16" s="14">
        <f t="shared" si="1"/>
        <v>13153.404970726388</v>
      </c>
      <c r="AL16" s="14">
        <f t="shared" si="1"/>
        <v>13376.558939768978</v>
      </c>
      <c r="AM16" s="14">
        <f t="shared" si="1"/>
        <v>13603.498825386801</v>
      </c>
      <c r="AN16" s="14">
        <f t="shared" si="1"/>
        <v>13834.288857512121</v>
      </c>
      <c r="AO16" s="14">
        <f t="shared" si="1"/>
        <v>14068.994355769502</v>
      </c>
      <c r="AP16" s="14">
        <f t="shared" si="1"/>
        <v>14307.681747963008</v>
      </c>
      <c r="AQ16" s="14">
        <f t="shared" si="1"/>
        <v>14550.418588876972</v>
      </c>
      <c r="AR16" s="14">
        <f t="shared" si="1"/>
        <v>14797.273579395802</v>
      </c>
      <c r="AS16" s="14">
        <f t="shared" si="1"/>
        <v>15048.316585948105</v>
      </c>
      <c r="AT16" s="14">
        <f t="shared" si="1"/>
        <v>15303.61866028075</v>
      </c>
      <c r="AU16" s="14">
        <f t="shared" si="1"/>
        <v>15563.252059568333</v>
      </c>
      <c r="AV16" s="14">
        <f t="shared" si="1"/>
        <v>15827.290266863878</v>
      </c>
      <c r="AW16" s="14">
        <f t="shared" si="1"/>
        <v>16095.808011896464</v>
      </c>
      <c r="AX16" s="14">
        <f t="shared" si="1"/>
        <v>16368.881292221677</v>
      </c>
      <c r="AY16" s="14">
        <f t="shared" si="1"/>
        <v>16646.587394730923</v>
      </c>
      <c r="AZ16" s="14">
        <f t="shared" si="1"/>
        <v>16929.004917525664</v>
      </c>
      <c r="BA16" s="14">
        <f t="shared" si="1"/>
        <v>17216.213792162685</v>
      </c>
      <c r="BB16" s="14">
        <f t="shared" si="1"/>
        <v>17508.295306276879</v>
      </c>
      <c r="BC16" s="14"/>
      <c r="BD16" s="14"/>
      <c r="BE16" s="14"/>
    </row>
    <row r="17" spans="2:54">
      <c r="B17" s="8" t="s">
        <v>7</v>
      </c>
      <c r="C17" s="15">
        <f>SUM(D17:BB17)</f>
        <v>3175048082681.085</v>
      </c>
      <c r="D17" s="2">
        <f t="shared" ref="D17:AI17" si="2">($F$7*$E$7)*(1+$H$7)^$D$15/(1+$I$7)^D$15</f>
        <v>135258205658.41029</v>
      </c>
      <c r="E17" s="2">
        <f t="shared" si="2"/>
        <v>130381921783.69989</v>
      </c>
      <c r="F17" s="2">
        <f t="shared" si="2"/>
        <v>125681436074.51311</v>
      </c>
      <c r="G17" s="2">
        <f t="shared" si="2"/>
        <v>121150410713.81635</v>
      </c>
      <c r="H17" s="2">
        <f t="shared" si="2"/>
        <v>116782736373.44933</v>
      </c>
      <c r="I17" s="2">
        <f t="shared" si="2"/>
        <v>112572523976.71999</v>
      </c>
      <c r="J17" s="2">
        <f t="shared" si="2"/>
        <v>108514096757.97183</v>
      </c>
      <c r="K17" s="2">
        <f t="shared" si="2"/>
        <v>104601982608.41701</v>
      </c>
      <c r="L17" s="2">
        <f t="shared" si="2"/>
        <v>100830906697.91498</v>
      </c>
      <c r="M17" s="2">
        <f t="shared" si="2"/>
        <v>97195784362.748184</v>
      </c>
      <c r="N17" s="2">
        <f t="shared" si="2"/>
        <v>93691714249.80545</v>
      </c>
      <c r="O17" s="2">
        <f t="shared" si="2"/>
        <v>90313971707.928894</v>
      </c>
      <c r="P17" s="2">
        <f t="shared" si="2"/>
        <v>87058002417.513855</v>
      </c>
      <c r="Q17" s="2">
        <f t="shared" si="2"/>
        <v>83919416249.772369</v>
      </c>
      <c r="R17" s="2">
        <f t="shared" si="2"/>
        <v>80893981347.380341</v>
      </c>
      <c r="S17" s="2">
        <f t="shared" si="2"/>
        <v>77977618418.52739</v>
      </c>
      <c r="T17" s="2">
        <f t="shared" si="2"/>
        <v>75166395236.675705</v>
      </c>
      <c r="U17" s="2">
        <f t="shared" si="2"/>
        <v>72456521338.611618</v>
      </c>
      <c r="V17" s="2">
        <f t="shared" si="2"/>
        <v>69844342913.641434</v>
      </c>
      <c r="W17" s="2">
        <f t="shared" si="2"/>
        <v>67326337877.040115</v>
      </c>
      <c r="X17" s="2">
        <f t="shared" si="2"/>
        <v>64899111121.110573</v>
      </c>
      <c r="Y17" s="2">
        <f t="shared" si="2"/>
        <v>62559389937.449936</v>
      </c>
      <c r="Z17" s="2">
        <f t="shared" si="2"/>
        <v>60304019604.250946</v>
      </c>
      <c r="AA17" s="2">
        <f t="shared" si="2"/>
        <v>58129959132.688377</v>
      </c>
      <c r="AB17" s="2">
        <f t="shared" si="2"/>
        <v>56034277166.655472</v>
      </c>
      <c r="AC17" s="2">
        <f t="shared" si="2"/>
        <v>54014148030.321434</v>
      </c>
      <c r="AD17" s="2">
        <f t="shared" si="2"/>
        <v>52066847918.181442</v>
      </c>
      <c r="AE17" s="2">
        <f t="shared" si="2"/>
        <v>50189751222.46138</v>
      </c>
      <c r="AF17" s="2">
        <f t="shared" si="2"/>
        <v>48380326992.925941</v>
      </c>
      <c r="AG17" s="2">
        <f t="shared" si="2"/>
        <v>46636135524.316498</v>
      </c>
      <c r="AH17" s="2">
        <f t="shared" si="2"/>
        <v>44954825066.817528</v>
      </c>
      <c r="AI17" s="2">
        <f t="shared" si="2"/>
        <v>43334128655.116158</v>
      </c>
      <c r="AJ17" s="2">
        <f t="shared" ref="AJ17:BB17" si="3">($F$7*$E$7)*(1+$H$7)^$D$15/(1+$I$7)^AJ$15</f>
        <v>41771861051.779602</v>
      </c>
      <c r="AK17" s="2">
        <f t="shared" si="3"/>
        <v>40265915800.828606</v>
      </c>
      <c r="AL17" s="2">
        <f t="shared" si="3"/>
        <v>38814262387.534805</v>
      </c>
      <c r="AM17" s="2">
        <f t="shared" si="3"/>
        <v>37414943500.611908</v>
      </c>
      <c r="AN17" s="2">
        <f t="shared" si="3"/>
        <v>36066072393.109604</v>
      </c>
      <c r="AO17" s="2">
        <f t="shared" si="3"/>
        <v>34765830338.451508</v>
      </c>
      <c r="AP17" s="2">
        <f t="shared" si="3"/>
        <v>33512464178.187305</v>
      </c>
      <c r="AQ17" s="2">
        <f t="shared" si="3"/>
        <v>32304283958.152401</v>
      </c>
      <c r="AR17" s="2">
        <f t="shared" si="3"/>
        <v>31139660649.848076</v>
      </c>
      <c r="AS17" s="2">
        <f t="shared" si="3"/>
        <v>30017023953.969608</v>
      </c>
      <c r="AT17" s="2">
        <f t="shared" si="3"/>
        <v>28934860183.120888</v>
      </c>
      <c r="AU17" s="2">
        <f t="shared" si="3"/>
        <v>27891710220.860691</v>
      </c>
      <c r="AV17" s="2">
        <f t="shared" si="3"/>
        <v>26886167554.328789</v>
      </c>
      <c r="AW17" s="2">
        <f t="shared" si="3"/>
        <v>25916876377.799099</v>
      </c>
      <c r="AX17" s="2">
        <f t="shared" si="3"/>
        <v>24982529764.602951</v>
      </c>
      <c r="AY17" s="2">
        <f t="shared" si="3"/>
        <v>24081867904.957527</v>
      </c>
      <c r="AZ17" s="2">
        <f t="shared" si="3"/>
        <v>23213676407.323624</v>
      </c>
      <c r="BA17" s="2">
        <f t="shared" si="3"/>
        <v>22376784661.00214</v>
      </c>
      <c r="BB17" s="2">
        <f t="shared" si="3"/>
        <v>21570064257.761848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9"/>
  <sheetViews>
    <sheetView showGridLines="0" workbookViewId="0">
      <selection activeCell="I2" sqref="I2"/>
    </sheetView>
  </sheetViews>
  <sheetFormatPr defaultRowHeight="15"/>
  <cols>
    <col min="1" max="1" width="2.7109375" style="2" customWidth="1"/>
    <col min="2" max="2" width="9.140625" style="2"/>
    <col min="3" max="3" width="9.140625" style="2" customWidth="1"/>
    <col min="4" max="4" width="15.85546875" style="2" customWidth="1"/>
    <col min="5" max="16384" width="9.140625" style="2"/>
  </cols>
  <sheetData>
    <row r="2" spans="2:4" s="22" customFormat="1" ht="30">
      <c r="B2" s="23" t="s">
        <v>16</v>
      </c>
      <c r="C2" s="23" t="s">
        <v>15</v>
      </c>
      <c r="D2" s="23" t="s">
        <v>18</v>
      </c>
    </row>
    <row r="3" spans="2:4">
      <c r="B3" s="3">
        <v>2015</v>
      </c>
      <c r="C3" s="2">
        <v>3.07</v>
      </c>
      <c r="D3" s="2">
        <v>6.4</v>
      </c>
    </row>
    <row r="4" spans="2:4">
      <c r="B4" s="3">
        <v>2016</v>
      </c>
      <c r="C4" s="2">
        <v>4.2300000000000004</v>
      </c>
      <c r="D4" s="2">
        <v>5.5</v>
      </c>
    </row>
    <row r="5" spans="2:4">
      <c r="B5" s="3">
        <v>2017</v>
      </c>
      <c r="C5" s="2">
        <v>5.68</v>
      </c>
      <c r="D5" s="2">
        <v>4.7</v>
      </c>
    </row>
    <row r="6" spans="2:4">
      <c r="B6" s="3">
        <v>2018</v>
      </c>
      <c r="C6" s="2">
        <v>2.31</v>
      </c>
      <c r="D6" s="2">
        <v>4.3</v>
      </c>
    </row>
    <row r="7" spans="2:4">
      <c r="B7" s="3">
        <v>2019</v>
      </c>
      <c r="C7" s="2">
        <v>3.41</v>
      </c>
      <c r="D7" s="2">
        <v>6.6</v>
      </c>
    </row>
    <row r="8" spans="2:4">
      <c r="B8" s="3"/>
    </row>
    <row r="9" spans="2:4">
      <c r="B9" s="3" t="s">
        <v>17</v>
      </c>
      <c r="C9" s="24">
        <f>AVERAGE(C3:C7)</f>
        <v>3.7400000000000007</v>
      </c>
      <c r="D9" s="24">
        <f>AVERAGE(D3:D7)</f>
        <v>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4514-1718-4761-AB8D-A8214031463D}">
  <dimension ref="B2:F21"/>
  <sheetViews>
    <sheetView showGridLines="0" workbookViewId="0"/>
  </sheetViews>
  <sheetFormatPr defaultRowHeight="15"/>
  <cols>
    <col min="2" max="2" width="34.7109375" customWidth="1"/>
    <col min="3" max="3" width="17.5703125" customWidth="1"/>
    <col min="4" max="4" width="17.28515625" customWidth="1"/>
    <col min="5" max="5" width="14.140625" customWidth="1"/>
    <col min="6" max="6" width="13" customWidth="1"/>
  </cols>
  <sheetData>
    <row r="2" spans="2:6" s="35" customFormat="1" ht="38.25">
      <c r="B2" s="34" t="s">
        <v>50</v>
      </c>
      <c r="C2" s="34" t="s">
        <v>51</v>
      </c>
      <c r="D2" s="34" t="s">
        <v>52</v>
      </c>
      <c r="E2" s="34" t="s">
        <v>53</v>
      </c>
      <c r="F2" s="34" t="s">
        <v>54</v>
      </c>
    </row>
    <row r="3" spans="2:6">
      <c r="B3" s="1" t="s">
        <v>41</v>
      </c>
      <c r="C3" s="33">
        <v>1E-3</v>
      </c>
      <c r="D3" s="33">
        <v>0.05</v>
      </c>
      <c r="E3" s="33">
        <v>2.0000000000000002E-5</v>
      </c>
      <c r="F3" s="1" t="s">
        <v>41</v>
      </c>
    </row>
    <row r="4" spans="2:6">
      <c r="B4" s="1" t="s">
        <v>42</v>
      </c>
      <c r="C4" s="33">
        <v>3.0000000000000001E-3</v>
      </c>
      <c r="D4" s="33">
        <v>0.05</v>
      </c>
      <c r="E4" s="33">
        <v>6.0000000000000002E-5</v>
      </c>
      <c r="F4" s="1" t="s">
        <v>42</v>
      </c>
    </row>
    <row r="5" spans="2:6">
      <c r="B5" s="1" t="s">
        <v>43</v>
      </c>
      <c r="C5" s="33">
        <v>1.2E-2</v>
      </c>
      <c r="D5" s="33">
        <v>0.05</v>
      </c>
      <c r="E5" s="33">
        <v>2.9999999999999997E-4</v>
      </c>
      <c r="F5" s="1" t="s">
        <v>43</v>
      </c>
    </row>
    <row r="6" spans="2:6">
      <c r="B6" s="1" t="s">
        <v>44</v>
      </c>
      <c r="C6" s="33">
        <v>3.2000000000000001E-2</v>
      </c>
      <c r="D6" s="33">
        <v>0.05</v>
      </c>
      <c r="E6" s="33">
        <v>8.0000000000000004E-4</v>
      </c>
      <c r="F6" s="1" t="s">
        <v>44</v>
      </c>
    </row>
    <row r="7" spans="2:6">
      <c r="B7" s="1" t="s">
        <v>45</v>
      </c>
      <c r="C7" s="33">
        <v>4.9000000000000002E-2</v>
      </c>
      <c r="D7" s="33">
        <v>6.3E-2</v>
      </c>
      <c r="E7" s="33">
        <v>1.5E-3</v>
      </c>
      <c r="F7" s="1" t="s">
        <v>45</v>
      </c>
    </row>
    <row r="8" spans="2:6">
      <c r="B8" s="1" t="s">
        <v>46</v>
      </c>
      <c r="C8" s="33">
        <v>0.10199999999999999</v>
      </c>
      <c r="D8" s="33">
        <v>0.122</v>
      </c>
      <c r="E8" s="33">
        <v>6.0000000000000001E-3</v>
      </c>
      <c r="F8" s="1" t="s">
        <v>46</v>
      </c>
    </row>
    <row r="9" spans="2:6">
      <c r="B9" s="1" t="s">
        <v>47</v>
      </c>
      <c r="C9" s="33">
        <v>0.16600000000000001</v>
      </c>
      <c r="D9" s="33">
        <v>0.27400000000000002</v>
      </c>
      <c r="E9" s="33">
        <v>2.1999999999999999E-2</v>
      </c>
      <c r="F9" s="1" t="s">
        <v>47</v>
      </c>
    </row>
    <row r="10" spans="2:6">
      <c r="B10" s="1" t="s">
        <v>48</v>
      </c>
      <c r="C10" s="33">
        <v>0.24299999999999999</v>
      </c>
      <c r="D10" s="33">
        <v>0.432</v>
      </c>
      <c r="E10" s="33">
        <v>5.0999999999999997E-2</v>
      </c>
      <c r="F10" s="1" t="s">
        <v>48</v>
      </c>
    </row>
    <row r="11" spans="2:6">
      <c r="B11" s="1" t="s">
        <v>49</v>
      </c>
      <c r="C11" s="33">
        <v>0.27300000000000002</v>
      </c>
      <c r="D11" s="33">
        <v>0.70899999999999996</v>
      </c>
      <c r="E11" s="33">
        <v>9.2999999999999999E-2</v>
      </c>
      <c r="F11" s="1" t="s">
        <v>49</v>
      </c>
    </row>
    <row r="12" spans="2:6">
      <c r="B12" s="1"/>
      <c r="C12" s="1"/>
      <c r="D12" s="1"/>
      <c r="E12" s="1"/>
      <c r="F12" s="1"/>
    </row>
    <row r="13" spans="2:6">
      <c r="B13" s="1"/>
      <c r="C13" s="1"/>
      <c r="D13" s="1"/>
      <c r="E13" s="1"/>
      <c r="F13" s="1"/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5:5">
      <c r="E17" s="36"/>
    </row>
    <row r="18" spans="5:5">
      <c r="E18" s="36"/>
    </row>
    <row r="19" spans="5:5">
      <c r="E19" s="36"/>
    </row>
    <row r="20" spans="5:5">
      <c r="E20" s="36"/>
    </row>
    <row r="21" spans="5:5">
      <c r="E21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BC73-3A62-47A1-BE65-FB87A4269262}">
  <dimension ref="C2:J33"/>
  <sheetViews>
    <sheetView showGridLines="0" tabSelected="1" zoomScale="205" zoomScaleNormal="205" workbookViewId="0">
      <selection activeCell="D12" sqref="D12"/>
    </sheetView>
  </sheetViews>
  <sheetFormatPr defaultRowHeight="15"/>
  <sheetData>
    <row r="2" spans="3:10">
      <c r="C2" s="40"/>
      <c r="D2" s="40"/>
      <c r="E2" s="40"/>
      <c r="F2" s="40"/>
    </row>
    <row r="3" spans="3:10">
      <c r="C3" s="40"/>
      <c r="D3" s="47" t="s">
        <v>63</v>
      </c>
      <c r="E3" s="47"/>
      <c r="F3" s="47"/>
      <c r="H3" s="47" t="s">
        <v>64</v>
      </c>
      <c r="I3" s="47"/>
      <c r="J3" s="47"/>
    </row>
    <row r="4" spans="3:10">
      <c r="C4" s="40"/>
      <c r="D4" s="40"/>
      <c r="E4" s="40"/>
      <c r="F4" s="44"/>
      <c r="H4" s="40"/>
      <c r="I4" s="40"/>
      <c r="J4" s="44"/>
    </row>
    <row r="5" spans="3:10">
      <c r="C5" s="40"/>
      <c r="D5" s="46"/>
      <c r="E5" s="46"/>
      <c r="F5" s="40"/>
      <c r="H5" s="46"/>
      <c r="I5" s="46"/>
      <c r="J5" s="40"/>
    </row>
    <row r="6" spans="3:10">
      <c r="C6" s="40"/>
      <c r="D6" s="41"/>
      <c r="E6" s="41"/>
      <c r="F6" s="44"/>
      <c r="H6" s="41"/>
      <c r="I6" s="41"/>
      <c r="J6" s="44"/>
    </row>
    <row r="15" spans="3:10" s="43" customFormat="1" ht="18">
      <c r="D15" s="43" t="s">
        <v>61</v>
      </c>
      <c r="E15" s="43" t="s">
        <v>62</v>
      </c>
      <c r="F15" s="43" t="s">
        <v>74</v>
      </c>
      <c r="H15" s="43" t="s">
        <v>61</v>
      </c>
      <c r="I15" s="43" t="s">
        <v>62</v>
      </c>
      <c r="J15" s="43" t="s">
        <v>74</v>
      </c>
    </row>
    <row r="16" spans="3:10" s="43" customFormat="1" ht="17.25" customHeight="1">
      <c r="D16" s="42" t="s">
        <v>56</v>
      </c>
      <c r="E16" s="42" t="s">
        <v>57</v>
      </c>
      <c r="F16" s="42" t="s">
        <v>58</v>
      </c>
      <c r="H16" s="45" t="s">
        <v>57</v>
      </c>
      <c r="I16" s="45" t="s">
        <v>59</v>
      </c>
      <c r="J16" s="45" t="s">
        <v>60</v>
      </c>
    </row>
    <row r="32" spans="7:7">
      <c r="G32" s="43"/>
    </row>
    <row r="33" spans="7:7">
      <c r="G33" s="43"/>
    </row>
  </sheetData>
  <mergeCells count="4">
    <mergeCell ref="D5:E5"/>
    <mergeCell ref="H5:I5"/>
    <mergeCell ref="D3:F3"/>
    <mergeCell ref="H3:J3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resultado</vt:lpstr>
      <vt:lpstr>parametros_calculos_adicionales</vt:lpstr>
      <vt:lpstr>ind_macro</vt:lpstr>
      <vt:lpstr>fatalidad_corona_virus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Lainfiesta</dc:creator>
  <cp:lastModifiedBy>Diego Lainfiesta</cp:lastModifiedBy>
  <dcterms:created xsi:type="dcterms:W3CDTF">2020-05-22T12:56:24Z</dcterms:created>
  <dcterms:modified xsi:type="dcterms:W3CDTF">2020-05-24T18:23:23Z</dcterms:modified>
</cp:coreProperties>
</file>