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Git_Evergreen\fms_ft_bns\BNS_Customization\DataSet\TextTemplates_Data\FusionTransform\"/>
    </mc:Choice>
  </mc:AlternateContent>
  <xr:revisionPtr revIDLastSave="0" documentId="13_ncr:1_{495BB677-20F8-4EEE-99D1-11042F010459}" xr6:coauthVersionLast="47" xr6:coauthVersionMax="47" xr10:uidLastSave="{00000000-0000-0000-0000-000000000000}"/>
  <bookViews>
    <workbookView xWindow="3930" yWindow="45" windowWidth="12030" windowHeight="15555" firstSheet="7" activeTab="7" xr2:uid="{00000000-000D-0000-FFFF-FFFF00000000}"/>
  </bookViews>
  <sheets>
    <sheet name="Document Control" sheetId="1" r:id="rId1"/>
    <sheet name="SimpleARR" sheetId="2" r:id="rId2"/>
    <sheet name="SimpleAverageConstant" sheetId="3" r:id="rId3"/>
    <sheet name="SimpleAverageVarying" sheetId="4" r:id="rId4"/>
    <sheet name="CompoundedInArrearsConstant" sheetId="5" r:id="rId5"/>
    <sheet name="CompoundedInArrearsVarying" sheetId="6" r:id="rId6"/>
    <sheet name="DailyRateCompoundingWithOPS" sheetId="7" r:id="rId7"/>
    <sheet name="DailyRateCompounding" sheetId="8" r:id="rId8"/>
    <sheet name="DailyRateCompoundingCalcRate" sheetId="9" r:id="rId9"/>
  </sheets>
  <definedNames>
    <definedName name="_xlnm.Print_Area" localSheetId="4">CompoundedInArrearsConstant!$A$1:$P$73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9" l="1"/>
  <c r="R10" i="9"/>
  <c r="P10" i="9"/>
  <c r="G10" i="9"/>
  <c r="R9" i="9"/>
  <c r="G9" i="9" s="1"/>
  <c r="R8" i="9"/>
  <c r="G15" i="9" s="1"/>
  <c r="P8" i="9"/>
  <c r="R7" i="9"/>
  <c r="P7" i="9" s="1"/>
  <c r="G7" i="9"/>
  <c r="R6" i="9"/>
  <c r="G6" i="9" s="1"/>
  <c r="H6" i="9" s="1"/>
  <c r="I6" i="9" s="1"/>
  <c r="J6" i="9" s="1"/>
  <c r="K6" i="9" s="1"/>
  <c r="M6" i="9" s="1"/>
  <c r="N6" i="9" s="1"/>
  <c r="S10" i="8"/>
  <c r="Q10" i="8"/>
  <c r="G10" i="8"/>
  <c r="V9" i="8"/>
  <c r="S9" i="8"/>
  <c r="G9" i="8" s="1"/>
  <c r="Q9" i="8"/>
  <c r="S8" i="8"/>
  <c r="V7" i="8"/>
  <c r="S7" i="8"/>
  <c r="G7" i="8" s="1"/>
  <c r="Q7" i="8"/>
  <c r="S6" i="8"/>
  <c r="Q6" i="8"/>
  <c r="G6" i="8"/>
  <c r="H6" i="8" s="1"/>
  <c r="T10" i="7"/>
  <c r="O10" i="7"/>
  <c r="G10" i="7" s="1"/>
  <c r="N10" i="7"/>
  <c r="R9" i="7"/>
  <c r="O9" i="7"/>
  <c r="N9" i="7"/>
  <c r="T9" i="7" s="1"/>
  <c r="G9" i="7"/>
  <c r="T8" i="7"/>
  <c r="R8" i="7"/>
  <c r="O8" i="7"/>
  <c r="G8" i="7" s="1"/>
  <c r="N8" i="7"/>
  <c r="T7" i="7"/>
  <c r="R7" i="7"/>
  <c r="O7" i="7"/>
  <c r="N7" i="7"/>
  <c r="G7" i="7"/>
  <c r="R6" i="7"/>
  <c r="O6" i="7"/>
  <c r="G6" i="7" s="1"/>
  <c r="N6" i="7"/>
  <c r="T6" i="7" s="1"/>
  <c r="H6" i="7"/>
  <c r="P42" i="6"/>
  <c r="F42" i="6" s="1"/>
  <c r="M42" i="6"/>
  <c r="D42" i="6"/>
  <c r="P41" i="6"/>
  <c r="F41" i="6" s="1"/>
  <c r="M41" i="6"/>
  <c r="D41" i="6" s="1"/>
  <c r="P40" i="6"/>
  <c r="M40" i="6"/>
  <c r="D40" i="6" s="1"/>
  <c r="K40" i="6"/>
  <c r="F40" i="6"/>
  <c r="P39" i="6"/>
  <c r="M39" i="6"/>
  <c r="D39" i="6" s="1"/>
  <c r="F39" i="6"/>
  <c r="P38" i="6"/>
  <c r="F38" i="6" s="1"/>
  <c r="M38" i="6"/>
  <c r="D38" i="6"/>
  <c r="P35" i="6"/>
  <c r="F35" i="6" s="1"/>
  <c r="M35" i="6"/>
  <c r="D35" i="6" s="1"/>
  <c r="P34" i="6"/>
  <c r="M34" i="6"/>
  <c r="D34" i="6" s="1"/>
  <c r="K34" i="6" s="1"/>
  <c r="F34" i="6"/>
  <c r="P33" i="6"/>
  <c r="M33" i="6"/>
  <c r="D33" i="6" s="1"/>
  <c r="K33" i="6" s="1"/>
  <c r="F33" i="6"/>
  <c r="P32" i="6"/>
  <c r="M32" i="6"/>
  <c r="F32" i="6"/>
  <c r="D32" i="6"/>
  <c r="K32" i="6" s="1"/>
  <c r="P31" i="6"/>
  <c r="F31" i="6" s="1"/>
  <c r="G31" i="6" s="1"/>
  <c r="M31" i="6"/>
  <c r="D31" i="6" s="1"/>
  <c r="P17" i="6"/>
  <c r="M17" i="6"/>
  <c r="D17" i="6" s="1"/>
  <c r="K17" i="6" s="1"/>
  <c r="F17" i="6"/>
  <c r="P16" i="6"/>
  <c r="F16" i="6" s="1"/>
  <c r="M16" i="6"/>
  <c r="D16" i="6" s="1"/>
  <c r="K16" i="6" s="1"/>
  <c r="P15" i="6"/>
  <c r="M15" i="6"/>
  <c r="F15" i="6"/>
  <c r="D15" i="6"/>
  <c r="K15" i="6" s="1"/>
  <c r="P14" i="6"/>
  <c r="M14" i="6"/>
  <c r="D14" i="6" s="1"/>
  <c r="F14" i="6"/>
  <c r="P13" i="6"/>
  <c r="M13" i="6"/>
  <c r="D13" i="6" s="1"/>
  <c r="K13" i="6"/>
  <c r="F13" i="6"/>
  <c r="P10" i="6"/>
  <c r="F10" i="6" s="1"/>
  <c r="M10" i="6"/>
  <c r="D10" i="6" s="1"/>
  <c r="P9" i="6"/>
  <c r="M9" i="6"/>
  <c r="D9" i="6" s="1"/>
  <c r="K9" i="6" s="1"/>
  <c r="F9" i="6"/>
  <c r="P8" i="6"/>
  <c r="F8" i="6" s="1"/>
  <c r="M8" i="6"/>
  <c r="D8" i="6"/>
  <c r="P7" i="6"/>
  <c r="F7" i="6" s="1"/>
  <c r="M7" i="6"/>
  <c r="D7" i="6" s="1"/>
  <c r="P6" i="6"/>
  <c r="F6" i="6" s="1"/>
  <c r="G6" i="6" s="1"/>
  <c r="N6" i="6"/>
  <c r="O6" i="6" s="1"/>
  <c r="M6" i="6"/>
  <c r="K6" i="6"/>
  <c r="D6" i="6"/>
  <c r="P16" i="5"/>
  <c r="M16" i="5"/>
  <c r="K16" i="5"/>
  <c r="F16" i="5"/>
  <c r="P15" i="5"/>
  <c r="M15" i="5"/>
  <c r="K15" i="5"/>
  <c r="F15" i="5"/>
  <c r="P14" i="5"/>
  <c r="M14" i="5"/>
  <c r="K14" i="5"/>
  <c r="F14" i="5"/>
  <c r="P13" i="5"/>
  <c r="K13" i="5" s="1"/>
  <c r="M13" i="5"/>
  <c r="P10" i="5"/>
  <c r="K10" i="5" s="1"/>
  <c r="N10" i="5"/>
  <c r="O10" i="5" s="1"/>
  <c r="M10" i="5"/>
  <c r="F10" i="5"/>
  <c r="P9" i="5"/>
  <c r="K9" i="5" s="1"/>
  <c r="M9" i="5"/>
  <c r="N9" i="5" s="1"/>
  <c r="F9" i="5"/>
  <c r="P8" i="5"/>
  <c r="K8" i="5" s="1"/>
  <c r="M8" i="5"/>
  <c r="N8" i="5" s="1"/>
  <c r="O8" i="5" s="1"/>
  <c r="F8" i="5"/>
  <c r="P7" i="5"/>
  <c r="K7" i="5" s="1"/>
  <c r="M7" i="5"/>
  <c r="N7" i="5" s="1"/>
  <c r="O7" i="5" s="1"/>
  <c r="F7" i="5"/>
  <c r="P6" i="5"/>
  <c r="K6" i="5" s="1"/>
  <c r="N6" i="5"/>
  <c r="O6" i="5" s="1"/>
  <c r="M6" i="5"/>
  <c r="F6" i="5"/>
  <c r="G6" i="5" s="1"/>
  <c r="E23" i="4"/>
  <c r="P10" i="4"/>
  <c r="K10" i="4" s="1"/>
  <c r="M10" i="4"/>
  <c r="D10" i="4" s="1"/>
  <c r="P9" i="4"/>
  <c r="M9" i="4"/>
  <c r="D9" i="4" s="1"/>
  <c r="N9" i="4" s="1"/>
  <c r="O9" i="4" s="1"/>
  <c r="K9" i="4"/>
  <c r="F9" i="4"/>
  <c r="P8" i="4"/>
  <c r="M8" i="4"/>
  <c r="D8" i="4" s="1"/>
  <c r="N8" i="4" s="1"/>
  <c r="K8" i="4"/>
  <c r="F8" i="4"/>
  <c r="P7" i="4"/>
  <c r="K7" i="4" s="1"/>
  <c r="M7" i="4"/>
  <c r="D7" i="4" s="1"/>
  <c r="Q7" i="4" s="1"/>
  <c r="H7" i="4"/>
  <c r="F7" i="4"/>
  <c r="P6" i="4"/>
  <c r="K6" i="4" s="1"/>
  <c r="M6" i="4"/>
  <c r="F6" i="4"/>
  <c r="G6" i="4" s="1"/>
  <c r="G7" i="4" s="1"/>
  <c r="G8" i="4" s="1"/>
  <c r="H8" i="4" s="1"/>
  <c r="D6" i="4"/>
  <c r="N6" i="4" s="1"/>
  <c r="O6" i="4" s="1"/>
  <c r="Q10" i="3"/>
  <c r="P10" i="3"/>
  <c r="O10" i="3"/>
  <c r="M10" i="3"/>
  <c r="N10" i="3" s="1"/>
  <c r="K10" i="3"/>
  <c r="F10" i="3"/>
  <c r="P9" i="3"/>
  <c r="F9" i="3" s="1"/>
  <c r="N9" i="3"/>
  <c r="M9" i="3"/>
  <c r="Q9" i="3" s="1"/>
  <c r="Q8" i="3"/>
  <c r="P8" i="3"/>
  <c r="M8" i="3"/>
  <c r="N8" i="3" s="1"/>
  <c r="K8" i="3"/>
  <c r="F8" i="3"/>
  <c r="P7" i="3"/>
  <c r="F7" i="3" s="1"/>
  <c r="M7" i="3"/>
  <c r="Q7" i="3" s="1"/>
  <c r="P6" i="3"/>
  <c r="K6" i="3" s="1"/>
  <c r="M6" i="3"/>
  <c r="Q6" i="3" s="1"/>
  <c r="H6" i="3"/>
  <c r="F6" i="3"/>
  <c r="G6" i="3" s="1"/>
  <c r="G7" i="3" s="1"/>
  <c r="I10" i="2"/>
  <c r="L10" i="2" s="1"/>
  <c r="G10" i="2"/>
  <c r="H10" i="2" s="1"/>
  <c r="I9" i="2"/>
  <c r="L9" i="2" s="1"/>
  <c r="H9" i="2"/>
  <c r="G9" i="2"/>
  <c r="I8" i="2"/>
  <c r="L8" i="2" s="1"/>
  <c r="G8" i="2"/>
  <c r="I7" i="2"/>
  <c r="L7" i="2" s="1"/>
  <c r="H7" i="2"/>
  <c r="G7" i="2"/>
  <c r="I6" i="2"/>
  <c r="L6" i="2" s="1"/>
  <c r="G6" i="2"/>
  <c r="H6" i="2" s="1"/>
  <c r="N7" i="6" l="1"/>
  <c r="O7" i="6" s="1"/>
  <c r="K7" i="6"/>
  <c r="G32" i="6"/>
  <c r="H31" i="6"/>
  <c r="L31" i="6" s="1"/>
  <c r="H7" i="8"/>
  <c r="I6" i="8"/>
  <c r="J6" i="8" s="1"/>
  <c r="K6" i="8" s="1"/>
  <c r="N6" i="8" s="1"/>
  <c r="O6" i="8" s="1"/>
  <c r="R6" i="8" s="1"/>
  <c r="G8" i="3"/>
  <c r="H7" i="3"/>
  <c r="O9" i="5"/>
  <c r="G7" i="6"/>
  <c r="H6" i="6"/>
  <c r="K10" i="6"/>
  <c r="N10" i="6"/>
  <c r="O10" i="6" s="1"/>
  <c r="J6" i="2"/>
  <c r="N10" i="4"/>
  <c r="O10" i="4" s="1"/>
  <c r="Q10" i="4"/>
  <c r="K35" i="6"/>
  <c r="N6" i="3"/>
  <c r="O6" i="3" s="1"/>
  <c r="H6" i="4"/>
  <c r="N7" i="4"/>
  <c r="O7" i="4" s="1"/>
  <c r="F13" i="5"/>
  <c r="K8" i="6"/>
  <c r="N9" i="6"/>
  <c r="O9" i="6" s="1"/>
  <c r="K39" i="6"/>
  <c r="K42" i="6"/>
  <c r="H8" i="2"/>
  <c r="H11" i="2" s="1"/>
  <c r="K9" i="3"/>
  <c r="Q8" i="4"/>
  <c r="Q9" i="4"/>
  <c r="V10" i="8"/>
  <c r="N7" i="3"/>
  <c r="K38" i="6"/>
  <c r="G8" i="8"/>
  <c r="K41" i="6"/>
  <c r="H7" i="7"/>
  <c r="I6" i="7"/>
  <c r="J6" i="7" s="1"/>
  <c r="L6" i="7" s="1"/>
  <c r="M6" i="7" s="1"/>
  <c r="H7" i="9"/>
  <c r="G7" i="5"/>
  <c r="O9" i="3"/>
  <c r="Q6" i="4"/>
  <c r="G9" i="4"/>
  <c r="F10" i="4"/>
  <c r="H6" i="5"/>
  <c r="N8" i="6"/>
  <c r="O8" i="6" s="1"/>
  <c r="K14" i="6"/>
  <c r="V6" i="8"/>
  <c r="G14" i="9"/>
  <c r="K7" i="3"/>
  <c r="N31" i="6"/>
  <c r="O31" i="6" s="1"/>
  <c r="K31" i="6"/>
  <c r="Q8" i="8"/>
  <c r="V8" i="8" s="1"/>
  <c r="G8" i="9"/>
  <c r="G13" i="9"/>
  <c r="H13" i="9" s="1"/>
  <c r="P6" i="9"/>
  <c r="Q6" i="9" s="1"/>
  <c r="P9" i="9"/>
  <c r="S6" i="9" l="1"/>
  <c r="H8" i="3"/>
  <c r="G9" i="3"/>
  <c r="O7" i="3"/>
  <c r="O8" i="3"/>
  <c r="G33" i="6"/>
  <c r="H32" i="6"/>
  <c r="L32" i="6" s="1"/>
  <c r="N32" i="6" s="1"/>
  <c r="O32" i="6" s="1"/>
  <c r="G8" i="5"/>
  <c r="H7" i="5"/>
  <c r="T6" i="8"/>
  <c r="G10" i="4"/>
  <c r="H10" i="4" s="1"/>
  <c r="H9" i="4"/>
  <c r="J7" i="2"/>
  <c r="J8" i="2" s="1"/>
  <c r="J9" i="2" s="1"/>
  <c r="O8" i="4"/>
  <c r="H8" i="7"/>
  <c r="I7" i="7"/>
  <c r="J7" i="7" s="1"/>
  <c r="L7" i="7" s="1"/>
  <c r="M7" i="7" s="1"/>
  <c r="P7" i="7" s="1"/>
  <c r="H7" i="6"/>
  <c r="G8" i="6"/>
  <c r="H8" i="9"/>
  <c r="I7" i="9"/>
  <c r="J7" i="9" s="1"/>
  <c r="K7" i="9" s="1"/>
  <c r="M7" i="9" s="1"/>
  <c r="N7" i="9" s="1"/>
  <c r="Q7" i="9" s="1"/>
  <c r="P6" i="7"/>
  <c r="I7" i="8"/>
  <c r="J7" i="8" s="1"/>
  <c r="K7" i="8" s="1"/>
  <c r="N7" i="8" s="1"/>
  <c r="O7" i="8" s="1"/>
  <c r="R7" i="8" s="1"/>
  <c r="H8" i="8"/>
  <c r="I13" i="9"/>
  <c r="J13" i="9" s="1"/>
  <c r="K13" i="9" s="1"/>
  <c r="H14" i="9"/>
  <c r="J10" i="2" l="1"/>
  <c r="H15" i="9"/>
  <c r="I14" i="9"/>
  <c r="J14" i="9" s="1"/>
  <c r="K14" i="9" s="1"/>
  <c r="G34" i="6"/>
  <c r="H33" i="6"/>
  <c r="L33" i="6" s="1"/>
  <c r="N33" i="6" s="1"/>
  <c r="O33" i="6" s="1"/>
  <c r="H9" i="8"/>
  <c r="I8" i="8"/>
  <c r="J8" i="8" s="1"/>
  <c r="K8" i="8" s="1"/>
  <c r="N8" i="8" s="1"/>
  <c r="O8" i="8" s="1"/>
  <c r="R8" i="8" s="1"/>
  <c r="G9" i="6"/>
  <c r="H8" i="6"/>
  <c r="T7" i="8"/>
  <c r="S7" i="9"/>
  <c r="H9" i="9"/>
  <c r="I8" i="9"/>
  <c r="J8" i="9" s="1"/>
  <c r="K8" i="9" s="1"/>
  <c r="M8" i="9" s="1"/>
  <c r="N8" i="9" s="1"/>
  <c r="Q8" i="9" s="1"/>
  <c r="G10" i="3"/>
  <c r="H10" i="3" s="1"/>
  <c r="H9" i="3"/>
  <c r="H9" i="7"/>
  <c r="I8" i="7"/>
  <c r="J8" i="7" s="1"/>
  <c r="L8" i="7" s="1"/>
  <c r="M8" i="7" s="1"/>
  <c r="P8" i="7" s="1"/>
  <c r="G9" i="5"/>
  <c r="H8" i="5"/>
  <c r="H34" i="6" l="1"/>
  <c r="L34" i="6" s="1"/>
  <c r="N34" i="6" s="1"/>
  <c r="O34" i="6" s="1"/>
  <c r="G35" i="6"/>
  <c r="I9" i="8"/>
  <c r="J9" i="8" s="1"/>
  <c r="K9" i="8" s="1"/>
  <c r="N9" i="8" s="1"/>
  <c r="O9" i="8" s="1"/>
  <c r="R9" i="8" s="1"/>
  <c r="T10" i="8" s="1"/>
  <c r="H10" i="8"/>
  <c r="I10" i="8" s="1"/>
  <c r="J10" i="8" s="1"/>
  <c r="K10" i="8" s="1"/>
  <c r="N10" i="8" s="1"/>
  <c r="O10" i="8" s="1"/>
  <c r="R10" i="8" s="1"/>
  <c r="I9" i="9"/>
  <c r="J9" i="9" s="1"/>
  <c r="K9" i="9" s="1"/>
  <c r="M9" i="9" s="1"/>
  <c r="N9" i="9" s="1"/>
  <c r="Q9" i="9" s="1"/>
  <c r="S9" i="9" s="1"/>
  <c r="H10" i="9"/>
  <c r="I10" i="9" s="1"/>
  <c r="H16" i="9"/>
  <c r="I16" i="9" s="1"/>
  <c r="I15" i="9"/>
  <c r="J15" i="9" s="1"/>
  <c r="K15" i="9" s="1"/>
  <c r="I9" i="7"/>
  <c r="J9" i="7" s="1"/>
  <c r="L9" i="7" s="1"/>
  <c r="M9" i="7" s="1"/>
  <c r="P10" i="7" s="1"/>
  <c r="H10" i="7"/>
  <c r="I10" i="7" s="1"/>
  <c r="J10" i="7" s="1"/>
  <c r="L10" i="7" s="1"/>
  <c r="M10" i="7" s="1"/>
  <c r="G10" i="6"/>
  <c r="H9" i="6"/>
  <c r="S8" i="9"/>
  <c r="G10" i="5"/>
  <c r="H9" i="5"/>
  <c r="T8" i="8"/>
  <c r="G13" i="6" l="1"/>
  <c r="H10" i="6"/>
  <c r="P9" i="7"/>
  <c r="T9" i="8"/>
  <c r="J16" i="9"/>
  <c r="K16" i="9" s="1"/>
  <c r="G38" i="6"/>
  <c r="H35" i="6"/>
  <c r="L35" i="6" s="1"/>
  <c r="N35" i="6" s="1"/>
  <c r="O35" i="6" s="1"/>
  <c r="S10" i="9"/>
  <c r="G13" i="5"/>
  <c r="H10" i="5"/>
  <c r="J10" i="9"/>
  <c r="K10" i="9" s="1"/>
  <c r="M10" i="9" s="1"/>
  <c r="N10" i="9" s="1"/>
  <c r="Q10" i="9" s="1"/>
  <c r="G39" i="6" l="1"/>
  <c r="H38" i="6"/>
  <c r="L38" i="6" s="1"/>
  <c r="N38" i="6" s="1"/>
  <c r="O38" i="6" s="1"/>
  <c r="H13" i="5"/>
  <c r="L13" i="5" s="1"/>
  <c r="N13" i="5" s="1"/>
  <c r="O13" i="5" s="1"/>
  <c r="G14" i="5"/>
  <c r="H13" i="6"/>
  <c r="L13" i="6" s="1"/>
  <c r="N13" i="6" s="1"/>
  <c r="O13" i="6" s="1"/>
  <c r="G14" i="6"/>
  <c r="G15" i="6" l="1"/>
  <c r="H14" i="6"/>
  <c r="L14" i="6" s="1"/>
  <c r="N14" i="6" s="1"/>
  <c r="O14" i="6" s="1"/>
  <c r="G15" i="5"/>
  <c r="H14" i="5"/>
  <c r="L14" i="5" s="1"/>
  <c r="N14" i="5" s="1"/>
  <c r="O14" i="5" s="1"/>
  <c r="G40" i="6"/>
  <c r="H39" i="6"/>
  <c r="L39" i="6" s="1"/>
  <c r="N39" i="6" s="1"/>
  <c r="O39" i="6" s="1"/>
  <c r="H40" i="6" l="1"/>
  <c r="L40" i="6" s="1"/>
  <c r="N40" i="6" s="1"/>
  <c r="O40" i="6" s="1"/>
  <c r="G41" i="6"/>
  <c r="H15" i="5"/>
  <c r="L15" i="5" s="1"/>
  <c r="N15" i="5" s="1"/>
  <c r="O15" i="5" s="1"/>
  <c r="G16" i="5"/>
  <c r="H16" i="5" s="1"/>
  <c r="L16" i="5" s="1"/>
  <c r="N16" i="5" s="1"/>
  <c r="O16" i="5" s="1"/>
  <c r="G16" i="6"/>
  <c r="H15" i="6"/>
  <c r="L15" i="6" s="1"/>
  <c r="N15" i="6" s="1"/>
  <c r="O15" i="6" s="1"/>
  <c r="G17" i="6" l="1"/>
  <c r="H17" i="6" s="1"/>
  <c r="L17" i="6" s="1"/>
  <c r="N17" i="6" s="1"/>
  <c r="O17" i="6" s="1"/>
  <c r="H16" i="6"/>
  <c r="L16" i="6" s="1"/>
  <c r="N16" i="6" s="1"/>
  <c r="O16" i="6" s="1"/>
  <c r="G42" i="6"/>
  <c r="H42" i="6" s="1"/>
  <c r="L42" i="6" s="1"/>
  <c r="N42" i="6" s="1"/>
  <c r="O42" i="6" s="1"/>
  <c r="H41" i="6"/>
  <c r="L41" i="6" s="1"/>
  <c r="N41" i="6" s="1"/>
  <c r="O41" i="6" s="1"/>
</calcChain>
</file>

<file path=xl/sharedStrings.xml><?xml version="1.0" encoding="utf-8"?>
<sst xmlns="http://schemas.openxmlformats.org/spreadsheetml/2006/main" count="451" uniqueCount="216">
  <si>
    <t>Project</t>
  </si>
  <si>
    <t>ARR Module Sample Calculations - Loan IQ</t>
  </si>
  <si>
    <t>Calculation Method</t>
  </si>
  <si>
    <t xml:space="preserve">Compounded in Arrears </t>
  </si>
  <si>
    <t>Document Control</t>
  </si>
  <si>
    <t>Software Version</t>
  </si>
  <si>
    <t>Loan IQ Version  7.5.1.2</t>
  </si>
  <si>
    <t>Use Case Version</t>
  </si>
  <si>
    <t>V.1</t>
  </si>
  <si>
    <t>Author(s)</t>
  </si>
  <si>
    <t>Liza Tam / Joanna Arabska</t>
  </si>
  <si>
    <t>Internal Re-viewer(s)</t>
  </si>
  <si>
    <t>GS</t>
  </si>
  <si>
    <t>Status</t>
  </si>
  <si>
    <t>Completed</t>
  </si>
  <si>
    <t>Document History</t>
  </si>
  <si>
    <t>Revision by</t>
  </si>
  <si>
    <t>Date</t>
  </si>
  <si>
    <t>Version</t>
  </si>
  <si>
    <t>Description</t>
  </si>
  <si>
    <t>Distribution List</t>
  </si>
  <si>
    <t>Name</t>
  </si>
  <si>
    <t xml:space="preserve">SAMPLE CALCULATIONS </t>
  </si>
  <si>
    <t>Rate Basis</t>
  </si>
  <si>
    <t>N</t>
  </si>
  <si>
    <t>Simple Interest</t>
  </si>
  <si>
    <t>ri</t>
  </si>
  <si>
    <t>Calculated Rate + Spread</t>
  </si>
  <si>
    <t>ni</t>
  </si>
  <si>
    <t>Principal</t>
  </si>
  <si>
    <t>SOFR
(Rate Applied)</t>
  </si>
  <si>
    <t>Spread</t>
  </si>
  <si>
    <t>Spread
Adj</t>
  </si>
  <si>
    <t>All in Rate</t>
  </si>
  <si>
    <t>Interest Accrued To Date</t>
  </si>
  <si>
    <t>Number of Days Rate is Applied</t>
  </si>
  <si>
    <t>Cumulative Accrual</t>
  </si>
  <si>
    <t>Special All In Rates</t>
  </si>
  <si>
    <t xml:space="preserve"> Caps&amp;Floors_Accrued Interest</t>
  </si>
  <si>
    <t>09-Oct-2014</t>
  </si>
  <si>
    <t>2.633%</t>
  </si>
  <si>
    <t>2.50%</t>
  </si>
  <si>
    <t>0.00%</t>
  </si>
  <si>
    <t>5.13300%</t>
  </si>
  <si>
    <t>10-Oct-2014</t>
  </si>
  <si>
    <t>2.610%</t>
  </si>
  <si>
    <t>5.11000%</t>
  </si>
  <si>
    <t>13-Oct-2014</t>
  </si>
  <si>
    <t>2.622%</t>
  </si>
  <si>
    <t>5.12200%</t>
  </si>
  <si>
    <t>14-Oct-2014</t>
  </si>
  <si>
    <t>2.655%</t>
  </si>
  <si>
    <t>5.15500%</t>
  </si>
  <si>
    <t>15-Oct-2014</t>
  </si>
  <si>
    <t>2.611%</t>
  </si>
  <si>
    <t>5.11100%</t>
  </si>
  <si>
    <t>16-Oct-2014</t>
  </si>
  <si>
    <t>Simple Average</t>
  </si>
  <si>
    <t>1+ rate ri x days the rage prevails ni / N 360</t>
  </si>
  <si>
    <t>Cumulative Rate = Previous Day Cumulative Rate * Current Day Calc Rate</t>
  </si>
  <si>
    <t>Cumulative Rate - 1 * N/dcm</t>
  </si>
  <si>
    <t>dcm</t>
  </si>
  <si>
    <t>Date (Compounded Base Rate)</t>
  </si>
  <si>
    <t>SOFR 
(Rate Applied)</t>
  </si>
  <si>
    <t>Calc Rate*</t>
  </si>
  <si>
    <t>Cumulative Rate**</t>
  </si>
  <si>
    <t>Annualized Compound Rate***
(Calculated Rate)</t>
  </si>
  <si>
    <t>Daily Interest for Margin (NOT compounding)</t>
  </si>
  <si>
    <t>Total Compounded No of Days</t>
  </si>
  <si>
    <t>Interest Accrued To Date (Cumulative Interest)</t>
  </si>
  <si>
    <t>Net Daily Accrual (today's Cumulative interest - yesterday's Cumulative Interest</t>
  </si>
  <si>
    <t>Projected Cycle Accrued Interest (Cumulative Interest)</t>
  </si>
  <si>
    <t>26-Sep-2014</t>
  </si>
  <si>
    <t>2.500000000000%</t>
  </si>
  <si>
    <t>0.000000000000%</t>
  </si>
  <si>
    <t>5.126000%</t>
  </si>
  <si>
    <t>29-Sep-2014</t>
  </si>
  <si>
    <t>30-Sep-2014</t>
  </si>
  <si>
    <t>02-Oct-2014</t>
  </si>
  <si>
    <t>2.625%</t>
  </si>
  <si>
    <t>03-Oct-2014</t>
  </si>
  <si>
    <t>17-Oct-2014</t>
  </si>
  <si>
    <t>2.623%</t>
  </si>
  <si>
    <t>06-Oct-2014</t>
  </si>
  <si>
    <t>20-Oct-2014</t>
  </si>
  <si>
    <t>21-Oct-2014</t>
  </si>
  <si>
    <t>22-Oct-2014</t>
  </si>
  <si>
    <t>Average Principal</t>
  </si>
  <si>
    <t>Spreadj
Adj</t>
  </si>
  <si>
    <t>26-Dec-2013</t>
  </si>
  <si>
    <t>2.248%</t>
  </si>
  <si>
    <t>4.933143%</t>
  </si>
  <si>
    <t>27-Dec-2013</t>
  </si>
  <si>
    <t>2.111%</t>
  </si>
  <si>
    <t>30-Dec-2013</t>
  </si>
  <si>
    <t>2.817%</t>
  </si>
  <si>
    <t>31-Dec-2013</t>
  </si>
  <si>
    <t>01-Jan-2014</t>
  </si>
  <si>
    <t>02-Jan-2014</t>
  </si>
  <si>
    <t>03-Jan-2014</t>
  </si>
  <si>
    <t>04-Jan-2014</t>
  </si>
  <si>
    <t>Calc Rate*
=1+(O7*E7/$C$2)</t>
  </si>
  <si>
    <t>Cumulative Rate**
=G6*F7</t>
  </si>
  <si>
    <t>Annualized Compound Rate***
(Calculated Rate)
=(G7-1)*$C$2/L7</t>
  </si>
  <si>
    <t>Interest Accrued To Date (Cumulative Interest)
=D7*L7*K7/$C$2</t>
  </si>
  <si>
    <t>20-Jun-2014</t>
  </si>
  <si>
    <t>21-Aug-2014</t>
  </si>
  <si>
    <t>5000000.00</t>
  </si>
  <si>
    <t>2.681%</t>
  </si>
  <si>
    <t>5.181000%</t>
  </si>
  <si>
    <t>23-Jun-2014</t>
  </si>
  <si>
    <t>22-Aug-2014</t>
  </si>
  <si>
    <t>2.955%</t>
  </si>
  <si>
    <t>5.386665%</t>
  </si>
  <si>
    <t>24-Jun-2014</t>
  </si>
  <si>
    <t>25-Aug-2014</t>
  </si>
  <si>
    <t>2.472%</t>
  </si>
  <si>
    <t>26-Jun-2014</t>
  </si>
  <si>
    <t>26-Aug-2014</t>
  </si>
  <si>
    <t>30-Jun-2014</t>
  </si>
  <si>
    <t>27-Aug-2014</t>
  </si>
  <si>
    <t>2.475%</t>
  </si>
  <si>
    <t>01-Jul-2014</t>
  </si>
  <si>
    <t>30-Sep-2013</t>
  </si>
  <si>
    <t>16-Jul-2013</t>
  </si>
  <si>
    <t>17-Jul-2013</t>
  </si>
  <si>
    <t>18-Jul-2013</t>
  </si>
  <si>
    <t>19-Jul-2013</t>
  </si>
  <si>
    <t>* Calc Rate = 1 + (Number of Interest Days ri * SOFR ni / Rate Basis N)</t>
  </si>
  <si>
    <t>** Cumulative Rate = Previous Day Cumulative Rate * Current Day Calc Rate</t>
  </si>
  <si>
    <t>*** Annualized Compound Rate = (Current Day Cumulative Rate -1) * Rate Basis N / Total Compounded No of Days dcm</t>
  </si>
  <si>
    <t>NB: dcm for the whole period is 7 Days = 19 to 25 August</t>
  </si>
  <si>
    <t>SAMPLE CALCULATIONS - Vary Principal</t>
  </si>
  <si>
    <t>Interest Calculation using Compounded in Arrears - WITH INCREASE</t>
  </si>
  <si>
    <t>Calc Rate**</t>
  </si>
  <si>
    <t>Annualized Compound Rate**
(Calculated Rate)</t>
  </si>
  <si>
    <t>Net Daily Accrual</t>
  </si>
  <si>
    <t>Number Days Rate is Applied</t>
  </si>
  <si>
    <t>Mon</t>
  </si>
  <si>
    <t>Tues</t>
  </si>
  <si>
    <t>Wed</t>
  </si>
  <si>
    <t>Thurs</t>
  </si>
  <si>
    <t>Fri</t>
  </si>
  <si>
    <t>Sat</t>
  </si>
  <si>
    <t>Sun</t>
  </si>
  <si>
    <t>** Calc Rate = 1 + (Number of Interest Days * SOFR / Rate Basis)</t>
  </si>
  <si>
    <t>** Annualized Compound Rate = (Current Day Cumulative Rate -1) * Rate Basis / Total Compounded No of Days</t>
  </si>
  <si>
    <t>Interest Calculation using Compounded in Arrears - EXAMPLE</t>
  </si>
  <si>
    <t>Spread Adj</t>
  </si>
  <si>
    <t>SAMPLE CALCULATIONS</t>
  </si>
  <si>
    <t>Interest Period Date</t>
  </si>
  <si>
    <t>Observation Period Date</t>
  </si>
  <si>
    <t>Secured Overnight Financing Rate</t>
  </si>
  <si>
    <t>Calc Rate*
=1+(P7*F7/$C$2)</t>
  </si>
  <si>
    <t>Cumulative Rate**
(Compounding Factor)
=H6*G7</t>
  </si>
  <si>
    <t>Compounded Rate</t>
  </si>
  <si>
    <t>All In Rate</t>
  </si>
  <si>
    <t>Accrued Interest</t>
  </si>
  <si>
    <t>Interest Period Days</t>
  </si>
  <si>
    <t>Observation Period Days</t>
  </si>
  <si>
    <t>Days</t>
  </si>
  <si>
    <t>Projected Cycle Accrued Interest</t>
  </si>
  <si>
    <t>22-Aug-2013</t>
  </si>
  <si>
    <t>14-Aug-2013</t>
  </si>
  <si>
    <t>2.260%</t>
  </si>
  <si>
    <t>1</t>
  </si>
  <si>
    <t>6.62000%</t>
  </si>
  <si>
    <t>23-Aug-2013</t>
  </si>
  <si>
    <t>15-Aug-2013</t>
  </si>
  <si>
    <t>2.370%</t>
  </si>
  <si>
    <t>6</t>
  </si>
  <si>
    <t>6.58015%</t>
  </si>
  <si>
    <t>26-Aug-2013</t>
  </si>
  <si>
    <t>19-Aug-2013</t>
  </si>
  <si>
    <t>2.550%</t>
  </si>
  <si>
    <t>2</t>
  </si>
  <si>
    <t>6.80066%</t>
  </si>
  <si>
    <t>27-Aug-2013</t>
  </si>
  <si>
    <t>20-Aug-2013</t>
  </si>
  <si>
    <t>2.540%</t>
  </si>
  <si>
    <t>6.79084%</t>
  </si>
  <si>
    <t>28-Aug-2013</t>
  </si>
  <si>
    <t>21-Aug-2013</t>
  </si>
  <si>
    <t>2.480%</t>
  </si>
  <si>
    <t>6.73100%</t>
  </si>
  <si>
    <t>29-Aug-2013</t>
  </si>
  <si>
    <t>Cap_or_Floor_Rate</t>
  </si>
  <si>
    <t>Daily Rate with Compounding</t>
  </si>
  <si>
    <t>1+ rate ri x days the rage prevails ni / N of 360</t>
  </si>
  <si>
    <t>Pm  - 1</t>
  </si>
  <si>
    <t>Padj</t>
  </si>
  <si>
    <t xml:space="preserve">Padj x N/ni
</t>
  </si>
  <si>
    <t>NB: Cumulative Accrual is not required for this Calculation Method</t>
  </si>
  <si>
    <t>(Pm)
*** Compounding Factor -1  
= H7-1</t>
  </si>
  <si>
    <t>****Padj
Adjusted Compounding Factor (today's Pm - yesterday's Pm)
=I7-I6</t>
  </si>
  <si>
    <t>*****Padj x N/ni
Compounded Daily Rate
=J7*$C$2/P7</t>
  </si>
  <si>
    <t>Spread Adjustment</t>
  </si>
  <si>
    <t>Daily Interest using Compounded Daily Rate
=D7*K7/$C$2*P7</t>
  </si>
  <si>
    <t>Margin</t>
  </si>
  <si>
    <t>All In Interest</t>
  </si>
  <si>
    <t>17-Nov-2014</t>
  </si>
  <si>
    <t>2.587%</t>
  </si>
  <si>
    <t>5.08700%</t>
  </si>
  <si>
    <t>18-Nov-2014</t>
  </si>
  <si>
    <t>2.589%</t>
  </si>
  <si>
    <t>5.08919%</t>
  </si>
  <si>
    <t>19-Nov-2014</t>
  </si>
  <si>
    <t>5.08737%</t>
  </si>
  <si>
    <t>20-Nov-2014</t>
  </si>
  <si>
    <t>5.08956%</t>
  </si>
  <si>
    <t>21-Nov-2014</t>
  </si>
  <si>
    <t>2.590%</t>
  </si>
  <si>
    <t>5.09074%</t>
  </si>
  <si>
    <t>24-Nov-2014</t>
  </si>
  <si>
    <t>3.386%</t>
  </si>
  <si>
    <t xml:space="preserve">* Compounded Daily Rate When Base Rate Floor Is In Effect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</si>
</sst>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00%"/>
    <numFmt numFmtId="166" formatCode="_-* #,##0.000000_-;\-* #,##0.000000_-;_-* &quot;-&quot;??_-;_-@_-"/>
    <numFmt numFmtId="167" formatCode="_-* #,##0.000000000_-;\-* #,##0.000000000_-;_-* &quot;-&quot;??_-;_-@_-"/>
    <numFmt numFmtId="168" formatCode="0.00000%"/>
    <numFmt numFmtId="169" formatCode="0.000000"/>
    <numFmt numFmtId="170" formatCode="_-* #,##0.0000000_-;\-* #,##0.0000000_-;_-* &quot;-&quot;??_-;_-@_-"/>
    <numFmt numFmtId="171" formatCode="0.000000000000%"/>
    <numFmt numFmtId="172" formatCode="_-* #,##0.0000_-;\-* #,##0.0000_-;_-* &quot;-&quot;??_-;_-@_-"/>
    <numFmt numFmtId="173" formatCode="_(* #,##0.00000000_);_(* \(#,##0.00000000\);_(* &quot;-&quot;??_);_(@_)"/>
    <numFmt numFmtId="174" formatCode="_([$$-409]* #,##0.00_);_([$$-409]* \(#,##0.00\);_([$$-409]* &quot;-&quot;??_);_(@_)"/>
    <numFmt numFmtId="175" formatCode="_-* #,##0_-;\-* #,##0_-;_-* &quot;-&quot;??_-;_-@_-"/>
    <numFmt numFmtId="176" formatCode="0.0%"/>
    <numFmt numFmtId="177" formatCode="0.0000%"/>
    <numFmt numFmtId="178" formatCode="0.000000000"/>
    <numFmt numFmtId="179" formatCode="&quot;$&quot;#,##0.00"/>
    <numFmt numFmtId="180" formatCode="0.000000%"/>
    <numFmt numFmtId="181" formatCode="_-* #,##0.000000000000_-;\-* #,##0.0000000000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omic Sans MS"/>
      <family val="4"/>
    </font>
    <font>
      <sz val="12"/>
      <color theme="1"/>
      <name val="Comic Sans MS"/>
      <family val="4"/>
    </font>
    <font>
      <b/>
      <sz val="12"/>
      <color rgb="FF7030A0"/>
      <name val="Comic Sans MS"/>
      <family val="4"/>
    </font>
    <font>
      <sz val="16"/>
      <color theme="1"/>
      <name val="Comic Sans MS"/>
      <family val="4"/>
    </font>
    <font>
      <sz val="16"/>
      <color theme="1"/>
      <name val="Roboto"/>
    </font>
    <font>
      <b/>
      <sz val="16"/>
      <color theme="1"/>
      <name val="Roboto"/>
    </font>
    <font>
      <sz val="12"/>
      <color theme="1"/>
      <name val="Roboto"/>
    </font>
    <font>
      <b/>
      <sz val="12"/>
      <color rgb="FF7030A0"/>
      <name val="Roboto"/>
    </font>
    <font>
      <b/>
      <sz val="12"/>
      <color theme="1"/>
      <name val="Roboto"/>
    </font>
    <font>
      <b/>
      <sz val="12"/>
      <color rgb="FFFF33CC"/>
      <name val="Roboto"/>
    </font>
    <font>
      <b/>
      <sz val="14"/>
      <name val="Roboto"/>
    </font>
    <font>
      <b/>
      <sz val="14"/>
      <color rgb="FFFF33CC"/>
      <name val="Roboto"/>
    </font>
    <font>
      <b/>
      <sz val="14"/>
      <color rgb="FF00B050"/>
      <name val="Roboto"/>
    </font>
    <font>
      <b/>
      <sz val="14"/>
      <color rgb="FF00B0F0"/>
      <name val="Roboto"/>
    </font>
    <font>
      <b/>
      <sz val="16"/>
      <color rgb="FF00B0F0"/>
      <name val="Roboto"/>
    </font>
    <font>
      <b/>
      <sz val="14"/>
      <color rgb="FFFF0000"/>
      <name val="Roboto"/>
    </font>
    <font>
      <b/>
      <sz val="14"/>
      <color rgb="FFFFC000"/>
      <name val="Roboto"/>
    </font>
    <font>
      <b/>
      <sz val="14"/>
      <color theme="4" tint="-0.249977111117893"/>
      <name val="Roboto"/>
    </font>
    <font>
      <b/>
      <sz val="14"/>
      <color theme="1"/>
      <name val="Roboto"/>
    </font>
    <font>
      <sz val="14"/>
      <color theme="1"/>
      <name val="Roboto"/>
    </font>
    <font>
      <b/>
      <sz val="14"/>
      <color rgb="FF7030A0"/>
      <name val="Roboto"/>
    </font>
    <font>
      <sz val="11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color theme="1"/>
      <name val="Roboto"/>
    </font>
    <font>
      <b/>
      <sz val="10"/>
      <color theme="1"/>
      <name val="Roboto"/>
    </font>
    <font>
      <b/>
      <sz val="10"/>
      <color rgb="FF00B0F0"/>
      <name val="Roboto"/>
    </font>
    <font>
      <b/>
      <sz val="10"/>
      <name val="Roboto"/>
    </font>
    <font>
      <b/>
      <sz val="10"/>
      <color rgb="FF00B050"/>
      <name val="Roboto"/>
    </font>
    <font>
      <b/>
      <sz val="10"/>
      <color rgb="FFFF0000"/>
      <name val="Roboto"/>
    </font>
    <font>
      <b/>
      <sz val="10"/>
      <color rgb="FF0070C0"/>
      <name val="Roboto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33CC"/>
      <name val="Roboto"/>
    </font>
    <font>
      <b/>
      <sz val="10"/>
      <color rgb="FFFF00FF"/>
      <name val="Roboto"/>
    </font>
    <font>
      <sz val="10"/>
      <color rgb="FFFF0000"/>
      <name val="Roboto"/>
    </font>
    <font>
      <sz val="10"/>
      <color rgb="FF000000"/>
      <name val="Roboto"/>
    </font>
    <font>
      <b/>
      <sz val="10"/>
      <color rgb="FF000000"/>
      <name val="Roboto"/>
    </font>
    <font>
      <sz val="11"/>
      <color rgb="FF000000"/>
      <name val="Calibri"/>
      <family val="2"/>
      <scheme val="minor"/>
    </font>
    <font>
      <b/>
      <sz val="10"/>
      <color rgb="FF305496"/>
      <name val="Roboto"/>
    </font>
    <font>
      <sz val="10"/>
      <name val="Roboto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164" fontId="1" fillId="0" borderId="0"/>
    <xf numFmtId="0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11">
    <xf numFmtId="0" fontId="0" fillId="0" borderId="0" xfId="0"/>
    <xf numFmtId="0" fontId="2" fillId="0" borderId="0" xfId="0" applyFont="1"/>
    <xf numFmtId="164" fontId="2" fillId="0" borderId="0" xfId="1" applyFont="1"/>
    <xf numFmtId="0" fontId="3" fillId="0" borderId="0" xfId="0" applyFont="1"/>
    <xf numFmtId="164" fontId="3" fillId="0" borderId="0" xfId="1" applyFont="1"/>
    <xf numFmtId="0" fontId="3" fillId="0" borderId="0" xfId="0" applyFont="1" applyAlignment="1">
      <alignment horizontal="center" vertical="center"/>
    </xf>
    <xf numFmtId="2" fontId="3" fillId="0" borderId="0" xfId="0" applyNumberFormat="1" applyFont="1"/>
    <xf numFmtId="43" fontId="3" fillId="0" borderId="0" xfId="0" applyNumberFormat="1" applyFont="1"/>
    <xf numFmtId="0" fontId="3" fillId="0" borderId="0" xfId="0" applyFont="1" applyAlignment="1">
      <alignment wrapText="1"/>
    </xf>
    <xf numFmtId="0" fontId="4" fillId="0" borderId="0" xfId="0" applyFont="1"/>
    <xf numFmtId="164" fontId="4" fillId="0" borderId="0" xfId="1" applyFont="1"/>
    <xf numFmtId="164" fontId="5" fillId="0" borderId="0" xfId="1" applyFont="1"/>
    <xf numFmtId="0" fontId="5" fillId="0" borderId="0" xfId="0" applyFont="1"/>
    <xf numFmtId="0" fontId="5" fillId="0" borderId="0" xfId="0" applyFont="1" applyAlignment="1">
      <alignment horizontal="center" vertical="center"/>
    </xf>
    <xf numFmtId="2" fontId="5" fillId="0" borderId="0" xfId="0" applyNumberFormat="1" applyFont="1"/>
    <xf numFmtId="0" fontId="6" fillId="0" borderId="0" xfId="0" applyFont="1"/>
    <xf numFmtId="0" fontId="7" fillId="0" borderId="0" xfId="0" applyFont="1"/>
    <xf numFmtId="164" fontId="7" fillId="0" borderId="0" xfId="1" applyFont="1"/>
    <xf numFmtId="164" fontId="6" fillId="0" borderId="0" xfId="1" applyFont="1"/>
    <xf numFmtId="0" fontId="6" fillId="0" borderId="0" xfId="0" applyFont="1" applyAlignment="1">
      <alignment horizontal="center" vertical="center"/>
    </xf>
    <xf numFmtId="2" fontId="6" fillId="0" borderId="0" xfId="0" applyNumberFormat="1" applyFont="1"/>
    <xf numFmtId="164" fontId="8" fillId="0" borderId="0" xfId="1" applyFont="1"/>
    <xf numFmtId="0" fontId="8" fillId="0" borderId="0" xfId="0" applyFont="1"/>
    <xf numFmtId="43" fontId="8" fillId="0" borderId="0" xfId="0" applyNumberFormat="1" applyFont="1"/>
    <xf numFmtId="0" fontId="8" fillId="0" borderId="0" xfId="0" applyFont="1" applyAlignment="1">
      <alignment horizontal="center" vertical="center"/>
    </xf>
    <xf numFmtId="2" fontId="8" fillId="0" borderId="0" xfId="0" applyNumberFormat="1" applyFont="1"/>
    <xf numFmtId="0" fontId="8" fillId="0" borderId="0" xfId="0" applyFont="1" applyAlignment="1">
      <alignment horizontal="right"/>
    </xf>
    <xf numFmtId="0" fontId="9" fillId="0" borderId="0" xfId="0" applyFont="1"/>
    <xf numFmtId="164" fontId="9" fillId="0" borderId="0" xfId="1" applyFont="1"/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16" fillId="0" borderId="0" xfId="0" applyFont="1"/>
    <xf numFmtId="164" fontId="15" fillId="0" borderId="0" xfId="1" applyFont="1"/>
    <xf numFmtId="0" fontId="20" fillId="0" borderId="1" xfId="0" applyFont="1" applyBorder="1" applyAlignment="1">
      <alignment wrapText="1"/>
    </xf>
    <xf numFmtId="0" fontId="21" fillId="0" borderId="1" xfId="0" applyFont="1" applyBorder="1" applyAlignment="1">
      <alignment wrapText="1"/>
    </xf>
    <xf numFmtId="164" fontId="20" fillId="0" borderId="1" xfId="1" applyFont="1" applyBorder="1" applyAlignment="1">
      <alignment horizontal="center" wrapText="1"/>
    </xf>
    <xf numFmtId="0" fontId="22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 wrapText="1"/>
    </xf>
    <xf numFmtId="0" fontId="21" fillId="0" borderId="1" xfId="0" applyFont="1" applyBorder="1"/>
    <xf numFmtId="1" fontId="21" fillId="0" borderId="1" xfId="0" applyNumberFormat="1" applyFont="1" applyBorder="1"/>
    <xf numFmtId="1" fontId="14" fillId="0" borderId="1" xfId="0" applyNumberFormat="1" applyFont="1" applyBorder="1"/>
    <xf numFmtId="2" fontId="21" fillId="0" borderId="1" xfId="0" applyNumberFormat="1" applyFont="1" applyBorder="1"/>
    <xf numFmtId="0" fontId="9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15" fontId="8" fillId="0" borderId="1" xfId="0" applyNumberFormat="1" applyFont="1" applyBorder="1"/>
    <xf numFmtId="164" fontId="8" fillId="0" borderId="1" xfId="1" applyFont="1" applyBorder="1"/>
    <xf numFmtId="9" fontId="8" fillId="0" borderId="1" xfId="2" applyNumberFormat="1" applyFont="1" applyBorder="1"/>
    <xf numFmtId="0" fontId="8" fillId="0" borderId="1" xfId="0" applyFont="1" applyBorder="1"/>
    <xf numFmtId="1" fontId="8" fillId="0" borderId="1" xfId="0" applyNumberFormat="1" applyFont="1" applyBorder="1"/>
    <xf numFmtId="2" fontId="8" fillId="0" borderId="1" xfId="0" applyNumberFormat="1" applyFont="1" applyBorder="1"/>
    <xf numFmtId="2" fontId="10" fillId="0" borderId="1" xfId="0" applyNumberFormat="1" applyFont="1" applyBorder="1" applyAlignment="1">
      <alignment horizontal="center" wrapText="1"/>
    </xf>
    <xf numFmtId="0" fontId="23" fillId="2" borderId="0" xfId="0" applyFont="1" applyFill="1"/>
    <xf numFmtId="0" fontId="23" fillId="2" borderId="0" xfId="0" applyFont="1" applyFill="1" applyAlignment="1">
      <alignment horizontal="center"/>
    </xf>
    <xf numFmtId="0" fontId="23" fillId="2" borderId="2" xfId="0" applyFont="1" applyFill="1" applyBorder="1" applyAlignment="1">
      <alignment horizontal="center" wrapText="1"/>
    </xf>
    <xf numFmtId="0" fontId="23" fillId="2" borderId="2" xfId="0" applyFont="1" applyFill="1" applyBorder="1"/>
    <xf numFmtId="0" fontId="23" fillId="2" borderId="0" xfId="0" applyFont="1" applyFill="1" applyAlignment="1">
      <alignment horizontal="center" wrapText="1"/>
    </xf>
    <xf numFmtId="0" fontId="23" fillId="0" borderId="0" xfId="0" applyFont="1"/>
    <xf numFmtId="0" fontId="25" fillId="0" borderId="0" xfId="0" applyFont="1"/>
    <xf numFmtId="0" fontId="24" fillId="3" borderId="1" xfId="0" applyFont="1" applyFill="1" applyBorder="1" applyAlignment="1">
      <alignment horizontal="left" vertical="top" wrapText="1"/>
    </xf>
    <xf numFmtId="0" fontId="24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 wrapText="1"/>
    </xf>
    <xf numFmtId="14" fontId="23" fillId="0" borderId="6" xfId="0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14" fontId="23" fillId="0" borderId="0" xfId="0" applyNumberFormat="1" applyFont="1" applyAlignment="1">
      <alignment horizontal="center"/>
    </xf>
    <xf numFmtId="0" fontId="24" fillId="3" borderId="3" xfId="0" applyFont="1" applyFill="1" applyBorder="1" applyAlignment="1">
      <alignment horizontal="center" vertical="top" wrapText="1"/>
    </xf>
    <xf numFmtId="0" fontId="26" fillId="0" borderId="0" xfId="0" applyFont="1"/>
    <xf numFmtId="0" fontId="27" fillId="0" borderId="0" xfId="0" applyFont="1"/>
    <xf numFmtId="43" fontId="27" fillId="0" borderId="0" xfId="4" applyNumberFormat="1" applyFont="1"/>
    <xf numFmtId="43" fontId="26" fillId="0" borderId="0" xfId="4" applyNumberFormat="1" applyFont="1"/>
    <xf numFmtId="43" fontId="28" fillId="0" borderId="0" xfId="4" applyNumberFormat="1" applyFont="1"/>
    <xf numFmtId="0" fontId="26" fillId="0" borderId="0" xfId="0" applyFont="1" applyAlignment="1">
      <alignment horizontal="right"/>
    </xf>
    <xf numFmtId="0" fontId="27" fillId="0" borderId="1" xfId="0" applyFont="1" applyBorder="1" applyAlignment="1">
      <alignment wrapText="1"/>
    </xf>
    <xf numFmtId="0" fontId="27" fillId="0" borderId="1" xfId="0" applyFont="1" applyBorder="1" applyAlignment="1">
      <alignment horizontal="center" wrapText="1"/>
    </xf>
    <xf numFmtId="0" fontId="29" fillId="0" borderId="1" xfId="0" applyFont="1" applyBorder="1" applyAlignment="1">
      <alignment horizontal="center" wrapText="1"/>
    </xf>
    <xf numFmtId="0" fontId="29" fillId="4" borderId="1" xfId="0" applyFont="1" applyFill="1" applyBorder="1" applyAlignment="1">
      <alignment horizontal="center" wrapText="1"/>
    </xf>
    <xf numFmtId="15" fontId="26" fillId="5" borderId="1" xfId="0" applyNumberFormat="1" applyFont="1" applyFill="1" applyBorder="1"/>
    <xf numFmtId="43" fontId="26" fillId="0" borderId="1" xfId="4" applyNumberFormat="1" applyFont="1" applyBorder="1"/>
    <xf numFmtId="9" fontId="26" fillId="0" borderId="1" xfId="5" applyNumberFormat="1" applyFont="1" applyBorder="1"/>
    <xf numFmtId="0" fontId="26" fillId="0" borderId="1" xfId="0" applyFont="1" applyBorder="1"/>
    <xf numFmtId="0" fontId="26" fillId="0" borderId="1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3" fillId="0" borderId="0" xfId="0" applyFont="1"/>
    <xf numFmtId="0" fontId="34" fillId="0" borderId="0" xfId="0" applyFont="1" applyAlignment="1">
      <alignment horizontal="center" wrapText="1"/>
    </xf>
    <xf numFmtId="0" fontId="29" fillId="6" borderId="1" xfId="0" applyFont="1" applyFill="1" applyBorder="1" applyAlignment="1">
      <alignment horizontal="center" wrapText="1"/>
    </xf>
    <xf numFmtId="165" fontId="8" fillId="0" borderId="0" xfId="2" applyNumberFormat="1" applyFont="1"/>
    <xf numFmtId="165" fontId="7" fillId="0" borderId="0" xfId="2" applyNumberFormat="1" applyFont="1"/>
    <xf numFmtId="166" fontId="8" fillId="0" borderId="0" xfId="1" applyNumberFormat="1" applyFont="1"/>
    <xf numFmtId="165" fontId="11" fillId="0" borderId="1" xfId="2" applyNumberFormat="1" applyFont="1" applyBorder="1" applyAlignment="1">
      <alignment horizontal="center"/>
    </xf>
    <xf numFmtId="165" fontId="20" fillId="0" borderId="1" xfId="2" applyNumberFormat="1" applyFont="1" applyBorder="1" applyAlignment="1">
      <alignment horizontal="center" wrapText="1"/>
    </xf>
    <xf numFmtId="167" fontId="21" fillId="0" borderId="1" xfId="1" applyNumberFormat="1" applyFont="1" applyBorder="1"/>
    <xf numFmtId="167" fontId="17" fillId="0" borderId="1" xfId="1" applyNumberFormat="1" applyFont="1" applyBorder="1"/>
    <xf numFmtId="168" fontId="21" fillId="0" borderId="1" xfId="2" applyNumberFormat="1" applyFont="1" applyBorder="1"/>
    <xf numFmtId="167" fontId="18" fillId="0" borderId="1" xfId="1" applyNumberFormat="1" applyFont="1" applyBorder="1"/>
    <xf numFmtId="167" fontId="19" fillId="0" borderId="1" xfId="1" applyNumberFormat="1" applyFont="1" applyBorder="1"/>
    <xf numFmtId="165" fontId="8" fillId="0" borderId="1" xfId="2" applyNumberFormat="1" applyFont="1" applyBorder="1"/>
    <xf numFmtId="165" fontId="9" fillId="0" borderId="0" xfId="2" applyNumberFormat="1" applyFont="1"/>
    <xf numFmtId="166" fontId="9" fillId="0" borderId="0" xfId="1" applyNumberFormat="1" applyFont="1"/>
    <xf numFmtId="165" fontId="3" fillId="0" borderId="0" xfId="2" applyNumberFormat="1" applyFont="1"/>
    <xf numFmtId="165" fontId="2" fillId="0" borderId="0" xfId="2" applyNumberFormat="1" applyFont="1"/>
    <xf numFmtId="166" fontId="3" fillId="0" borderId="0" xfId="1" applyNumberFormat="1" applyFont="1"/>
    <xf numFmtId="165" fontId="4" fillId="0" borderId="0" xfId="2" applyNumberFormat="1" applyFont="1"/>
    <xf numFmtId="166" fontId="4" fillId="0" borderId="0" xfId="1" applyNumberFormat="1" applyFont="1"/>
    <xf numFmtId="168" fontId="27" fillId="0" borderId="0" xfId="5" applyNumberFormat="1" applyFont="1"/>
    <xf numFmtId="168" fontId="26" fillId="0" borderId="0" xfId="5" applyNumberFormat="1" applyFont="1"/>
    <xf numFmtId="165" fontId="26" fillId="5" borderId="1" xfId="5" applyNumberFormat="1" applyFont="1" applyFill="1" applyBorder="1"/>
    <xf numFmtId="167" fontId="26" fillId="0" borderId="1" xfId="4" applyNumberFormat="1" applyFont="1" applyBorder="1"/>
    <xf numFmtId="167" fontId="31" fillId="0" borderId="1" xfId="4" applyNumberFormat="1" applyFont="1" applyBorder="1"/>
    <xf numFmtId="168" fontId="31" fillId="0" borderId="1" xfId="5" applyNumberFormat="1" applyFont="1" applyBorder="1"/>
    <xf numFmtId="168" fontId="26" fillId="5" borderId="1" xfId="5" applyNumberFormat="1" applyFont="1" applyFill="1" applyBorder="1"/>
    <xf numFmtId="168" fontId="26" fillId="4" borderId="1" xfId="5" applyNumberFormat="1" applyFont="1" applyFill="1" applyBorder="1"/>
    <xf numFmtId="167" fontId="32" fillId="0" borderId="1" xfId="4" applyNumberFormat="1" applyFont="1" applyBorder="1"/>
    <xf numFmtId="168" fontId="26" fillId="0" borderId="1" xfId="5" applyNumberFormat="1" applyFont="1" applyBorder="1"/>
    <xf numFmtId="168" fontId="27" fillId="5" borderId="1" xfId="5" applyNumberFormat="1" applyFont="1" applyFill="1" applyBorder="1" applyAlignment="1">
      <alignment horizontal="center" vertical="center"/>
    </xf>
    <xf numFmtId="169" fontId="21" fillId="0" borderId="1" xfId="0" applyNumberFormat="1" applyFont="1" applyBorder="1"/>
    <xf numFmtId="170" fontId="8" fillId="0" borderId="1" xfId="1" applyNumberFormat="1" applyFont="1" applyBorder="1"/>
    <xf numFmtId="171" fontId="8" fillId="0" borderId="1" xfId="2" applyNumberFormat="1" applyFont="1" applyBorder="1"/>
    <xf numFmtId="172" fontId="9" fillId="0" borderId="0" xfId="1" applyNumberFormat="1" applyFont="1"/>
    <xf numFmtId="173" fontId="9" fillId="0" borderId="0" xfId="0" applyNumberFormat="1" applyFont="1"/>
    <xf numFmtId="172" fontId="8" fillId="0" borderId="0" xfId="1" applyNumberFormat="1" applyFont="1"/>
    <xf numFmtId="173" fontId="8" fillId="0" borderId="0" xfId="0" applyNumberFormat="1" applyFont="1"/>
    <xf numFmtId="169" fontId="8" fillId="0" borderId="1" xfId="0" applyNumberFormat="1" applyFont="1" applyBorder="1"/>
    <xf numFmtId="172" fontId="4" fillId="0" borderId="0" xfId="1" applyNumberFormat="1" applyFont="1"/>
    <xf numFmtId="173" fontId="4" fillId="0" borderId="0" xfId="0" applyNumberFormat="1" applyFont="1"/>
    <xf numFmtId="174" fontId="31" fillId="5" borderId="1" xfId="5" applyNumberFormat="1" applyFont="1" applyFill="1" applyBorder="1"/>
    <xf numFmtId="175" fontId="26" fillId="5" borderId="1" xfId="4" applyNumberFormat="1" applyFont="1" applyFill="1" applyBorder="1" applyAlignment="1">
      <alignment horizontal="center" vertical="center"/>
    </xf>
    <xf numFmtId="175" fontId="26" fillId="4" borderId="1" xfId="4" applyNumberFormat="1" applyFont="1" applyFill="1" applyBorder="1" applyAlignment="1">
      <alignment horizontal="center" vertical="center"/>
    </xf>
    <xf numFmtId="174" fontId="31" fillId="4" borderId="1" xfId="5" applyNumberFormat="1" applyFont="1" applyFill="1" applyBorder="1"/>
    <xf numFmtId="174" fontId="31" fillId="6" borderId="1" xfId="5" applyNumberFormat="1" applyFont="1" applyFill="1" applyBorder="1"/>
    <xf numFmtId="175" fontId="30" fillId="5" borderId="1" xfId="4" applyNumberFormat="1" applyFont="1" applyFill="1" applyBorder="1" applyAlignment="1">
      <alignment horizontal="center" vertical="center"/>
    </xf>
    <xf numFmtId="15" fontId="21" fillId="5" borderId="1" xfId="0" applyNumberFormat="1" applyFont="1" applyFill="1" applyBorder="1"/>
    <xf numFmtId="164" fontId="21" fillId="5" borderId="1" xfId="1" applyFont="1" applyFill="1" applyBorder="1"/>
    <xf numFmtId="165" fontId="21" fillId="5" borderId="1" xfId="2" applyNumberFormat="1" applyFont="1" applyFill="1" applyBorder="1"/>
    <xf numFmtId="165" fontId="13" fillId="5" borderId="1" xfId="2" applyNumberFormat="1" applyFont="1" applyFill="1" applyBorder="1"/>
    <xf numFmtId="168" fontId="21" fillId="5" borderId="1" xfId="2" applyNumberFormat="1" applyFont="1" applyFill="1" applyBorder="1"/>
    <xf numFmtId="164" fontId="8" fillId="5" borderId="1" xfId="1" applyFont="1" applyFill="1" applyBorder="1"/>
    <xf numFmtId="15" fontId="8" fillId="5" borderId="1" xfId="0" applyNumberFormat="1" applyFont="1" applyFill="1" applyBorder="1"/>
    <xf numFmtId="171" fontId="8" fillId="5" borderId="1" xfId="2" applyNumberFormat="1" applyFont="1" applyFill="1" applyBorder="1"/>
    <xf numFmtId="9" fontId="8" fillId="5" borderId="1" xfId="2" applyNumberFormat="1" applyFont="1" applyFill="1" applyBorder="1"/>
    <xf numFmtId="165" fontId="8" fillId="5" borderId="1" xfId="2" applyNumberFormat="1" applyFont="1" applyFill="1" applyBorder="1"/>
    <xf numFmtId="164" fontId="8" fillId="5" borderId="1" xfId="1" quotePrefix="1" applyFont="1" applyFill="1" applyBorder="1"/>
    <xf numFmtId="176" fontId="21" fillId="5" borderId="1" xfId="2" applyNumberFormat="1" applyFont="1" applyFill="1" applyBorder="1"/>
    <xf numFmtId="43" fontId="27" fillId="0" borderId="0" xfId="6" applyNumberFormat="1" applyFont="1"/>
    <xf numFmtId="168" fontId="27" fillId="7" borderId="0" xfId="7" applyNumberFormat="1" applyFont="1" applyFill="1"/>
    <xf numFmtId="43" fontId="26" fillId="0" borderId="0" xfId="6" applyNumberFormat="1" applyFont="1"/>
    <xf numFmtId="0" fontId="26" fillId="7" borderId="0" xfId="0" applyFont="1" applyFill="1"/>
    <xf numFmtId="43" fontId="28" fillId="0" borderId="0" xfId="6" applyNumberFormat="1" applyFont="1"/>
    <xf numFmtId="168" fontId="26" fillId="7" borderId="0" xfId="7" applyNumberFormat="1" applyFont="1" applyFill="1"/>
    <xf numFmtId="43" fontId="26" fillId="0" borderId="1" xfId="6" applyNumberFormat="1" applyFont="1" applyBorder="1"/>
    <xf numFmtId="165" fontId="37" fillId="7" borderId="1" xfId="7" applyNumberFormat="1" applyFont="1" applyFill="1" applyBorder="1" applyAlignment="1">
      <alignment horizontal="center"/>
    </xf>
    <xf numFmtId="0" fontId="26" fillId="0" borderId="1" xfId="0" applyFont="1" applyBorder="1" applyAlignment="1">
      <alignment vertical="top" wrapText="1"/>
    </xf>
    <xf numFmtId="0" fontId="38" fillId="0" borderId="1" xfId="0" applyFont="1" applyBorder="1" applyAlignment="1">
      <alignment horizontal="center" wrapText="1"/>
    </xf>
    <xf numFmtId="0" fontId="37" fillId="0" borderId="1" xfId="0" applyFont="1" applyBorder="1" applyAlignment="1">
      <alignment horizontal="center" vertical="top" wrapText="1"/>
    </xf>
    <xf numFmtId="0" fontId="26" fillId="0" borderId="1" xfId="0" applyFont="1" applyBorder="1" applyAlignment="1">
      <alignment horizontal="center" wrapText="1"/>
    </xf>
    <xf numFmtId="0" fontId="26" fillId="7" borderId="1" xfId="0" applyFont="1" applyFill="1" applyBorder="1" applyAlignment="1">
      <alignment horizontal="center" wrapText="1"/>
    </xf>
    <xf numFmtId="0" fontId="26" fillId="7" borderId="1" xfId="0" applyFont="1" applyFill="1" applyBorder="1" applyAlignment="1">
      <alignment wrapText="1"/>
    </xf>
    <xf numFmtId="0" fontId="0" fillId="7" borderId="0" xfId="0" applyFill="1"/>
    <xf numFmtId="0" fontId="26" fillId="0" borderId="1" xfId="0" applyFont="1" applyBorder="1" applyAlignment="1">
      <alignment horizontal="center"/>
    </xf>
    <xf numFmtId="0" fontId="29" fillId="7" borderId="1" xfId="0" applyFont="1" applyFill="1" applyBorder="1" applyAlignment="1">
      <alignment horizontal="center" wrapText="1"/>
    </xf>
    <xf numFmtId="15" fontId="26" fillId="0" borderId="1" xfId="0" applyNumberFormat="1" applyFont="1" applyBorder="1"/>
    <xf numFmtId="165" fontId="26" fillId="7" borderId="1" xfId="7" applyNumberFormat="1" applyFont="1" applyFill="1" applyBorder="1"/>
    <xf numFmtId="167" fontId="26" fillId="0" borderId="1" xfId="6" applyNumberFormat="1" applyFont="1" applyBorder="1"/>
    <xf numFmtId="167" fontId="31" fillId="0" borderId="1" xfId="6" applyNumberFormat="1" applyFont="1" applyBorder="1"/>
    <xf numFmtId="168" fontId="26" fillId="0" borderId="1" xfId="7" applyNumberFormat="1" applyFont="1" applyBorder="1"/>
    <xf numFmtId="9" fontId="26" fillId="0" borderId="1" xfId="7" applyNumberFormat="1" applyFont="1" applyBorder="1"/>
    <xf numFmtId="168" fontId="26" fillId="7" borderId="1" xfId="7" applyNumberFormat="1" applyFont="1" applyFill="1" applyBorder="1"/>
    <xf numFmtId="175" fontId="26" fillId="7" borderId="1" xfId="6" applyNumberFormat="1" applyFont="1" applyFill="1" applyBorder="1" applyAlignment="1">
      <alignment horizontal="center" vertical="center"/>
    </xf>
    <xf numFmtId="175" fontId="26" fillId="7" borderId="1" xfId="4" applyNumberFormat="1" applyFont="1" applyFill="1" applyBorder="1" applyAlignment="1">
      <alignment horizontal="center" vertical="center"/>
    </xf>
    <xf numFmtId="174" fontId="31" fillId="7" borderId="1" xfId="5" applyNumberFormat="1" applyFont="1" applyFill="1" applyBorder="1"/>
    <xf numFmtId="167" fontId="32" fillId="0" borderId="1" xfId="6" applyNumberFormat="1" applyFont="1" applyBorder="1"/>
    <xf numFmtId="167" fontId="37" fillId="0" borderId="1" xfId="6" applyNumberFormat="1" applyFont="1" applyBorder="1"/>
    <xf numFmtId="175" fontId="30" fillId="7" borderId="1" xfId="6" applyNumberFormat="1" applyFont="1" applyFill="1" applyBorder="1" applyAlignment="1">
      <alignment horizontal="center" vertical="center"/>
    </xf>
    <xf numFmtId="175" fontId="26" fillId="7" borderId="6" xfId="6" applyNumberFormat="1" applyFont="1" applyFill="1" applyBorder="1" applyAlignment="1">
      <alignment horizontal="center" vertical="center"/>
    </xf>
    <xf numFmtId="0" fontId="35" fillId="7" borderId="0" xfId="0" applyFont="1" applyFill="1" applyAlignment="1">
      <alignment horizontal="left" vertical="top"/>
    </xf>
    <xf numFmtId="0" fontId="0" fillId="7" borderId="0" xfId="0" applyFill="1" applyAlignment="1">
      <alignment horizontal="center" vertical="top" wrapText="1"/>
    </xf>
    <xf numFmtId="0" fontId="0" fillId="7" borderId="0" xfId="0" applyFill="1" applyAlignment="1">
      <alignment vertical="top" wrapText="1"/>
    </xf>
    <xf numFmtId="0" fontId="35" fillId="7" borderId="0" xfId="0" applyFont="1" applyFill="1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35" fillId="0" borderId="0" xfId="0" applyFont="1"/>
    <xf numFmtId="0" fontId="33" fillId="7" borderId="0" xfId="0" applyFont="1" applyFill="1"/>
    <xf numFmtId="0" fontId="26" fillId="7" borderId="0" xfId="0" applyFont="1" applyFill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168" fontId="26" fillId="5" borderId="1" xfId="7" applyNumberFormat="1" applyFont="1" applyFill="1" applyBorder="1"/>
    <xf numFmtId="168" fontId="0" fillId="7" borderId="0" xfId="0" applyNumberFormat="1" applyFill="1"/>
    <xf numFmtId="0" fontId="29" fillId="5" borderId="1" xfId="0" applyFont="1" applyFill="1" applyBorder="1" applyAlignment="1">
      <alignment horizontal="center" wrapText="1"/>
    </xf>
    <xf numFmtId="0" fontId="39" fillId="0" borderId="0" xfId="0" applyFont="1"/>
    <xf numFmtId="0" fontId="40" fillId="0" borderId="0" xfId="0" applyFont="1"/>
    <xf numFmtId="0" fontId="39" fillId="0" borderId="0" xfId="0" applyFont="1" applyAlignment="1">
      <alignment horizontal="center" vertical="center"/>
    </xf>
    <xf numFmtId="0" fontId="28" fillId="0" borderId="0" xfId="0" applyFont="1"/>
    <xf numFmtId="0" fontId="36" fillId="0" borderId="1" xfId="0" applyFont="1" applyBorder="1" applyAlignment="1">
      <alignment wrapText="1"/>
    </xf>
    <xf numFmtId="0" fontId="36" fillId="0" borderId="1" xfId="0" applyFont="1" applyBorder="1" applyAlignment="1">
      <alignment horizontal="center"/>
    </xf>
    <xf numFmtId="0" fontId="39" fillId="0" borderId="1" xfId="0" applyFont="1" applyBorder="1" applyAlignment="1">
      <alignment wrapText="1"/>
    </xf>
    <xf numFmtId="0" fontId="39" fillId="0" borderId="1" xfId="0" applyFont="1" applyBorder="1" applyAlignment="1">
      <alignment horizontal="center" vertical="center"/>
    </xf>
    <xf numFmtId="0" fontId="36" fillId="0" borderId="1" xfId="0" applyFont="1" applyBorder="1"/>
    <xf numFmtId="0" fontId="39" fillId="0" borderId="0" xfId="0" applyFont="1" applyAlignment="1">
      <alignment horizontal="right"/>
    </xf>
    <xf numFmtId="4" fontId="39" fillId="0" borderId="1" xfId="0" applyNumberFormat="1" applyFont="1" applyBorder="1"/>
    <xf numFmtId="165" fontId="39" fillId="0" borderId="1" xfId="0" applyNumberFormat="1" applyFont="1" applyBorder="1"/>
    <xf numFmtId="176" fontId="39" fillId="0" borderId="1" xfId="0" applyNumberFormat="1" applyFont="1" applyBorder="1"/>
    <xf numFmtId="4" fontId="39" fillId="0" borderId="0" xfId="0" applyNumberFormat="1" applyFont="1"/>
    <xf numFmtId="165" fontId="39" fillId="0" borderId="0" xfId="0" applyNumberFormat="1" applyFont="1"/>
    <xf numFmtId="0" fontId="40" fillId="0" borderId="1" xfId="0" applyFont="1" applyBorder="1" applyAlignment="1">
      <alignment horizontal="center" vertical="center" wrapText="1"/>
    </xf>
    <xf numFmtId="0" fontId="39" fillId="0" borderId="9" xfId="0" applyFont="1" applyBorder="1"/>
    <xf numFmtId="0" fontId="40" fillId="0" borderId="1" xfId="0" applyFont="1" applyBorder="1" applyAlignment="1">
      <alignment wrapText="1"/>
    </xf>
    <xf numFmtId="0" fontId="40" fillId="0" borderId="1" xfId="0" applyFont="1" applyBorder="1" applyAlignment="1">
      <alignment horizontal="center" wrapText="1"/>
    </xf>
    <xf numFmtId="0" fontId="36" fillId="0" borderId="1" xfId="0" applyFont="1" applyBorder="1" applyAlignment="1">
      <alignment vertical="top" wrapText="1"/>
    </xf>
    <xf numFmtId="0" fontId="39" fillId="0" borderId="1" xfId="0" applyFont="1" applyBorder="1" applyAlignment="1">
      <alignment vertical="top" wrapText="1"/>
    </xf>
    <xf numFmtId="0" fontId="40" fillId="0" borderId="1" xfId="0" applyFont="1" applyBorder="1" applyAlignment="1">
      <alignment vertical="top" wrapText="1"/>
    </xf>
    <xf numFmtId="0" fontId="40" fillId="0" borderId="10" xfId="0" applyFont="1" applyBorder="1" applyAlignment="1">
      <alignment vertical="top" wrapText="1"/>
    </xf>
    <xf numFmtId="0" fontId="40" fillId="0" borderId="10" xfId="0" applyFont="1" applyBorder="1" applyAlignment="1">
      <alignment horizontal="center" vertical="top" wrapText="1"/>
    </xf>
    <xf numFmtId="0" fontId="29" fillId="0" borderId="10" xfId="0" applyFont="1" applyBorder="1" applyAlignment="1">
      <alignment horizontal="center" vertical="top" wrapText="1"/>
    </xf>
    <xf numFmtId="0" fontId="41" fillId="0" borderId="9" xfId="0" applyFont="1" applyBorder="1"/>
    <xf numFmtId="15" fontId="39" fillId="5" borderId="1" xfId="0" applyNumberFormat="1" applyFont="1" applyFill="1" applyBorder="1"/>
    <xf numFmtId="4" fontId="39" fillId="5" borderId="1" xfId="0" applyNumberFormat="1" applyFont="1" applyFill="1" applyBorder="1"/>
    <xf numFmtId="10" fontId="39" fillId="5" borderId="1" xfId="0" applyNumberFormat="1" applyFont="1" applyFill="1" applyBorder="1"/>
    <xf numFmtId="0" fontId="40" fillId="0" borderId="1" xfId="0" applyFont="1" applyBorder="1" applyAlignment="1">
      <alignment horizontal="center" vertical="top" wrapText="1"/>
    </xf>
    <xf numFmtId="165" fontId="36" fillId="5" borderId="1" xfId="0" applyNumberFormat="1" applyFont="1" applyFill="1" applyBorder="1"/>
    <xf numFmtId="165" fontId="39" fillId="5" borderId="1" xfId="0" applyNumberFormat="1" applyFont="1" applyFill="1" applyBorder="1"/>
    <xf numFmtId="168" fontId="39" fillId="0" borderId="1" xfId="0" applyNumberFormat="1" applyFont="1" applyBorder="1"/>
    <xf numFmtId="0" fontId="39" fillId="5" borderId="1" xfId="0" applyFont="1" applyFill="1" applyBorder="1"/>
    <xf numFmtId="0" fontId="41" fillId="0" borderId="0" xfId="0" applyFont="1"/>
    <xf numFmtId="0" fontId="0" fillId="0" borderId="0" xfId="0"/>
    <xf numFmtId="0" fontId="39" fillId="0" borderId="1" xfId="0" applyFont="1" applyBorder="1"/>
    <xf numFmtId="165" fontId="39" fillId="5" borderId="1" xfId="0" applyNumberFormat="1" applyFont="1" applyFill="1" applyBorder="1" applyAlignment="1">
      <alignment horizontal="right"/>
    </xf>
    <xf numFmtId="171" fontId="39" fillId="5" borderId="1" xfId="0" applyNumberFormat="1" applyFont="1" applyFill="1" applyBorder="1"/>
    <xf numFmtId="177" fontId="39" fillId="9" borderId="1" xfId="0" applyNumberFormat="1" applyFont="1" applyFill="1" applyBorder="1"/>
    <xf numFmtId="168" fontId="27" fillId="4" borderId="1" xfId="7" applyNumberFormat="1" applyFont="1" applyFill="1" applyBorder="1"/>
    <xf numFmtId="167" fontId="26" fillId="4" borderId="1" xfId="6" applyNumberFormat="1" applyFont="1" applyFill="1" applyBorder="1"/>
    <xf numFmtId="167" fontId="31" fillId="4" borderId="1" xfId="6" applyNumberFormat="1" applyFont="1" applyFill="1" applyBorder="1"/>
    <xf numFmtId="168" fontId="26" fillId="4" borderId="1" xfId="7" applyNumberFormat="1" applyFont="1" applyFill="1" applyBorder="1"/>
    <xf numFmtId="168" fontId="26" fillId="8" borderId="1" xfId="7" applyNumberFormat="1" applyFont="1" applyFill="1" applyBorder="1"/>
    <xf numFmtId="167" fontId="32" fillId="4" borderId="1" xfId="6" applyNumberFormat="1" applyFont="1" applyFill="1" applyBorder="1"/>
    <xf numFmtId="167" fontId="37" fillId="4" borderId="1" xfId="6" applyNumberFormat="1" applyFont="1" applyFill="1" applyBorder="1"/>
    <xf numFmtId="165" fontId="26" fillId="8" borderId="1" xfId="7" applyNumberFormat="1" applyFont="1" applyFill="1" applyBorder="1"/>
    <xf numFmtId="0" fontId="44" fillId="7" borderId="0" xfId="0" applyFont="1" applyFill="1"/>
    <xf numFmtId="171" fontId="39" fillId="0" borderId="0" xfId="0" applyNumberFormat="1" applyFont="1"/>
    <xf numFmtId="171" fontId="0" fillId="0" borderId="0" xfId="0" applyNumberFormat="1"/>
    <xf numFmtId="171" fontId="39" fillId="0" borderId="1" xfId="0" applyNumberFormat="1" applyFont="1" applyBorder="1" applyAlignment="1">
      <alignment wrapText="1"/>
    </xf>
    <xf numFmtId="171" fontId="40" fillId="0" borderId="10" xfId="0" applyNumberFormat="1" applyFont="1" applyBorder="1" applyAlignment="1">
      <alignment horizontal="center" vertical="top" wrapText="1"/>
    </xf>
    <xf numFmtId="171" fontId="39" fillId="0" borderId="1" xfId="0" applyNumberFormat="1" applyFont="1" applyBorder="1"/>
    <xf numFmtId="171" fontId="41" fillId="0" borderId="0" xfId="0" applyNumberFormat="1" applyFont="1"/>
    <xf numFmtId="171" fontId="6" fillId="0" borderId="0" xfId="0" applyNumberFormat="1" applyFont="1"/>
    <xf numFmtId="171" fontId="8" fillId="0" borderId="0" xfId="0" applyNumberFormat="1" applyFont="1"/>
    <xf numFmtId="171" fontId="8" fillId="0" borderId="1" xfId="0" applyNumberFormat="1" applyFont="1" applyBorder="1" applyAlignment="1">
      <alignment wrapText="1"/>
    </xf>
    <xf numFmtId="171" fontId="20" fillId="0" borderId="1" xfId="0" applyNumberFormat="1" applyFont="1" applyBorder="1" applyAlignment="1">
      <alignment horizontal="center" wrapText="1"/>
    </xf>
    <xf numFmtId="171" fontId="21" fillId="5" borderId="1" xfId="2" applyNumberFormat="1" applyFont="1" applyFill="1" applyBorder="1"/>
    <xf numFmtId="171" fontId="5" fillId="0" borderId="0" xfId="0" applyNumberFormat="1" applyFont="1"/>
    <xf numFmtId="171" fontId="3" fillId="0" borderId="0" xfId="0" applyNumberFormat="1" applyFont="1"/>
    <xf numFmtId="171" fontId="3" fillId="0" borderId="0" xfId="0" applyNumberFormat="1" applyFont="1" applyAlignment="1">
      <alignment wrapText="1"/>
    </xf>
    <xf numFmtId="171" fontId="8" fillId="0" borderId="1" xfId="0" applyNumberFormat="1" applyFont="1" applyBorder="1"/>
    <xf numFmtId="0" fontId="40" fillId="12" borderId="10" xfId="0" applyFont="1" applyFill="1" applyBorder="1" applyAlignment="1">
      <alignment horizontal="center" vertical="top" wrapText="1"/>
    </xf>
    <xf numFmtId="15" fontId="21" fillId="4" borderId="1" xfId="0" applyNumberFormat="1" applyFont="1" applyFill="1" applyBorder="1"/>
    <xf numFmtId="15" fontId="26" fillId="4" borderId="1" xfId="0" applyNumberFormat="1" applyFont="1" applyFill="1" applyBorder="1"/>
    <xf numFmtId="0" fontId="27" fillId="4" borderId="1" xfId="0" applyFont="1" applyFill="1" applyBorder="1" applyAlignment="1">
      <alignment wrapText="1"/>
    </xf>
    <xf numFmtId="0" fontId="20" fillId="4" borderId="1" xfId="0" applyFont="1" applyFill="1" applyBorder="1" applyAlignment="1">
      <alignment wrapText="1"/>
    </xf>
    <xf numFmtId="0" fontId="21" fillId="4" borderId="1" xfId="0" applyFont="1" applyFill="1" applyBorder="1" applyAlignment="1">
      <alignment horizontal="right"/>
    </xf>
    <xf numFmtId="15" fontId="21" fillId="0" borderId="1" xfId="0" applyNumberFormat="1" applyFont="1" applyBorder="1"/>
    <xf numFmtId="0" fontId="21" fillId="5" borderId="1" xfId="0" applyFont="1" applyFill="1" applyBorder="1"/>
    <xf numFmtId="171" fontId="21" fillId="5" borderId="1" xfId="0" applyNumberFormat="1" applyFont="1" applyFill="1" applyBorder="1"/>
    <xf numFmtId="9" fontId="21" fillId="5" borderId="1" xfId="2" applyNumberFormat="1" applyFont="1" applyFill="1" applyBorder="1"/>
    <xf numFmtId="15" fontId="39" fillId="0" borderId="1" xfId="0" applyNumberFormat="1" applyFont="1" applyBorder="1"/>
    <xf numFmtId="0" fontId="0" fillId="5" borderId="1" xfId="0" applyFill="1" applyBorder="1"/>
    <xf numFmtId="171" fontId="0" fillId="5" borderId="1" xfId="0" applyNumberFormat="1" applyFill="1" applyBorder="1"/>
    <xf numFmtId="0" fontId="0" fillId="4" borderId="1" xfId="0" applyFill="1" applyBorder="1"/>
    <xf numFmtId="0" fontId="41" fillId="4" borderId="1" xfId="0" applyFont="1" applyFill="1" applyBorder="1"/>
    <xf numFmtId="0" fontId="0" fillId="0" borderId="1" xfId="0" applyBorder="1"/>
    <xf numFmtId="0" fontId="39" fillId="11" borderId="1" xfId="0" applyFont="1" applyFill="1" applyBorder="1"/>
    <xf numFmtId="0" fontId="0" fillId="11" borderId="1" xfId="0" applyFill="1" applyBorder="1"/>
    <xf numFmtId="0" fontId="39" fillId="12" borderId="1" xfId="0" applyFont="1" applyFill="1" applyBorder="1"/>
    <xf numFmtId="0" fontId="0" fillId="12" borderId="1" xfId="0" applyFill="1" applyBorder="1"/>
    <xf numFmtId="0" fontId="24" fillId="3" borderId="1" xfId="0" applyFont="1" applyFill="1" applyBorder="1" applyAlignment="1">
      <alignment horizontal="center" vertical="top" wrapText="1"/>
    </xf>
    <xf numFmtId="8" fontId="39" fillId="10" borderId="1" xfId="0" applyNumberFormat="1" applyFont="1" applyFill="1" applyBorder="1"/>
    <xf numFmtId="8" fontId="39" fillId="0" borderId="1" xfId="0" applyNumberFormat="1" applyFont="1" applyBorder="1"/>
    <xf numFmtId="44" fontId="26" fillId="5" borderId="1" xfId="0" applyNumberFormat="1" applyFont="1" applyFill="1" applyBorder="1"/>
    <xf numFmtId="8" fontId="39" fillId="0" borderId="0" xfId="0" applyNumberFormat="1" applyFont="1"/>
    <xf numFmtId="178" fontId="39" fillId="0" borderId="1" xfId="0" applyNumberFormat="1" applyFont="1" applyBorder="1"/>
    <xf numFmtId="178" fontId="31" fillId="0" borderId="1" xfId="0" applyNumberFormat="1" applyFont="1" applyBorder="1"/>
    <xf numFmtId="179" fontId="40" fillId="11" borderId="1" xfId="0" applyNumberFormat="1" applyFont="1" applyFill="1" applyBorder="1"/>
    <xf numFmtId="179" fontId="39" fillId="0" borderId="1" xfId="0" applyNumberFormat="1" applyFont="1" applyBorder="1"/>
    <xf numFmtId="179" fontId="40" fillId="12" borderId="1" xfId="0" applyNumberFormat="1" applyFont="1" applyFill="1" applyBorder="1"/>
    <xf numFmtId="178" fontId="42" fillId="0" borderId="1" xfId="0" applyNumberFormat="1" applyFont="1" applyBorder="1"/>
    <xf numFmtId="180" fontId="39" fillId="0" borderId="1" xfId="0" applyNumberFormat="1" applyFont="1" applyBorder="1"/>
    <xf numFmtId="178" fontId="43" fillId="0" borderId="1" xfId="0" applyNumberFormat="1" applyFont="1" applyBorder="1"/>
    <xf numFmtId="179" fontId="41" fillId="0" borderId="0" xfId="0" applyNumberFormat="1" applyFont="1"/>
    <xf numFmtId="44" fontId="21" fillId="0" borderId="1" xfId="0" applyNumberFormat="1" applyFont="1" applyBorder="1"/>
    <xf numFmtId="44" fontId="21" fillId="0" borderId="1" xfId="3" applyFont="1" applyBorder="1"/>
    <xf numFmtId="44" fontId="8" fillId="0" borderId="1" xfId="0" applyNumberFormat="1" applyFont="1" applyBorder="1"/>
    <xf numFmtId="44" fontId="8" fillId="0" borderId="1" xfId="3" applyFont="1" applyBorder="1"/>
    <xf numFmtId="44" fontId="26" fillId="0" borderId="1" xfId="0" applyNumberFormat="1" applyFont="1" applyBorder="1"/>
    <xf numFmtId="44" fontId="26" fillId="7" borderId="1" xfId="0" applyNumberFormat="1" applyFont="1" applyFill="1" applyBorder="1"/>
    <xf numFmtId="181" fontId="26" fillId="0" borderId="1" xfId="6" applyNumberFormat="1" applyFont="1" applyBorder="1"/>
    <xf numFmtId="0" fontId="23" fillId="0" borderId="1" xfId="0" applyFont="1" applyBorder="1" applyAlignment="1">
      <alignment horizontal="left" indent="1"/>
    </xf>
    <xf numFmtId="0" fontId="0" fillId="0" borderId="4" xfId="0" applyBorder="1"/>
    <xf numFmtId="0" fontId="0" fillId="0" borderId="5" xfId="0" applyBorder="1"/>
    <xf numFmtId="0" fontId="23" fillId="0" borderId="1" xfId="0" applyFont="1" applyBorder="1" applyAlignment="1">
      <alignment horizontal="left" wrapText="1" indent="1"/>
    </xf>
    <xf numFmtId="0" fontId="24" fillId="3" borderId="1" xfId="0" applyFont="1" applyFill="1" applyBorder="1" applyAlignment="1">
      <alignment horizontal="center" vertical="top" wrapText="1"/>
    </xf>
    <xf numFmtId="0" fontId="24" fillId="3" borderId="5" xfId="0" applyFont="1" applyFill="1" applyBorder="1" applyAlignment="1">
      <alignment horizontal="center" vertical="center" wrapText="1"/>
    </xf>
    <xf numFmtId="0" fontId="23" fillId="0" borderId="6" xfId="0" applyFont="1" applyBorder="1" applyAlignment="1">
      <alignment horizontal="left" indent="1"/>
    </xf>
    <xf numFmtId="0" fontId="0" fillId="0" borderId="7" xfId="0" applyBorder="1"/>
    <xf numFmtId="0" fontId="0" fillId="0" borderId="8" xfId="0" applyBorder="1"/>
  </cellXfs>
  <cellStyles count="8">
    <cellStyle name="Comma" xfId="1" builtinId="3"/>
    <cellStyle name="Comma 2" xfId="4" xr:uid="{00000000-0005-0000-0000-000004000000}"/>
    <cellStyle name="Comma 8" xfId="6" xr:uid="{00000000-0005-0000-0000-000006000000}"/>
    <cellStyle name="Currency" xfId="3" builtinId="4"/>
    <cellStyle name="Normal" xfId="0" builtinId="0"/>
    <cellStyle name="Percent" xfId="2" builtinId="5"/>
    <cellStyle name="Percent 2" xfId="5" xr:uid="{00000000-0005-0000-0000-000005000000}"/>
    <cellStyle name="Percent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4445000</xdr:colOff>
      <xdr:row>0</xdr:row>
      <xdr:rowOff>148166</xdr:rowOff>
    </xdr:from>
    <xdr:to>
      <xdr:col>4</xdr:col>
      <xdr:colOff>5566832</xdr:colOff>
      <xdr:row>4</xdr:row>
      <xdr:rowOff>32652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148166"/>
          <a:ext cx="1090082" cy="621086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rgbClr val="FF33CC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opLeftCell="A7" workbookViewId="0">
      <selection activeCell="C13" sqref="C13:E13"/>
    </sheetView>
  </sheetViews>
  <sheetFormatPr defaultColWidth="9.140625" defaultRowHeight="15" x14ac:dyDescent="0.25"/>
  <cols>
    <col min="1" max="1" width="1.28515625" style="64" customWidth="1"/>
    <col min="2" max="2" width="23.140625" style="73" customWidth="1"/>
    <col min="3" max="3" width="13.140625" style="73" customWidth="1"/>
    <col min="4" max="4" width="7.85546875" style="64" bestFit="1" customWidth="1"/>
    <col min="5" max="5" width="83.140625" style="64" customWidth="1"/>
    <col min="6" max="6" width="20" style="64" customWidth="1"/>
    <col min="7" max="7" width="21.28515625" style="64" customWidth="1"/>
    <col min="8" max="116" width="9.140625" style="64" customWidth="1"/>
    <col min="117" max="16384" width="9.140625" style="64"/>
  </cols>
  <sheetData>
    <row r="1" spans="1:7" s="59" customFormat="1" x14ac:dyDescent="0.25">
      <c r="B1" s="60"/>
      <c r="C1" s="60"/>
      <c r="D1" s="60"/>
    </row>
    <row r="2" spans="1:7" s="59" customFormat="1" x14ac:dyDescent="0.25">
      <c r="B2" s="60"/>
      <c r="C2" s="60"/>
      <c r="D2" s="60"/>
    </row>
    <row r="3" spans="1:7" s="59" customFormat="1" x14ac:dyDescent="0.25">
      <c r="B3" s="60"/>
      <c r="C3" s="60"/>
      <c r="D3" s="60"/>
    </row>
    <row r="4" spans="1:7" s="59" customFormat="1" x14ac:dyDescent="0.25">
      <c r="B4" s="60"/>
      <c r="C4" s="60"/>
      <c r="D4" s="60"/>
    </row>
    <row r="5" spans="1:7" s="62" customFormat="1" ht="15.75" customHeight="1" thickBot="1" x14ac:dyDescent="0.3">
      <c r="A5" s="61"/>
      <c r="B5" s="61"/>
      <c r="C5" s="61"/>
      <c r="D5" s="61"/>
      <c r="E5" s="61"/>
      <c r="F5" s="61"/>
      <c r="G5" s="61"/>
    </row>
    <row r="6" spans="1:7" s="59" customFormat="1" x14ac:dyDescent="0.25">
      <c r="A6" s="63"/>
      <c r="B6" s="63"/>
      <c r="C6" s="63"/>
      <c r="D6" s="63"/>
    </row>
    <row r="7" spans="1:7" x14ac:dyDescent="0.25">
      <c r="B7" s="281" t="s">
        <v>0</v>
      </c>
      <c r="C7" s="302" t="s">
        <v>1</v>
      </c>
      <c r="D7" s="303"/>
      <c r="E7" s="304"/>
    </row>
    <row r="8" spans="1:7" x14ac:dyDescent="0.25">
      <c r="B8" s="281" t="s">
        <v>2</v>
      </c>
      <c r="C8" s="305" t="s">
        <v>3</v>
      </c>
      <c r="D8" s="303"/>
      <c r="E8" s="304"/>
    </row>
    <row r="9" spans="1:7" x14ac:dyDescent="0.25">
      <c r="B9" s="65"/>
    </row>
    <row r="10" spans="1:7" ht="15" customHeight="1" x14ac:dyDescent="0.25">
      <c r="B10" s="306" t="s">
        <v>4</v>
      </c>
      <c r="C10" s="303"/>
      <c r="D10" s="303"/>
      <c r="E10" s="304"/>
    </row>
    <row r="11" spans="1:7" x14ac:dyDescent="0.25">
      <c r="B11" s="66" t="s">
        <v>5</v>
      </c>
      <c r="C11" s="302" t="s">
        <v>6</v>
      </c>
      <c r="D11" s="303"/>
      <c r="E11" s="304"/>
    </row>
    <row r="12" spans="1:7" x14ac:dyDescent="0.25">
      <c r="B12" s="66" t="s">
        <v>7</v>
      </c>
      <c r="C12" s="302" t="s">
        <v>8</v>
      </c>
      <c r="D12" s="303"/>
      <c r="E12" s="304"/>
    </row>
    <row r="13" spans="1:7" x14ac:dyDescent="0.25">
      <c r="B13" s="66" t="s">
        <v>9</v>
      </c>
      <c r="C13" s="302" t="s">
        <v>10</v>
      </c>
      <c r="D13" s="303"/>
      <c r="E13" s="304"/>
    </row>
    <row r="14" spans="1:7" x14ac:dyDescent="0.25">
      <c r="B14" s="66" t="s">
        <v>11</v>
      </c>
      <c r="C14" s="302" t="s">
        <v>12</v>
      </c>
      <c r="D14" s="303"/>
      <c r="E14" s="304"/>
    </row>
    <row r="15" spans="1:7" x14ac:dyDescent="0.25">
      <c r="B15" s="66" t="s">
        <v>13</v>
      </c>
      <c r="C15" s="302" t="s">
        <v>14</v>
      </c>
      <c r="D15" s="303"/>
      <c r="E15" s="304"/>
    </row>
    <row r="17" spans="2:5" x14ac:dyDescent="0.25">
      <c r="B17" s="306" t="s">
        <v>15</v>
      </c>
      <c r="C17" s="303"/>
      <c r="D17" s="303"/>
      <c r="E17" s="304"/>
    </row>
    <row r="18" spans="2:5" ht="15" customHeight="1" x14ac:dyDescent="0.25">
      <c r="B18" s="281" t="s">
        <v>16</v>
      </c>
      <c r="C18" s="281" t="s">
        <v>17</v>
      </c>
      <c r="D18" s="281" t="s">
        <v>18</v>
      </c>
      <c r="E18" s="67" t="s">
        <v>19</v>
      </c>
    </row>
    <row r="19" spans="2:5" x14ac:dyDescent="0.25">
      <c r="B19" s="68"/>
      <c r="C19" s="69"/>
      <c r="D19" s="68"/>
      <c r="E19" s="70"/>
    </row>
    <row r="20" spans="2:5" x14ac:dyDescent="0.25">
      <c r="B20" s="68"/>
      <c r="C20" s="69"/>
      <c r="D20" s="68"/>
      <c r="E20" s="71"/>
    </row>
    <row r="21" spans="2:5" x14ac:dyDescent="0.25">
      <c r="B21" s="68"/>
      <c r="C21" s="69"/>
      <c r="D21" s="68"/>
      <c r="E21" s="71"/>
    </row>
    <row r="23" spans="2:5" x14ac:dyDescent="0.25">
      <c r="B23" s="306" t="s">
        <v>20</v>
      </c>
      <c r="C23" s="303"/>
      <c r="D23" s="303"/>
      <c r="E23" s="304"/>
    </row>
    <row r="24" spans="2:5" x14ac:dyDescent="0.25">
      <c r="B24" s="75" t="s">
        <v>17</v>
      </c>
      <c r="C24" s="307" t="s">
        <v>21</v>
      </c>
      <c r="D24" s="303"/>
      <c r="E24" s="304"/>
    </row>
    <row r="25" spans="2:5" ht="15" customHeight="1" x14ac:dyDescent="0.25">
      <c r="B25" s="72"/>
      <c r="C25" s="308"/>
      <c r="D25" s="309"/>
      <c r="E25" s="310"/>
    </row>
    <row r="26" spans="2:5" x14ac:dyDescent="0.25">
      <c r="B26" s="69"/>
      <c r="C26" s="302"/>
      <c r="D26" s="303"/>
      <c r="E26" s="304"/>
    </row>
    <row r="27" spans="2:5" x14ac:dyDescent="0.25">
      <c r="B27" s="69"/>
      <c r="C27" s="302"/>
      <c r="D27" s="303"/>
      <c r="E27" s="304"/>
    </row>
    <row r="31" spans="2:5" x14ac:dyDescent="0.25">
      <c r="D31" s="74"/>
    </row>
    <row r="32" spans="2:5" x14ac:dyDescent="0.25">
      <c r="D32" s="74"/>
    </row>
  </sheetData>
  <mergeCells count="14">
    <mergeCell ref="C26:E26"/>
    <mergeCell ref="C27:E27"/>
    <mergeCell ref="C14:E14"/>
    <mergeCell ref="C15:E15"/>
    <mergeCell ref="B17:E17"/>
    <mergeCell ref="B23:E23"/>
    <mergeCell ref="C24:E24"/>
    <mergeCell ref="C25:E25"/>
    <mergeCell ref="C13:E13"/>
    <mergeCell ref="C7:E7"/>
    <mergeCell ref="C8:E8"/>
    <mergeCell ref="B10:E10"/>
    <mergeCell ref="C11:E11"/>
    <mergeCell ref="C12:E12"/>
  </mergeCells>
  <dataValidations count="1">
    <dataValidation type="list" showInputMessage="1" showErrorMessage="1" sqref="C15:E15" xr:uid="{00000000-0002-0000-0000-000000000000}">
      <formula1>"Completed,In-Progress"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workbookViewId="0">
      <selection activeCell="H6" sqref="H6"/>
    </sheetView>
  </sheetViews>
  <sheetFormatPr defaultRowHeight="15" x14ac:dyDescent="0.25"/>
  <cols>
    <col min="2" max="2" width="11.140625" style="232" bestFit="1" customWidth="1"/>
    <col min="3" max="3" width="11.7109375" style="232" bestFit="1" customWidth="1"/>
    <col min="8" max="8" width="11.7109375" style="232" bestFit="1" customWidth="1"/>
    <col min="9" max="9" width="11.7109375" style="232" customWidth="1"/>
    <col min="10" max="10" width="19" style="232" bestFit="1" customWidth="1"/>
    <col min="11" max="11" width="13.28515625" style="232" bestFit="1" customWidth="1"/>
    <col min="12" max="12" width="13.28515625" style="232" customWidth="1"/>
  </cols>
  <sheetData>
    <row r="1" spans="1:13" x14ac:dyDescent="0.25">
      <c r="A1" s="197" t="s">
        <v>22</v>
      </c>
      <c r="B1" s="197"/>
      <c r="C1" s="198"/>
      <c r="D1" s="198"/>
      <c r="E1" s="197"/>
      <c r="F1" s="197"/>
      <c r="G1" s="197"/>
      <c r="H1" s="199"/>
      <c r="I1" s="197"/>
      <c r="J1" s="197"/>
    </row>
    <row r="2" spans="1:13" x14ac:dyDescent="0.25">
      <c r="A2" s="197" t="s">
        <v>23</v>
      </c>
      <c r="B2" s="200">
        <v>360</v>
      </c>
      <c r="C2" s="200" t="s">
        <v>24</v>
      </c>
      <c r="D2" s="197"/>
      <c r="E2" s="197"/>
      <c r="F2" s="197"/>
      <c r="G2" s="197"/>
      <c r="H2" s="199"/>
      <c r="I2" s="197"/>
      <c r="J2" s="197"/>
    </row>
    <row r="3" spans="1:13" x14ac:dyDescent="0.25">
      <c r="A3" s="197"/>
      <c r="B3" s="197"/>
      <c r="C3" s="197"/>
      <c r="D3" s="197"/>
      <c r="E3" s="197"/>
      <c r="F3" s="197"/>
      <c r="G3" s="197"/>
      <c r="H3" s="199"/>
      <c r="I3" s="197"/>
      <c r="J3" s="197"/>
    </row>
    <row r="4" spans="1:13" ht="39" customHeight="1" x14ac:dyDescent="0.25">
      <c r="A4" s="197"/>
      <c r="B4" s="201" t="s">
        <v>25</v>
      </c>
      <c r="C4" s="233"/>
      <c r="D4" s="202" t="s">
        <v>26</v>
      </c>
      <c r="E4" s="203"/>
      <c r="F4" s="203"/>
      <c r="G4" s="203" t="s">
        <v>27</v>
      </c>
      <c r="H4" s="204"/>
      <c r="I4" s="205" t="s">
        <v>28</v>
      </c>
      <c r="J4" s="205"/>
    </row>
    <row r="5" spans="1:13" ht="39" customHeight="1" x14ac:dyDescent="0.25">
      <c r="A5" s="213"/>
      <c r="B5" s="214" t="s">
        <v>17</v>
      </c>
      <c r="C5" s="215" t="s">
        <v>29</v>
      </c>
      <c r="D5" s="215" t="s">
        <v>30</v>
      </c>
      <c r="E5" s="212" t="s">
        <v>31</v>
      </c>
      <c r="F5" s="212" t="s">
        <v>32</v>
      </c>
      <c r="G5" s="212" t="s">
        <v>33</v>
      </c>
      <c r="H5" s="212" t="s">
        <v>34</v>
      </c>
      <c r="I5" s="212" t="s">
        <v>35</v>
      </c>
      <c r="J5" s="212" t="s">
        <v>36</v>
      </c>
      <c r="K5" s="196" t="s">
        <v>37</v>
      </c>
      <c r="L5" s="196" t="s">
        <v>38</v>
      </c>
    </row>
    <row r="6" spans="1:13" x14ac:dyDescent="0.25">
      <c r="A6" s="206"/>
      <c r="B6" s="271" t="s">
        <v>39</v>
      </c>
      <c r="C6" s="207">
        <v>5000000</v>
      </c>
      <c r="D6" s="208" t="s">
        <v>40</v>
      </c>
      <c r="E6" s="209" t="s">
        <v>41</v>
      </c>
      <c r="F6" s="209" t="s">
        <v>42</v>
      </c>
      <c r="G6" s="236">
        <f>D6+E6+F6</f>
        <v>5.1330000000000001E-2</v>
      </c>
      <c r="H6" s="282">
        <f>(C6*G6*I6)/$B$2</f>
        <v>712.91666666666663</v>
      </c>
      <c r="I6" s="233">
        <f>B7-B6</f>
        <v>1</v>
      </c>
      <c r="J6" s="283">
        <f>H6</f>
        <v>712.91666666666663</v>
      </c>
      <c r="K6" s="194" t="s">
        <v>43</v>
      </c>
      <c r="L6" s="284">
        <f>(C6*K6*I6)/$B$2</f>
        <v>712.91666666666663</v>
      </c>
    </row>
    <row r="7" spans="1:13" x14ac:dyDescent="0.25">
      <c r="A7" s="206"/>
      <c r="B7" s="271" t="s">
        <v>44</v>
      </c>
      <c r="C7" s="207">
        <v>5000000</v>
      </c>
      <c r="D7" s="208" t="s">
        <v>45</v>
      </c>
      <c r="E7" s="209" t="s">
        <v>41</v>
      </c>
      <c r="F7" s="209" t="s">
        <v>42</v>
      </c>
      <c r="G7" s="236">
        <f>D7+E7+F7</f>
        <v>5.1100000000000007E-2</v>
      </c>
      <c r="H7" s="282">
        <f>(C7*G7*I7)/$B$2</f>
        <v>2129.166666666667</v>
      </c>
      <c r="I7" s="233">
        <f>B8-B7</f>
        <v>3</v>
      </c>
      <c r="J7" s="283">
        <f>H7+J6</f>
        <v>2842.0833333333335</v>
      </c>
      <c r="K7" s="194" t="s">
        <v>46</v>
      </c>
      <c r="L7" s="284">
        <f>(C7*K7*I7)/$B$2</f>
        <v>2129.1666666666665</v>
      </c>
    </row>
    <row r="8" spans="1:13" x14ac:dyDescent="0.25">
      <c r="A8" s="206"/>
      <c r="B8" s="271" t="s">
        <v>47</v>
      </c>
      <c r="C8" s="207">
        <v>5000000</v>
      </c>
      <c r="D8" s="208" t="s">
        <v>48</v>
      </c>
      <c r="E8" s="209" t="s">
        <v>41</v>
      </c>
      <c r="F8" s="209" t="s">
        <v>42</v>
      </c>
      <c r="G8" s="236">
        <f>D8+E8+F8</f>
        <v>5.1220000000000002E-2</v>
      </c>
      <c r="H8" s="282">
        <f>(C8*G8*I8)/$B$2</f>
        <v>711.38888888888891</v>
      </c>
      <c r="I8" s="233">
        <f>B9-B8</f>
        <v>1</v>
      </c>
      <c r="J8" s="283">
        <f>H8+J7</f>
        <v>3553.4722222222226</v>
      </c>
      <c r="K8" s="194" t="s">
        <v>49</v>
      </c>
      <c r="L8" s="284">
        <f>(C8*K8*I8)/$B$2</f>
        <v>711.38888888888891</v>
      </c>
    </row>
    <row r="9" spans="1:13" x14ac:dyDescent="0.25">
      <c r="A9" s="206"/>
      <c r="B9" s="271" t="s">
        <v>50</v>
      </c>
      <c r="C9" s="207">
        <v>5000000</v>
      </c>
      <c r="D9" s="208" t="s">
        <v>51</v>
      </c>
      <c r="E9" s="209" t="s">
        <v>41</v>
      </c>
      <c r="F9" s="209" t="s">
        <v>42</v>
      </c>
      <c r="G9" s="236">
        <f>D9+E9+F9</f>
        <v>5.1549999999999999E-2</v>
      </c>
      <c r="H9" s="282">
        <f>(C9*G9*I9)/$B$2</f>
        <v>715.97222222222217</v>
      </c>
      <c r="I9" s="233">
        <f>B10-B9</f>
        <v>1</v>
      </c>
      <c r="J9" s="283">
        <f>H9+J8</f>
        <v>4269.4444444444453</v>
      </c>
      <c r="K9" s="194" t="s">
        <v>52</v>
      </c>
      <c r="L9" s="284">
        <f>(C9*K9*I9)/$B$2</f>
        <v>715.97222222222217</v>
      </c>
    </row>
    <row r="10" spans="1:13" x14ac:dyDescent="0.25">
      <c r="A10" s="206"/>
      <c r="B10" s="271" t="s">
        <v>53</v>
      </c>
      <c r="C10" s="207">
        <v>5000000</v>
      </c>
      <c r="D10" s="208" t="s">
        <v>54</v>
      </c>
      <c r="E10" s="209" t="s">
        <v>41</v>
      </c>
      <c r="F10" s="209" t="s">
        <v>42</v>
      </c>
      <c r="G10" s="236">
        <f>D10+E10+F10</f>
        <v>5.1110000000000003E-2</v>
      </c>
      <c r="H10" s="282">
        <f>(C10*G10*I10)/$B$2</f>
        <v>709.86111111111109</v>
      </c>
      <c r="I10" s="233">
        <f>B11-B10</f>
        <v>1</v>
      </c>
      <c r="J10" s="283">
        <f>SUM(J6:J9)</f>
        <v>11377.916666666668</v>
      </c>
      <c r="K10" s="194" t="s">
        <v>55</v>
      </c>
      <c r="L10" s="284">
        <f>(C10*K10*I10)/$B$2</f>
        <v>709.86111111111109</v>
      </c>
    </row>
    <row r="11" spans="1:13" x14ac:dyDescent="0.25">
      <c r="A11" s="206"/>
      <c r="B11" s="271" t="s">
        <v>56</v>
      </c>
      <c r="C11" s="210"/>
      <c r="D11" s="197"/>
      <c r="E11" s="197"/>
      <c r="F11" s="197"/>
      <c r="G11" s="197"/>
      <c r="H11" s="282">
        <f>SUM(H6:H10)</f>
        <v>4979.3055555555566</v>
      </c>
      <c r="I11" s="197"/>
      <c r="J11" s="285"/>
    </row>
    <row r="13" spans="1:13" x14ac:dyDescent="0.25">
      <c r="M13" s="2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6"/>
  <sheetViews>
    <sheetView zoomScale="85" zoomScaleNormal="85" workbookViewId="0">
      <selection activeCell="I4" sqref="I4"/>
    </sheetView>
  </sheetViews>
  <sheetFormatPr defaultRowHeight="15" x14ac:dyDescent="0.25"/>
  <cols>
    <col min="1" max="1" width="9.28515625" style="232" customWidth="1"/>
    <col min="2" max="2" width="10.7109375" style="232" customWidth="1"/>
    <col min="3" max="3" width="6.5703125" style="232" customWidth="1"/>
    <col min="4" max="4" width="17.7109375" style="232" customWidth="1"/>
    <col min="5" max="5" width="10.7109375" style="232" customWidth="1"/>
    <col min="6" max="6" width="15" style="232" bestFit="1" customWidth="1"/>
    <col min="7" max="7" width="14.7109375" style="232" customWidth="1"/>
    <col min="8" max="8" width="10.7109375" style="232" customWidth="1"/>
    <col min="9" max="9" width="16.42578125" style="232" bestFit="1" customWidth="1"/>
    <col min="10" max="10" width="16.42578125" style="247" bestFit="1" customWidth="1"/>
    <col min="11" max="11" width="10.7109375" style="232" customWidth="1"/>
    <col min="12" max="12" width="12.7109375" style="232" customWidth="1"/>
    <col min="14" max="15" width="13.7109375" style="232" customWidth="1"/>
    <col min="17" max="17" width="13.7109375" style="232" customWidth="1"/>
  </cols>
  <sheetData>
    <row r="1" spans="1:28" ht="20.25" customHeight="1" x14ac:dyDescent="0.3">
      <c r="A1" s="15" t="s">
        <v>23</v>
      </c>
      <c r="B1" s="197"/>
      <c r="C1" s="197"/>
      <c r="D1" s="231"/>
      <c r="E1" s="200">
        <v>360</v>
      </c>
      <c r="F1" s="197"/>
      <c r="G1" s="197"/>
      <c r="H1" s="197"/>
      <c r="I1" s="197"/>
      <c r="J1" s="246"/>
      <c r="K1" s="197"/>
      <c r="L1" s="197"/>
      <c r="M1" s="197"/>
      <c r="N1" s="197"/>
      <c r="O1" s="197"/>
      <c r="P1" s="197"/>
      <c r="Q1" s="197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x14ac:dyDescent="0.25">
      <c r="A2" s="231"/>
      <c r="B2" s="197"/>
      <c r="C2" s="197"/>
      <c r="D2" s="197"/>
      <c r="E2" s="197"/>
      <c r="F2" s="197"/>
      <c r="G2" s="197"/>
      <c r="H2" s="197"/>
      <c r="I2" s="197"/>
      <c r="J2" s="246"/>
      <c r="K2" s="197"/>
      <c r="L2" s="197"/>
      <c r="M2" s="197"/>
      <c r="N2" s="197"/>
      <c r="O2" s="197"/>
      <c r="P2" s="197"/>
      <c r="Q2" s="197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</row>
    <row r="3" spans="1:28" ht="64.5" customHeight="1" x14ac:dyDescent="0.25">
      <c r="A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</row>
    <row r="4" spans="1:28" ht="63.75" customHeight="1" x14ac:dyDescent="0.25">
      <c r="A4" s="222"/>
      <c r="B4" s="216" t="s">
        <v>57</v>
      </c>
      <c r="C4" s="216"/>
      <c r="D4" s="233"/>
      <c r="E4" s="202" t="s">
        <v>26</v>
      </c>
      <c r="F4" s="217" t="s">
        <v>58</v>
      </c>
      <c r="G4" s="203" t="s">
        <v>59</v>
      </c>
      <c r="H4" s="218" t="s">
        <v>60</v>
      </c>
      <c r="I4" s="203"/>
      <c r="J4" s="248"/>
      <c r="K4" s="203"/>
      <c r="L4" s="233"/>
      <c r="M4" s="202" t="s">
        <v>61</v>
      </c>
      <c r="N4" s="204"/>
      <c r="O4" s="204"/>
      <c r="P4" s="205" t="s">
        <v>28</v>
      </c>
      <c r="Q4" s="204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</row>
    <row r="5" spans="1:28" ht="102" customHeight="1" x14ac:dyDescent="0.25">
      <c r="A5" s="264" t="s">
        <v>62</v>
      </c>
      <c r="B5" s="82" t="s">
        <v>17</v>
      </c>
      <c r="C5" s="219"/>
      <c r="D5" s="220" t="s">
        <v>29</v>
      </c>
      <c r="E5" s="220" t="s">
        <v>63</v>
      </c>
      <c r="F5" s="221" t="s">
        <v>64</v>
      </c>
      <c r="G5" s="221" t="s">
        <v>65</v>
      </c>
      <c r="H5" s="221" t="s">
        <v>66</v>
      </c>
      <c r="I5" s="220" t="s">
        <v>31</v>
      </c>
      <c r="J5" s="249" t="s">
        <v>32</v>
      </c>
      <c r="K5" s="220" t="s">
        <v>67</v>
      </c>
      <c r="L5" s="220" t="s">
        <v>33</v>
      </c>
      <c r="M5" s="220" t="s">
        <v>68</v>
      </c>
      <c r="N5" s="220" t="s">
        <v>69</v>
      </c>
      <c r="O5" s="226" t="s">
        <v>70</v>
      </c>
      <c r="P5" s="220" t="s">
        <v>35</v>
      </c>
      <c r="Q5" s="261" t="s">
        <v>71</v>
      </c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</row>
    <row r="6" spans="1:28" x14ac:dyDescent="0.25">
      <c r="A6" s="263" t="s">
        <v>72</v>
      </c>
      <c r="B6" s="86" t="s">
        <v>47</v>
      </c>
      <c r="C6" s="271"/>
      <c r="D6" s="224">
        <v>5000000</v>
      </c>
      <c r="E6" s="227" t="s">
        <v>48</v>
      </c>
      <c r="F6" s="286">
        <f>(P6*E6/$E$1)</f>
        <v>7.2833333333333333E-5</v>
      </c>
      <c r="G6" s="287">
        <f>F6</f>
        <v>7.2833333333333333E-5</v>
      </c>
      <c r="H6" s="229">
        <f>(G6)*$E$1/M6</f>
        <v>2.622E-2</v>
      </c>
      <c r="I6" s="225" t="s">
        <v>73</v>
      </c>
      <c r="J6" s="235" t="s">
        <v>74</v>
      </c>
      <c r="K6" s="283">
        <f>(D6*I6/$E$1)*P6</f>
        <v>347.22222222222223</v>
      </c>
      <c r="L6" s="194" t="s">
        <v>75</v>
      </c>
      <c r="M6" s="233">
        <f>B7-B6</f>
        <v>1</v>
      </c>
      <c r="N6" s="288">
        <f>D6*M6*$L$10/$E$1</f>
        <v>711.94444444444446</v>
      </c>
      <c r="O6" s="289">
        <f>N6</f>
        <v>711.94444444444446</v>
      </c>
      <c r="P6" s="233">
        <f>B7-B6</f>
        <v>1</v>
      </c>
      <c r="Q6" s="290">
        <f>D6*M6*L6/$E$1</f>
        <v>711.94444444444446</v>
      </c>
      <c r="R6" s="231"/>
      <c r="S6" s="231"/>
      <c r="T6" s="231"/>
      <c r="U6" s="231"/>
      <c r="V6" s="231"/>
      <c r="W6" s="231"/>
      <c r="X6" s="231"/>
      <c r="Y6" s="231"/>
      <c r="Z6" s="231"/>
      <c r="AA6" s="231"/>
      <c r="AB6" s="231"/>
    </row>
    <row r="7" spans="1:28" x14ac:dyDescent="0.25">
      <c r="A7" s="263" t="s">
        <v>76</v>
      </c>
      <c r="B7" s="86" t="s">
        <v>50</v>
      </c>
      <c r="C7" s="271"/>
      <c r="D7" s="224">
        <v>5000000</v>
      </c>
      <c r="E7" s="228" t="s">
        <v>51</v>
      </c>
      <c r="F7" s="286">
        <f>(P7*E7/$E$1)</f>
        <v>7.3750000000000004E-5</v>
      </c>
      <c r="G7" s="291">
        <f>G6+F7</f>
        <v>1.4658333333333334E-4</v>
      </c>
      <c r="H7" s="229">
        <f>(G7)*$E$1/M7</f>
        <v>2.6385000000000002E-2</v>
      </c>
      <c r="I7" s="225" t="s">
        <v>73</v>
      </c>
      <c r="J7" s="235" t="s">
        <v>74</v>
      </c>
      <c r="K7" s="283">
        <f>(D7*I7/$E$1)*P7</f>
        <v>347.22222222222223</v>
      </c>
      <c r="L7" s="194" t="s">
        <v>75</v>
      </c>
      <c r="M7" s="233">
        <f>B8-B6</f>
        <v>2</v>
      </c>
      <c r="N7" s="288">
        <f>D7*M7*$L$10/$E$1</f>
        <v>1423.8888888888889</v>
      </c>
      <c r="O7" s="289">
        <f>N7-N6</f>
        <v>711.94444444444446</v>
      </c>
      <c r="P7" s="233">
        <f>B8-B7</f>
        <v>1</v>
      </c>
      <c r="Q7" s="290">
        <f>D7*M7*L7/$E$1</f>
        <v>1423.8888888888889</v>
      </c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</row>
    <row r="8" spans="1:28" x14ac:dyDescent="0.25">
      <c r="A8" s="263" t="s">
        <v>77</v>
      </c>
      <c r="B8" s="86" t="s">
        <v>53</v>
      </c>
      <c r="C8" s="271"/>
      <c r="D8" s="224">
        <v>5000000</v>
      </c>
      <c r="E8" s="228" t="s">
        <v>54</v>
      </c>
      <c r="F8" s="286">
        <f>(P8*E8/$E$1)</f>
        <v>7.2527777777777776E-5</v>
      </c>
      <c r="G8" s="291">
        <f>G7+F8</f>
        <v>2.1911111111111111E-4</v>
      </c>
      <c r="H8" s="229">
        <f>(G8)*$E$1/M8</f>
        <v>2.6293333333333335E-2</v>
      </c>
      <c r="I8" s="225" t="s">
        <v>73</v>
      </c>
      <c r="J8" s="235" t="s">
        <v>74</v>
      </c>
      <c r="K8" s="283">
        <f>(D8*I8/$E$1)*P8</f>
        <v>347.22222222222223</v>
      </c>
      <c r="L8" s="194" t="s">
        <v>75</v>
      </c>
      <c r="M8" s="233">
        <f>B9-B6</f>
        <v>3</v>
      </c>
      <c r="N8" s="288">
        <f>D8*M8*$L$10/$E$1</f>
        <v>2135.8333333333335</v>
      </c>
      <c r="O8" s="289">
        <f>N8-N7</f>
        <v>711.94444444444457</v>
      </c>
      <c r="P8" s="233">
        <f>B9-B8</f>
        <v>1</v>
      </c>
      <c r="Q8" s="290">
        <f>D8*M8*L8/$E$1</f>
        <v>2135.8333333333335</v>
      </c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</row>
    <row r="9" spans="1:28" x14ac:dyDescent="0.25">
      <c r="A9" s="263" t="s">
        <v>78</v>
      </c>
      <c r="B9" s="86" t="s">
        <v>56</v>
      </c>
      <c r="C9" s="271"/>
      <c r="D9" s="224">
        <v>5000000</v>
      </c>
      <c r="E9" s="228" t="s">
        <v>79</v>
      </c>
      <c r="F9" s="286">
        <f>(P9*E9/$E$1)</f>
        <v>7.2916666666666659E-5</v>
      </c>
      <c r="G9" s="291">
        <f>G8+F9</f>
        <v>2.9202777777777777E-4</v>
      </c>
      <c r="H9" s="229">
        <f>(G9)*$E$1/M9</f>
        <v>2.62825E-2</v>
      </c>
      <c r="I9" s="225" t="s">
        <v>73</v>
      </c>
      <c r="J9" s="235" t="s">
        <v>74</v>
      </c>
      <c r="K9" s="283">
        <f>(D9*I9/$E$1)*P9</f>
        <v>347.22222222222223</v>
      </c>
      <c r="L9" s="194" t="s">
        <v>75</v>
      </c>
      <c r="M9" s="233">
        <f>B10-B6</f>
        <v>4</v>
      </c>
      <c r="N9" s="288">
        <f>D9*M9*$L$10/$E$1</f>
        <v>2847.7777777777778</v>
      </c>
      <c r="O9" s="289">
        <f>N9-N8</f>
        <v>711.94444444444434</v>
      </c>
      <c r="P9" s="233">
        <f>B10-B9</f>
        <v>1</v>
      </c>
      <c r="Q9" s="290">
        <f>D9*M9*L9/$E$1</f>
        <v>2847.7777777777778</v>
      </c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</row>
    <row r="10" spans="1:28" x14ac:dyDescent="0.25">
      <c r="A10" s="263" t="s">
        <v>80</v>
      </c>
      <c r="B10" s="86" t="s">
        <v>81</v>
      </c>
      <c r="C10" s="271"/>
      <c r="D10" s="224">
        <v>5000000</v>
      </c>
      <c r="E10" s="228" t="s">
        <v>82</v>
      </c>
      <c r="F10" s="286">
        <f>(P10*E10/$E$1)</f>
        <v>2.1858333333333332E-4</v>
      </c>
      <c r="G10" s="291">
        <f>G9+F10</f>
        <v>5.106111111111111E-4</v>
      </c>
      <c r="H10" s="292">
        <f>(G10)*$E$1/M10</f>
        <v>2.6259999999999999E-2</v>
      </c>
      <c r="I10" s="230" t="s">
        <v>73</v>
      </c>
      <c r="J10" s="235" t="s">
        <v>74</v>
      </c>
      <c r="K10" s="283">
        <f>(D10*I10/$E$1)*P10</f>
        <v>1041.6666666666667</v>
      </c>
      <c r="L10" s="194" t="s">
        <v>75</v>
      </c>
      <c r="M10" s="233">
        <f>B11-B6</f>
        <v>7</v>
      </c>
      <c r="N10" s="288">
        <f>D10*M10*$L$10/$E$1</f>
        <v>4983.6111111111113</v>
      </c>
      <c r="O10" s="289">
        <f>N10-N9</f>
        <v>2135.8333333333335</v>
      </c>
      <c r="P10" s="233">
        <f>B11-B10</f>
        <v>3</v>
      </c>
      <c r="Q10" s="290">
        <f>D10*M10*L10/$E$1</f>
        <v>4983.6111111111113</v>
      </c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</row>
    <row r="11" spans="1:28" x14ac:dyDescent="0.25">
      <c r="A11" s="263" t="s">
        <v>83</v>
      </c>
      <c r="B11" s="86" t="s">
        <v>84</v>
      </c>
      <c r="C11" s="271"/>
      <c r="D11" s="230"/>
      <c r="E11" s="227"/>
      <c r="F11" s="233"/>
      <c r="G11" s="233"/>
      <c r="H11" s="233"/>
      <c r="I11" s="230"/>
      <c r="J11" s="235"/>
      <c r="K11" s="233"/>
      <c r="L11" s="230"/>
      <c r="M11" s="233"/>
      <c r="N11" s="277"/>
      <c r="O11" s="233"/>
      <c r="P11" s="233"/>
      <c r="Q11" s="279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</row>
    <row r="12" spans="1:28" x14ac:dyDescent="0.25">
      <c r="A12" s="274"/>
      <c r="B12" s="223" t="s">
        <v>85</v>
      </c>
      <c r="C12" s="271"/>
      <c r="D12" s="230"/>
      <c r="E12" s="230"/>
      <c r="F12" s="233"/>
      <c r="G12" s="233"/>
      <c r="H12" s="233"/>
      <c r="I12" s="230"/>
      <c r="J12" s="235"/>
      <c r="K12" s="233"/>
      <c r="L12" s="230"/>
      <c r="M12" s="233"/>
      <c r="N12" s="277"/>
      <c r="O12" s="233"/>
      <c r="P12" s="233"/>
      <c r="Q12" s="279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</row>
    <row r="13" spans="1:28" x14ac:dyDescent="0.25">
      <c r="A13" s="275"/>
      <c r="B13" s="223" t="s">
        <v>86</v>
      </c>
      <c r="C13" s="271"/>
      <c r="D13" s="230"/>
      <c r="E13" s="230"/>
      <c r="F13" s="233"/>
      <c r="G13" s="233"/>
      <c r="H13" s="233"/>
      <c r="I13" s="230"/>
      <c r="J13" s="235"/>
      <c r="K13" s="233"/>
      <c r="L13" s="230"/>
      <c r="M13" s="233"/>
      <c r="N13" s="277"/>
      <c r="O13" s="233"/>
      <c r="P13" s="233"/>
      <c r="Q13" s="279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</row>
    <row r="14" spans="1:28" x14ac:dyDescent="0.25">
      <c r="A14" s="275"/>
      <c r="B14" s="223"/>
      <c r="C14" s="271"/>
      <c r="D14" s="230"/>
      <c r="E14" s="230"/>
      <c r="F14" s="233"/>
      <c r="G14" s="233"/>
      <c r="H14" s="233"/>
      <c r="I14" s="230"/>
      <c r="J14" s="235"/>
      <c r="K14" s="233"/>
      <c r="L14" s="230"/>
      <c r="M14" s="233"/>
      <c r="N14" s="277"/>
      <c r="O14" s="233"/>
      <c r="P14" s="233"/>
      <c r="Q14" s="279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</row>
    <row r="15" spans="1:28" x14ac:dyDescent="0.25">
      <c r="A15" s="274"/>
      <c r="B15" s="272"/>
      <c r="C15" s="276"/>
      <c r="D15" s="272"/>
      <c r="E15" s="272"/>
      <c r="F15" s="276"/>
      <c r="G15" s="276"/>
      <c r="H15" s="276"/>
      <c r="I15" s="272"/>
      <c r="J15" s="273"/>
      <c r="K15" s="276"/>
      <c r="L15" s="272"/>
      <c r="M15" s="276"/>
      <c r="N15" s="278"/>
      <c r="O15" s="276"/>
      <c r="P15" s="276"/>
      <c r="Q15" s="280"/>
    </row>
    <row r="16" spans="1:28" x14ac:dyDescent="0.25">
      <c r="A16" s="274"/>
      <c r="B16" s="272"/>
      <c r="C16" s="276"/>
      <c r="D16" s="272"/>
      <c r="E16" s="272"/>
      <c r="F16" s="276"/>
      <c r="G16" s="276"/>
      <c r="H16" s="276"/>
      <c r="I16" s="272"/>
      <c r="J16" s="273"/>
      <c r="K16" s="276"/>
      <c r="L16" s="272"/>
      <c r="M16" s="276"/>
      <c r="N16" s="278"/>
      <c r="O16" s="276"/>
      <c r="P16" s="276"/>
      <c r="Q16" s="280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3"/>
  <sheetViews>
    <sheetView workbookViewId="0">
      <selection activeCell="J19" sqref="J19"/>
    </sheetView>
  </sheetViews>
  <sheetFormatPr defaultColWidth="9.140625" defaultRowHeight="15" x14ac:dyDescent="0.25"/>
  <cols>
    <col min="1" max="1" width="9.28515625" style="232" customWidth="1"/>
    <col min="2" max="2" width="10.7109375" style="232" customWidth="1"/>
    <col min="3" max="3" width="11.7109375" style="232" bestFit="1" customWidth="1"/>
    <col min="4" max="4" width="17.7109375" style="232" customWidth="1"/>
    <col min="5" max="5" width="13.85546875" style="232" customWidth="1"/>
    <col min="6" max="6" width="15" style="232" bestFit="1" customWidth="1"/>
    <col min="7" max="7" width="14.7109375" style="232" customWidth="1"/>
    <col min="8" max="8" width="10.7109375" style="232" customWidth="1"/>
    <col min="9" max="9" width="16.42578125" style="232" bestFit="1" customWidth="1"/>
    <col min="10" max="10" width="16.42578125" style="247" bestFit="1" customWidth="1"/>
    <col min="11" max="11" width="10.7109375" style="232" customWidth="1"/>
    <col min="12" max="12" width="16.42578125" style="232" bestFit="1" customWidth="1"/>
    <col min="13" max="13" width="9.140625" style="232" customWidth="1"/>
    <col min="14" max="15" width="13.7109375" style="232" customWidth="1"/>
    <col min="16" max="16" width="9.140625" style="232" customWidth="1"/>
    <col min="17" max="17" width="13.7109375" style="232" customWidth="1"/>
    <col min="18" max="63" width="9.140625" style="232" customWidth="1"/>
    <col min="64" max="16384" width="9.140625" style="232"/>
  </cols>
  <sheetData>
    <row r="1" spans="1:17" ht="20.25" customHeight="1" x14ac:dyDescent="0.3">
      <c r="A1" s="15" t="s">
        <v>23</v>
      </c>
      <c r="B1" s="197"/>
      <c r="C1" s="231"/>
      <c r="D1" s="231"/>
      <c r="E1" s="200">
        <v>360</v>
      </c>
      <c r="F1" s="197"/>
      <c r="G1" s="197"/>
      <c r="H1" s="197"/>
      <c r="I1" s="197"/>
      <c r="J1" s="246"/>
      <c r="K1" s="197"/>
      <c r="L1" s="197"/>
      <c r="M1" s="197"/>
      <c r="N1" s="197"/>
      <c r="O1" s="199"/>
      <c r="P1" s="197"/>
      <c r="Q1" s="197"/>
    </row>
    <row r="2" spans="1:17" ht="20.25" customHeight="1" x14ac:dyDescent="0.3">
      <c r="A2" s="15"/>
      <c r="B2" s="197"/>
      <c r="C2" s="231"/>
      <c r="D2" s="231"/>
      <c r="E2" s="200"/>
      <c r="F2" s="197"/>
      <c r="G2" s="197"/>
      <c r="H2" s="197"/>
      <c r="I2" s="197"/>
      <c r="J2" s="246"/>
      <c r="K2" s="197"/>
      <c r="L2" s="197"/>
      <c r="M2" s="197"/>
      <c r="N2" s="197"/>
      <c r="O2" s="199"/>
      <c r="P2" s="197"/>
      <c r="Q2" s="197"/>
    </row>
    <row r="3" spans="1:17" x14ac:dyDescent="0.25">
      <c r="A3" s="231"/>
      <c r="B3" s="197"/>
      <c r="C3" s="197"/>
      <c r="D3" s="197"/>
      <c r="E3" s="197"/>
      <c r="F3" s="197"/>
      <c r="G3" s="197"/>
      <c r="H3" s="197"/>
      <c r="I3" s="197"/>
      <c r="J3" s="246"/>
      <c r="K3" s="197"/>
      <c r="L3" s="197"/>
      <c r="M3" s="197"/>
      <c r="N3" s="197"/>
      <c r="O3" s="199"/>
      <c r="P3" s="197"/>
    </row>
    <row r="4" spans="1:17" ht="64.5" customHeight="1" x14ac:dyDescent="0.25">
      <c r="A4" s="231"/>
      <c r="B4" s="216" t="s">
        <v>57</v>
      </c>
      <c r="C4" s="233"/>
      <c r="D4" s="233"/>
      <c r="E4" s="202" t="s">
        <v>26</v>
      </c>
      <c r="F4" s="217" t="s">
        <v>58</v>
      </c>
      <c r="G4" s="203" t="s">
        <v>59</v>
      </c>
      <c r="H4" s="218" t="s">
        <v>60</v>
      </c>
      <c r="I4" s="203"/>
      <c r="J4" s="248"/>
      <c r="K4" s="203"/>
      <c r="L4" s="233"/>
      <c r="M4" s="202" t="s">
        <v>61</v>
      </c>
      <c r="N4" s="204"/>
      <c r="O4" s="233"/>
      <c r="P4" s="205" t="s">
        <v>28</v>
      </c>
      <c r="Q4" s="204"/>
    </row>
    <row r="5" spans="1:17" ht="76.5" customHeight="1" x14ac:dyDescent="0.25">
      <c r="A5" s="222"/>
      <c r="B5" s="219" t="s">
        <v>17</v>
      </c>
      <c r="C5" s="220" t="s">
        <v>29</v>
      </c>
      <c r="D5" s="220" t="s">
        <v>87</v>
      </c>
      <c r="E5" s="220" t="s">
        <v>30</v>
      </c>
      <c r="F5" s="221" t="s">
        <v>64</v>
      </c>
      <c r="G5" s="221" t="s">
        <v>65</v>
      </c>
      <c r="H5" s="221" t="s">
        <v>66</v>
      </c>
      <c r="I5" s="220" t="s">
        <v>31</v>
      </c>
      <c r="J5" s="249" t="s">
        <v>88</v>
      </c>
      <c r="K5" s="220" t="s">
        <v>67</v>
      </c>
      <c r="L5" s="220" t="s">
        <v>33</v>
      </c>
      <c r="M5" s="220" t="s">
        <v>68</v>
      </c>
      <c r="N5" s="220" t="s">
        <v>69</v>
      </c>
      <c r="O5" s="220" t="s">
        <v>70</v>
      </c>
      <c r="P5" s="220" t="s">
        <v>35</v>
      </c>
      <c r="Q5" s="261" t="s">
        <v>71</v>
      </c>
    </row>
    <row r="6" spans="1:17" x14ac:dyDescent="0.25">
      <c r="A6" s="231"/>
      <c r="B6" s="223" t="s">
        <v>89</v>
      </c>
      <c r="C6" s="224">
        <v>889299.03</v>
      </c>
      <c r="D6" s="207">
        <f>(C6)/M6</f>
        <v>889299.03</v>
      </c>
      <c r="E6" s="234" t="s">
        <v>90</v>
      </c>
      <c r="F6" s="286">
        <f>(P6*E6/$E$1)</f>
        <v>6.244444444444445E-5</v>
      </c>
      <c r="G6" s="293">
        <f>F6</f>
        <v>6.244444444444445E-5</v>
      </c>
      <c r="H6" s="229">
        <f>(G6)*$E$1/M6</f>
        <v>2.2480000000000003E-2</v>
      </c>
      <c r="I6" s="225" t="s">
        <v>73</v>
      </c>
      <c r="J6" s="235">
        <v>0</v>
      </c>
      <c r="K6" s="283">
        <f>(C6*I6/$E$1)*P6</f>
        <v>61.756877083333336</v>
      </c>
      <c r="L6" s="235" t="s">
        <v>91</v>
      </c>
      <c r="M6" s="233">
        <f>B7-B6</f>
        <v>1</v>
      </c>
      <c r="N6" s="289">
        <f>D6*M6*$L$10/$E$1</f>
        <v>121.86220235420252</v>
      </c>
      <c r="O6" s="289">
        <f>N6</f>
        <v>121.86220235420252</v>
      </c>
      <c r="P6" s="233">
        <f>B7-B6</f>
        <v>1</v>
      </c>
      <c r="Q6" s="290">
        <f>D6*M6*L6/$E$1</f>
        <v>121.86220235420252</v>
      </c>
    </row>
    <row r="7" spans="1:17" x14ac:dyDescent="0.25">
      <c r="A7" s="231"/>
      <c r="B7" s="223" t="s">
        <v>92</v>
      </c>
      <c r="C7" s="224">
        <v>2667897.09</v>
      </c>
      <c r="D7" s="207">
        <f>SUM(C6+C7)/M7</f>
        <v>889299.03</v>
      </c>
      <c r="E7" s="227" t="s">
        <v>93</v>
      </c>
      <c r="F7" s="286">
        <f>(P7*E7/$E$1)</f>
        <v>1.7591666666666667E-4</v>
      </c>
      <c r="G7" s="293">
        <f>G6+F7</f>
        <v>2.3836111111111112E-4</v>
      </c>
      <c r="H7" s="229">
        <f>(G7)*$E$1/M7</f>
        <v>2.1452499999999999E-2</v>
      </c>
      <c r="I7" s="225" t="s">
        <v>73</v>
      </c>
      <c r="J7" s="235">
        <v>0</v>
      </c>
      <c r="K7" s="283">
        <f>(C7*I7/$E$1)*P7</f>
        <v>555.81189374999997</v>
      </c>
      <c r="L7" s="235" t="s">
        <v>91</v>
      </c>
      <c r="M7" s="233">
        <f>B8-B6</f>
        <v>4</v>
      </c>
      <c r="N7" s="289">
        <f>D7*M7*$L$10/$E$1</f>
        <v>487.44880941681009</v>
      </c>
      <c r="O7" s="289">
        <f>N7-N6</f>
        <v>365.58660706260758</v>
      </c>
      <c r="P7" s="233">
        <f>B8-B7</f>
        <v>3</v>
      </c>
      <c r="Q7" s="290">
        <f>D7*M7*L7/$E$1</f>
        <v>487.44880941681009</v>
      </c>
    </row>
    <row r="8" spans="1:17" x14ac:dyDescent="0.25">
      <c r="A8" s="231"/>
      <c r="B8" s="223" t="s">
        <v>94</v>
      </c>
      <c r="C8" s="224">
        <v>778561.93</v>
      </c>
      <c r="D8" s="207">
        <f>SUM(C6+C7+C8)/M8</f>
        <v>867151.61</v>
      </c>
      <c r="E8" s="228" t="s">
        <v>95</v>
      </c>
      <c r="F8" s="286">
        <f>(P8*E8/$E$1)</f>
        <v>7.8250000000000005E-5</v>
      </c>
      <c r="G8" s="293">
        <f>G7+F8</f>
        <v>3.1661111111111115E-4</v>
      </c>
      <c r="H8" s="229">
        <f>(G8)*$E$1/M8</f>
        <v>2.2796000000000004E-2</v>
      </c>
      <c r="I8" s="225" t="s">
        <v>73</v>
      </c>
      <c r="J8" s="235">
        <v>0</v>
      </c>
      <c r="K8" s="283">
        <f>(C8*I8/$E$1)*P8</f>
        <v>54.066800694444453</v>
      </c>
      <c r="L8" s="235" t="s">
        <v>91</v>
      </c>
      <c r="M8" s="233">
        <f>B9-B6</f>
        <v>5</v>
      </c>
      <c r="N8" s="289">
        <f>D8*M8*$L$10/$E$1</f>
        <v>594.1365131680875</v>
      </c>
      <c r="O8" s="289">
        <f>N8-N7</f>
        <v>106.68770375127741</v>
      </c>
      <c r="P8" s="233">
        <f>B9-B8</f>
        <v>1</v>
      </c>
      <c r="Q8" s="290">
        <f>D8*M8*L8/$E$1</f>
        <v>594.1365131680875</v>
      </c>
    </row>
    <row r="9" spans="1:17" x14ac:dyDescent="0.25">
      <c r="A9" s="231"/>
      <c r="B9" s="223" t="s">
        <v>96</v>
      </c>
      <c r="C9" s="224">
        <v>778561.93</v>
      </c>
      <c r="D9" s="207">
        <f>SUM(C6+C7+C8+C9)/M9</f>
        <v>852386.66333333321</v>
      </c>
      <c r="E9" s="228" t="s">
        <v>95</v>
      </c>
      <c r="F9" s="286">
        <f>(P9*E9/$E$1)</f>
        <v>7.8250000000000005E-5</v>
      </c>
      <c r="G9" s="293">
        <f>G8+F9</f>
        <v>3.9486111111111113E-4</v>
      </c>
      <c r="H9" s="229">
        <f>(G9)*$E$1/M9</f>
        <v>2.3691666666666666E-2</v>
      </c>
      <c r="I9" s="225" t="s">
        <v>73</v>
      </c>
      <c r="J9" s="235">
        <v>0</v>
      </c>
      <c r="K9" s="283">
        <f>(C9*I9/$E$1)*P9</f>
        <v>54.066800694444453</v>
      </c>
      <c r="L9" s="235" t="s">
        <v>91</v>
      </c>
      <c r="M9" s="233">
        <f>B10-B6</f>
        <v>6</v>
      </c>
      <c r="N9" s="289">
        <f>D9*M9*$L$10/$E$1</f>
        <v>700.82421691936497</v>
      </c>
      <c r="O9" s="289">
        <f>N9-N8</f>
        <v>106.68770375127747</v>
      </c>
      <c r="P9" s="233">
        <f>B10-B9</f>
        <v>1</v>
      </c>
      <c r="Q9" s="290">
        <f>D9*M9*L9/$E$1</f>
        <v>700.82421691936497</v>
      </c>
    </row>
    <row r="10" spans="1:17" x14ac:dyDescent="0.25">
      <c r="A10" s="231"/>
      <c r="B10" s="223" t="s">
        <v>97</v>
      </c>
      <c r="C10" s="224">
        <v>778561.93</v>
      </c>
      <c r="D10" s="207">
        <f>SUM(C6+C7+C8+C9+C10)/M10</f>
        <v>841840.27285714273</v>
      </c>
      <c r="E10" s="228" t="s">
        <v>95</v>
      </c>
      <c r="F10" s="286">
        <f>(P10*E10/$E$1)</f>
        <v>7.8250000000000005E-5</v>
      </c>
      <c r="G10" s="293">
        <f>G9+F10</f>
        <v>4.7311111111111111E-4</v>
      </c>
      <c r="H10" s="229">
        <f>(G10)*$E$1/M10</f>
        <v>2.433142857142857E-2</v>
      </c>
      <c r="I10" s="225" t="s">
        <v>73</v>
      </c>
      <c r="J10" s="235">
        <v>0</v>
      </c>
      <c r="K10" s="283">
        <f>(C10*I10/$E$1)*P10</f>
        <v>54.066800694444453</v>
      </c>
      <c r="L10" s="235" t="s">
        <v>91</v>
      </c>
      <c r="M10" s="233">
        <f>B11-B6</f>
        <v>7</v>
      </c>
      <c r="N10" s="289">
        <f>D10*M10*$L$10/$E$1</f>
        <v>807.51192067064244</v>
      </c>
      <c r="O10" s="289">
        <f>N10-N9</f>
        <v>106.68770375127747</v>
      </c>
      <c r="P10" s="233">
        <f>B11-B10</f>
        <v>1</v>
      </c>
      <c r="Q10" s="290">
        <f>D10*M10*L10/$E$1</f>
        <v>807.51192067064244</v>
      </c>
    </row>
    <row r="11" spans="1:17" x14ac:dyDescent="0.25">
      <c r="A11" s="231"/>
      <c r="B11" s="223" t="s">
        <v>98</v>
      </c>
      <c r="C11" s="233"/>
      <c r="D11" s="233"/>
      <c r="E11" s="233"/>
      <c r="F11" s="233"/>
      <c r="G11" s="233"/>
      <c r="H11" s="233"/>
      <c r="I11" s="233"/>
      <c r="J11" s="250"/>
      <c r="K11" s="233"/>
      <c r="L11" s="233"/>
      <c r="M11" s="233"/>
      <c r="N11" s="233"/>
      <c r="O11" s="233"/>
      <c r="P11" s="233"/>
      <c r="Q11" s="233"/>
    </row>
    <row r="12" spans="1:17" x14ac:dyDescent="0.25">
      <c r="A12" s="231"/>
      <c r="B12" s="223" t="s">
        <v>99</v>
      </c>
      <c r="C12" s="233"/>
      <c r="D12" s="233"/>
      <c r="E12" s="233"/>
      <c r="F12" s="233"/>
      <c r="G12" s="233"/>
      <c r="H12" s="233"/>
      <c r="I12" s="233"/>
      <c r="J12" s="250"/>
      <c r="K12" s="233"/>
      <c r="L12" s="233"/>
      <c r="M12" s="233"/>
      <c r="N12" s="233"/>
      <c r="O12" s="233"/>
      <c r="P12" s="233"/>
      <c r="Q12" s="233"/>
    </row>
    <row r="13" spans="1:17" x14ac:dyDescent="0.25">
      <c r="A13" s="231"/>
      <c r="B13" s="223" t="s">
        <v>100</v>
      </c>
      <c r="C13" s="233"/>
      <c r="D13" s="233"/>
      <c r="E13" s="233"/>
      <c r="F13" s="233"/>
      <c r="G13" s="233"/>
      <c r="H13" s="233"/>
      <c r="I13" s="233"/>
      <c r="J13" s="250"/>
      <c r="K13" s="233"/>
      <c r="L13" s="233"/>
      <c r="M13" s="233"/>
      <c r="N13" s="233"/>
      <c r="O13" s="233"/>
      <c r="P13" s="233"/>
      <c r="Q13" s="233"/>
    </row>
    <row r="14" spans="1:17" x14ac:dyDescent="0.25">
      <c r="A14" s="231"/>
      <c r="B14" s="231"/>
      <c r="C14" s="231"/>
      <c r="D14" s="231"/>
      <c r="E14" s="231"/>
      <c r="F14" s="231"/>
      <c r="G14" s="231"/>
      <c r="H14" s="231"/>
      <c r="I14" s="231"/>
      <c r="J14" s="251"/>
      <c r="K14" s="231"/>
      <c r="L14" s="231"/>
      <c r="M14" s="231"/>
      <c r="N14" s="231"/>
      <c r="O14" s="285"/>
      <c r="P14" s="231"/>
      <c r="Q14" s="233"/>
    </row>
    <row r="15" spans="1:17" x14ac:dyDescent="0.25">
      <c r="A15" s="231"/>
      <c r="B15" s="231"/>
      <c r="C15" s="231"/>
      <c r="D15" s="231"/>
      <c r="E15" s="294"/>
      <c r="F15" s="231"/>
      <c r="G15" s="231"/>
      <c r="H15" s="231"/>
      <c r="I15" s="231"/>
      <c r="J15" s="251"/>
      <c r="K15" s="231"/>
      <c r="L15" s="231"/>
      <c r="M15" s="231"/>
      <c r="N15" s="231"/>
      <c r="O15" s="231"/>
      <c r="P15" s="231"/>
    </row>
    <row r="16" spans="1:17" x14ac:dyDescent="0.25">
      <c r="A16" s="231"/>
      <c r="B16" s="231"/>
      <c r="C16" s="231"/>
      <c r="D16" s="231"/>
      <c r="E16" s="231"/>
      <c r="F16" s="231"/>
      <c r="G16" s="231"/>
      <c r="H16" s="231"/>
      <c r="I16" s="231"/>
      <c r="J16" s="251"/>
      <c r="K16" s="231"/>
      <c r="L16" s="231"/>
      <c r="M16" s="231"/>
      <c r="N16" s="231"/>
      <c r="O16" s="285"/>
      <c r="P16" s="231"/>
    </row>
    <row r="23" spans="5:5" x14ac:dyDescent="0.25">
      <c r="E23">
        <f>C7*3</f>
        <v>8003691.2699999996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22"/>
  <sheetViews>
    <sheetView zoomScale="68" zoomScaleNormal="68" workbookViewId="0">
      <selection activeCell="M10" sqref="M10"/>
    </sheetView>
  </sheetViews>
  <sheetFormatPr defaultColWidth="13.85546875" defaultRowHeight="15.75" x14ac:dyDescent="0.25"/>
  <cols>
    <col min="1" max="1" width="13.7109375" style="22" customWidth="1"/>
    <col min="2" max="2" width="14.140625" style="22" customWidth="1"/>
    <col min="3" max="3" width="6.42578125" style="22" customWidth="1"/>
    <col min="4" max="4" width="20.28515625" style="21" bestFit="1" customWidth="1"/>
    <col min="5" max="5" width="15.5703125" style="95" bestFit="1" customWidth="1"/>
    <col min="6" max="6" width="19" style="21" customWidth="1"/>
    <col min="7" max="7" width="18.85546875" style="21" customWidth="1"/>
    <col min="8" max="8" width="18.85546875" style="22" customWidth="1"/>
    <col min="9" max="9" width="11.28515625" style="22" customWidth="1"/>
    <col min="10" max="10" width="25.28515625" style="253" bestFit="1" customWidth="1"/>
    <col min="11" max="11" width="15.5703125" style="22" bestFit="1" customWidth="1"/>
    <col min="12" max="12" width="29.42578125" style="22" customWidth="1"/>
    <col min="13" max="13" width="16.28515625" style="22" customWidth="1"/>
    <col min="14" max="14" width="23.5703125" style="24" customWidth="1"/>
    <col min="15" max="15" width="16.140625" style="22" bestFit="1" customWidth="1"/>
    <col min="16" max="16" width="10.7109375" style="22" customWidth="1"/>
    <col min="17" max="117" width="13.85546875" style="22" customWidth="1"/>
    <col min="118" max="16384" width="13.85546875" style="22"/>
  </cols>
  <sheetData>
    <row r="1" spans="1:18" s="15" customFormat="1" ht="20.25" customHeight="1" x14ac:dyDescent="0.3">
      <c r="A1" s="15" t="s">
        <v>22</v>
      </c>
      <c r="C1" s="16"/>
      <c r="D1" s="17"/>
      <c r="E1" s="96"/>
      <c r="F1" s="17"/>
      <c r="G1" s="18"/>
      <c r="J1" s="252"/>
      <c r="N1" s="19"/>
      <c r="Q1" s="20"/>
      <c r="R1" s="20"/>
    </row>
    <row r="2" spans="1:18" ht="20.25" customHeight="1" x14ac:dyDescent="0.3">
      <c r="A2" s="15" t="s">
        <v>23</v>
      </c>
      <c r="B2" s="15"/>
      <c r="C2" s="37">
        <v>360</v>
      </c>
      <c r="D2" s="38" t="s">
        <v>24</v>
      </c>
      <c r="L2" s="23"/>
      <c r="Q2" s="25"/>
      <c r="R2" s="25"/>
    </row>
    <row r="3" spans="1:18" x14ac:dyDescent="0.25">
      <c r="F3" s="95"/>
      <c r="G3" s="97"/>
    </row>
    <row r="4" spans="1:18" ht="77.25" customHeight="1" x14ac:dyDescent="0.25">
      <c r="B4" s="36" t="s">
        <v>3</v>
      </c>
      <c r="C4" s="55"/>
      <c r="D4" s="53"/>
      <c r="E4" s="98" t="s">
        <v>26</v>
      </c>
      <c r="F4" s="30" t="s">
        <v>58</v>
      </c>
      <c r="G4" s="29" t="s">
        <v>59</v>
      </c>
      <c r="H4" s="34" t="s">
        <v>60</v>
      </c>
      <c r="I4" s="29"/>
      <c r="J4" s="254"/>
      <c r="K4" s="29"/>
      <c r="L4" s="55"/>
      <c r="M4" s="32" t="s">
        <v>61</v>
      </c>
      <c r="N4" s="31"/>
      <c r="O4" s="55"/>
      <c r="P4" s="33" t="s">
        <v>28</v>
      </c>
    </row>
    <row r="5" spans="1:18" ht="162" customHeight="1" x14ac:dyDescent="0.3">
      <c r="A5" s="265" t="s">
        <v>62</v>
      </c>
      <c r="B5" s="39" t="s">
        <v>17</v>
      </c>
      <c r="C5" s="40"/>
      <c r="D5" s="41" t="s">
        <v>29</v>
      </c>
      <c r="E5" s="99" t="s">
        <v>63</v>
      </c>
      <c r="F5" s="35" t="s">
        <v>101</v>
      </c>
      <c r="G5" s="35" t="s">
        <v>102</v>
      </c>
      <c r="H5" s="42" t="s">
        <v>103</v>
      </c>
      <c r="I5" s="43" t="s">
        <v>31</v>
      </c>
      <c r="J5" s="255" t="s">
        <v>88</v>
      </c>
      <c r="K5" s="43" t="s">
        <v>67</v>
      </c>
      <c r="L5" s="43" t="s">
        <v>33</v>
      </c>
      <c r="M5" s="43" t="s">
        <v>68</v>
      </c>
      <c r="N5" s="43" t="s">
        <v>104</v>
      </c>
      <c r="O5" s="44" t="s">
        <v>70</v>
      </c>
      <c r="P5" s="44" t="s">
        <v>35</v>
      </c>
    </row>
    <row r="6" spans="1:18" ht="18" customHeight="1" x14ac:dyDescent="0.3">
      <c r="A6" s="262" t="s">
        <v>105</v>
      </c>
      <c r="B6" s="140" t="s">
        <v>106</v>
      </c>
      <c r="C6" s="267"/>
      <c r="D6" s="141" t="s">
        <v>107</v>
      </c>
      <c r="E6" s="142" t="s">
        <v>108</v>
      </c>
      <c r="F6" s="100">
        <f>1+(P6*E6/$C$2)</f>
        <v>1.0000744722222221</v>
      </c>
      <c r="G6" s="101">
        <f>1*F6</f>
        <v>1.0000744722222221</v>
      </c>
      <c r="H6" s="102">
        <f>(G6-1)*$C$2/M6</f>
        <v>2.6809999999963807E-2</v>
      </c>
      <c r="I6" s="151" t="s">
        <v>73</v>
      </c>
      <c r="J6" s="256"/>
      <c r="K6" s="295">
        <f>(D6*I6/$C$2)*P6</f>
        <v>347.22222222222223</v>
      </c>
      <c r="L6" s="144" t="s">
        <v>109</v>
      </c>
      <c r="M6" s="45">
        <f>B7-B6</f>
        <v>1</v>
      </c>
      <c r="N6" s="296">
        <f>D6*M6*L6/$C$2</f>
        <v>719.58333333333337</v>
      </c>
      <c r="O6" s="296">
        <f>N6</f>
        <v>719.58333333333337</v>
      </c>
      <c r="P6" s="46">
        <f>B7-B6</f>
        <v>1</v>
      </c>
      <c r="Q6" s="45"/>
    </row>
    <row r="7" spans="1:18" ht="18" customHeight="1" x14ac:dyDescent="0.3">
      <c r="A7" s="262" t="s">
        <v>110</v>
      </c>
      <c r="B7" s="140" t="s">
        <v>111</v>
      </c>
      <c r="C7" s="267"/>
      <c r="D7" s="141" t="s">
        <v>107</v>
      </c>
      <c r="E7" s="143" t="s">
        <v>112</v>
      </c>
      <c r="F7" s="103">
        <f>1+(P7*E7/$C$2)</f>
        <v>1.00024625</v>
      </c>
      <c r="G7" s="104">
        <f>G6*F7</f>
        <v>1.0003207405610068</v>
      </c>
      <c r="H7" s="102">
        <f>(G7-1)*$C$2/M7</f>
        <v>2.8866650490615431E-2</v>
      </c>
      <c r="I7" s="151" t="s">
        <v>73</v>
      </c>
      <c r="J7" s="256"/>
      <c r="K7" s="295">
        <f>(D7*I7/$C$2)*P7</f>
        <v>1041.6666666666667</v>
      </c>
      <c r="L7" s="144" t="s">
        <v>113</v>
      </c>
      <c r="M7" s="45">
        <f>B8-B6</f>
        <v>4</v>
      </c>
      <c r="N7" s="296">
        <f>D7*M7*L7/$C$2</f>
        <v>2992.5916666666667</v>
      </c>
      <c r="O7" s="296">
        <f>N7-N6</f>
        <v>2273.0083333333332</v>
      </c>
      <c r="P7" s="47">
        <f>B8-B7</f>
        <v>3</v>
      </c>
      <c r="Q7" s="45"/>
    </row>
    <row r="8" spans="1:18" ht="18" customHeight="1" x14ac:dyDescent="0.3">
      <c r="A8" s="262" t="s">
        <v>114</v>
      </c>
      <c r="B8" s="140" t="s">
        <v>115</v>
      </c>
      <c r="C8" s="267"/>
      <c r="D8" s="141"/>
      <c r="E8" s="142" t="s">
        <v>116</v>
      </c>
      <c r="F8" s="100">
        <f>1+(P8*E8/$C$2)</f>
        <v>1.0000686666666667</v>
      </c>
      <c r="G8" s="100">
        <f>G7*F8</f>
        <v>1.0003894292518587</v>
      </c>
      <c r="H8" s="102">
        <f>(G8-1)*$C$2/M8</f>
        <v>2.8038906133826202E-2</v>
      </c>
      <c r="I8" s="151"/>
      <c r="J8" s="256"/>
      <c r="K8" s="295">
        <f>(D8*I8/$C$2)*P8</f>
        <v>0</v>
      </c>
      <c r="L8" s="144"/>
      <c r="M8" s="45">
        <f>B9-B6</f>
        <v>5</v>
      </c>
      <c r="N8" s="296">
        <f>D8*M8*L8/$C$2</f>
        <v>0</v>
      </c>
      <c r="O8" s="296">
        <f>N8-N7</f>
        <v>-2992.5916666666667</v>
      </c>
      <c r="P8" s="46">
        <f>B9-B8</f>
        <v>1</v>
      </c>
      <c r="Q8" s="45"/>
    </row>
    <row r="9" spans="1:18" ht="18" customHeight="1" x14ac:dyDescent="0.3">
      <c r="A9" s="262" t="s">
        <v>117</v>
      </c>
      <c r="B9" s="140" t="s">
        <v>118</v>
      </c>
      <c r="C9" s="267"/>
      <c r="D9" s="141"/>
      <c r="E9" s="142" t="s">
        <v>116</v>
      </c>
      <c r="F9" s="100">
        <f>1+(P9*E9/$C$2)</f>
        <v>1.0000686666666667</v>
      </c>
      <c r="G9" s="100">
        <f>G8*F9</f>
        <v>1.0004581226593341</v>
      </c>
      <c r="H9" s="102">
        <f>(G9-1)*$C$2/M9</f>
        <v>2.7487359560045554E-2</v>
      </c>
      <c r="I9" s="151"/>
      <c r="J9" s="256"/>
      <c r="K9" s="295">
        <f>(D9*I9/$C$2)*P9</f>
        <v>0</v>
      </c>
      <c r="L9" s="144"/>
      <c r="M9" s="45">
        <f>B10-B6</f>
        <v>6</v>
      </c>
      <c r="N9" s="296">
        <f>D9*M9*L9/$C$2</f>
        <v>0</v>
      </c>
      <c r="O9" s="296">
        <f>N9-N8</f>
        <v>0</v>
      </c>
      <c r="P9" s="46">
        <f>B10-B9</f>
        <v>1</v>
      </c>
      <c r="Q9" s="45"/>
    </row>
    <row r="10" spans="1:18" ht="18" customHeight="1" x14ac:dyDescent="0.3">
      <c r="A10" s="262" t="s">
        <v>119</v>
      </c>
      <c r="B10" s="140" t="s">
        <v>120</v>
      </c>
      <c r="C10" s="267"/>
      <c r="D10" s="141"/>
      <c r="E10" s="142" t="s">
        <v>121</v>
      </c>
      <c r="F10" s="100">
        <f>1+(P10*E10/$C$2)</f>
        <v>0.99608125000000003</v>
      </c>
      <c r="G10" s="100">
        <f>G9*F10</f>
        <v>0.99653757739116289</v>
      </c>
      <c r="H10" s="102">
        <f>(G10-1)*$C$2/M10</f>
        <v>2.4440630180026676E-2</v>
      </c>
      <c r="I10" s="151"/>
      <c r="J10" s="256"/>
      <c r="K10" s="295">
        <f>(D10*I10/$C$2)*P10</f>
        <v>0</v>
      </c>
      <c r="L10" s="144"/>
      <c r="M10" s="45">
        <f>B11-B6</f>
        <v>-51</v>
      </c>
      <c r="N10" s="296">
        <f>D10*M10*L10/$C$2</f>
        <v>0</v>
      </c>
      <c r="O10" s="296">
        <f>N10-N9</f>
        <v>0</v>
      </c>
      <c r="P10" s="46">
        <f>B11-B10</f>
        <v>-57</v>
      </c>
      <c r="Q10" s="45"/>
    </row>
    <row r="11" spans="1:18" ht="18" customHeight="1" x14ac:dyDescent="0.3">
      <c r="A11" s="262" t="s">
        <v>122</v>
      </c>
      <c r="B11" s="140" t="s">
        <v>122</v>
      </c>
      <c r="C11" s="267"/>
      <c r="D11" s="141"/>
      <c r="E11" s="142"/>
      <c r="F11" s="124"/>
      <c r="G11" s="124"/>
      <c r="H11" s="124"/>
      <c r="I11" s="268"/>
      <c r="J11" s="269"/>
      <c r="K11" s="295"/>
      <c r="L11" s="268"/>
      <c r="M11" s="45"/>
      <c r="N11" s="296"/>
      <c r="O11" s="296"/>
      <c r="P11" s="48"/>
    </row>
    <row r="12" spans="1:18" ht="18" customHeight="1" x14ac:dyDescent="0.3">
      <c r="A12" s="266"/>
      <c r="B12" s="140"/>
      <c r="C12" s="267"/>
      <c r="D12" s="141"/>
      <c r="E12" s="142"/>
      <c r="F12" s="124"/>
      <c r="G12" s="124"/>
      <c r="H12" s="124"/>
      <c r="I12" s="268"/>
      <c r="J12" s="269"/>
      <c r="K12" s="295"/>
      <c r="L12" s="268"/>
      <c r="M12" s="45"/>
      <c r="N12" s="296"/>
      <c r="O12" s="296"/>
      <c r="P12" s="48"/>
    </row>
    <row r="13" spans="1:18" ht="18" customHeight="1" x14ac:dyDescent="0.3">
      <c r="A13" s="266"/>
      <c r="B13" s="140" t="s">
        <v>123</v>
      </c>
      <c r="C13" s="52"/>
      <c r="D13" s="141">
        <v>5000000</v>
      </c>
      <c r="E13" s="142">
        <v>2.1100000000000001E-2</v>
      </c>
      <c r="F13" s="100">
        <f>1+(P13*E13/$C$2)</f>
        <v>0.99554555555555557</v>
      </c>
      <c r="G13" s="100">
        <f>G10*F13</f>
        <v>0.99209855611587272</v>
      </c>
      <c r="H13" s="102">
        <f>(G13-1)*$C$2/M13</f>
        <v>7.0935655817601509E-3</v>
      </c>
      <c r="I13" s="270">
        <v>0</v>
      </c>
      <c r="J13" s="256"/>
      <c r="K13" s="295">
        <f>(D13*I13/$C$2)*P13</f>
        <v>0</v>
      </c>
      <c r="L13" s="144">
        <f>H13+I13</f>
        <v>7.0935655817601509E-3</v>
      </c>
      <c r="M13" s="45">
        <f>B14-$B$6</f>
        <v>-401</v>
      </c>
      <c r="N13" s="296">
        <f>D13*M13*L13/$C$2</f>
        <v>-39507.2194206364</v>
      </c>
      <c r="O13" s="296">
        <f>N13-N10</f>
        <v>-39507.2194206364</v>
      </c>
      <c r="P13" s="46">
        <f>B14-B13</f>
        <v>-76</v>
      </c>
    </row>
    <row r="14" spans="1:18" ht="18" customHeight="1" x14ac:dyDescent="0.3">
      <c r="A14" s="266"/>
      <c r="B14" s="140" t="s">
        <v>124</v>
      </c>
      <c r="C14" s="52"/>
      <c r="D14" s="141">
        <v>5000000</v>
      </c>
      <c r="E14" s="142">
        <v>2.1299999999999999E-2</v>
      </c>
      <c r="F14" s="100">
        <f>1+(P14*E14/$C$2)</f>
        <v>1.0000591666666667</v>
      </c>
      <c r="G14" s="100">
        <f>G13*F14</f>
        <v>0.99215725528044296</v>
      </c>
      <c r="H14" s="102">
        <f>(G14-1)*$C$2/M14</f>
        <v>7.0584702476013342E-3</v>
      </c>
      <c r="I14" s="270">
        <v>0</v>
      </c>
      <c r="J14" s="256"/>
      <c r="K14" s="295">
        <f>(D14*I14/$C$2)*P14</f>
        <v>0</v>
      </c>
      <c r="L14" s="144">
        <f>H14+I14</f>
        <v>7.0584702476013342E-3</v>
      </c>
      <c r="M14" s="45">
        <f>B15-$B$6</f>
        <v>-400</v>
      </c>
      <c r="N14" s="296">
        <f>D14*M14*L14/$C$2</f>
        <v>-39213.723597785189</v>
      </c>
      <c r="O14" s="296">
        <f>N14-N13</f>
        <v>293.49582285121141</v>
      </c>
      <c r="P14" s="46">
        <f>B15-B14</f>
        <v>1</v>
      </c>
    </row>
    <row r="15" spans="1:18" ht="18" customHeight="1" x14ac:dyDescent="0.3">
      <c r="A15" s="266"/>
      <c r="B15" s="140" t="s">
        <v>125</v>
      </c>
      <c r="C15" s="52"/>
      <c r="D15" s="141">
        <v>5000000</v>
      </c>
      <c r="E15" s="142">
        <v>2.1000000000000001E-2</v>
      </c>
      <c r="F15" s="100">
        <f>1+(P15*E15/$C$2)</f>
        <v>1.0000583333333333</v>
      </c>
      <c r="G15" s="100">
        <f>G14*F15</f>
        <v>0.99221513112033421</v>
      </c>
      <c r="H15" s="102">
        <f>(G15-1)*$C$2/M15</f>
        <v>7.0239418463149943E-3</v>
      </c>
      <c r="I15" s="270">
        <v>0</v>
      </c>
      <c r="J15" s="256"/>
      <c r="K15" s="295">
        <f>(D15*I15/$C$2)*P15</f>
        <v>0</v>
      </c>
      <c r="L15" s="144">
        <f>H15+I15</f>
        <v>7.0239418463149943E-3</v>
      </c>
      <c r="M15" s="45">
        <f>B16-$B$6</f>
        <v>-399</v>
      </c>
      <c r="N15" s="296">
        <f>D15*M15*L15/$C$2</f>
        <v>-38924.344398328925</v>
      </c>
      <c r="O15" s="296">
        <f>N15-N14</f>
        <v>289.37919945626345</v>
      </c>
      <c r="P15" s="46">
        <f>B16-B15</f>
        <v>1</v>
      </c>
    </row>
    <row r="16" spans="1:18" ht="18" customHeight="1" x14ac:dyDescent="0.3">
      <c r="A16" s="266"/>
      <c r="B16" s="140" t="s">
        <v>126</v>
      </c>
      <c r="C16" s="55"/>
      <c r="D16" s="141">
        <v>5000000</v>
      </c>
      <c r="E16" s="142">
        <v>2.0899999999999998E-2</v>
      </c>
      <c r="F16" s="100">
        <f>1+(P16*E16/$C$2)</f>
        <v>1.0000580555555556</v>
      </c>
      <c r="G16" s="100">
        <f>G15*F16</f>
        <v>0.99227273472100208</v>
      </c>
      <c r="H16" s="102">
        <f>(G16-1)*$C$2/M16</f>
        <v>6.9894861820081677E-3</v>
      </c>
      <c r="I16" s="270">
        <v>0</v>
      </c>
      <c r="J16" s="256"/>
      <c r="K16" s="295">
        <f>(D16*I16/$C$2)*P16</f>
        <v>0</v>
      </c>
      <c r="L16" s="144">
        <f>H16+I16</f>
        <v>6.9894861820081677E-3</v>
      </c>
      <c r="M16" s="45">
        <f>B17-$B$6</f>
        <v>-398</v>
      </c>
      <c r="N16" s="296">
        <f>D16*M16*L16/$C$2</f>
        <v>-38636.326394989592</v>
      </c>
      <c r="O16" s="296">
        <f>N16-N14</f>
        <v>577.39720279559697</v>
      </c>
      <c r="P16" s="46">
        <f>B17-B16</f>
        <v>1</v>
      </c>
    </row>
    <row r="17" spans="1:17" ht="18" customHeight="1" x14ac:dyDescent="0.3">
      <c r="A17" s="266"/>
      <c r="B17" s="140" t="s">
        <v>127</v>
      </c>
      <c r="C17" s="55"/>
      <c r="D17" s="141">
        <v>5000000</v>
      </c>
      <c r="E17" s="149"/>
      <c r="F17" s="125"/>
      <c r="G17" s="125"/>
      <c r="H17" s="126"/>
      <c r="I17" s="148"/>
      <c r="J17" s="147"/>
      <c r="K17" s="297"/>
      <c r="L17" s="147"/>
      <c r="M17" s="55"/>
      <c r="N17" s="298"/>
      <c r="O17" s="298"/>
      <c r="P17" s="56"/>
    </row>
    <row r="18" spans="1:17" x14ac:dyDescent="0.25">
      <c r="F18" s="22"/>
      <c r="H18" s="26"/>
      <c r="N18" s="22"/>
    </row>
    <row r="19" spans="1:17" ht="15.75" customHeight="1" x14ac:dyDescent="0.25">
      <c r="B19" s="27" t="s">
        <v>128</v>
      </c>
      <c r="C19" s="27"/>
      <c r="D19" s="28"/>
      <c r="E19" s="106"/>
      <c r="F19" s="28"/>
      <c r="G19" s="22"/>
      <c r="H19" s="27"/>
    </row>
    <row r="20" spans="1:17" ht="15.75" customHeight="1" x14ac:dyDescent="0.25">
      <c r="B20" s="27" t="s">
        <v>129</v>
      </c>
      <c r="C20" s="27"/>
      <c r="D20" s="28"/>
      <c r="E20" s="106"/>
      <c r="F20" s="28"/>
      <c r="G20" s="127"/>
      <c r="H20" s="128"/>
      <c r="Q20" s="23"/>
    </row>
    <row r="21" spans="1:17" ht="15.75" customHeight="1" x14ac:dyDescent="0.25">
      <c r="B21" s="27" t="s">
        <v>130</v>
      </c>
      <c r="C21" s="27"/>
      <c r="D21" s="28"/>
      <c r="E21" s="106"/>
      <c r="F21" s="107"/>
      <c r="G21" s="127"/>
      <c r="H21" s="128"/>
      <c r="L21" s="22" t="s">
        <v>131</v>
      </c>
    </row>
    <row r="22" spans="1:17" x14ac:dyDescent="0.25">
      <c r="G22" s="129"/>
      <c r="H22" s="130"/>
    </row>
  </sheetData>
  <pageMargins left="0.7" right="0.7" top="0.75" bottom="0.75" header="0.3" footer="0.3"/>
  <pageSetup scale="43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9"/>
  <sheetViews>
    <sheetView zoomScale="78" zoomScaleNormal="78" workbookViewId="0">
      <selection activeCell="F26" sqref="F26"/>
    </sheetView>
  </sheetViews>
  <sheetFormatPr defaultColWidth="13.85546875" defaultRowHeight="19.5" x14ac:dyDescent="0.4"/>
  <cols>
    <col min="1" max="1" width="8.140625" style="3" customWidth="1"/>
    <col min="2" max="2" width="14" style="3" bestFit="1" customWidth="1"/>
    <col min="3" max="3" width="17.5703125" style="3" bestFit="1" customWidth="1"/>
    <col min="4" max="4" width="17.85546875" style="4" bestFit="1" customWidth="1"/>
    <col min="5" max="5" width="17.85546875" style="108" bestFit="1" customWidth="1"/>
    <col min="6" max="6" width="16" style="4" customWidth="1"/>
    <col min="7" max="7" width="16.42578125" style="4" bestFit="1" customWidth="1"/>
    <col min="8" max="8" width="24.85546875" style="3" customWidth="1"/>
    <col min="9" max="9" width="12.85546875" style="3" customWidth="1"/>
    <col min="10" max="10" width="12.85546875" style="258" customWidth="1"/>
    <col min="11" max="11" width="15.42578125" style="3" customWidth="1"/>
    <col min="12" max="12" width="24.42578125" style="3" customWidth="1"/>
    <col min="13" max="13" width="16" style="3" customWidth="1"/>
    <col min="14" max="14" width="13.85546875" style="5" bestFit="1" customWidth="1"/>
    <col min="15" max="15" width="16" style="3" bestFit="1" customWidth="1"/>
    <col min="16" max="16" width="13.85546875" style="3" bestFit="1" customWidth="1"/>
    <col min="17" max="127" width="13.85546875" style="3" customWidth="1"/>
    <col min="128" max="16384" width="13.85546875" style="3"/>
  </cols>
  <sheetData>
    <row r="1" spans="1:18" s="12" customFormat="1" ht="24.75" customHeight="1" x14ac:dyDescent="0.5">
      <c r="A1" s="15" t="s">
        <v>132</v>
      </c>
      <c r="C1" s="1"/>
      <c r="D1" s="2"/>
      <c r="E1" s="109"/>
      <c r="F1" s="2"/>
      <c r="G1" s="11"/>
      <c r="J1" s="257"/>
      <c r="N1" s="13"/>
      <c r="Q1" s="14"/>
      <c r="R1" s="14"/>
    </row>
    <row r="2" spans="1:18" ht="21.75" customHeight="1" x14ac:dyDescent="0.4">
      <c r="A2" s="15" t="s">
        <v>23</v>
      </c>
      <c r="B2" s="15"/>
      <c r="C2" s="15">
        <v>360</v>
      </c>
      <c r="D2" s="15"/>
      <c r="Q2" s="6"/>
      <c r="R2" s="6"/>
    </row>
    <row r="3" spans="1:18" x14ac:dyDescent="0.4">
      <c r="G3" s="110"/>
    </row>
    <row r="4" spans="1:18" x14ac:dyDescent="0.4">
      <c r="B4" s="33" t="s">
        <v>133</v>
      </c>
      <c r="F4" s="8"/>
      <c r="G4" s="8"/>
      <c r="H4" s="8"/>
      <c r="I4" s="8"/>
      <c r="J4" s="259"/>
      <c r="K4" s="8"/>
    </row>
    <row r="5" spans="1:18" ht="81" customHeight="1" x14ac:dyDescent="0.4">
      <c r="B5" s="39" t="s">
        <v>17</v>
      </c>
      <c r="C5" s="39" t="s">
        <v>29</v>
      </c>
      <c r="D5" s="39" t="s">
        <v>87</v>
      </c>
      <c r="E5" s="39" t="s">
        <v>63</v>
      </c>
      <c r="F5" s="49" t="s">
        <v>134</v>
      </c>
      <c r="G5" s="49" t="s">
        <v>65</v>
      </c>
      <c r="H5" s="49" t="s">
        <v>135</v>
      </c>
      <c r="I5" s="39" t="s">
        <v>31</v>
      </c>
      <c r="J5" s="255" t="s">
        <v>32</v>
      </c>
      <c r="K5" s="50" t="s">
        <v>67</v>
      </c>
      <c r="L5" s="50" t="s">
        <v>33</v>
      </c>
      <c r="M5" s="50" t="s">
        <v>68</v>
      </c>
      <c r="N5" s="51" t="s">
        <v>69</v>
      </c>
      <c r="O5" s="51" t="s">
        <v>136</v>
      </c>
      <c r="P5" s="51" t="s">
        <v>137</v>
      </c>
    </row>
    <row r="6" spans="1:18" x14ac:dyDescent="0.4">
      <c r="A6" s="26" t="s">
        <v>138</v>
      </c>
      <c r="B6" s="146"/>
      <c r="C6" s="150"/>
      <c r="D6" s="53" t="e">
        <f>SUM(C6)/M6</f>
        <v>#DIV/0!</v>
      </c>
      <c r="E6" s="149"/>
      <c r="F6" s="125">
        <f>1+(P6*E6/$C$2)</f>
        <v>1</v>
      </c>
      <c r="G6" s="125">
        <f>1*F6</f>
        <v>1</v>
      </c>
      <c r="H6" s="126" t="e">
        <f>(G6-1)*$C$2/M6</f>
        <v>#DIV/0!</v>
      </c>
      <c r="I6" s="148"/>
      <c r="J6" s="147"/>
      <c r="K6" s="297" t="e">
        <f>(D6*I6/$C$2)*P6</f>
        <v>#DIV/0!</v>
      </c>
      <c r="L6" s="147"/>
      <c r="M6" s="55">
        <f>B7-B6</f>
        <v>0</v>
      </c>
      <c r="N6" s="298" t="e">
        <f>D6*M6*L6/$C$2</f>
        <v>#DIV/0!</v>
      </c>
      <c r="O6" s="298" t="e">
        <f>N6</f>
        <v>#DIV/0!</v>
      </c>
      <c r="P6" s="56">
        <f>B7-B6</f>
        <v>0</v>
      </c>
    </row>
    <row r="7" spans="1:18" x14ac:dyDescent="0.4">
      <c r="A7" s="26" t="s">
        <v>139</v>
      </c>
      <c r="B7" s="146"/>
      <c r="C7" s="145"/>
      <c r="D7" s="53" t="e">
        <f>SUM(C6:C7)/M7</f>
        <v>#DIV/0!</v>
      </c>
      <c r="E7" s="149"/>
      <c r="F7" s="125">
        <f>1+(P7*E7/$C$2)</f>
        <v>1</v>
      </c>
      <c r="G7" s="125">
        <f>G6*F7</f>
        <v>1</v>
      </c>
      <c r="H7" s="126" t="e">
        <f>(G7-1)*$C$2/M7</f>
        <v>#DIV/0!</v>
      </c>
      <c r="I7" s="148"/>
      <c r="J7" s="147"/>
      <c r="K7" s="297" t="e">
        <f>(D7*I7/$C$2)*P7</f>
        <v>#DIV/0!</v>
      </c>
      <c r="L7" s="147"/>
      <c r="M7" s="55">
        <f>B8-$B$6</f>
        <v>0</v>
      </c>
      <c r="N7" s="298" t="e">
        <f>D7*M7*L7/$C$2</f>
        <v>#DIV/0!</v>
      </c>
      <c r="O7" s="298" t="e">
        <f>N7-N6</f>
        <v>#DIV/0!</v>
      </c>
      <c r="P7" s="56">
        <f>B8-B7</f>
        <v>0</v>
      </c>
    </row>
    <row r="8" spans="1:18" x14ac:dyDescent="0.4">
      <c r="A8" s="26" t="s">
        <v>140</v>
      </c>
      <c r="B8" s="146"/>
      <c r="C8" s="145"/>
      <c r="D8" s="53" t="e">
        <f>SUM(C6:C8)/M8</f>
        <v>#DIV/0!</v>
      </c>
      <c r="E8" s="149"/>
      <c r="F8" s="125">
        <f>1+(P8*E8/$C$2)</f>
        <v>1</v>
      </c>
      <c r="G8" s="125">
        <f>G7*F8</f>
        <v>1</v>
      </c>
      <c r="H8" s="126" t="e">
        <f>(G8-1)*$C$2/M8</f>
        <v>#DIV/0!</v>
      </c>
      <c r="I8" s="148"/>
      <c r="J8" s="147"/>
      <c r="K8" s="297" t="e">
        <f>(D8*I8/$C$2)*P8</f>
        <v>#DIV/0!</v>
      </c>
      <c r="L8" s="147"/>
      <c r="M8" s="55">
        <f>B9-$B$6</f>
        <v>0</v>
      </c>
      <c r="N8" s="298" t="e">
        <f>D8*M8*L8/$C$2</f>
        <v>#DIV/0!</v>
      </c>
      <c r="O8" s="298" t="e">
        <f>N8-N7</f>
        <v>#DIV/0!</v>
      </c>
      <c r="P8" s="56">
        <f>B9-B8</f>
        <v>0</v>
      </c>
    </row>
    <row r="9" spans="1:18" x14ac:dyDescent="0.4">
      <c r="A9" s="26" t="s">
        <v>141</v>
      </c>
      <c r="B9" s="146"/>
      <c r="C9" s="145"/>
      <c r="D9" s="53" t="e">
        <f>SUM(C6:C9)/M9</f>
        <v>#DIV/0!</v>
      </c>
      <c r="E9" s="149"/>
      <c r="F9" s="125">
        <f>1+(P9*E9/$C$2)</f>
        <v>1</v>
      </c>
      <c r="G9" s="125">
        <f>G8*F9</f>
        <v>1</v>
      </c>
      <c r="H9" s="126" t="e">
        <f>(G9-1)*$C$2/M9</f>
        <v>#DIV/0!</v>
      </c>
      <c r="I9" s="148"/>
      <c r="J9" s="147"/>
      <c r="K9" s="297" t="e">
        <f>(D9*I9/$C$2)*P9</f>
        <v>#DIV/0!</v>
      </c>
      <c r="L9" s="147"/>
      <c r="M9" s="55">
        <f>B10-$B$6</f>
        <v>0</v>
      </c>
      <c r="N9" s="298" t="e">
        <f>D9*M9*L9/$C$2</f>
        <v>#DIV/0!</v>
      </c>
      <c r="O9" s="298" t="e">
        <f>N9-N8</f>
        <v>#DIV/0!</v>
      </c>
      <c r="P9" s="56">
        <f>B10-B9</f>
        <v>0</v>
      </c>
    </row>
    <row r="10" spans="1:18" x14ac:dyDescent="0.4">
      <c r="A10" s="26" t="s">
        <v>142</v>
      </c>
      <c r="B10" s="146"/>
      <c r="C10" s="145"/>
      <c r="D10" s="53" t="e">
        <f>SUM(C6:C12)/M10</f>
        <v>#DIV/0!</v>
      </c>
      <c r="E10" s="149"/>
      <c r="F10" s="125">
        <f>1+(P10*E10/$C$2)</f>
        <v>1</v>
      </c>
      <c r="G10" s="125">
        <f>G9*F10</f>
        <v>1</v>
      </c>
      <c r="H10" s="126" t="e">
        <f>(G10-1)*$C$2/M10</f>
        <v>#DIV/0!</v>
      </c>
      <c r="I10" s="148"/>
      <c r="J10" s="147"/>
      <c r="K10" s="297" t="e">
        <f>(D10*I10/$C$2)*P10</f>
        <v>#DIV/0!</v>
      </c>
      <c r="L10" s="147"/>
      <c r="M10" s="55">
        <f>B13-$B$6</f>
        <v>0</v>
      </c>
      <c r="N10" s="298" t="e">
        <f>D10*M10*L10/$C$2</f>
        <v>#DIV/0!</v>
      </c>
      <c r="O10" s="298" t="e">
        <f>N10-N9</f>
        <v>#DIV/0!</v>
      </c>
      <c r="P10" s="56">
        <f>B13-B10</f>
        <v>0</v>
      </c>
    </row>
    <row r="11" spans="1:18" x14ac:dyDescent="0.4">
      <c r="A11" s="26" t="s">
        <v>143</v>
      </c>
      <c r="B11" s="146"/>
      <c r="C11" s="145"/>
      <c r="D11" s="53"/>
      <c r="E11" s="105"/>
      <c r="F11" s="131"/>
      <c r="G11" s="131"/>
      <c r="H11" s="131"/>
      <c r="I11" s="55"/>
      <c r="J11" s="260"/>
      <c r="K11" s="297"/>
      <c r="L11" s="55"/>
      <c r="M11" s="55"/>
      <c r="N11" s="298"/>
      <c r="O11" s="298"/>
      <c r="P11" s="57"/>
    </row>
    <row r="12" spans="1:18" x14ac:dyDescent="0.4">
      <c r="A12" s="26" t="s">
        <v>144</v>
      </c>
      <c r="B12" s="146"/>
      <c r="C12" s="145"/>
      <c r="D12" s="53"/>
      <c r="E12" s="105"/>
      <c r="F12" s="131"/>
      <c r="G12" s="131"/>
      <c r="H12" s="131"/>
      <c r="I12" s="55"/>
      <c r="J12" s="260"/>
      <c r="K12" s="297"/>
      <c r="L12" s="55"/>
      <c r="M12" s="55"/>
      <c r="N12" s="298"/>
      <c r="O12" s="298"/>
      <c r="P12" s="57"/>
    </row>
    <row r="13" spans="1:18" x14ac:dyDescent="0.4">
      <c r="A13" s="26" t="s">
        <v>138</v>
      </c>
      <c r="B13" s="146"/>
      <c r="C13" s="145"/>
      <c r="D13" s="53">
        <f>SUM(C6:C13)/M13</f>
        <v>0</v>
      </c>
      <c r="E13" s="105">
        <v>9.7999999999999997E-3</v>
      </c>
      <c r="F13" s="125">
        <f>1+(P13*E13/$C$2)</f>
        <v>2.128932777777778</v>
      </c>
      <c r="G13" s="125">
        <f>G10*F13</f>
        <v>2.128932777777778</v>
      </c>
      <c r="H13" s="126">
        <f>(G13-1)*$C$2/M13</f>
        <v>9.8000000000000032E-3</v>
      </c>
      <c r="I13" s="54">
        <v>0</v>
      </c>
      <c r="J13" s="126"/>
      <c r="K13" s="297">
        <f>(D13*I13/$C$2)*P13</f>
        <v>0</v>
      </c>
      <c r="L13" s="126">
        <f>H13+I13</f>
        <v>9.8000000000000032E-3</v>
      </c>
      <c r="M13" s="55">
        <f>B14-$B$6</f>
        <v>41471</v>
      </c>
      <c r="N13" s="298">
        <f>D13*M13*L13/$C$2</f>
        <v>0</v>
      </c>
      <c r="O13" s="298" t="e">
        <f>N13-N10</f>
        <v>#DIV/0!</v>
      </c>
      <c r="P13" s="56">
        <f>B14-B13</f>
        <v>41471</v>
      </c>
    </row>
    <row r="14" spans="1:18" x14ac:dyDescent="0.4">
      <c r="A14" s="26" t="s">
        <v>139</v>
      </c>
      <c r="B14" s="52" t="s">
        <v>124</v>
      </c>
      <c r="C14" s="53">
        <v>535000</v>
      </c>
      <c r="D14" s="53">
        <f>SUM(C6:C14)/M14</f>
        <v>12.900270061728396</v>
      </c>
      <c r="E14" s="105">
        <v>5.6699999999999997E-3</v>
      </c>
      <c r="F14" s="125">
        <f>1+(P14*E14/$C$2)</f>
        <v>1.00001575</v>
      </c>
      <c r="G14" s="125">
        <f>G13*F14</f>
        <v>2.1289663084690278</v>
      </c>
      <c r="H14" s="126">
        <f>(G14-1)*$C$2/M14</f>
        <v>9.8000547610158674E-3</v>
      </c>
      <c r="I14" s="54">
        <v>0</v>
      </c>
      <c r="J14" s="126"/>
      <c r="K14" s="297">
        <f>(D14*I14/$C$2)*P14</f>
        <v>0</v>
      </c>
      <c r="L14" s="126">
        <f>H14+I14</f>
        <v>9.8000547610158674E-3</v>
      </c>
      <c r="M14" s="55">
        <f>B15-$B$6</f>
        <v>41472</v>
      </c>
      <c r="N14" s="298">
        <f>D14*M14*L14/$C$2</f>
        <v>14.563970269843026</v>
      </c>
      <c r="O14" s="298">
        <f>N14-N13</f>
        <v>14.563970269843026</v>
      </c>
      <c r="P14" s="56">
        <f>B15-B14</f>
        <v>1</v>
      </c>
    </row>
    <row r="15" spans="1:18" x14ac:dyDescent="0.4">
      <c r="A15" s="26" t="s">
        <v>140</v>
      </c>
      <c r="B15" s="52" t="s">
        <v>125</v>
      </c>
      <c r="C15" s="53">
        <v>535000</v>
      </c>
      <c r="D15" s="53">
        <f>SUM(C6:C15)/M15</f>
        <v>25.799918018952088</v>
      </c>
      <c r="E15" s="105">
        <v>6.6699999999999997E-3</v>
      </c>
      <c r="F15" s="125">
        <f>1+(P15*E15/$C$2)</f>
        <v>1.0000185277777778</v>
      </c>
      <c r="G15" s="125">
        <f>G14*F15</f>
        <v>2.1290057534836873</v>
      </c>
      <c r="H15" s="126">
        <f>(G15-1)*$C$2/M15</f>
        <v>9.8001608577659542E-3</v>
      </c>
      <c r="I15" s="54">
        <v>0</v>
      </c>
      <c r="J15" s="126"/>
      <c r="K15" s="297">
        <f>(D15*I15/$C$2)*P15</f>
        <v>0</v>
      </c>
      <c r="L15" s="126">
        <f>H15+I15</f>
        <v>9.8001608577659542E-3</v>
      </c>
      <c r="M15" s="55">
        <f>B16-$B$6</f>
        <v>41473</v>
      </c>
      <c r="N15" s="298">
        <f>D15*M15*L15/$C$2</f>
        <v>29.128255882804361</v>
      </c>
      <c r="O15" s="298">
        <f>N15-N14</f>
        <v>14.564285612961335</v>
      </c>
      <c r="P15" s="56">
        <f>B16-B15</f>
        <v>1</v>
      </c>
    </row>
    <row r="16" spans="1:18" x14ac:dyDescent="0.4">
      <c r="A16" s="26" t="s">
        <v>141</v>
      </c>
      <c r="B16" s="52" t="s">
        <v>126</v>
      </c>
      <c r="C16" s="53">
        <v>535000</v>
      </c>
      <c r="D16" s="53">
        <f>SUM(C6:C16)/M16</f>
        <v>38.75126756482689</v>
      </c>
      <c r="E16" s="105">
        <v>7.77E-3</v>
      </c>
      <c r="F16" s="125">
        <f>1+(P16*E16/$C$2)</f>
        <v>0.99881291666666672</v>
      </c>
      <c r="G16" s="125">
        <f>G15*F16</f>
        <v>2.1264784462371562</v>
      </c>
      <c r="H16" s="126">
        <f>(G16-1)*$C$2/M16</f>
        <v>9.7912077030608974E-3</v>
      </c>
      <c r="I16" s="54">
        <v>0</v>
      </c>
      <c r="J16" s="126"/>
      <c r="K16" s="297">
        <f>(D16*I16/$C$2)*P16</f>
        <v>0</v>
      </c>
      <c r="L16" s="126">
        <f>H16+I16</f>
        <v>9.7912077030608974E-3</v>
      </c>
      <c r="M16" s="55">
        <f>B17-$B$6</f>
        <v>41418</v>
      </c>
      <c r="N16" s="298">
        <f>D16*M16*L16/$C$2</f>
        <v>43.6524676761465</v>
      </c>
      <c r="O16" s="298">
        <f>N16-N14</f>
        <v>29.088497406303475</v>
      </c>
      <c r="P16" s="56">
        <f>B17-B16</f>
        <v>-55</v>
      </c>
    </row>
    <row r="17" spans="1:17" x14ac:dyDescent="0.4">
      <c r="A17" s="26" t="s">
        <v>142</v>
      </c>
      <c r="B17" s="52">
        <v>41418</v>
      </c>
      <c r="C17" s="53">
        <v>535000</v>
      </c>
      <c r="D17" s="53">
        <f>SUM(C6:C19)/M17</f>
        <v>77.496921851234887</v>
      </c>
      <c r="E17" s="105">
        <v>6.9800000000000001E-3</v>
      </c>
      <c r="F17" s="125">
        <f>1+(P17*E17/$C$2)</f>
        <v>1.0000581666666666</v>
      </c>
      <c r="G17" s="125">
        <f>G16*F17</f>
        <v>2.1266021364001122</v>
      </c>
      <c r="H17" s="126">
        <f>(G17-1)*$C$2/M17</f>
        <v>9.7915735763028523E-3</v>
      </c>
      <c r="I17" s="54">
        <v>0</v>
      </c>
      <c r="J17" s="126"/>
      <c r="K17" s="297">
        <f>(D17*I17/$C$2)*P17</f>
        <v>0</v>
      </c>
      <c r="L17" s="126">
        <f>H17+I17</f>
        <v>9.7915735763028523E-3</v>
      </c>
      <c r="M17" s="55">
        <f>B20-$B$6</f>
        <v>41421</v>
      </c>
      <c r="N17" s="298">
        <f>D17*M17*L17/$C$2</f>
        <v>87.308197722033782</v>
      </c>
      <c r="O17" s="298">
        <f>N17-N15</f>
        <v>58.179941839229421</v>
      </c>
      <c r="P17" s="56">
        <f>B20-B17</f>
        <v>3</v>
      </c>
    </row>
    <row r="18" spans="1:17" x14ac:dyDescent="0.4">
      <c r="A18" s="26" t="s">
        <v>143</v>
      </c>
      <c r="B18" s="52">
        <v>41419</v>
      </c>
      <c r="C18" s="53">
        <v>535000</v>
      </c>
      <c r="D18" s="53"/>
      <c r="E18" s="105"/>
      <c r="F18" s="125"/>
      <c r="G18" s="125"/>
      <c r="H18" s="126"/>
      <c r="I18" s="54"/>
      <c r="J18" s="126"/>
      <c r="K18" s="297"/>
      <c r="L18" s="126"/>
      <c r="M18" s="55"/>
      <c r="N18" s="298"/>
      <c r="O18" s="298"/>
      <c r="P18" s="56"/>
    </row>
    <row r="19" spans="1:17" x14ac:dyDescent="0.4">
      <c r="A19" s="26" t="s">
        <v>144</v>
      </c>
      <c r="B19" s="52">
        <v>41420</v>
      </c>
      <c r="C19" s="53">
        <v>535000</v>
      </c>
      <c r="D19" s="53"/>
      <c r="E19" s="105"/>
      <c r="F19" s="125"/>
      <c r="G19" s="125"/>
      <c r="H19" s="126"/>
      <c r="I19" s="54"/>
      <c r="J19" s="126"/>
      <c r="K19" s="297"/>
      <c r="L19" s="126"/>
      <c r="M19" s="55"/>
      <c r="N19" s="298"/>
      <c r="O19" s="298"/>
      <c r="P19" s="56"/>
    </row>
    <row r="20" spans="1:17" x14ac:dyDescent="0.4">
      <c r="A20" s="26" t="s">
        <v>138</v>
      </c>
      <c r="B20" s="52">
        <v>41421</v>
      </c>
      <c r="C20" s="53">
        <v>535000</v>
      </c>
      <c r="D20" s="53"/>
      <c r="E20" s="105"/>
      <c r="F20" s="125"/>
      <c r="G20" s="125"/>
      <c r="H20" s="126"/>
      <c r="I20" s="54"/>
      <c r="J20" s="126"/>
      <c r="K20" s="297"/>
      <c r="L20" s="126"/>
      <c r="M20" s="55"/>
      <c r="N20" s="298"/>
      <c r="O20" s="298"/>
      <c r="P20" s="56"/>
    </row>
    <row r="21" spans="1:17" x14ac:dyDescent="0.4">
      <c r="F21" s="3"/>
      <c r="G21" s="3"/>
      <c r="N21" s="3"/>
    </row>
    <row r="22" spans="1:17" ht="19.899999999999999" customHeight="1" x14ac:dyDescent="0.4">
      <c r="B22" s="27" t="s">
        <v>145</v>
      </c>
      <c r="C22" s="9"/>
      <c r="D22" s="10"/>
      <c r="E22" s="111"/>
      <c r="F22" s="10"/>
      <c r="G22" s="10"/>
      <c r="H22" s="9"/>
    </row>
    <row r="23" spans="1:17" ht="19.899999999999999" customHeight="1" x14ac:dyDescent="0.4">
      <c r="B23" s="27" t="s">
        <v>129</v>
      </c>
      <c r="C23" s="9"/>
      <c r="D23" s="10"/>
      <c r="E23" s="111"/>
      <c r="F23" s="10"/>
      <c r="G23" s="132"/>
      <c r="H23" s="133"/>
      <c r="Q23" s="7"/>
    </row>
    <row r="24" spans="1:17" ht="19.899999999999999" customHeight="1" x14ac:dyDescent="0.4">
      <c r="B24" s="27" t="s">
        <v>146</v>
      </c>
      <c r="C24" s="9"/>
      <c r="D24" s="10"/>
      <c r="E24" s="111"/>
      <c r="F24" s="112"/>
      <c r="G24" s="132"/>
      <c r="H24" s="133"/>
    </row>
    <row r="29" spans="1:17" x14ac:dyDescent="0.4">
      <c r="B29" s="33" t="s">
        <v>147</v>
      </c>
      <c r="F29" s="8"/>
      <c r="G29" s="8"/>
      <c r="H29" s="8"/>
      <c r="I29" s="8"/>
      <c r="J29" s="259"/>
      <c r="K29" s="8"/>
    </row>
    <row r="30" spans="1:17" ht="81" customHeight="1" x14ac:dyDescent="0.4">
      <c r="B30" s="39" t="s">
        <v>17</v>
      </c>
      <c r="C30" s="39" t="s">
        <v>29</v>
      </c>
      <c r="D30" s="39" t="s">
        <v>87</v>
      </c>
      <c r="E30" s="39" t="s">
        <v>63</v>
      </c>
      <c r="F30" s="49" t="s">
        <v>134</v>
      </c>
      <c r="G30" s="49" t="s">
        <v>65</v>
      </c>
      <c r="H30" s="49" t="s">
        <v>135</v>
      </c>
      <c r="I30" s="39" t="s">
        <v>31</v>
      </c>
      <c r="J30" s="255" t="s">
        <v>148</v>
      </c>
      <c r="K30" s="50" t="s">
        <v>67</v>
      </c>
      <c r="L30" s="50" t="s">
        <v>33</v>
      </c>
      <c r="M30" s="50" t="s">
        <v>68</v>
      </c>
      <c r="N30" s="51" t="s">
        <v>69</v>
      </c>
      <c r="O30" s="58" t="s">
        <v>136</v>
      </c>
      <c r="P30" s="58" t="s">
        <v>137</v>
      </c>
    </row>
    <row r="31" spans="1:17" x14ac:dyDescent="0.4">
      <c r="A31" s="26" t="s">
        <v>138</v>
      </c>
      <c r="B31" s="52">
        <v>41414</v>
      </c>
      <c r="C31" s="53">
        <v>3000000</v>
      </c>
      <c r="D31" s="53">
        <f>SUM(C31)/M31</f>
        <v>3000000</v>
      </c>
      <c r="E31" s="105">
        <v>9.7999999999999997E-3</v>
      </c>
      <c r="F31" s="125">
        <f>1+(P31*E31/$C$2)</f>
        <v>1.0000272222222222</v>
      </c>
      <c r="G31" s="125">
        <f>1*F31</f>
        <v>1.0000272222222222</v>
      </c>
      <c r="H31" s="126">
        <f>(G31-1)*$C$2/M31</f>
        <v>9.7999999999842657E-3</v>
      </c>
      <c r="I31" s="54">
        <v>0.01</v>
      </c>
      <c r="J31" s="126">
        <v>0</v>
      </c>
      <c r="K31" s="297">
        <f>(D31*I31/$C$2)*P31</f>
        <v>83.333333333333329</v>
      </c>
      <c r="L31" s="126">
        <f>H31+I31</f>
        <v>1.9799999999984268E-2</v>
      </c>
      <c r="M31" s="55">
        <f>B32-$B$31</f>
        <v>1</v>
      </c>
      <c r="N31" s="298">
        <f>D31*M31*L31/$C$2</f>
        <v>164.99999999986889</v>
      </c>
      <c r="O31" s="298">
        <f>N31</f>
        <v>164.99999999986889</v>
      </c>
      <c r="P31" s="56">
        <f>B32-B31</f>
        <v>1</v>
      </c>
    </row>
    <row r="32" spans="1:17" x14ac:dyDescent="0.4">
      <c r="A32" s="26" t="s">
        <v>139</v>
      </c>
      <c r="B32" s="52">
        <v>41415</v>
      </c>
      <c r="C32" s="53">
        <v>3100000</v>
      </c>
      <c r="D32" s="53">
        <f>SUM(C31:C32)/M32</f>
        <v>3050000</v>
      </c>
      <c r="E32" s="105">
        <v>5.6699999999999997E-3</v>
      </c>
      <c r="F32" s="125">
        <f>1+(P32*E32/$C$2)</f>
        <v>1.00001575</v>
      </c>
      <c r="G32" s="125">
        <f>G31*F32</f>
        <v>1.0000429726509721</v>
      </c>
      <c r="H32" s="126">
        <f>(G32-1)*$C$2/M32</f>
        <v>7.7350771749751246E-3</v>
      </c>
      <c r="I32" s="54">
        <v>0.01</v>
      </c>
      <c r="J32" s="126">
        <v>0</v>
      </c>
      <c r="K32" s="297">
        <f>(D32*I32/$C$2)*P32</f>
        <v>84.722222222222229</v>
      </c>
      <c r="L32" s="126">
        <f>H32+I32</f>
        <v>1.7735077174975127E-2</v>
      </c>
      <c r="M32" s="55">
        <f>B33-$B$31</f>
        <v>2</v>
      </c>
      <c r="N32" s="298">
        <f>D32*M32*L32/$C$2</f>
        <v>300.51102990930076</v>
      </c>
      <c r="O32" s="298">
        <f>N32-N31</f>
        <v>135.51102990943187</v>
      </c>
      <c r="P32" s="56">
        <f>B33-B32</f>
        <v>1</v>
      </c>
    </row>
    <row r="33" spans="1:17" x14ac:dyDescent="0.4">
      <c r="A33" s="26" t="s">
        <v>140</v>
      </c>
      <c r="B33" s="52">
        <v>41416</v>
      </c>
      <c r="C33" s="53">
        <v>3100000</v>
      </c>
      <c r="D33" s="53">
        <f>SUM(C31:C33)/M33</f>
        <v>3066666.6666666665</v>
      </c>
      <c r="E33" s="105">
        <v>6.6699999999999997E-3</v>
      </c>
      <c r="F33" s="125">
        <f>1+(P33*E33/$C$2)</f>
        <v>1.0000185277777778</v>
      </c>
      <c r="G33" s="125">
        <f>G32*F33</f>
        <v>1.0000615012249376</v>
      </c>
      <c r="H33" s="126">
        <f>(G33-1)*$C$2/M33</f>
        <v>7.3801469925172114E-3</v>
      </c>
      <c r="I33" s="54">
        <v>0.01</v>
      </c>
      <c r="J33" s="126">
        <v>0</v>
      </c>
      <c r="K33" s="297">
        <f>(D33*I33/$C$2)*P33</f>
        <v>85.185185185185176</v>
      </c>
      <c r="L33" s="126">
        <f>H33+I33</f>
        <v>1.7380146992517213E-2</v>
      </c>
      <c r="M33" s="55">
        <f>B34-$B$31</f>
        <v>3</v>
      </c>
      <c r="N33" s="298">
        <f>D33*M33*L33/$C$2</f>
        <v>444.15931203099541</v>
      </c>
      <c r="O33" s="298">
        <f>N33-N32</f>
        <v>143.64828212169465</v>
      </c>
      <c r="P33" s="56">
        <f>B34-B33</f>
        <v>1</v>
      </c>
    </row>
    <row r="34" spans="1:17" x14ac:dyDescent="0.4">
      <c r="A34" s="26" t="s">
        <v>141</v>
      </c>
      <c r="B34" s="52">
        <v>41417</v>
      </c>
      <c r="C34" s="53">
        <v>3100000</v>
      </c>
      <c r="D34" s="53">
        <f>SUM(C31:C34)/M34</f>
        <v>3075000</v>
      </c>
      <c r="E34" s="105">
        <v>7.77E-3</v>
      </c>
      <c r="F34" s="125">
        <f>1+(P34*E34/$C$2)</f>
        <v>1.0000215833333332</v>
      </c>
      <c r="G34" s="125">
        <f>G33*F34</f>
        <v>1.0000830858856724</v>
      </c>
      <c r="H34" s="126">
        <f>(G34-1)*$C$2/M34</f>
        <v>7.477729710516634E-3</v>
      </c>
      <c r="I34" s="54">
        <v>0.01</v>
      </c>
      <c r="J34" s="126">
        <v>0</v>
      </c>
      <c r="K34" s="297">
        <f>(D34*I34/$C$2)*P34</f>
        <v>85.416666666666671</v>
      </c>
      <c r="L34" s="126">
        <f>H34+I34</f>
        <v>1.7477729710516636E-2</v>
      </c>
      <c r="M34" s="55">
        <f>B35-$B$31</f>
        <v>4</v>
      </c>
      <c r="N34" s="298">
        <f>D34*M34*L34/$C$2</f>
        <v>597.15576510931839</v>
      </c>
      <c r="O34" s="298">
        <f>N34-N33</f>
        <v>152.99645307832299</v>
      </c>
      <c r="P34" s="56">
        <f>B35-B34</f>
        <v>1</v>
      </c>
    </row>
    <row r="35" spans="1:17" x14ac:dyDescent="0.4">
      <c r="A35" s="26" t="s">
        <v>142</v>
      </c>
      <c r="B35" s="52">
        <v>41418</v>
      </c>
      <c r="C35" s="53">
        <v>3000000</v>
      </c>
      <c r="D35" s="53">
        <f>SUM(C31:C37)/M35</f>
        <v>3042857.1428571427</v>
      </c>
      <c r="E35" s="105">
        <v>6.9800000000000001E-3</v>
      </c>
      <c r="F35" s="125">
        <f>1+(P35*E35/$C$2)</f>
        <v>1.0000581666666666</v>
      </c>
      <c r="G35" s="125">
        <f>G34*F35</f>
        <v>1.000141257385168</v>
      </c>
      <c r="H35" s="126">
        <f>(G35-1)*$C$2/M35</f>
        <v>7.2646655229264513E-3</v>
      </c>
      <c r="I35" s="54">
        <v>0.01</v>
      </c>
      <c r="J35" s="126">
        <v>0</v>
      </c>
      <c r="K35" s="297">
        <f>(D35*I35/$C$2)*P35</f>
        <v>253.57142857142856</v>
      </c>
      <c r="L35" s="126">
        <f>H35+I35</f>
        <v>1.7264665522926451E-2</v>
      </c>
      <c r="M35" s="55">
        <f>B38-$B31</f>
        <v>7</v>
      </c>
      <c r="N35" s="298">
        <f>D35*M35*L35/$C$2</f>
        <v>1021.4927101064816</v>
      </c>
      <c r="O35" s="298">
        <f>N35-N34</f>
        <v>424.33694499716319</v>
      </c>
      <c r="P35" s="56">
        <f>B38-B35</f>
        <v>3</v>
      </c>
    </row>
    <row r="36" spans="1:17" x14ac:dyDescent="0.4">
      <c r="A36" s="26" t="s">
        <v>143</v>
      </c>
      <c r="B36" s="52">
        <v>41419</v>
      </c>
      <c r="C36" s="53">
        <v>3000000</v>
      </c>
      <c r="D36" s="53"/>
      <c r="E36" s="105"/>
      <c r="F36" s="131"/>
      <c r="G36" s="131"/>
      <c r="H36" s="131"/>
      <c r="I36" s="55"/>
      <c r="J36" s="260"/>
      <c r="K36" s="297"/>
      <c r="L36" s="55"/>
      <c r="M36" s="55"/>
      <c r="N36" s="298"/>
      <c r="O36" s="298"/>
      <c r="P36" s="57"/>
    </row>
    <row r="37" spans="1:17" x14ac:dyDescent="0.4">
      <c r="A37" s="26" t="s">
        <v>144</v>
      </c>
      <c r="B37" s="52">
        <v>41420</v>
      </c>
      <c r="C37" s="53">
        <v>3000000</v>
      </c>
      <c r="D37" s="53"/>
      <c r="E37" s="105"/>
      <c r="F37" s="131"/>
      <c r="G37" s="131"/>
      <c r="H37" s="131"/>
      <c r="I37" s="55"/>
      <c r="J37" s="260"/>
      <c r="K37" s="297"/>
      <c r="L37" s="55"/>
      <c r="M37" s="55"/>
      <c r="N37" s="298"/>
      <c r="O37" s="298"/>
      <c r="P37" s="57"/>
    </row>
    <row r="38" spans="1:17" x14ac:dyDescent="0.4">
      <c r="A38" s="26" t="s">
        <v>138</v>
      </c>
      <c r="B38" s="52">
        <v>41421</v>
      </c>
      <c r="C38" s="53">
        <v>3000000</v>
      </c>
      <c r="D38" s="53">
        <f>SUM(C31:C38)/M38</f>
        <v>3037500</v>
      </c>
      <c r="E38" s="105">
        <v>6.5700000000000003E-3</v>
      </c>
      <c r="F38" s="125">
        <f>1+(P38*E38/$C$2)</f>
        <v>1.0000182500000001</v>
      </c>
      <c r="G38" s="125">
        <f>G35*F38</f>
        <v>1.0001595099631153</v>
      </c>
      <c r="H38" s="126">
        <f>(G38-1)*$C$2/M38</f>
        <v>7.1779483401890332E-3</v>
      </c>
      <c r="I38" s="54">
        <v>0.01</v>
      </c>
      <c r="J38" s="126">
        <v>0</v>
      </c>
      <c r="K38" s="297">
        <f>(D38*I38/$C$2)*P38</f>
        <v>84.375</v>
      </c>
      <c r="L38" s="126">
        <f>H38+I38</f>
        <v>1.7177948340189035E-2</v>
      </c>
      <c r="M38" s="55">
        <f>B39-$B$31</f>
        <v>8</v>
      </c>
      <c r="N38" s="298">
        <f>D38*M38*L38/$C$2</f>
        <v>1159.51151296276</v>
      </c>
      <c r="O38" s="298">
        <f>N38-N35</f>
        <v>138.0188028562784</v>
      </c>
      <c r="P38" s="56">
        <f>B39-B38</f>
        <v>1</v>
      </c>
    </row>
    <row r="39" spans="1:17" x14ac:dyDescent="0.4">
      <c r="A39" s="26" t="s">
        <v>139</v>
      </c>
      <c r="B39" s="52">
        <v>41422</v>
      </c>
      <c r="C39" s="53">
        <v>3000000</v>
      </c>
      <c r="D39" s="53">
        <f>SUM(C31:C39)/M39</f>
        <v>3033333.3333333335</v>
      </c>
      <c r="E39" s="105">
        <v>7.6299999999999996E-3</v>
      </c>
      <c r="F39" s="125">
        <f>1+(P39*E39/$C$2)</f>
        <v>1.0000211944444444</v>
      </c>
      <c r="G39" s="125">
        <f>G38*F39</f>
        <v>1.0001807077882847</v>
      </c>
      <c r="H39" s="126">
        <f>(G39-1)*$C$2/M39</f>
        <v>7.2283115313886981E-3</v>
      </c>
      <c r="I39" s="54">
        <v>0.01</v>
      </c>
      <c r="J39" s="126">
        <v>0</v>
      </c>
      <c r="K39" s="297">
        <f>(D39*I39/$C$2)*P39</f>
        <v>84.259259259259267</v>
      </c>
      <c r="L39" s="126">
        <f>H39+I39</f>
        <v>1.72283115313887E-2</v>
      </c>
      <c r="M39" s="55">
        <f>B40-$B$31</f>
        <v>9</v>
      </c>
      <c r="N39" s="298">
        <f>D39*M39*L39/$C$2</f>
        <v>1306.4802911303098</v>
      </c>
      <c r="O39" s="298">
        <f>N39-N38</f>
        <v>146.96877816754977</v>
      </c>
      <c r="P39" s="56">
        <f>B40-B39</f>
        <v>1</v>
      </c>
    </row>
    <row r="40" spans="1:17" x14ac:dyDescent="0.4">
      <c r="A40" s="26" t="s">
        <v>140</v>
      </c>
      <c r="B40" s="52">
        <v>41423</v>
      </c>
      <c r="C40" s="53">
        <v>3000000</v>
      </c>
      <c r="D40" s="53">
        <f>SUM(C31:C40)/M40</f>
        <v>3030000</v>
      </c>
      <c r="E40" s="105">
        <v>8.6499999999999997E-3</v>
      </c>
      <c r="F40" s="125">
        <f>1+(P40*E40/$C$2)</f>
        <v>1.0000240277777779</v>
      </c>
      <c r="G40" s="125">
        <f>G39*F40</f>
        <v>1.0002047399080691</v>
      </c>
      <c r="H40" s="126">
        <f>(G40-1)*$C$2/M40</f>
        <v>7.3706366904886522E-3</v>
      </c>
      <c r="I40" s="54">
        <v>0.01</v>
      </c>
      <c r="J40" s="126">
        <v>0</v>
      </c>
      <c r="K40" s="297">
        <f>(D40*I40/$C$2)*P40</f>
        <v>84.166666666666671</v>
      </c>
      <c r="L40" s="126">
        <f>H40+I40</f>
        <v>1.7370636690488654E-2</v>
      </c>
      <c r="M40" s="55">
        <f>B41-$B$31</f>
        <v>10</v>
      </c>
      <c r="N40" s="298">
        <f>D40*M40*L40/$C$2</f>
        <v>1462.0285881161283</v>
      </c>
      <c r="O40" s="298">
        <f>N40-N39</f>
        <v>155.54829698581852</v>
      </c>
      <c r="P40" s="56">
        <f>B41-B40</f>
        <v>1</v>
      </c>
    </row>
    <row r="41" spans="1:17" x14ac:dyDescent="0.4">
      <c r="A41" s="26" t="s">
        <v>141</v>
      </c>
      <c r="B41" s="52">
        <v>41424</v>
      </c>
      <c r="C41" s="53">
        <v>3000000</v>
      </c>
      <c r="D41" s="53">
        <f>SUM(C31:C41)/M41</f>
        <v>3027272.7272727271</v>
      </c>
      <c r="E41" s="105">
        <v>9.3200000000000002E-3</v>
      </c>
      <c r="F41" s="125">
        <f>1+(P41*E41/$C$2)</f>
        <v>1.0000258888888889</v>
      </c>
      <c r="G41" s="125">
        <f>G40*F41</f>
        <v>1.0002306340974467</v>
      </c>
      <c r="H41" s="126">
        <f>(G41-1)*$C$2/M41</f>
        <v>7.5480250073473535E-3</v>
      </c>
      <c r="I41" s="54">
        <v>0.01</v>
      </c>
      <c r="J41" s="126">
        <v>0</v>
      </c>
      <c r="K41" s="297">
        <f>(D41*I41/$C$2)*P41</f>
        <v>84.090909090909093</v>
      </c>
      <c r="L41" s="126">
        <f>H41+I41</f>
        <v>1.7548025007347354E-2</v>
      </c>
      <c r="M41" s="55">
        <f>B42-$B$31</f>
        <v>11</v>
      </c>
      <c r="N41" s="298">
        <f>D41*M41*L41/$C$2</f>
        <v>1623.1923131796302</v>
      </c>
      <c r="O41" s="298">
        <f>N41-N39</f>
        <v>316.71202204932047</v>
      </c>
      <c r="P41" s="56">
        <f>B42-B41</f>
        <v>1</v>
      </c>
    </row>
    <row r="42" spans="1:17" x14ac:dyDescent="0.4">
      <c r="A42" s="26" t="s">
        <v>142</v>
      </c>
      <c r="B42" s="52">
        <v>41425</v>
      </c>
      <c r="C42" s="53">
        <v>3000000</v>
      </c>
      <c r="D42" s="53">
        <f>SUM(C31:C44)/M42</f>
        <v>3021428.5714285714</v>
      </c>
      <c r="E42" s="105">
        <v>9.3200000000000002E-3</v>
      </c>
      <c r="F42" s="125">
        <f>1+(P42*E42/$C$2)</f>
        <v>1.0000776666666666</v>
      </c>
      <c r="G42" s="125">
        <f>G41*F42</f>
        <v>1.000308318676695</v>
      </c>
      <c r="H42" s="126">
        <f>(G42-1)*$C$2/M42</f>
        <v>7.9281945435859067E-3</v>
      </c>
      <c r="I42" s="54">
        <v>0.01</v>
      </c>
      <c r="J42" s="126">
        <v>0</v>
      </c>
      <c r="K42" s="297">
        <f>(D42*I42/$C$2)*P42</f>
        <v>251.78571428571428</v>
      </c>
      <c r="L42" s="126">
        <f>H42+I42</f>
        <v>1.7928194543585907E-2</v>
      </c>
      <c r="M42" s="55">
        <f>B45-$B$31</f>
        <v>14</v>
      </c>
      <c r="N42" s="298">
        <f>D42*M42*L42/$C$2</f>
        <v>2106.5628588713439</v>
      </c>
      <c r="O42" s="298">
        <f>N42-N40</f>
        <v>644.53427075521563</v>
      </c>
      <c r="P42" s="56">
        <f>B45-B42</f>
        <v>3</v>
      </c>
    </row>
    <row r="43" spans="1:17" x14ac:dyDescent="0.4">
      <c r="A43" s="26" t="s">
        <v>143</v>
      </c>
      <c r="B43" s="52">
        <v>41426</v>
      </c>
      <c r="C43" s="53">
        <v>3000000</v>
      </c>
      <c r="D43" s="53"/>
      <c r="E43" s="105"/>
      <c r="F43" s="125"/>
      <c r="G43" s="125"/>
      <c r="H43" s="126"/>
      <c r="I43" s="54"/>
      <c r="J43" s="126"/>
      <c r="K43" s="297"/>
      <c r="L43" s="126"/>
      <c r="M43" s="55"/>
      <c r="N43" s="298"/>
      <c r="O43" s="298"/>
      <c r="P43" s="56"/>
    </row>
    <row r="44" spans="1:17" x14ac:dyDescent="0.4">
      <c r="A44" s="26" t="s">
        <v>144</v>
      </c>
      <c r="B44" s="52">
        <v>41427</v>
      </c>
      <c r="C44" s="53">
        <v>3000000</v>
      </c>
      <c r="D44" s="53"/>
      <c r="E44" s="105"/>
      <c r="F44" s="125"/>
      <c r="G44" s="125"/>
      <c r="H44" s="126"/>
      <c r="I44" s="54"/>
      <c r="J44" s="126"/>
      <c r="K44" s="297"/>
      <c r="L44" s="126"/>
      <c r="M44" s="55"/>
      <c r="N44" s="298"/>
      <c r="O44" s="298"/>
      <c r="P44" s="56"/>
    </row>
    <row r="45" spans="1:17" x14ac:dyDescent="0.4">
      <c r="A45" s="26" t="s">
        <v>138</v>
      </c>
      <c r="B45" s="52">
        <v>41428</v>
      </c>
      <c r="C45" s="53">
        <v>3000000</v>
      </c>
      <c r="D45" s="53"/>
      <c r="E45" s="105"/>
      <c r="F45" s="125"/>
      <c r="G45" s="125"/>
      <c r="H45" s="126"/>
      <c r="I45" s="54"/>
      <c r="J45" s="126"/>
      <c r="K45" s="297"/>
      <c r="L45" s="126"/>
      <c r="M45" s="55"/>
      <c r="N45" s="298"/>
      <c r="O45" s="298"/>
      <c r="P45" s="56"/>
    </row>
    <row r="46" spans="1:17" x14ac:dyDescent="0.4">
      <c r="F46" s="3"/>
      <c r="G46" s="3"/>
      <c r="N46" s="3"/>
    </row>
    <row r="47" spans="1:17" ht="19.899999999999999" customHeight="1" x14ac:dyDescent="0.4">
      <c r="B47" s="27" t="s">
        <v>145</v>
      </c>
      <c r="C47" s="9"/>
      <c r="D47" s="10"/>
      <c r="E47" s="111"/>
      <c r="F47" s="10"/>
      <c r="G47" s="10"/>
      <c r="H47" s="9"/>
    </row>
    <row r="48" spans="1:17" ht="19.899999999999999" customHeight="1" x14ac:dyDescent="0.4">
      <c r="B48" s="27" t="s">
        <v>129</v>
      </c>
      <c r="C48" s="9"/>
      <c r="D48" s="10"/>
      <c r="E48" s="111"/>
      <c r="F48" s="10"/>
      <c r="G48" s="132"/>
      <c r="H48" s="133"/>
      <c r="Q48" s="7"/>
    </row>
    <row r="49" spans="2:8" ht="19.899999999999999" customHeight="1" x14ac:dyDescent="0.4">
      <c r="B49" s="27" t="s">
        <v>146</v>
      </c>
      <c r="C49" s="9"/>
      <c r="D49" s="10"/>
      <c r="E49" s="111"/>
      <c r="F49" s="112"/>
      <c r="G49" s="132"/>
      <c r="H49" s="13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2"/>
  <sheetViews>
    <sheetView zoomScaleNormal="100" workbookViewId="0">
      <selection activeCell="R5" sqref="R5"/>
    </sheetView>
  </sheetViews>
  <sheetFormatPr defaultRowHeight="15" x14ac:dyDescent="0.25"/>
  <cols>
    <col min="2" max="3" width="11.28515625" style="232" bestFit="1" customWidth="1"/>
    <col min="4" max="4" width="13.140625" style="232" bestFit="1" customWidth="1"/>
    <col min="6" max="6" width="13.28515625" style="232" bestFit="1" customWidth="1"/>
    <col min="7" max="9" width="14.5703125" style="232" bestFit="1" customWidth="1"/>
    <col min="10" max="10" width="10.28515625" style="232" bestFit="1" customWidth="1"/>
    <col min="11" max="11" width="11.5703125" style="232" customWidth="1"/>
    <col min="12" max="12" width="11.28515625" style="232" bestFit="1" customWidth="1"/>
    <col min="13" max="13" width="11.42578125" style="232" bestFit="1" customWidth="1"/>
    <col min="14" max="15" width="9.28515625" style="232" bestFit="1" customWidth="1"/>
    <col min="16" max="16" width="10.42578125" style="232" bestFit="1" customWidth="1"/>
    <col min="18" max="18" width="12.5703125" style="232" customWidth="1"/>
    <col min="19" max="19" width="13.28515625" style="232" bestFit="1" customWidth="1"/>
    <col min="20" max="21" width="13.28515625" style="232" customWidth="1"/>
  </cols>
  <sheetData>
    <row r="1" spans="1:20" x14ac:dyDescent="0.25">
      <c r="A1" s="76" t="s">
        <v>149</v>
      </c>
      <c r="B1" s="76"/>
      <c r="C1" s="77"/>
      <c r="D1" s="78"/>
      <c r="E1" s="78"/>
      <c r="F1" s="113"/>
      <c r="G1" s="79"/>
      <c r="H1" s="76"/>
      <c r="I1" s="76"/>
      <c r="J1" s="76"/>
      <c r="K1" s="76"/>
      <c r="L1" s="76"/>
      <c r="M1" s="76"/>
      <c r="N1" s="76"/>
      <c r="O1" s="76"/>
      <c r="P1" s="76"/>
    </row>
    <row r="2" spans="1:20" x14ac:dyDescent="0.25">
      <c r="A2" s="76" t="s">
        <v>23</v>
      </c>
      <c r="B2" s="76"/>
      <c r="C2" s="200">
        <v>360</v>
      </c>
      <c r="D2" s="80" t="s">
        <v>24</v>
      </c>
      <c r="E2" s="79"/>
      <c r="F2" s="114"/>
      <c r="G2" s="79"/>
      <c r="H2" s="76"/>
      <c r="I2" s="76"/>
      <c r="J2" s="76"/>
      <c r="K2" s="76"/>
      <c r="L2" s="76"/>
      <c r="M2" s="76"/>
      <c r="N2" s="76"/>
      <c r="O2" s="76"/>
      <c r="P2" s="76"/>
    </row>
    <row r="3" spans="1:20" x14ac:dyDescent="0.25">
      <c r="A3" s="76"/>
      <c r="B3" s="76"/>
      <c r="C3" s="76"/>
      <c r="D3" s="79"/>
      <c r="E3" s="79"/>
      <c r="F3" s="114"/>
      <c r="G3" s="79"/>
      <c r="H3" s="76"/>
      <c r="I3" s="76"/>
      <c r="J3" s="76"/>
      <c r="K3" s="76"/>
      <c r="L3" s="76"/>
      <c r="M3" s="76"/>
      <c r="N3" s="76"/>
      <c r="O3" s="76"/>
      <c r="P3" s="76"/>
    </row>
    <row r="4" spans="1:20" x14ac:dyDescent="0.25">
      <c r="A4" s="76"/>
      <c r="B4" s="76"/>
      <c r="C4" s="76"/>
      <c r="D4" s="79"/>
      <c r="E4" s="79"/>
      <c r="F4" s="114"/>
      <c r="G4" s="79"/>
      <c r="H4" s="76"/>
      <c r="I4" s="76"/>
      <c r="J4" s="76"/>
      <c r="K4" s="76"/>
      <c r="L4" s="76"/>
      <c r="M4" s="76"/>
      <c r="N4" s="76"/>
      <c r="O4" s="76"/>
      <c r="P4" s="76"/>
    </row>
    <row r="5" spans="1:20" ht="66.599999999999994" customHeight="1" x14ac:dyDescent="0.25">
      <c r="A5" s="81"/>
      <c r="B5" s="82" t="s">
        <v>150</v>
      </c>
      <c r="C5" s="83" t="s">
        <v>151</v>
      </c>
      <c r="D5" s="84" t="s">
        <v>29</v>
      </c>
      <c r="E5" s="84"/>
      <c r="F5" s="84" t="s">
        <v>152</v>
      </c>
      <c r="G5" s="84" t="s">
        <v>153</v>
      </c>
      <c r="H5" s="84" t="s">
        <v>154</v>
      </c>
      <c r="I5" s="84"/>
      <c r="J5" s="84" t="s">
        <v>155</v>
      </c>
      <c r="K5" s="84" t="s">
        <v>31</v>
      </c>
      <c r="L5" s="84" t="s">
        <v>156</v>
      </c>
      <c r="M5" s="84" t="s">
        <v>157</v>
      </c>
      <c r="N5" s="84" t="s">
        <v>158</v>
      </c>
      <c r="O5" s="84" t="s">
        <v>159</v>
      </c>
      <c r="P5" s="84" t="s">
        <v>36</v>
      </c>
      <c r="Q5" s="85" t="s">
        <v>160</v>
      </c>
      <c r="R5" s="85" t="s">
        <v>161</v>
      </c>
      <c r="S5" s="85" t="s">
        <v>37</v>
      </c>
      <c r="T5" s="94" t="s">
        <v>38</v>
      </c>
    </row>
    <row r="6" spans="1:20" x14ac:dyDescent="0.25">
      <c r="A6" s="81"/>
      <c r="B6" s="86" t="s">
        <v>162</v>
      </c>
      <c r="C6" s="86" t="s">
        <v>163</v>
      </c>
      <c r="D6" s="87">
        <v>545000</v>
      </c>
      <c r="E6" s="87"/>
      <c r="F6" s="115" t="s">
        <v>164</v>
      </c>
      <c r="G6" s="116">
        <f>1+(O6*F6/360)</f>
        <v>1.0000627777777777</v>
      </c>
      <c r="H6" s="117">
        <f>1*G6</f>
        <v>1.0000627777777777</v>
      </c>
      <c r="I6" s="117">
        <f>H6-1</f>
        <v>6.2777777777744959E-5</v>
      </c>
      <c r="J6" s="118">
        <f>I6*360/O6</f>
        <v>2.2599999999988185E-2</v>
      </c>
      <c r="K6" s="88" t="s">
        <v>41</v>
      </c>
      <c r="L6" s="119">
        <f>J6+K6</f>
        <v>4.7599999999988186E-2</v>
      </c>
      <c r="M6" s="134">
        <f>D6*L6/360*N6</f>
        <v>72.061111111093226</v>
      </c>
      <c r="N6" s="135">
        <f t="shared" ref="N6:O10" si="0">B7-B6</f>
        <v>1</v>
      </c>
      <c r="O6" s="135">
        <f t="shared" si="0"/>
        <v>1</v>
      </c>
      <c r="P6" s="299">
        <f>M6</f>
        <v>72.061111111093226</v>
      </c>
      <c r="Q6" s="136" t="s">
        <v>165</v>
      </c>
      <c r="R6" s="137">
        <f>D6*S6/360*Q6</f>
        <v>100.21944444444445</v>
      </c>
      <c r="S6" s="120" t="s">
        <v>166</v>
      </c>
      <c r="T6" s="138">
        <f>D6*S6/360*N6</f>
        <v>100.21944444444445</v>
      </c>
    </row>
    <row r="7" spans="1:20" x14ac:dyDescent="0.25">
      <c r="A7" s="81"/>
      <c r="B7" s="86" t="s">
        <v>167</v>
      </c>
      <c r="C7" s="86" t="s">
        <v>168</v>
      </c>
      <c r="D7" s="87">
        <v>545000</v>
      </c>
      <c r="E7" s="87"/>
      <c r="F7" s="115" t="s">
        <v>169</v>
      </c>
      <c r="G7" s="116">
        <f>1+(O7*F7/360)</f>
        <v>1.0002633333333333</v>
      </c>
      <c r="H7" s="121">
        <f>H6*G7</f>
        <v>1.0003261276425925</v>
      </c>
      <c r="I7" s="121">
        <f>H7-H6</f>
        <v>2.6334986481479916E-4</v>
      </c>
      <c r="J7" s="118">
        <f>I7*360/O7</f>
        <v>2.3701487833331925E-2</v>
      </c>
      <c r="K7" s="88" t="s">
        <v>41</v>
      </c>
      <c r="L7" s="119">
        <f>J7+K7</f>
        <v>4.8701487833331926E-2</v>
      </c>
      <c r="M7" s="134">
        <f>D7*L7/360*N7</f>
        <v>221.18592390971585</v>
      </c>
      <c r="N7" s="139">
        <f t="shared" si="0"/>
        <v>3</v>
      </c>
      <c r="O7" s="135">
        <f t="shared" si="0"/>
        <v>4</v>
      </c>
      <c r="P7" s="299">
        <f>M7+M6</f>
        <v>293.24703502080911</v>
      </c>
      <c r="Q7" s="136" t="s">
        <v>170</v>
      </c>
      <c r="R7" s="137">
        <f>D7*S7/360*Q7</f>
        <v>597.69695833333333</v>
      </c>
      <c r="S7" s="120" t="s">
        <v>171</v>
      </c>
      <c r="T7" s="138">
        <f>D7*S7/360*N7</f>
        <v>298.84847916666666</v>
      </c>
    </row>
    <row r="8" spans="1:20" x14ac:dyDescent="0.25">
      <c r="A8" s="81"/>
      <c r="B8" s="86" t="s">
        <v>172</v>
      </c>
      <c r="C8" s="86" t="s">
        <v>173</v>
      </c>
      <c r="D8" s="87">
        <v>545000</v>
      </c>
      <c r="E8" s="87"/>
      <c r="F8" s="115" t="s">
        <v>174</v>
      </c>
      <c r="G8" s="116">
        <f>1+(O8*F8/360)</f>
        <v>1.0000708333333332</v>
      </c>
      <c r="H8" s="116">
        <f>H7*G8</f>
        <v>1.0003969840766338</v>
      </c>
      <c r="I8" s="121">
        <f>H8-H7</f>
        <v>7.0856434041255412E-5</v>
      </c>
      <c r="J8" s="118">
        <f>I8*360/O8</f>
        <v>2.5508316254851948E-2</v>
      </c>
      <c r="K8" s="88" t="s">
        <v>41</v>
      </c>
      <c r="L8" s="119">
        <f>J8+K8</f>
        <v>5.050831625485195E-2</v>
      </c>
      <c r="M8" s="134">
        <f>D8*L8/360*N8</f>
        <v>76.463978774706433</v>
      </c>
      <c r="N8" s="135">
        <f t="shared" si="0"/>
        <v>1</v>
      </c>
      <c r="O8" s="135">
        <f t="shared" si="0"/>
        <v>1</v>
      </c>
      <c r="P8" s="299">
        <f>M6+M8+M7</f>
        <v>369.71101379551556</v>
      </c>
      <c r="Q8" s="136" t="s">
        <v>175</v>
      </c>
      <c r="R8" s="137">
        <f>D8*S8/360*Q8</f>
        <v>205.90887222222224</v>
      </c>
      <c r="S8" s="120" t="s">
        <v>176</v>
      </c>
      <c r="T8" s="138">
        <f>D8*S8/360*N8</f>
        <v>102.95443611111112</v>
      </c>
    </row>
    <row r="9" spans="1:20" x14ac:dyDescent="0.25">
      <c r="A9" s="81"/>
      <c r="B9" s="86" t="s">
        <v>177</v>
      </c>
      <c r="C9" s="86" t="s">
        <v>178</v>
      </c>
      <c r="D9" s="87">
        <v>545000</v>
      </c>
      <c r="E9" s="87"/>
      <c r="F9" s="115" t="s">
        <v>179</v>
      </c>
      <c r="G9" s="116">
        <f>1+(O9*F9/360)</f>
        <v>1.0000705555555556</v>
      </c>
      <c r="H9" s="116">
        <f>H8*G9</f>
        <v>1.0004675676416215</v>
      </c>
      <c r="I9" s="121">
        <f>H9-H8</f>
        <v>7.0583564987680703E-5</v>
      </c>
      <c r="J9" s="118">
        <f>I9*360/O9</f>
        <v>2.5410083395565053E-2</v>
      </c>
      <c r="K9" s="88" t="s">
        <v>41</v>
      </c>
      <c r="L9" s="119">
        <f>J9+K9</f>
        <v>5.0410083395565054E-2</v>
      </c>
      <c r="M9" s="134">
        <f>D9*L9/360*N9</f>
        <v>76.315265140508217</v>
      </c>
      <c r="N9" s="135">
        <f t="shared" si="0"/>
        <v>1</v>
      </c>
      <c r="O9" s="135">
        <f t="shared" si="0"/>
        <v>1</v>
      </c>
      <c r="P9" s="299">
        <f>SUM(M6:M9)</f>
        <v>446.0262789360238</v>
      </c>
      <c r="Q9" s="136" t="s">
        <v>165</v>
      </c>
      <c r="R9" s="137">
        <f>D9*S9/360*Q9</f>
        <v>102.8057722222222</v>
      </c>
      <c r="S9" s="120" t="s">
        <v>180</v>
      </c>
      <c r="T9" s="138">
        <f>D9*S9/360*N9</f>
        <v>102.8057722222222</v>
      </c>
    </row>
    <row r="10" spans="1:20" x14ac:dyDescent="0.25">
      <c r="A10" s="81"/>
      <c r="B10" s="86" t="s">
        <v>181</v>
      </c>
      <c r="C10" s="86" t="s">
        <v>182</v>
      </c>
      <c r="D10" s="87">
        <v>545000</v>
      </c>
      <c r="E10" s="87"/>
      <c r="F10" s="115" t="s">
        <v>183</v>
      </c>
      <c r="G10" s="116">
        <f>1+(O10*F10/360)</f>
        <v>1.0000688888888889</v>
      </c>
      <c r="H10" s="116">
        <f>H9*G10</f>
        <v>1.0005364887407258</v>
      </c>
      <c r="I10" s="121">
        <f>H10-H9</f>
        <v>6.8921099104279904E-5</v>
      </c>
      <c r="J10" s="118">
        <f>I10*360/O10</f>
        <v>2.4811595677540765E-2</v>
      </c>
      <c r="K10" s="88" t="s">
        <v>41</v>
      </c>
      <c r="L10" s="119">
        <f>J10+K10</f>
        <v>4.9811595677540767E-2</v>
      </c>
      <c r="M10" s="134">
        <f>D10*L10/360*N10</f>
        <v>75.409221234054769</v>
      </c>
      <c r="N10" s="135">
        <f t="shared" si="0"/>
        <v>1</v>
      </c>
      <c r="O10" s="135">
        <f t="shared" si="0"/>
        <v>1</v>
      </c>
      <c r="P10" s="284">
        <f>SUM(M6:M10)</f>
        <v>521.43550017007851</v>
      </c>
      <c r="Q10" t="s">
        <v>165</v>
      </c>
      <c r="S10" s="120" t="s">
        <v>184</v>
      </c>
      <c r="T10" s="138">
        <f>D10*S10/360*N10</f>
        <v>101.89986111111111</v>
      </c>
    </row>
    <row r="11" spans="1:20" x14ac:dyDescent="0.25">
      <c r="A11" s="81"/>
      <c r="B11" s="86" t="s">
        <v>185</v>
      </c>
      <c r="C11" s="86" t="s">
        <v>162</v>
      </c>
      <c r="D11" s="87"/>
      <c r="E11" s="87"/>
      <c r="F11" s="122"/>
      <c r="G11" s="299"/>
      <c r="H11" s="299"/>
      <c r="I11" s="299"/>
      <c r="J11" s="299"/>
      <c r="K11" s="89"/>
      <c r="L11" s="89"/>
      <c r="M11" s="299"/>
      <c r="N11" s="90"/>
      <c r="O11" s="91"/>
      <c r="P11" s="76"/>
    </row>
    <row r="12" spans="1:20" ht="27.6" customHeight="1" x14ac:dyDescent="0.25">
      <c r="A12" s="92"/>
      <c r="B12" s="92"/>
      <c r="C12" s="92"/>
      <c r="D12" s="92"/>
      <c r="E12" s="92"/>
      <c r="F12" s="92"/>
      <c r="G12" s="92"/>
      <c r="H12" s="92"/>
      <c r="I12" s="92"/>
      <c r="J12" s="92"/>
      <c r="K12" s="93" t="s">
        <v>186</v>
      </c>
      <c r="L12" s="123">
        <v>0.05</v>
      </c>
      <c r="M12" s="92"/>
      <c r="N12" s="92"/>
      <c r="O12" s="92"/>
      <c r="P12" s="92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14"/>
  <sheetViews>
    <sheetView tabSelected="1" topLeftCell="A4" zoomScale="85" zoomScaleNormal="85" workbookViewId="0">
      <selection activeCell="V6" sqref="V6"/>
    </sheetView>
  </sheetViews>
  <sheetFormatPr defaultRowHeight="15" x14ac:dyDescent="0.25"/>
  <cols>
    <col min="1" max="1" width="15.28515625" style="232" customWidth="1"/>
    <col min="2" max="2" width="14.28515625" style="232" bestFit="1" customWidth="1"/>
    <col min="3" max="3" width="4" style="232" bestFit="1" customWidth="1"/>
    <col min="4" max="4" width="13.28515625" style="232" bestFit="1" customWidth="1"/>
    <col min="5" max="5" width="10" style="232" customWidth="1"/>
    <col min="6" max="6" width="10.28515625" style="166" bestFit="1" customWidth="1"/>
    <col min="7" max="9" width="13.28515625" style="232" bestFit="1" customWidth="1"/>
    <col min="10" max="10" width="14.42578125" style="232" customWidth="1"/>
    <col min="11" max="11" width="14.28515625" style="232" bestFit="1" customWidth="1"/>
    <col min="12" max="12" width="14.28515625" style="232" customWidth="1"/>
    <col min="13" max="13" width="7.42578125" style="232" bestFit="1" customWidth="1"/>
    <col min="14" max="14" width="10" style="166" bestFit="1" customWidth="1"/>
    <col min="15" max="15" width="12.140625" style="232" bestFit="1" customWidth="1"/>
    <col min="16" max="16" width="7.28515625" style="232" bestFit="1" customWidth="1"/>
    <col min="17" max="17" width="9.85546875" style="232" bestFit="1" customWidth="1"/>
    <col min="18" max="18" width="12.140625" style="232" bestFit="1" customWidth="1"/>
    <col min="19" max="19" width="8.140625" style="166" bestFit="1" customWidth="1"/>
    <col min="20" max="20" width="11.140625" style="166" bestFit="1" customWidth="1"/>
    <col min="21" max="21" width="13.28515625" style="232" bestFit="1" customWidth="1"/>
    <col min="22" max="22" width="13.28515625" style="232" customWidth="1"/>
  </cols>
  <sheetData>
    <row r="1" spans="1:22" x14ac:dyDescent="0.25">
      <c r="A1" s="76" t="s">
        <v>149</v>
      </c>
      <c r="B1" s="76"/>
      <c r="C1" s="77"/>
      <c r="D1" s="152"/>
      <c r="E1" s="152"/>
      <c r="F1" s="153"/>
      <c r="G1" s="154"/>
      <c r="H1" s="76"/>
      <c r="I1" s="76"/>
      <c r="J1" s="76"/>
      <c r="K1" s="76"/>
      <c r="L1" s="76"/>
      <c r="M1" s="76"/>
      <c r="N1" s="155"/>
      <c r="O1" s="76"/>
      <c r="P1" s="76"/>
      <c r="Q1" s="76"/>
      <c r="R1" s="91"/>
      <c r="S1" s="155"/>
      <c r="T1" s="155"/>
    </row>
    <row r="2" spans="1:22" x14ac:dyDescent="0.25">
      <c r="A2" s="76" t="s">
        <v>23</v>
      </c>
      <c r="B2" s="76"/>
      <c r="C2" s="200">
        <v>360</v>
      </c>
      <c r="D2" s="156" t="s">
        <v>24</v>
      </c>
      <c r="E2" s="154"/>
      <c r="F2" s="157"/>
      <c r="G2" s="154"/>
      <c r="H2" s="76"/>
      <c r="I2" s="76"/>
      <c r="J2" s="76"/>
      <c r="K2" s="76"/>
      <c r="L2" s="76"/>
      <c r="M2" s="76"/>
      <c r="N2" s="155"/>
      <c r="O2" s="76"/>
      <c r="P2" s="76"/>
      <c r="Q2" s="76"/>
      <c r="R2" s="91"/>
      <c r="S2" s="155"/>
      <c r="T2" s="155"/>
    </row>
    <row r="3" spans="1:22" x14ac:dyDescent="0.25">
      <c r="A3" s="76"/>
      <c r="B3" s="76"/>
      <c r="C3" s="76"/>
      <c r="D3" s="154"/>
      <c r="E3" s="154"/>
      <c r="F3" s="157"/>
      <c r="G3" s="154"/>
      <c r="H3" s="76"/>
      <c r="I3" s="76"/>
      <c r="J3" s="76"/>
      <c r="K3" s="76"/>
      <c r="L3" s="76"/>
      <c r="M3" s="76"/>
      <c r="N3" s="155"/>
      <c r="O3" s="76"/>
      <c r="P3" s="76"/>
      <c r="Q3" s="76"/>
      <c r="R3" s="91"/>
      <c r="S3" s="155"/>
      <c r="T3" s="155"/>
    </row>
    <row r="4" spans="1:22" ht="106.15" customHeight="1" x14ac:dyDescent="0.25">
      <c r="A4" s="81"/>
      <c r="B4" s="201" t="s">
        <v>187</v>
      </c>
      <c r="C4" s="89"/>
      <c r="D4" s="158"/>
      <c r="E4" s="158"/>
      <c r="F4" s="159" t="s">
        <v>26</v>
      </c>
      <c r="G4" s="160" t="s">
        <v>188</v>
      </c>
      <c r="H4" s="160" t="s">
        <v>59</v>
      </c>
      <c r="I4" s="161" t="s">
        <v>189</v>
      </c>
      <c r="J4" s="162" t="s">
        <v>190</v>
      </c>
      <c r="K4" s="163" t="s">
        <v>191</v>
      </c>
      <c r="L4" s="163"/>
      <c r="M4" s="163"/>
      <c r="N4" s="164"/>
      <c r="O4" s="89"/>
      <c r="P4" s="89"/>
      <c r="Q4" s="299"/>
      <c r="R4" s="90"/>
      <c r="S4" s="159" t="s">
        <v>28</v>
      </c>
      <c r="T4" s="165" t="s">
        <v>192</v>
      </c>
    </row>
    <row r="5" spans="1:22" ht="106.15" customHeight="1" x14ac:dyDescent="0.25">
      <c r="A5" s="81"/>
      <c r="B5" s="89"/>
      <c r="C5" s="167"/>
      <c r="D5" s="84" t="s">
        <v>29</v>
      </c>
      <c r="E5" s="84"/>
      <c r="F5" s="168" t="s">
        <v>152</v>
      </c>
      <c r="G5" s="84" t="s">
        <v>153</v>
      </c>
      <c r="H5" s="84" t="s">
        <v>154</v>
      </c>
      <c r="I5" s="84" t="s">
        <v>193</v>
      </c>
      <c r="J5" s="84" t="s">
        <v>194</v>
      </c>
      <c r="K5" s="84" t="s">
        <v>195</v>
      </c>
      <c r="L5" s="84" t="s">
        <v>196</v>
      </c>
      <c r="M5" s="84" t="s">
        <v>31</v>
      </c>
      <c r="N5" s="168" t="s">
        <v>156</v>
      </c>
      <c r="O5" s="84" t="s">
        <v>197</v>
      </c>
      <c r="P5" s="84" t="s">
        <v>198</v>
      </c>
      <c r="Q5" s="84" t="s">
        <v>67</v>
      </c>
      <c r="R5" s="84" t="s">
        <v>199</v>
      </c>
      <c r="S5" s="168" t="s">
        <v>35</v>
      </c>
      <c r="T5" s="168" t="s">
        <v>36</v>
      </c>
      <c r="U5" s="196" t="s">
        <v>37</v>
      </c>
      <c r="V5" s="196" t="s">
        <v>38</v>
      </c>
    </row>
    <row r="6" spans="1:22" x14ac:dyDescent="0.25">
      <c r="A6" s="81"/>
      <c r="B6" s="169" t="s">
        <v>200</v>
      </c>
      <c r="C6" s="169"/>
      <c r="D6" s="158">
        <v>5000000</v>
      </c>
      <c r="E6" s="158"/>
      <c r="F6" s="170" t="s">
        <v>201</v>
      </c>
      <c r="G6" s="171">
        <f>1+(S6*F6/360)</f>
        <v>1.000071861111111</v>
      </c>
      <c r="H6" s="172">
        <f>1*G6</f>
        <v>1.000071861111111</v>
      </c>
      <c r="I6" s="171">
        <f>H6-1</f>
        <v>7.1861111111015674E-5</v>
      </c>
      <c r="J6" s="171">
        <f>I6</f>
        <v>7.1861111111015674E-5</v>
      </c>
      <c r="K6" s="173">
        <f>J6*360/S6</f>
        <v>2.5869999999965643E-2</v>
      </c>
      <c r="L6" s="173" t="s">
        <v>42</v>
      </c>
      <c r="M6" s="174" t="s">
        <v>41</v>
      </c>
      <c r="N6" s="175">
        <f>K6+L6+M6</f>
        <v>5.0869999999965644E-2</v>
      </c>
      <c r="O6" s="299">
        <f>D6*N6/360*S6</f>
        <v>706.52777777730068</v>
      </c>
      <c r="P6" s="174">
        <v>0</v>
      </c>
      <c r="Q6" s="299">
        <f>(F6*P6/360)*S6</f>
        <v>0</v>
      </c>
      <c r="R6" s="284">
        <f>O6+Q6</f>
        <v>706.52777777730068</v>
      </c>
      <c r="S6" s="176">
        <f>B7-B6</f>
        <v>1</v>
      </c>
      <c r="T6" s="300">
        <f>R6</f>
        <v>706.52777777730068</v>
      </c>
      <c r="U6" s="194" t="s">
        <v>202</v>
      </c>
      <c r="V6" s="284">
        <f>D6*U6/360*S6+Q6</f>
        <v>706.52777777777783</v>
      </c>
    </row>
    <row r="7" spans="1:22" x14ac:dyDescent="0.25">
      <c r="A7" s="81"/>
      <c r="B7" s="169" t="s">
        <v>203</v>
      </c>
      <c r="C7" s="169"/>
      <c r="D7" s="158">
        <v>5000000</v>
      </c>
      <c r="E7" s="158"/>
      <c r="F7" s="170" t="s">
        <v>204</v>
      </c>
      <c r="G7" s="171">
        <f>1+(S7*F7/360)</f>
        <v>1.0000719166666667</v>
      </c>
      <c r="H7" s="179">
        <f>H6*G7</f>
        <v>1.0001437829457893</v>
      </c>
      <c r="I7" s="180">
        <f>H7-1</f>
        <v>1.4378294578931694E-4</v>
      </c>
      <c r="J7" s="171">
        <f>I7-I6</f>
        <v>7.1921834678301266E-5</v>
      </c>
      <c r="K7" s="173">
        <f>J7*360/S7</f>
        <v>2.5891860484188456E-2</v>
      </c>
      <c r="L7" s="173" t="s">
        <v>42</v>
      </c>
      <c r="M7" s="174" t="s">
        <v>41</v>
      </c>
      <c r="N7" s="175">
        <f>K7+L7+M7</f>
        <v>5.0891860484188457E-2</v>
      </c>
      <c r="O7" s="299">
        <f>D7*N7/360*S7</f>
        <v>706.83139561372855</v>
      </c>
      <c r="P7" s="174">
        <v>0</v>
      </c>
      <c r="Q7" s="299">
        <f>(F7*P7/360)*S7</f>
        <v>0</v>
      </c>
      <c r="R7" s="284">
        <f>O7+Q7</f>
        <v>706.83139561372855</v>
      </c>
      <c r="S7" s="181">
        <f>B8-B7</f>
        <v>1</v>
      </c>
      <c r="T7" s="300">
        <f>R6+R7</f>
        <v>1413.3591733910293</v>
      </c>
      <c r="U7" s="194" t="s">
        <v>205</v>
      </c>
      <c r="V7" s="284">
        <f>D7*U7/360*S7+Q7</f>
        <v>706.83194444444439</v>
      </c>
    </row>
    <row r="8" spans="1:22" x14ac:dyDescent="0.25">
      <c r="A8" s="81"/>
      <c r="B8" s="169" t="s">
        <v>206</v>
      </c>
      <c r="C8" s="169"/>
      <c r="D8" s="158">
        <v>5000000</v>
      </c>
      <c r="E8" s="158"/>
      <c r="F8" s="170" t="s">
        <v>201</v>
      </c>
      <c r="G8" s="171">
        <f>1+(S8*F8/360)</f>
        <v>1.000071861111111</v>
      </c>
      <c r="H8" s="171">
        <f>H7*G8</f>
        <v>1.0002156543893026</v>
      </c>
      <c r="I8" s="171">
        <f>H8-1</f>
        <v>2.1565438930259972E-4</v>
      </c>
      <c r="J8" s="171">
        <f>I8-I7</f>
        <v>7.1871443513282784E-5</v>
      </c>
      <c r="K8" s="173">
        <f>J8*360/S8</f>
        <v>2.5873719664781802E-2</v>
      </c>
      <c r="L8" s="173" t="s">
        <v>42</v>
      </c>
      <c r="M8" s="174" t="s">
        <v>41</v>
      </c>
      <c r="N8" s="175">
        <f>K8+L8+M8</f>
        <v>5.0873719664781804E-2</v>
      </c>
      <c r="O8" s="299">
        <f>D8*N8/360*S8</f>
        <v>706.57943978863614</v>
      </c>
      <c r="P8" s="174">
        <v>0</v>
      </c>
      <c r="Q8" s="299">
        <f>(F8*P8/360)*S8</f>
        <v>0</v>
      </c>
      <c r="R8" s="284">
        <f>O8+Q8</f>
        <v>706.57943978863614</v>
      </c>
      <c r="S8" s="176">
        <f>B9-B8</f>
        <v>1</v>
      </c>
      <c r="T8" s="300">
        <f>R7+R8+R6</f>
        <v>2119.9386131796655</v>
      </c>
      <c r="U8" s="194" t="s">
        <v>207</v>
      </c>
      <c r="V8" s="284">
        <f>D8*U8/360*S8+Q8</f>
        <v>706.57916666666665</v>
      </c>
    </row>
    <row r="9" spans="1:22" x14ac:dyDescent="0.25">
      <c r="A9" s="81"/>
      <c r="B9" s="169" t="s">
        <v>208</v>
      </c>
      <c r="C9" s="169"/>
      <c r="D9" s="158">
        <v>5000000</v>
      </c>
      <c r="E9" s="158"/>
      <c r="F9" s="170" t="s">
        <v>204</v>
      </c>
      <c r="G9" s="171">
        <f>1+(S9*F9/360)</f>
        <v>1.0000719166666667</v>
      </c>
      <c r="H9" s="171">
        <f>H8*G9</f>
        <v>1.0002875865651142</v>
      </c>
      <c r="I9" s="171">
        <f>H9-1</f>
        <v>2.8758656511418401E-4</v>
      </c>
      <c r="J9" s="171">
        <f>I9-I8</f>
        <v>7.1932175811584287E-5</v>
      </c>
      <c r="K9" s="173">
        <f>J9*360/S9</f>
        <v>2.5895583292170343E-2</v>
      </c>
      <c r="L9" s="173" t="s">
        <v>42</v>
      </c>
      <c r="M9" s="174" t="s">
        <v>41</v>
      </c>
      <c r="N9" s="175">
        <f>K9+L9+M9</f>
        <v>5.0895583292170345E-2</v>
      </c>
      <c r="O9" s="299">
        <f>D9*N9/360*S9</f>
        <v>706.88310128014371</v>
      </c>
      <c r="P9" s="174">
        <v>0</v>
      </c>
      <c r="Q9" s="299">
        <f>(F9*P9/360)*S9</f>
        <v>0</v>
      </c>
      <c r="R9" s="284">
        <f>O9+Q9</f>
        <v>706.88310128014371</v>
      </c>
      <c r="S9" s="176">
        <f>B10-B9</f>
        <v>1</v>
      </c>
      <c r="T9" s="300">
        <f>R8+R9+R7+R6</f>
        <v>2826.8217144598093</v>
      </c>
      <c r="U9" s="194" t="s">
        <v>209</v>
      </c>
      <c r="V9" s="284">
        <f>D9*U9/360*S9+Q9</f>
        <v>706.88333333333333</v>
      </c>
    </row>
    <row r="10" spans="1:22" x14ac:dyDescent="0.25">
      <c r="A10" s="81"/>
      <c r="B10" s="169" t="s">
        <v>210</v>
      </c>
      <c r="C10" s="169"/>
      <c r="D10" s="158">
        <v>5000000</v>
      </c>
      <c r="E10" s="158"/>
      <c r="F10" s="170" t="s">
        <v>211</v>
      </c>
      <c r="G10" s="171">
        <f>1+(S10*F10/360)</f>
        <v>1.0002158333333333</v>
      </c>
      <c r="H10" s="171">
        <f>H9*G10</f>
        <v>1.0005034819692145</v>
      </c>
      <c r="I10" s="171">
        <f>H10-1</f>
        <v>5.0348196921445876E-4</v>
      </c>
      <c r="J10" s="171">
        <f>I10-I9</f>
        <v>2.1589540410027475E-4</v>
      </c>
      <c r="K10" s="173">
        <f>J10*360/S10</f>
        <v>2.590744849203297E-2</v>
      </c>
      <c r="L10" s="173" t="s">
        <v>42</v>
      </c>
      <c r="M10" s="174" t="s">
        <v>41</v>
      </c>
      <c r="N10" s="175">
        <f>K10+L10+M10</f>
        <v>5.0907448492032971E-2</v>
      </c>
      <c r="O10" s="299">
        <f>D10*N10/360*S10</f>
        <v>2121.1436871680403</v>
      </c>
      <c r="P10" s="174">
        <v>0</v>
      </c>
      <c r="Q10" s="299">
        <f>(F10*P10/360)*S10</f>
        <v>0</v>
      </c>
      <c r="R10" s="284">
        <f>O10+Q10</f>
        <v>2121.1436871680403</v>
      </c>
      <c r="S10" s="176">
        <f>B11-B10</f>
        <v>3</v>
      </c>
      <c r="T10" s="300">
        <f>R9+R10+R8+R7+R6</f>
        <v>4947.9654016278491</v>
      </c>
      <c r="U10" s="194" t="s">
        <v>212</v>
      </c>
      <c r="V10" s="284">
        <f>D10*U10/360*S10+Q10</f>
        <v>2121.1416666666664</v>
      </c>
    </row>
    <row r="11" spans="1:22" x14ac:dyDescent="0.25">
      <c r="A11" s="81"/>
      <c r="B11" s="169" t="s">
        <v>213</v>
      </c>
      <c r="C11" s="169"/>
      <c r="D11" s="158">
        <v>1000000</v>
      </c>
      <c r="E11" s="158"/>
      <c r="F11" s="170"/>
      <c r="G11" s="171"/>
      <c r="H11" s="301"/>
      <c r="I11" s="171"/>
      <c r="J11" s="171"/>
      <c r="K11" s="173"/>
      <c r="L11" s="173"/>
      <c r="M11" s="173"/>
      <c r="N11" s="175"/>
      <c r="O11" s="299"/>
      <c r="P11" s="174"/>
      <c r="Q11" s="299"/>
      <c r="R11" s="284"/>
      <c r="S11" s="182"/>
      <c r="T11" s="155"/>
    </row>
    <row r="12" spans="1:22" x14ac:dyDescent="0.25">
      <c r="A12" s="166"/>
      <c r="B12" s="166"/>
      <c r="C12" s="166"/>
      <c r="D12" s="166"/>
      <c r="E12" s="166"/>
    </row>
    <row r="13" spans="1:22" x14ac:dyDescent="0.25">
      <c r="A13" s="166"/>
      <c r="B13" s="166"/>
      <c r="C13" s="166"/>
      <c r="D13" s="166"/>
      <c r="E13" s="166"/>
      <c r="N13" s="195"/>
      <c r="O13" s="300"/>
    </row>
    <row r="14" spans="1:22" x14ac:dyDescent="0.25">
      <c r="A14" s="183"/>
      <c r="B14" s="183"/>
      <c r="C14" s="183"/>
      <c r="D14" s="166"/>
      <c r="E14" s="183"/>
    </row>
    <row r="15" spans="1:22" x14ac:dyDescent="0.25">
      <c r="A15" s="184"/>
      <c r="B15" s="185"/>
      <c r="C15" s="185"/>
      <c r="D15" s="166"/>
      <c r="E15" s="166"/>
    </row>
    <row r="16" spans="1:22" x14ac:dyDescent="0.25">
      <c r="A16" s="184"/>
      <c r="B16" s="185"/>
      <c r="C16" s="185"/>
      <c r="D16" s="166"/>
      <c r="E16" s="166"/>
    </row>
    <row r="17" spans="1:5" x14ac:dyDescent="0.25">
      <c r="A17" s="184"/>
      <c r="B17" s="185"/>
      <c r="C17" s="185"/>
      <c r="D17" s="166"/>
      <c r="E17" s="166"/>
    </row>
    <row r="18" spans="1:5" x14ac:dyDescent="0.25">
      <c r="A18" s="184"/>
      <c r="B18" s="185"/>
      <c r="C18" s="185"/>
      <c r="D18" s="166"/>
      <c r="E18" s="166"/>
    </row>
    <row r="19" spans="1:5" x14ac:dyDescent="0.25">
      <c r="A19" s="184"/>
      <c r="B19" s="185"/>
      <c r="C19" s="185"/>
      <c r="D19" s="166"/>
      <c r="E19" s="166"/>
    </row>
    <row r="20" spans="1:5" x14ac:dyDescent="0.25">
      <c r="A20" s="184"/>
      <c r="B20" s="185"/>
      <c r="C20" s="185"/>
      <c r="D20" s="166"/>
      <c r="E20" s="186"/>
    </row>
    <row r="21" spans="1:5" x14ac:dyDescent="0.25">
      <c r="A21" s="184"/>
      <c r="B21" s="185"/>
      <c r="C21" s="185"/>
      <c r="D21" s="166"/>
      <c r="E21" s="166"/>
    </row>
    <row r="22" spans="1:5" x14ac:dyDescent="0.25">
      <c r="A22" s="184"/>
      <c r="B22" s="185"/>
      <c r="C22" s="185"/>
      <c r="D22" s="166"/>
      <c r="E22" s="166"/>
    </row>
    <row r="23" spans="1:5" x14ac:dyDescent="0.25">
      <c r="A23" s="184"/>
      <c r="B23" s="185"/>
      <c r="C23" s="185"/>
      <c r="D23" s="166"/>
      <c r="E23" s="166"/>
    </row>
    <row r="24" spans="1:5" x14ac:dyDescent="0.25">
      <c r="A24" s="184"/>
      <c r="B24" s="185"/>
      <c r="C24" s="185"/>
      <c r="D24" s="166"/>
      <c r="E24" s="166"/>
    </row>
    <row r="25" spans="1:5" x14ac:dyDescent="0.25">
      <c r="A25" s="184"/>
      <c r="B25" s="185"/>
      <c r="C25" s="185"/>
      <c r="D25" s="166"/>
      <c r="E25" s="166"/>
    </row>
    <row r="26" spans="1:5" x14ac:dyDescent="0.25">
      <c r="A26" s="187"/>
      <c r="B26" s="188"/>
      <c r="C26" s="188"/>
    </row>
    <row r="27" spans="1:5" x14ac:dyDescent="0.25">
      <c r="A27" s="187"/>
      <c r="B27" s="188"/>
      <c r="C27" s="188"/>
    </row>
    <row r="28" spans="1:5" x14ac:dyDescent="0.25">
      <c r="A28" s="189"/>
    </row>
    <row r="44" spans="5:5" x14ac:dyDescent="0.25">
      <c r="E44" s="190"/>
    </row>
    <row r="114" spans="4:20" x14ac:dyDescent="0.25">
      <c r="D114" s="92"/>
      <c r="E114" s="92"/>
      <c r="F114" s="191"/>
      <c r="G114" s="92"/>
      <c r="H114" s="92"/>
      <c r="I114" s="92"/>
      <c r="J114" s="92"/>
      <c r="K114" s="92"/>
      <c r="L114" s="92"/>
      <c r="M114" s="92"/>
      <c r="N114" s="191"/>
      <c r="O114" s="92"/>
      <c r="P114" s="92"/>
      <c r="Q114" s="92"/>
      <c r="R114" s="92"/>
      <c r="S114" s="191"/>
      <c r="T114" s="191"/>
    </row>
  </sheetData>
  <pageMargins left="0.7" right="0.7" top="0.75" bottom="0.75" header="0.3" footer="0.3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14"/>
  <sheetViews>
    <sheetView zoomScale="85" zoomScaleNormal="85" workbookViewId="0">
      <selection activeCell="S7" sqref="S7"/>
    </sheetView>
  </sheetViews>
  <sheetFormatPr defaultRowHeight="15" x14ac:dyDescent="0.25"/>
  <cols>
    <col min="1" max="1" width="15.28515625" style="232" customWidth="1"/>
    <col min="2" max="2" width="14.28515625" style="232" bestFit="1" customWidth="1"/>
    <col min="3" max="3" width="4" style="232" bestFit="1" customWidth="1"/>
    <col min="4" max="4" width="13.28515625" style="232" bestFit="1" customWidth="1"/>
    <col min="5" max="5" width="10" style="232" customWidth="1"/>
    <col min="6" max="6" width="10.28515625" style="166" bestFit="1" customWidth="1"/>
    <col min="7" max="9" width="13.28515625" style="232" bestFit="1" customWidth="1"/>
    <col min="10" max="10" width="14.42578125" style="232" customWidth="1"/>
    <col min="11" max="11" width="14.28515625" style="232" bestFit="1" customWidth="1"/>
    <col min="12" max="12" width="7.42578125" style="232" bestFit="1" customWidth="1"/>
    <col min="13" max="13" width="10" style="166" bestFit="1" customWidth="1"/>
    <col min="14" max="14" width="12" style="232" bestFit="1" customWidth="1"/>
    <col min="15" max="15" width="7.28515625" style="232" bestFit="1" customWidth="1"/>
    <col min="16" max="16" width="9.85546875" style="232" bestFit="1" customWidth="1"/>
    <col min="17" max="17" width="10.42578125" style="166" bestFit="1" customWidth="1"/>
    <col min="18" max="18" width="8.140625" style="166" bestFit="1" customWidth="1"/>
    <col min="19" max="19" width="10.42578125" style="166" bestFit="1" customWidth="1"/>
  </cols>
  <sheetData>
    <row r="1" spans="1:21" x14ac:dyDescent="0.25">
      <c r="A1" s="76" t="s">
        <v>149</v>
      </c>
      <c r="B1" s="76"/>
      <c r="C1" s="77"/>
      <c r="D1" s="152"/>
      <c r="E1" s="152"/>
      <c r="F1" s="153"/>
      <c r="G1" s="154"/>
      <c r="H1" s="76"/>
      <c r="I1" s="76"/>
      <c r="J1" s="76"/>
      <c r="K1" s="76"/>
      <c r="L1" s="76"/>
      <c r="M1" s="155"/>
      <c r="N1" s="76"/>
      <c r="O1" s="76"/>
      <c r="P1" s="76"/>
      <c r="Q1" s="192"/>
      <c r="R1" s="155"/>
      <c r="S1" s="155"/>
    </row>
    <row r="2" spans="1:21" x14ac:dyDescent="0.25">
      <c r="A2" s="76" t="s">
        <v>23</v>
      </c>
      <c r="B2" s="76"/>
      <c r="C2" s="200">
        <v>360</v>
      </c>
      <c r="D2" s="156" t="s">
        <v>24</v>
      </c>
      <c r="E2" s="154"/>
      <c r="F2" s="157"/>
      <c r="G2" s="154"/>
      <c r="H2" s="76"/>
      <c r="I2" s="76"/>
      <c r="J2" s="76"/>
      <c r="K2" s="76"/>
      <c r="L2" s="76"/>
      <c r="M2" s="155"/>
      <c r="N2" s="76"/>
      <c r="O2" s="76"/>
      <c r="P2" s="76"/>
      <c r="Q2" s="192"/>
      <c r="R2" s="155"/>
      <c r="S2" s="155"/>
    </row>
    <row r="3" spans="1:21" x14ac:dyDescent="0.25">
      <c r="A3" s="76"/>
      <c r="B3" s="76"/>
      <c r="C3" s="76"/>
      <c r="D3" s="154"/>
      <c r="E3" s="154"/>
      <c r="F3" s="157"/>
      <c r="G3" s="154"/>
      <c r="H3" s="76"/>
      <c r="I3" s="76"/>
      <c r="J3" s="76"/>
      <c r="K3" s="76"/>
      <c r="L3" s="76"/>
      <c r="M3" s="155"/>
      <c r="N3" s="76"/>
      <c r="O3" s="76"/>
      <c r="P3" s="76"/>
      <c r="Q3" s="192"/>
      <c r="R3" s="155"/>
      <c r="S3" s="155"/>
    </row>
    <row r="4" spans="1:21" ht="106.15" customHeight="1" x14ac:dyDescent="0.25">
      <c r="A4" s="81"/>
      <c r="B4" s="201" t="s">
        <v>187</v>
      </c>
      <c r="C4" s="89"/>
      <c r="D4" s="158"/>
      <c r="E4" s="158"/>
      <c r="F4" s="159" t="s">
        <v>26</v>
      </c>
      <c r="G4" s="160" t="s">
        <v>188</v>
      </c>
      <c r="H4" s="160" t="s">
        <v>59</v>
      </c>
      <c r="I4" s="161" t="s">
        <v>189</v>
      </c>
      <c r="J4" s="162" t="s">
        <v>190</v>
      </c>
      <c r="K4" s="163" t="s">
        <v>191</v>
      </c>
      <c r="L4" s="163"/>
      <c r="M4" s="164"/>
      <c r="N4" s="89"/>
      <c r="O4" s="89"/>
      <c r="P4" s="299"/>
      <c r="Q4" s="193"/>
      <c r="R4" s="159" t="s">
        <v>28</v>
      </c>
      <c r="S4" s="165" t="s">
        <v>192</v>
      </c>
      <c r="T4" s="166"/>
      <c r="U4" s="166"/>
    </row>
    <row r="5" spans="1:21" ht="106.15" customHeight="1" x14ac:dyDescent="0.25">
      <c r="A5" s="81"/>
      <c r="B5" s="89"/>
      <c r="C5" s="167"/>
      <c r="D5" s="84" t="s">
        <v>29</v>
      </c>
      <c r="E5" s="84"/>
      <c r="F5" s="168" t="s">
        <v>152</v>
      </c>
      <c r="G5" s="84" t="s">
        <v>153</v>
      </c>
      <c r="H5" s="84" t="s">
        <v>154</v>
      </c>
      <c r="I5" s="84" t="s">
        <v>193</v>
      </c>
      <c r="J5" s="84" t="s">
        <v>194</v>
      </c>
      <c r="K5" s="84" t="s">
        <v>195</v>
      </c>
      <c r="L5" s="84" t="s">
        <v>31</v>
      </c>
      <c r="M5" s="168" t="s">
        <v>156</v>
      </c>
      <c r="N5" s="84" t="s">
        <v>197</v>
      </c>
      <c r="O5" s="84" t="s">
        <v>198</v>
      </c>
      <c r="P5" s="84" t="s">
        <v>67</v>
      </c>
      <c r="Q5" s="168" t="s">
        <v>199</v>
      </c>
      <c r="R5" s="168" t="s">
        <v>35</v>
      </c>
      <c r="S5" s="168" t="s">
        <v>36</v>
      </c>
      <c r="T5" s="168"/>
      <c r="U5" s="168"/>
    </row>
    <row r="6" spans="1:21" x14ac:dyDescent="0.25">
      <c r="A6" s="81"/>
      <c r="B6" s="169" t="s">
        <v>200</v>
      </c>
      <c r="C6" s="169"/>
      <c r="D6" s="158">
        <v>5000000</v>
      </c>
      <c r="E6" s="158"/>
      <c r="F6" s="170" t="s">
        <v>201</v>
      </c>
      <c r="G6" s="171">
        <f>1+(R6*F6/360)</f>
        <v>1.000071861111111</v>
      </c>
      <c r="H6" s="172">
        <f>1*G6</f>
        <v>1.000071861111111</v>
      </c>
      <c r="I6" s="171">
        <f>H6-1</f>
        <v>7.1861111111015674E-5</v>
      </c>
      <c r="J6" s="171">
        <f>I6</f>
        <v>7.1861111111015674E-5</v>
      </c>
      <c r="K6" s="194">
        <f>J6*360/R6</f>
        <v>2.5869999999965643E-2</v>
      </c>
      <c r="L6" s="174">
        <v>0.02</v>
      </c>
      <c r="M6" s="175">
        <f>K6+L6</f>
        <v>4.5869999999965647E-2</v>
      </c>
      <c r="N6" s="299">
        <f>D6*M6/360*R6</f>
        <v>637.08333333285623</v>
      </c>
      <c r="O6" s="174">
        <v>0</v>
      </c>
      <c r="P6" s="299">
        <f>(F6*O6/360)*R6</f>
        <v>0</v>
      </c>
      <c r="Q6" s="300">
        <f>N6+P6</f>
        <v>637.08333333285623</v>
      </c>
      <c r="R6" s="176">
        <f>B7-B6</f>
        <v>1</v>
      </c>
      <c r="S6" s="300">
        <f>Q6</f>
        <v>637.08333333285623</v>
      </c>
      <c r="T6" s="177"/>
      <c r="U6" s="178"/>
    </row>
    <row r="7" spans="1:21" x14ac:dyDescent="0.25">
      <c r="A7" s="81"/>
      <c r="B7" s="169" t="s">
        <v>203</v>
      </c>
      <c r="C7" s="169"/>
      <c r="D7" s="158">
        <v>5000000</v>
      </c>
      <c r="E7" s="158"/>
      <c r="F7" s="170" t="s">
        <v>204</v>
      </c>
      <c r="G7" s="171">
        <f>1+(R7*F7/360)</f>
        <v>1.0000719166666667</v>
      </c>
      <c r="H7" s="179">
        <f>H6*G7</f>
        <v>1.0001437829457893</v>
      </c>
      <c r="I7" s="180">
        <f>H7-1</f>
        <v>1.4378294578931694E-4</v>
      </c>
      <c r="J7" s="171">
        <f>I7-I6</f>
        <v>7.1921834678301266E-5</v>
      </c>
      <c r="K7" s="194">
        <f>J7*360/R7</f>
        <v>2.5891860484188456E-2</v>
      </c>
      <c r="L7" s="174">
        <v>0.02</v>
      </c>
      <c r="M7" s="175">
        <f>K7+L7</f>
        <v>4.589186048418846E-2</v>
      </c>
      <c r="N7" s="299">
        <f>D7*M7/360*R7</f>
        <v>637.38695116928409</v>
      </c>
      <c r="O7" s="174">
        <v>0</v>
      </c>
      <c r="P7" s="299">
        <f>(F7*O7/360)*R7</f>
        <v>0</v>
      </c>
      <c r="Q7" s="300">
        <f>N7+P7</f>
        <v>637.38695116928409</v>
      </c>
      <c r="R7" s="181">
        <f>B8-B7</f>
        <v>1</v>
      </c>
      <c r="S7" s="300">
        <f>Q6+Q7</f>
        <v>1274.4702845021402</v>
      </c>
      <c r="T7" s="177"/>
      <c r="U7" s="178"/>
    </row>
    <row r="8" spans="1:21" x14ac:dyDescent="0.25">
      <c r="A8" s="81"/>
      <c r="B8" s="169" t="s">
        <v>206</v>
      </c>
      <c r="C8" s="169"/>
      <c r="D8" s="158">
        <v>5000000</v>
      </c>
      <c r="E8" s="158"/>
      <c r="F8" s="170" t="s">
        <v>201</v>
      </c>
      <c r="G8" s="171">
        <f>1+(R8*F8/360)</f>
        <v>1.000071861111111</v>
      </c>
      <c r="H8" s="171">
        <f>H7*G8</f>
        <v>1.0002156543893026</v>
      </c>
      <c r="I8" s="171">
        <f>H8-1</f>
        <v>2.1565438930259972E-4</v>
      </c>
      <c r="J8" s="171">
        <f>I8-I7</f>
        <v>7.1871443513282784E-5</v>
      </c>
      <c r="K8" s="194">
        <f>J8*360/R8</f>
        <v>2.5873719664781802E-2</v>
      </c>
      <c r="L8" s="174">
        <v>0.02</v>
      </c>
      <c r="M8" s="175">
        <f>K8+L8</f>
        <v>4.5873719664781806E-2</v>
      </c>
      <c r="N8" s="299">
        <f>D8*M8/360*R8</f>
        <v>637.13499534419179</v>
      </c>
      <c r="O8" s="174">
        <v>0</v>
      </c>
      <c r="P8" s="299">
        <f>(F8*O8/360)*R8</f>
        <v>0</v>
      </c>
      <c r="Q8" s="300">
        <f>N8+P8</f>
        <v>637.13499534419179</v>
      </c>
      <c r="R8" s="176">
        <f>B9-B8</f>
        <v>1</v>
      </c>
      <c r="S8" s="300">
        <f>Q7+Q8+Q6</f>
        <v>1911.6052798463322</v>
      </c>
      <c r="T8" s="177"/>
      <c r="U8" s="178"/>
    </row>
    <row r="9" spans="1:21" x14ac:dyDescent="0.25">
      <c r="A9" s="81"/>
      <c r="B9" s="169" t="s">
        <v>208</v>
      </c>
      <c r="C9" s="169"/>
      <c r="D9" s="158">
        <v>5000000</v>
      </c>
      <c r="E9" s="158"/>
      <c r="F9" s="170" t="s">
        <v>204</v>
      </c>
      <c r="G9" s="171">
        <f>1+(R9*F9/360)</f>
        <v>1.0000719166666667</v>
      </c>
      <c r="H9" s="171">
        <f>H8*G9</f>
        <v>1.0002875865651142</v>
      </c>
      <c r="I9" s="171">
        <f>H9-1</f>
        <v>2.8758656511418401E-4</v>
      </c>
      <c r="J9" s="171">
        <f>I9-I8</f>
        <v>7.1932175811584287E-5</v>
      </c>
      <c r="K9" s="194">
        <f>J9*360/R9</f>
        <v>2.5895583292170343E-2</v>
      </c>
      <c r="L9" s="174">
        <v>0.02</v>
      </c>
      <c r="M9" s="175">
        <f>K9+L9</f>
        <v>4.5895583292170347E-2</v>
      </c>
      <c r="N9" s="299">
        <f>D9*M9/360*R9</f>
        <v>637.43865683569925</v>
      </c>
      <c r="O9" s="174">
        <v>0</v>
      </c>
      <c r="P9" s="299">
        <f>(F9*O9/360)*R9</f>
        <v>0</v>
      </c>
      <c r="Q9" s="300">
        <f>N9+P9</f>
        <v>637.43865683569925</v>
      </c>
      <c r="R9" s="176">
        <f>B10-B9</f>
        <v>1</v>
      </c>
      <c r="S9" s="300">
        <f>Q8+Q9+Q7+Q6</f>
        <v>2549.043936682031</v>
      </c>
      <c r="T9" s="177"/>
      <c r="U9" s="178"/>
    </row>
    <row r="10" spans="1:21" x14ac:dyDescent="0.25">
      <c r="A10" s="81"/>
      <c r="B10" s="169" t="s">
        <v>210</v>
      </c>
      <c r="C10" s="169"/>
      <c r="D10" s="158">
        <v>5000000</v>
      </c>
      <c r="E10" s="158"/>
      <c r="F10" s="170" t="s">
        <v>211</v>
      </c>
      <c r="G10" s="171">
        <f>1+(R10*F10/360)</f>
        <v>1.0002158333333333</v>
      </c>
      <c r="H10" s="171">
        <f>H9*G10</f>
        <v>1.0005034819692145</v>
      </c>
      <c r="I10" s="171">
        <f>H10-1</f>
        <v>5.0348196921445876E-4</v>
      </c>
      <c r="J10" s="171">
        <f>I10-I9</f>
        <v>2.1589540410027475E-4</v>
      </c>
      <c r="K10" s="194">
        <f>J10*360/R10</f>
        <v>2.590744849203297E-2</v>
      </c>
      <c r="L10" s="174">
        <v>0.02</v>
      </c>
      <c r="M10" s="175">
        <f>K10+L10</f>
        <v>4.5907448492032973E-2</v>
      </c>
      <c r="N10" s="299">
        <f>D10*M10/360*R10</f>
        <v>1912.8103538347073</v>
      </c>
      <c r="O10" s="174">
        <v>0</v>
      </c>
      <c r="P10" s="299">
        <f>(F10*O10/360)*R10</f>
        <v>0</v>
      </c>
      <c r="Q10" s="300">
        <f>N10+P10</f>
        <v>1912.8103538347073</v>
      </c>
      <c r="R10" s="176">
        <f>B11-B10</f>
        <v>3</v>
      </c>
      <c r="S10" s="300">
        <f>Q9+Q10+Q8+Q7+Q6</f>
        <v>4461.8542905167387</v>
      </c>
      <c r="T10" s="177"/>
      <c r="U10" s="178"/>
    </row>
    <row r="11" spans="1:21" x14ac:dyDescent="0.25">
      <c r="A11" s="81"/>
      <c r="B11" s="169" t="s">
        <v>213</v>
      </c>
      <c r="C11" s="169"/>
      <c r="D11" s="158">
        <v>1000000</v>
      </c>
      <c r="E11" s="158"/>
      <c r="F11" s="170"/>
      <c r="G11" s="171"/>
      <c r="H11" s="301"/>
      <c r="I11" s="171"/>
      <c r="J11" s="171"/>
      <c r="K11" s="173"/>
      <c r="L11" s="173"/>
      <c r="M11" s="175"/>
      <c r="N11" s="299"/>
      <c r="O11" s="174"/>
      <c r="P11" s="299"/>
      <c r="Q11" s="300"/>
      <c r="R11" s="182"/>
      <c r="S11" s="155"/>
      <c r="T11" s="166"/>
      <c r="U11" s="166"/>
    </row>
    <row r="12" spans="1:21" x14ac:dyDescent="0.25">
      <c r="A12" s="166"/>
      <c r="B12" s="166"/>
      <c r="C12" s="166"/>
      <c r="D12" s="166"/>
      <c r="E12" s="166"/>
      <c r="T12" s="166"/>
      <c r="U12" s="166"/>
    </row>
    <row r="13" spans="1:21" x14ac:dyDescent="0.25">
      <c r="A13" s="166"/>
      <c r="B13" s="166"/>
      <c r="C13" s="166"/>
      <c r="D13" s="166"/>
      <c r="E13" s="166"/>
      <c r="F13" s="237" t="s">
        <v>214</v>
      </c>
      <c r="G13" s="238">
        <f>1+(R6*F13/360)</f>
        <v>1.0000940555555555</v>
      </c>
      <c r="H13" s="239">
        <f>1*G13</f>
        <v>1.0000940555555555</v>
      </c>
      <c r="I13" s="238">
        <f>H13-1</f>
        <v>9.4055555555527803E-5</v>
      </c>
      <c r="J13" s="238">
        <f>I13</f>
        <v>9.4055555555527803E-5</v>
      </c>
      <c r="K13" s="240">
        <f>J13*360/R6</f>
        <v>3.3859999999990009E-2</v>
      </c>
    </row>
    <row r="14" spans="1:21" x14ac:dyDescent="0.25">
      <c r="A14" s="183"/>
      <c r="B14" s="183"/>
      <c r="C14" s="183"/>
      <c r="D14" s="166"/>
      <c r="E14" s="183"/>
      <c r="F14" s="241"/>
      <c r="G14" s="238">
        <f>1+(R7*F13/360)</f>
        <v>1.0000940555555555</v>
      </c>
      <c r="H14" s="242">
        <f>H13*G14</f>
        <v>1.0001881199575586</v>
      </c>
      <c r="I14" s="243">
        <f>H14-1</f>
        <v>1.8811995755863009E-4</v>
      </c>
      <c r="J14" s="238">
        <f>I14-I13</f>
        <v>9.4064402003102288E-5</v>
      </c>
      <c r="K14" s="240">
        <f>J14*360/R7</f>
        <v>3.3863184721116824E-2</v>
      </c>
    </row>
    <row r="15" spans="1:21" x14ac:dyDescent="0.25">
      <c r="A15" s="184"/>
      <c r="B15" s="185"/>
      <c r="C15" s="185"/>
      <c r="D15" s="166"/>
      <c r="E15" s="166"/>
      <c r="F15" s="241"/>
      <c r="G15" s="238">
        <f>1+(R8*F13/360)</f>
        <v>1.0000940555555555</v>
      </c>
      <c r="H15" s="238">
        <f>H14*G15</f>
        <v>1.0002821932068413</v>
      </c>
      <c r="I15" s="238">
        <f>H15-1</f>
        <v>2.82193206841308E-4</v>
      </c>
      <c r="J15" s="238">
        <f>I15-I14</f>
        <v>9.4073249282677907E-5</v>
      </c>
      <c r="K15" s="240">
        <f>J15*360/R8</f>
        <v>3.3866369741764046E-2</v>
      </c>
    </row>
    <row r="16" spans="1:21" x14ac:dyDescent="0.25">
      <c r="A16" s="184"/>
      <c r="B16" s="185"/>
      <c r="C16" s="185"/>
      <c r="D16" s="166"/>
      <c r="E16" s="166"/>
      <c r="F16" s="241"/>
      <c r="G16" s="238">
        <f>1+(R9*F13/360)</f>
        <v>1.0000940555555555</v>
      </c>
      <c r="H16" s="238">
        <f>H15*G16</f>
        <v>1.0003762753042358</v>
      </c>
      <c r="I16" s="238">
        <f>H16-1</f>
        <v>3.762753042357847E-4</v>
      </c>
      <c r="J16" s="238">
        <f>I16-I15</f>
        <v>9.4082097394476705E-5</v>
      </c>
      <c r="K16" s="240">
        <f>J16*360/R9</f>
        <v>3.3869555062011614E-2</v>
      </c>
    </row>
    <row r="17" spans="1:11" x14ac:dyDescent="0.25">
      <c r="A17" s="184"/>
      <c r="B17" s="185"/>
      <c r="C17" s="185"/>
      <c r="D17" s="166"/>
      <c r="E17" s="166"/>
      <c r="F17" s="244"/>
      <c r="G17" s="238"/>
      <c r="H17" s="238"/>
      <c r="I17" s="238"/>
      <c r="J17" s="238"/>
      <c r="K17" s="240"/>
    </row>
    <row r="18" spans="1:11" x14ac:dyDescent="0.25">
      <c r="A18" s="184"/>
      <c r="B18" s="185"/>
      <c r="C18" s="185"/>
      <c r="D18" s="166"/>
      <c r="E18" s="166"/>
      <c r="F18" s="245" t="s">
        <v>215</v>
      </c>
    </row>
    <row r="19" spans="1:11" x14ac:dyDescent="0.25">
      <c r="A19" s="184"/>
      <c r="B19" s="185"/>
      <c r="C19" s="185"/>
      <c r="D19" s="166"/>
      <c r="E19" s="166"/>
    </row>
    <row r="20" spans="1:11" x14ac:dyDescent="0.25">
      <c r="A20" s="184"/>
      <c r="B20" s="185"/>
      <c r="C20" s="185"/>
      <c r="D20" s="166"/>
      <c r="E20" s="186"/>
    </row>
    <row r="21" spans="1:11" x14ac:dyDescent="0.25">
      <c r="A21" s="184"/>
      <c r="B21" s="185"/>
      <c r="C21" s="185"/>
      <c r="D21" s="166"/>
      <c r="E21" s="166"/>
    </row>
    <row r="22" spans="1:11" x14ac:dyDescent="0.25">
      <c r="A22" s="184"/>
      <c r="B22" s="185"/>
      <c r="C22" s="185"/>
      <c r="D22" s="166"/>
      <c r="E22" s="166"/>
    </row>
    <row r="23" spans="1:11" x14ac:dyDescent="0.25">
      <c r="A23" s="184"/>
      <c r="B23" s="185"/>
      <c r="C23" s="185"/>
      <c r="D23" s="166"/>
      <c r="E23" s="166"/>
    </row>
    <row r="24" spans="1:11" x14ac:dyDescent="0.25">
      <c r="A24" s="184"/>
      <c r="B24" s="185"/>
      <c r="C24" s="185"/>
      <c r="D24" s="166"/>
      <c r="E24" s="166"/>
    </row>
    <row r="25" spans="1:11" x14ac:dyDescent="0.25">
      <c r="A25" s="184"/>
      <c r="B25" s="185"/>
      <c r="C25" s="185"/>
      <c r="D25" s="166"/>
      <c r="E25" s="166"/>
    </row>
    <row r="26" spans="1:11" x14ac:dyDescent="0.25">
      <c r="A26" s="187"/>
      <c r="B26" s="188"/>
      <c r="C26" s="188"/>
    </row>
    <row r="27" spans="1:11" x14ac:dyDescent="0.25">
      <c r="A27" s="187"/>
      <c r="B27" s="188"/>
      <c r="C27" s="188"/>
    </row>
    <row r="28" spans="1:11" x14ac:dyDescent="0.25">
      <c r="A28" s="189"/>
    </row>
    <row r="44" spans="5:5" x14ac:dyDescent="0.25">
      <c r="E44" s="190"/>
    </row>
    <row r="114" spans="4:19" x14ac:dyDescent="0.25">
      <c r="D114" s="92"/>
      <c r="E114" s="92"/>
      <c r="F114" s="191"/>
      <c r="G114" s="92"/>
      <c r="H114" s="92"/>
      <c r="I114" s="92"/>
      <c r="J114" s="92"/>
      <c r="K114" s="92"/>
      <c r="L114" s="92"/>
      <c r="M114" s="191"/>
      <c r="N114" s="92"/>
      <c r="O114" s="92"/>
      <c r="P114" s="92"/>
      <c r="Q114" s="191"/>
      <c r="R114" s="191"/>
      <c r="S114" s="19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Document Control</vt:lpstr>
      <vt:lpstr>SimpleARR</vt:lpstr>
      <vt:lpstr>SimpleAverageConstant</vt:lpstr>
      <vt:lpstr>SimpleAverageVarying</vt:lpstr>
      <vt:lpstr>CompoundedInArrearsConstant</vt:lpstr>
      <vt:lpstr>CompoundedInArrearsVarying</vt:lpstr>
      <vt:lpstr>DailyRateCompoundingWithOPS</vt:lpstr>
      <vt:lpstr>DailyRateCompounding</vt:lpstr>
      <vt:lpstr>DailyRateCompoundingCalcRate</vt:lpstr>
      <vt:lpstr>CompoundedInArrearsConstant!Print_Area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Lingat, Ralph Joshua</cp:lastModifiedBy>
  <cp:lastPrinted>2020-03-10T17:13:28Z</cp:lastPrinted>
  <dcterms:created xsi:type="dcterms:W3CDTF">2019-11-07T20:32:14Z</dcterms:created>
  <dcterms:modified xsi:type="dcterms:W3CDTF">2022-02-25T10:48:33Z</dcterms:modified>
</cp:coreProperties>
</file>