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miller-moran\WDNOptimizer\non-dominated solutions\"/>
    </mc:Choice>
  </mc:AlternateContent>
  <xr:revisionPtr revIDLastSave="0" documentId="13_ncr:1_{D6A2FB97-ABD9-4D67-BFF3-12341251E520}" xr6:coauthVersionLast="47" xr6:coauthVersionMax="47" xr10:uidLastSave="{00000000-0000-0000-0000-000000000000}"/>
  <bookViews>
    <workbookView xWindow="-28920" yWindow="870" windowWidth="29040" windowHeight="17640" activeTab="2" xr2:uid="{00000000-000D-0000-FFFF-FFFF00000000}"/>
  </bookViews>
  <sheets>
    <sheet name="Sheet1" sheetId="1" r:id="rId1"/>
    <sheet name="2022 pipes" sheetId="2" r:id="rId2"/>
    <sheet name="2043 pipes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8" i="3" l="1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G87" i="2"/>
  <c r="G108" i="2"/>
  <c r="G276" i="2"/>
  <c r="G279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F277" i="2"/>
  <c r="G277" i="2" s="1"/>
  <c r="F278" i="2"/>
  <c r="G278" i="2" s="1"/>
  <c r="F279" i="2"/>
  <c r="F280" i="2"/>
  <c r="G280" i="2" s="1"/>
  <c r="G281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U11" i="3"/>
  <c r="W73" i="3"/>
  <c r="W74" i="3"/>
  <c r="W75" i="3"/>
  <c r="W76" i="3"/>
  <c r="M297" i="3"/>
  <c r="U9" i="3" l="1"/>
  <c r="J2" i="3"/>
  <c r="O2" i="3" s="1"/>
  <c r="J3" i="3"/>
  <c r="O3" i="3" s="1"/>
  <c r="J4" i="3"/>
  <c r="O4" i="3" s="1"/>
  <c r="J5" i="3"/>
  <c r="O5" i="3" s="1"/>
  <c r="J6" i="3"/>
  <c r="O6" i="3" s="1"/>
  <c r="J7" i="3"/>
  <c r="O7" i="3" s="1"/>
  <c r="J8" i="3"/>
  <c r="O8" i="3" s="1"/>
  <c r="J9" i="3"/>
  <c r="O9" i="3" s="1"/>
  <c r="J10" i="3"/>
  <c r="O10" i="3" s="1"/>
  <c r="J11" i="3"/>
  <c r="O11" i="3" s="1"/>
  <c r="J12" i="3"/>
  <c r="O12" i="3" s="1"/>
  <c r="J13" i="3"/>
  <c r="O13" i="3" s="1"/>
  <c r="J14" i="3"/>
  <c r="O14" i="3" s="1"/>
  <c r="J15" i="3"/>
  <c r="O15" i="3" s="1"/>
  <c r="J16" i="3"/>
  <c r="O16" i="3" s="1"/>
  <c r="J17" i="3"/>
  <c r="O17" i="3" s="1"/>
  <c r="J18" i="3"/>
  <c r="O18" i="3" s="1"/>
  <c r="J19" i="3"/>
  <c r="O19" i="3" s="1"/>
  <c r="J20" i="3"/>
  <c r="O20" i="3" s="1"/>
  <c r="J21" i="3"/>
  <c r="O21" i="3" s="1"/>
  <c r="J22" i="3"/>
  <c r="O22" i="3" s="1"/>
  <c r="J23" i="3"/>
  <c r="O23" i="3" s="1"/>
  <c r="J24" i="3"/>
  <c r="O24" i="3" s="1"/>
  <c r="J25" i="3"/>
  <c r="O25" i="3" s="1"/>
  <c r="J26" i="3"/>
  <c r="O26" i="3" s="1"/>
  <c r="J27" i="3"/>
  <c r="O27" i="3" s="1"/>
  <c r="J28" i="3"/>
  <c r="O28" i="3" s="1"/>
  <c r="J29" i="3"/>
  <c r="O29" i="3" s="1"/>
  <c r="J30" i="3"/>
  <c r="O30" i="3" s="1"/>
  <c r="J31" i="3"/>
  <c r="O31" i="3" s="1"/>
  <c r="J32" i="3"/>
  <c r="O32" i="3" s="1"/>
  <c r="J33" i="3"/>
  <c r="O33" i="3" s="1"/>
  <c r="J34" i="3"/>
  <c r="O34" i="3" s="1"/>
  <c r="J35" i="3"/>
  <c r="O35" i="3" s="1"/>
  <c r="J36" i="3"/>
  <c r="O36" i="3" s="1"/>
  <c r="J37" i="3"/>
  <c r="O37" i="3" s="1"/>
  <c r="J38" i="3"/>
  <c r="O38" i="3" s="1"/>
  <c r="J39" i="3"/>
  <c r="O39" i="3" s="1"/>
  <c r="J40" i="3"/>
  <c r="O40" i="3" s="1"/>
  <c r="J41" i="3"/>
  <c r="O41" i="3" s="1"/>
  <c r="J42" i="3"/>
  <c r="O42" i="3" s="1"/>
  <c r="J43" i="3"/>
  <c r="O43" i="3" s="1"/>
  <c r="J44" i="3"/>
  <c r="O44" i="3" s="1"/>
  <c r="J45" i="3"/>
  <c r="O45" i="3" s="1"/>
  <c r="J46" i="3"/>
  <c r="O46" i="3" s="1"/>
  <c r="J47" i="3"/>
  <c r="O47" i="3" s="1"/>
  <c r="J48" i="3"/>
  <c r="O48" i="3" s="1"/>
  <c r="J49" i="3"/>
  <c r="O49" i="3" s="1"/>
  <c r="J50" i="3"/>
  <c r="O50" i="3" s="1"/>
  <c r="J51" i="3"/>
  <c r="O51" i="3" s="1"/>
  <c r="J52" i="3"/>
  <c r="O52" i="3" s="1"/>
  <c r="J53" i="3"/>
  <c r="O53" i="3" s="1"/>
  <c r="J54" i="3"/>
  <c r="O54" i="3" s="1"/>
  <c r="J55" i="3"/>
  <c r="O55" i="3" s="1"/>
  <c r="J56" i="3"/>
  <c r="O56" i="3" s="1"/>
  <c r="J57" i="3"/>
  <c r="O57" i="3" s="1"/>
  <c r="J58" i="3"/>
  <c r="O58" i="3" s="1"/>
  <c r="J59" i="3"/>
  <c r="O59" i="3" s="1"/>
  <c r="J60" i="3"/>
  <c r="O60" i="3" s="1"/>
  <c r="J61" i="3"/>
  <c r="O61" i="3" s="1"/>
  <c r="J62" i="3"/>
  <c r="O62" i="3" s="1"/>
  <c r="J63" i="3"/>
  <c r="O63" i="3" s="1"/>
  <c r="J64" i="3"/>
  <c r="O64" i="3" s="1"/>
  <c r="J65" i="3"/>
  <c r="O65" i="3" s="1"/>
  <c r="J66" i="3"/>
  <c r="O66" i="3" s="1"/>
  <c r="J67" i="3"/>
  <c r="O67" i="3" s="1"/>
  <c r="J68" i="3"/>
  <c r="O68" i="3" s="1"/>
  <c r="J69" i="3"/>
  <c r="O69" i="3" s="1"/>
  <c r="J70" i="3"/>
  <c r="O70" i="3" s="1"/>
  <c r="J71" i="3"/>
  <c r="O71" i="3" s="1"/>
  <c r="J72" i="3"/>
  <c r="O72" i="3" s="1"/>
  <c r="J73" i="3"/>
  <c r="O73" i="3" s="1"/>
  <c r="J74" i="3"/>
  <c r="O74" i="3" s="1"/>
  <c r="J75" i="3"/>
  <c r="O75" i="3" s="1"/>
  <c r="J76" i="3"/>
  <c r="O76" i="3" s="1"/>
  <c r="J77" i="3"/>
  <c r="O77" i="3" s="1"/>
  <c r="J78" i="3"/>
  <c r="O78" i="3" s="1"/>
  <c r="J79" i="3"/>
  <c r="O79" i="3" s="1"/>
  <c r="J80" i="3"/>
  <c r="O80" i="3" s="1"/>
  <c r="J81" i="3"/>
  <c r="O81" i="3" s="1"/>
  <c r="J82" i="3"/>
  <c r="O82" i="3" s="1"/>
  <c r="J83" i="3"/>
  <c r="O83" i="3" s="1"/>
  <c r="J84" i="3"/>
  <c r="O84" i="3" s="1"/>
  <c r="J85" i="3"/>
  <c r="O85" i="3" s="1"/>
  <c r="J86" i="3"/>
  <c r="O86" i="3" s="1"/>
  <c r="J87" i="3"/>
  <c r="O87" i="3" s="1"/>
  <c r="J88" i="3"/>
  <c r="O88" i="3" s="1"/>
  <c r="J89" i="3"/>
  <c r="O89" i="3" s="1"/>
  <c r="J90" i="3"/>
  <c r="O90" i="3" s="1"/>
  <c r="J91" i="3"/>
  <c r="O91" i="3" s="1"/>
  <c r="J92" i="3"/>
  <c r="O92" i="3" s="1"/>
  <c r="J93" i="3"/>
  <c r="O93" i="3" s="1"/>
  <c r="J94" i="3"/>
  <c r="O94" i="3" s="1"/>
  <c r="J95" i="3"/>
  <c r="O95" i="3" s="1"/>
  <c r="J96" i="3"/>
  <c r="O96" i="3" s="1"/>
  <c r="J97" i="3"/>
  <c r="O97" i="3" s="1"/>
  <c r="J98" i="3"/>
  <c r="O98" i="3" s="1"/>
  <c r="J99" i="3"/>
  <c r="O99" i="3" s="1"/>
  <c r="J100" i="3"/>
  <c r="O100" i="3" s="1"/>
  <c r="J101" i="3"/>
  <c r="O101" i="3" s="1"/>
  <c r="J102" i="3"/>
  <c r="O102" i="3" s="1"/>
  <c r="J103" i="3"/>
  <c r="O103" i="3" s="1"/>
  <c r="J104" i="3"/>
  <c r="O104" i="3" s="1"/>
  <c r="J105" i="3"/>
  <c r="O105" i="3" s="1"/>
  <c r="J106" i="3"/>
  <c r="O106" i="3" s="1"/>
  <c r="J107" i="3"/>
  <c r="O107" i="3" s="1"/>
  <c r="J108" i="3"/>
  <c r="O108" i="3" s="1"/>
  <c r="J109" i="3"/>
  <c r="O109" i="3" s="1"/>
  <c r="J110" i="3"/>
  <c r="O110" i="3" s="1"/>
  <c r="J111" i="3"/>
  <c r="O111" i="3" s="1"/>
  <c r="J112" i="3"/>
  <c r="O112" i="3" s="1"/>
  <c r="J113" i="3"/>
  <c r="O113" i="3" s="1"/>
  <c r="J114" i="3"/>
  <c r="O114" i="3" s="1"/>
  <c r="J115" i="3"/>
  <c r="O115" i="3" s="1"/>
  <c r="J116" i="3"/>
  <c r="O116" i="3" s="1"/>
  <c r="J117" i="3"/>
  <c r="O117" i="3" s="1"/>
  <c r="J118" i="3"/>
  <c r="O118" i="3" s="1"/>
  <c r="J119" i="3"/>
  <c r="O119" i="3" s="1"/>
  <c r="J120" i="3"/>
  <c r="O120" i="3" s="1"/>
  <c r="J121" i="3"/>
  <c r="O121" i="3" s="1"/>
  <c r="J122" i="3"/>
  <c r="O122" i="3" s="1"/>
  <c r="J123" i="3"/>
  <c r="O123" i="3" s="1"/>
  <c r="J124" i="3"/>
  <c r="O124" i="3" s="1"/>
  <c r="J125" i="3"/>
  <c r="O125" i="3" s="1"/>
  <c r="J126" i="3"/>
  <c r="O126" i="3" s="1"/>
  <c r="J127" i="3"/>
  <c r="O127" i="3" s="1"/>
  <c r="J128" i="3"/>
  <c r="O128" i="3" s="1"/>
  <c r="J129" i="3"/>
  <c r="O129" i="3" s="1"/>
  <c r="J130" i="3"/>
  <c r="O130" i="3" s="1"/>
  <c r="J131" i="3"/>
  <c r="O131" i="3" s="1"/>
  <c r="J132" i="3"/>
  <c r="O132" i="3" s="1"/>
  <c r="J133" i="3"/>
  <c r="O133" i="3" s="1"/>
  <c r="J134" i="3"/>
  <c r="O134" i="3" s="1"/>
  <c r="J135" i="3"/>
  <c r="O135" i="3" s="1"/>
  <c r="J136" i="3"/>
  <c r="O136" i="3" s="1"/>
  <c r="J137" i="3"/>
  <c r="O137" i="3" s="1"/>
  <c r="J138" i="3"/>
  <c r="O138" i="3" s="1"/>
  <c r="J139" i="3"/>
  <c r="O139" i="3" s="1"/>
  <c r="J140" i="3"/>
  <c r="O140" i="3" s="1"/>
  <c r="J141" i="3"/>
  <c r="O141" i="3" s="1"/>
  <c r="J142" i="3"/>
  <c r="O142" i="3" s="1"/>
  <c r="J143" i="3"/>
  <c r="O143" i="3" s="1"/>
  <c r="J144" i="3"/>
  <c r="O144" i="3" s="1"/>
  <c r="J145" i="3"/>
  <c r="O145" i="3" s="1"/>
  <c r="J146" i="3"/>
  <c r="O146" i="3" s="1"/>
  <c r="J147" i="3"/>
  <c r="O147" i="3" s="1"/>
  <c r="J148" i="3"/>
  <c r="O148" i="3" s="1"/>
  <c r="J149" i="3"/>
  <c r="O149" i="3" s="1"/>
  <c r="J150" i="3"/>
  <c r="O150" i="3" s="1"/>
  <c r="J151" i="3"/>
  <c r="O151" i="3" s="1"/>
  <c r="J152" i="3"/>
  <c r="O152" i="3" s="1"/>
  <c r="J153" i="3"/>
  <c r="O153" i="3" s="1"/>
  <c r="J154" i="3"/>
  <c r="O154" i="3" s="1"/>
  <c r="J155" i="3"/>
  <c r="O155" i="3" s="1"/>
  <c r="J156" i="3"/>
  <c r="O156" i="3" s="1"/>
  <c r="J157" i="3"/>
  <c r="O157" i="3" s="1"/>
  <c r="J158" i="3"/>
  <c r="O158" i="3" s="1"/>
  <c r="J159" i="3"/>
  <c r="O159" i="3" s="1"/>
  <c r="J160" i="3"/>
  <c r="O160" i="3" s="1"/>
  <c r="J161" i="3"/>
  <c r="O161" i="3" s="1"/>
  <c r="J162" i="3"/>
  <c r="O162" i="3" s="1"/>
  <c r="J163" i="3"/>
  <c r="O163" i="3" s="1"/>
  <c r="J164" i="3"/>
  <c r="O164" i="3" s="1"/>
  <c r="J165" i="3"/>
  <c r="O165" i="3" s="1"/>
  <c r="J166" i="3"/>
  <c r="O166" i="3" s="1"/>
  <c r="J167" i="3"/>
  <c r="O167" i="3" s="1"/>
  <c r="J168" i="3"/>
  <c r="O168" i="3" s="1"/>
  <c r="J169" i="3"/>
  <c r="O169" i="3" s="1"/>
  <c r="J170" i="3"/>
  <c r="O170" i="3" s="1"/>
  <c r="J171" i="3"/>
  <c r="O171" i="3" s="1"/>
  <c r="J172" i="3"/>
  <c r="O172" i="3" s="1"/>
  <c r="J173" i="3"/>
  <c r="O173" i="3" s="1"/>
  <c r="J174" i="3"/>
  <c r="O174" i="3" s="1"/>
  <c r="J175" i="3"/>
  <c r="O175" i="3" s="1"/>
  <c r="J176" i="3"/>
  <c r="O176" i="3" s="1"/>
  <c r="J177" i="3"/>
  <c r="O177" i="3" s="1"/>
  <c r="J178" i="3"/>
  <c r="O178" i="3" s="1"/>
  <c r="J179" i="3"/>
  <c r="O179" i="3" s="1"/>
  <c r="J180" i="3"/>
  <c r="O180" i="3" s="1"/>
  <c r="J181" i="3"/>
  <c r="O181" i="3" s="1"/>
  <c r="J182" i="3"/>
  <c r="O182" i="3" s="1"/>
  <c r="J183" i="3"/>
  <c r="O183" i="3" s="1"/>
  <c r="J184" i="3"/>
  <c r="O184" i="3" s="1"/>
  <c r="J185" i="3"/>
  <c r="O185" i="3" s="1"/>
  <c r="J186" i="3"/>
  <c r="O186" i="3" s="1"/>
  <c r="J187" i="3"/>
  <c r="O187" i="3" s="1"/>
  <c r="J188" i="3"/>
  <c r="O188" i="3" s="1"/>
  <c r="J189" i="3"/>
  <c r="O189" i="3" s="1"/>
  <c r="J190" i="3"/>
  <c r="O190" i="3" s="1"/>
  <c r="J191" i="3"/>
  <c r="O191" i="3" s="1"/>
  <c r="J192" i="3"/>
  <c r="O192" i="3" s="1"/>
  <c r="J193" i="3"/>
  <c r="O193" i="3" s="1"/>
  <c r="J194" i="3"/>
  <c r="O194" i="3" s="1"/>
  <c r="J195" i="3"/>
  <c r="O195" i="3" s="1"/>
  <c r="J196" i="3"/>
  <c r="O196" i="3" s="1"/>
  <c r="J197" i="3"/>
  <c r="O197" i="3" s="1"/>
  <c r="J198" i="3"/>
  <c r="O198" i="3" s="1"/>
  <c r="J199" i="3"/>
  <c r="O199" i="3" s="1"/>
  <c r="J200" i="3"/>
  <c r="O200" i="3" s="1"/>
  <c r="J201" i="3"/>
  <c r="O201" i="3" s="1"/>
  <c r="J202" i="3"/>
  <c r="O202" i="3" s="1"/>
  <c r="J203" i="3"/>
  <c r="O203" i="3" s="1"/>
  <c r="J204" i="3"/>
  <c r="O204" i="3" s="1"/>
  <c r="J205" i="3"/>
  <c r="O205" i="3" s="1"/>
  <c r="J206" i="3"/>
  <c r="O206" i="3" s="1"/>
  <c r="J207" i="3"/>
  <c r="O207" i="3" s="1"/>
  <c r="J208" i="3"/>
  <c r="O208" i="3" s="1"/>
  <c r="J209" i="3"/>
  <c r="O209" i="3" s="1"/>
  <c r="J210" i="3"/>
  <c r="O210" i="3" s="1"/>
  <c r="J211" i="3"/>
  <c r="O211" i="3" s="1"/>
  <c r="J212" i="3"/>
  <c r="O212" i="3" s="1"/>
  <c r="J213" i="3"/>
  <c r="O213" i="3" s="1"/>
  <c r="J214" i="3"/>
  <c r="O214" i="3" s="1"/>
  <c r="J215" i="3"/>
  <c r="O215" i="3" s="1"/>
  <c r="J216" i="3"/>
  <c r="O216" i="3" s="1"/>
  <c r="J217" i="3"/>
  <c r="O217" i="3" s="1"/>
  <c r="J218" i="3"/>
  <c r="O218" i="3" s="1"/>
  <c r="J219" i="3"/>
  <c r="O219" i="3" s="1"/>
  <c r="J220" i="3"/>
  <c r="O220" i="3" s="1"/>
  <c r="J221" i="3"/>
  <c r="O221" i="3" s="1"/>
  <c r="J222" i="3"/>
  <c r="O222" i="3" s="1"/>
  <c r="J223" i="3"/>
  <c r="O223" i="3" s="1"/>
  <c r="J224" i="3"/>
  <c r="O224" i="3" s="1"/>
  <c r="J225" i="3"/>
  <c r="O225" i="3" s="1"/>
  <c r="J226" i="3"/>
  <c r="O226" i="3" s="1"/>
  <c r="J227" i="3"/>
  <c r="O227" i="3" s="1"/>
  <c r="J228" i="3"/>
  <c r="O228" i="3" s="1"/>
  <c r="J229" i="3"/>
  <c r="O229" i="3" s="1"/>
  <c r="J230" i="3"/>
  <c r="O230" i="3" s="1"/>
  <c r="J231" i="3"/>
  <c r="O231" i="3" s="1"/>
  <c r="J232" i="3"/>
  <c r="O232" i="3" s="1"/>
  <c r="J233" i="3"/>
  <c r="O233" i="3" s="1"/>
  <c r="J234" i="3"/>
  <c r="O234" i="3" s="1"/>
  <c r="J235" i="3"/>
  <c r="O235" i="3" s="1"/>
  <c r="J236" i="3"/>
  <c r="O236" i="3" s="1"/>
  <c r="J237" i="3"/>
  <c r="O237" i="3" s="1"/>
  <c r="J238" i="3"/>
  <c r="O238" i="3" s="1"/>
  <c r="J239" i="3"/>
  <c r="O239" i="3" s="1"/>
  <c r="J240" i="3"/>
  <c r="O240" i="3" s="1"/>
  <c r="J241" i="3"/>
  <c r="O241" i="3" s="1"/>
  <c r="J242" i="3"/>
  <c r="O242" i="3" s="1"/>
  <c r="J243" i="3"/>
  <c r="O243" i="3" s="1"/>
  <c r="J244" i="3"/>
  <c r="O244" i="3" s="1"/>
  <c r="J245" i="3"/>
  <c r="O245" i="3" s="1"/>
  <c r="J246" i="3"/>
  <c r="O246" i="3" s="1"/>
  <c r="J247" i="3"/>
  <c r="O247" i="3" s="1"/>
  <c r="J248" i="3"/>
  <c r="O248" i="3" s="1"/>
  <c r="J249" i="3"/>
  <c r="O249" i="3" s="1"/>
  <c r="J250" i="3"/>
  <c r="O250" i="3" s="1"/>
  <c r="J251" i="3"/>
  <c r="O251" i="3" s="1"/>
  <c r="J252" i="3"/>
  <c r="O252" i="3" s="1"/>
  <c r="J253" i="3"/>
  <c r="O253" i="3" s="1"/>
  <c r="J254" i="3"/>
  <c r="O254" i="3" s="1"/>
  <c r="J255" i="3"/>
  <c r="O255" i="3" s="1"/>
  <c r="J256" i="3"/>
  <c r="O256" i="3" s="1"/>
  <c r="J257" i="3"/>
  <c r="O257" i="3" s="1"/>
  <c r="J258" i="3"/>
  <c r="O258" i="3" s="1"/>
  <c r="J259" i="3"/>
  <c r="O259" i="3" s="1"/>
  <c r="J260" i="3"/>
  <c r="O260" i="3" s="1"/>
  <c r="J261" i="3"/>
  <c r="O261" i="3" s="1"/>
  <c r="J262" i="3"/>
  <c r="O262" i="3" s="1"/>
  <c r="J263" i="3"/>
  <c r="O263" i="3" s="1"/>
  <c r="J264" i="3"/>
  <c r="O264" i="3" s="1"/>
  <c r="J265" i="3"/>
  <c r="O265" i="3" s="1"/>
  <c r="J266" i="3"/>
  <c r="O266" i="3" s="1"/>
  <c r="J267" i="3"/>
  <c r="O267" i="3" s="1"/>
  <c r="J268" i="3"/>
  <c r="O268" i="3" s="1"/>
  <c r="J269" i="3"/>
  <c r="O269" i="3" s="1"/>
  <c r="J270" i="3"/>
  <c r="O270" i="3" s="1"/>
  <c r="J271" i="3"/>
  <c r="O271" i="3" s="1"/>
  <c r="J272" i="3"/>
  <c r="O272" i="3" s="1"/>
  <c r="J273" i="3"/>
  <c r="O273" i="3" s="1"/>
  <c r="J274" i="3"/>
  <c r="O274" i="3" s="1"/>
  <c r="J275" i="3"/>
  <c r="O275" i="3" s="1"/>
  <c r="J276" i="3"/>
  <c r="O276" i="3" s="1"/>
  <c r="J277" i="3"/>
  <c r="O277" i="3" s="1"/>
  <c r="J278" i="3"/>
  <c r="O278" i="3" s="1"/>
  <c r="J279" i="3"/>
  <c r="O279" i="3" s="1"/>
  <c r="J280" i="3"/>
  <c r="O280" i="3" s="1"/>
  <c r="J281" i="3"/>
  <c r="O281" i="3" s="1"/>
  <c r="J282" i="3"/>
  <c r="O282" i="3" s="1"/>
  <c r="J283" i="3"/>
  <c r="O283" i="3" s="1"/>
  <c r="J284" i="3"/>
  <c r="O284" i="3" s="1"/>
  <c r="J285" i="3"/>
  <c r="O285" i="3" s="1"/>
  <c r="J286" i="3"/>
  <c r="O286" i="3" s="1"/>
  <c r="J287" i="3"/>
  <c r="O287" i="3" s="1"/>
  <c r="J288" i="3"/>
  <c r="O288" i="3" s="1"/>
  <c r="J289" i="3"/>
  <c r="O289" i="3" s="1"/>
  <c r="J290" i="3"/>
  <c r="O290" i="3" s="1"/>
  <c r="J291" i="3"/>
  <c r="O291" i="3" s="1"/>
  <c r="J292" i="3"/>
  <c r="O292" i="3" s="1"/>
  <c r="J293" i="3"/>
  <c r="O293" i="3" s="1"/>
  <c r="J294" i="3"/>
  <c r="O294" i="3" s="1"/>
  <c r="J295" i="3"/>
  <c r="O295" i="3" s="1"/>
  <c r="J296" i="3"/>
  <c r="O296" i="3" s="1"/>
  <c r="J297" i="3"/>
  <c r="O297" i="3" s="1"/>
  <c r="O298" i="3" l="1"/>
  <c r="M278" i="3"/>
  <c r="M230" i="3"/>
  <c r="M182" i="3"/>
  <c r="M142" i="3"/>
  <c r="M93" i="3"/>
  <c r="M29" i="3"/>
  <c r="M261" i="3"/>
  <c r="M213" i="3"/>
  <c r="M173" i="3"/>
  <c r="M141" i="3"/>
  <c r="M84" i="3"/>
  <c r="M20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89" i="3"/>
  <c r="M81" i="3"/>
  <c r="M73" i="3"/>
  <c r="M65" i="3"/>
  <c r="M57" i="3"/>
  <c r="M49" i="3"/>
  <c r="M41" i="3"/>
  <c r="M33" i="3"/>
  <c r="M25" i="3"/>
  <c r="M17" i="3"/>
  <c r="M9" i="3"/>
  <c r="M294" i="3"/>
  <c r="M246" i="3"/>
  <c r="M214" i="3"/>
  <c r="M166" i="3"/>
  <c r="M126" i="3"/>
  <c r="M77" i="3"/>
  <c r="M21" i="3"/>
  <c r="M285" i="3"/>
  <c r="M237" i="3"/>
  <c r="M189" i="3"/>
  <c r="M101" i="3"/>
  <c r="M289" i="3"/>
  <c r="M281" i="3"/>
  <c r="M273" i="3"/>
  <c r="M265" i="3"/>
  <c r="M257" i="3"/>
  <c r="M249" i="3"/>
  <c r="M241" i="3"/>
  <c r="M233" i="3"/>
  <c r="M225" i="3"/>
  <c r="M217" i="3"/>
  <c r="M209" i="3"/>
  <c r="M201" i="3"/>
  <c r="M193" i="3"/>
  <c r="M185" i="3"/>
  <c r="M177" i="3"/>
  <c r="M169" i="3"/>
  <c r="M161" i="3"/>
  <c r="M153" i="3"/>
  <c r="M145" i="3"/>
  <c r="M137" i="3"/>
  <c r="M129" i="3"/>
  <c r="M121" i="3"/>
  <c r="M113" i="3"/>
  <c r="M105" i="3"/>
  <c r="M97" i="3"/>
  <c r="M88" i="3"/>
  <c r="M80" i="3"/>
  <c r="M72" i="3"/>
  <c r="M64" i="3"/>
  <c r="M56" i="3"/>
  <c r="M48" i="3"/>
  <c r="M40" i="3"/>
  <c r="M32" i="3"/>
  <c r="M24" i="3"/>
  <c r="M16" i="3"/>
  <c r="M8" i="3"/>
  <c r="M270" i="3"/>
  <c r="M222" i="3"/>
  <c r="M174" i="3"/>
  <c r="M134" i="3"/>
  <c r="M102" i="3"/>
  <c r="M69" i="3"/>
  <c r="M13" i="3"/>
  <c r="M293" i="3"/>
  <c r="M245" i="3"/>
  <c r="M205" i="3"/>
  <c r="M157" i="3"/>
  <c r="M117" i="3"/>
  <c r="M76" i="3"/>
  <c r="M28" i="3"/>
  <c r="M296" i="3"/>
  <c r="M288" i="3"/>
  <c r="M280" i="3"/>
  <c r="M272" i="3"/>
  <c r="M264" i="3"/>
  <c r="M256" i="3"/>
  <c r="M248" i="3"/>
  <c r="M240" i="3"/>
  <c r="M232" i="3"/>
  <c r="M224" i="3"/>
  <c r="M216" i="3"/>
  <c r="M208" i="3"/>
  <c r="M200" i="3"/>
  <c r="M192" i="3"/>
  <c r="M184" i="3"/>
  <c r="M176" i="3"/>
  <c r="M168" i="3"/>
  <c r="M160" i="3"/>
  <c r="M152" i="3"/>
  <c r="M144" i="3"/>
  <c r="M136" i="3"/>
  <c r="M128" i="3"/>
  <c r="M120" i="3"/>
  <c r="M112" i="3"/>
  <c r="M104" i="3"/>
  <c r="M96" i="3"/>
  <c r="M87" i="3"/>
  <c r="M79" i="3"/>
  <c r="M71" i="3"/>
  <c r="M63" i="3"/>
  <c r="M55" i="3"/>
  <c r="M47" i="3"/>
  <c r="M39" i="3"/>
  <c r="M31" i="3"/>
  <c r="M23" i="3"/>
  <c r="M7" i="3"/>
  <c r="M286" i="3"/>
  <c r="M238" i="3"/>
  <c r="M190" i="3"/>
  <c r="M85" i="3"/>
  <c r="M61" i="3"/>
  <c r="M53" i="3"/>
  <c r="M5" i="3"/>
  <c r="M253" i="3"/>
  <c r="M197" i="3"/>
  <c r="M149" i="3"/>
  <c r="M109" i="3"/>
  <c r="M68" i="3"/>
  <c r="M12" i="3"/>
  <c r="M295" i="3"/>
  <c r="M287" i="3"/>
  <c r="M279" i="3"/>
  <c r="M271" i="3"/>
  <c r="M263" i="3"/>
  <c r="M255" i="3"/>
  <c r="M247" i="3"/>
  <c r="M239" i="3"/>
  <c r="M231" i="3"/>
  <c r="M223" i="3"/>
  <c r="M215" i="3"/>
  <c r="M207" i="3"/>
  <c r="M199" i="3"/>
  <c r="M191" i="3"/>
  <c r="M183" i="3"/>
  <c r="M175" i="3"/>
  <c r="M167" i="3"/>
  <c r="M159" i="3"/>
  <c r="M151" i="3"/>
  <c r="M143" i="3"/>
  <c r="M135" i="3"/>
  <c r="M127" i="3"/>
  <c r="M119" i="3"/>
  <c r="M111" i="3"/>
  <c r="M103" i="3"/>
  <c r="M94" i="3"/>
  <c r="M86" i="3"/>
  <c r="M78" i="3"/>
  <c r="M70" i="3"/>
  <c r="M62" i="3"/>
  <c r="M54" i="3"/>
  <c r="M46" i="3"/>
  <c r="M38" i="3"/>
  <c r="M30" i="3"/>
  <c r="M22" i="3"/>
  <c r="M14" i="3"/>
  <c r="M6" i="3"/>
  <c r="M254" i="3"/>
  <c r="M198" i="3"/>
  <c r="M150" i="3"/>
  <c r="M118" i="3"/>
  <c r="M45" i="3"/>
  <c r="M269" i="3"/>
  <c r="M221" i="3"/>
  <c r="M165" i="3"/>
  <c r="M133" i="3"/>
  <c r="M92" i="3"/>
  <c r="M60" i="3"/>
  <c r="M52" i="3"/>
  <c r="M36" i="3"/>
  <c r="M4" i="3"/>
  <c r="M292" i="3"/>
  <c r="M284" i="3"/>
  <c r="M276" i="3"/>
  <c r="M268" i="3"/>
  <c r="M260" i="3"/>
  <c r="M252" i="3"/>
  <c r="M244" i="3"/>
  <c r="M236" i="3"/>
  <c r="M228" i="3"/>
  <c r="M220" i="3"/>
  <c r="M212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M108" i="3"/>
  <c r="M100" i="3"/>
  <c r="M91" i="3"/>
  <c r="M83" i="3"/>
  <c r="M75" i="3"/>
  <c r="M67" i="3"/>
  <c r="M59" i="3"/>
  <c r="M51" i="3"/>
  <c r="M43" i="3"/>
  <c r="M35" i="3"/>
  <c r="M27" i="3"/>
  <c r="M19" i="3"/>
  <c r="M11" i="3"/>
  <c r="M3" i="3"/>
  <c r="M2" i="3"/>
  <c r="M262" i="3"/>
  <c r="M206" i="3"/>
  <c r="M158" i="3"/>
  <c r="M110" i="3"/>
  <c r="M37" i="3"/>
  <c r="M277" i="3"/>
  <c r="M229" i="3"/>
  <c r="M181" i="3"/>
  <c r="M125" i="3"/>
  <c r="M44" i="3"/>
  <c r="M291" i="3"/>
  <c r="M283" i="3"/>
  <c r="M275" i="3"/>
  <c r="M267" i="3"/>
  <c r="M259" i="3"/>
  <c r="M251" i="3"/>
  <c r="M243" i="3"/>
  <c r="M235" i="3"/>
  <c r="M227" i="3"/>
  <c r="M219" i="3"/>
  <c r="M211" i="3"/>
  <c r="M203" i="3"/>
  <c r="M195" i="3"/>
  <c r="M187" i="3"/>
  <c r="M179" i="3"/>
  <c r="M171" i="3"/>
  <c r="M163" i="3"/>
  <c r="M155" i="3"/>
  <c r="M147" i="3"/>
  <c r="M139" i="3"/>
  <c r="M131" i="3"/>
  <c r="M123" i="3"/>
  <c r="M115" i="3"/>
  <c r="M107" i="3"/>
  <c r="M99" i="3"/>
  <c r="M90" i="3"/>
  <c r="M82" i="3"/>
  <c r="M74" i="3"/>
  <c r="M66" i="3"/>
  <c r="M58" i="3"/>
  <c r="M50" i="3"/>
  <c r="M42" i="3"/>
  <c r="M34" i="3"/>
  <c r="M26" i="3"/>
  <c r="M18" i="3"/>
  <c r="M10" i="3"/>
  <c r="M95" i="3"/>
  <c r="M15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H262" i="3" l="1"/>
  <c r="L262" i="3" s="1"/>
  <c r="Q262" i="3" s="1"/>
  <c r="K262" i="3"/>
  <c r="H260" i="3"/>
  <c r="L260" i="3" s="1"/>
  <c r="Q260" i="3" s="1"/>
  <c r="K260" i="3"/>
  <c r="N260" i="3" s="1"/>
  <c r="H228" i="3"/>
  <c r="L228" i="3" s="1"/>
  <c r="Q228" i="3" s="1"/>
  <c r="K228" i="3"/>
  <c r="N228" i="3" s="1"/>
  <c r="H188" i="3"/>
  <c r="L188" i="3" s="1"/>
  <c r="Q188" i="3" s="1"/>
  <c r="K188" i="3"/>
  <c r="N188" i="3" s="1"/>
  <c r="H148" i="3"/>
  <c r="L148" i="3" s="1"/>
  <c r="Q148" i="3" s="1"/>
  <c r="K148" i="3"/>
  <c r="N148" i="3" s="1"/>
  <c r="H108" i="3"/>
  <c r="L108" i="3" s="1"/>
  <c r="Q108" i="3" s="1"/>
  <c r="K108" i="3"/>
  <c r="N108" i="3" s="1"/>
  <c r="H60" i="3"/>
  <c r="L60" i="3" s="1"/>
  <c r="Q60" i="3" s="1"/>
  <c r="K60" i="3"/>
  <c r="N60" i="3" s="1"/>
  <c r="H259" i="3"/>
  <c r="L259" i="3" s="1"/>
  <c r="K259" i="3"/>
  <c r="N259" i="3" s="1"/>
  <c r="H219" i="3"/>
  <c r="L219" i="3" s="1"/>
  <c r="Q219" i="3" s="1"/>
  <c r="K219" i="3"/>
  <c r="N219" i="3" s="1"/>
  <c r="H187" i="3"/>
  <c r="L187" i="3" s="1"/>
  <c r="Q187" i="3" s="1"/>
  <c r="K187" i="3"/>
  <c r="N187" i="3" s="1"/>
  <c r="H139" i="3"/>
  <c r="L139" i="3" s="1"/>
  <c r="Q139" i="3" s="1"/>
  <c r="K139" i="3"/>
  <c r="N139" i="3" s="1"/>
  <c r="H107" i="3"/>
  <c r="L107" i="3" s="1"/>
  <c r="Q107" i="3" s="1"/>
  <c r="K107" i="3"/>
  <c r="N107" i="3" s="1"/>
  <c r="H59" i="3"/>
  <c r="L59" i="3" s="1"/>
  <c r="Q59" i="3" s="1"/>
  <c r="K59" i="3"/>
  <c r="N59" i="3" s="1"/>
  <c r="H292" i="3"/>
  <c r="L292" i="3" s="1"/>
  <c r="K292" i="3"/>
  <c r="N292" i="3" s="1"/>
  <c r="H252" i="3"/>
  <c r="L252" i="3" s="1"/>
  <c r="Q252" i="3" s="1"/>
  <c r="K252" i="3"/>
  <c r="N252" i="3" s="1"/>
  <c r="H212" i="3"/>
  <c r="L212" i="3" s="1"/>
  <c r="Q212" i="3" s="1"/>
  <c r="K212" i="3"/>
  <c r="N212" i="3" s="1"/>
  <c r="H172" i="3"/>
  <c r="L172" i="3" s="1"/>
  <c r="Q172" i="3" s="1"/>
  <c r="K172" i="3"/>
  <c r="N172" i="3" s="1"/>
  <c r="H124" i="3"/>
  <c r="L124" i="3" s="1"/>
  <c r="Q124" i="3" s="1"/>
  <c r="K124" i="3"/>
  <c r="N124" i="3" s="1"/>
  <c r="H84" i="3"/>
  <c r="L84" i="3" s="1"/>
  <c r="Q84" i="3" s="1"/>
  <c r="K84" i="3"/>
  <c r="N84" i="3" s="1"/>
  <c r="H44" i="3"/>
  <c r="L44" i="3" s="1"/>
  <c r="Q44" i="3" s="1"/>
  <c r="K44" i="3"/>
  <c r="N44" i="3" s="1"/>
  <c r="H291" i="3"/>
  <c r="L291" i="3" s="1"/>
  <c r="K291" i="3"/>
  <c r="N291" i="3" s="1"/>
  <c r="H251" i="3"/>
  <c r="L251" i="3" s="1"/>
  <c r="Q251" i="3" s="1"/>
  <c r="K251" i="3"/>
  <c r="N251" i="3" s="1"/>
  <c r="H211" i="3"/>
  <c r="L211" i="3" s="1"/>
  <c r="Q211" i="3" s="1"/>
  <c r="K211" i="3"/>
  <c r="N211" i="3" s="1"/>
  <c r="H179" i="3"/>
  <c r="L179" i="3" s="1"/>
  <c r="Q179" i="3" s="1"/>
  <c r="K179" i="3"/>
  <c r="N179" i="3" s="1"/>
  <c r="H147" i="3"/>
  <c r="L147" i="3" s="1"/>
  <c r="Q147" i="3" s="1"/>
  <c r="K147" i="3"/>
  <c r="N147" i="3" s="1"/>
  <c r="H115" i="3"/>
  <c r="L115" i="3" s="1"/>
  <c r="Q115" i="3" s="1"/>
  <c r="K115" i="3"/>
  <c r="N115" i="3" s="1"/>
  <c r="H91" i="3"/>
  <c r="L91" i="3" s="1"/>
  <c r="Q91" i="3" s="1"/>
  <c r="K91" i="3"/>
  <c r="N91" i="3" s="1"/>
  <c r="H67" i="3"/>
  <c r="L67" i="3" s="1"/>
  <c r="Q67" i="3" s="1"/>
  <c r="K67" i="3"/>
  <c r="N67" i="3" s="1"/>
  <c r="H43" i="3"/>
  <c r="L43" i="3" s="1"/>
  <c r="Q43" i="3" s="1"/>
  <c r="K43" i="3"/>
  <c r="N43" i="3" s="1"/>
  <c r="H27" i="3"/>
  <c r="L27" i="3" s="1"/>
  <c r="Q27" i="3" s="1"/>
  <c r="K27" i="3"/>
  <c r="N27" i="3" s="1"/>
  <c r="H11" i="3"/>
  <c r="L11" i="3" s="1"/>
  <c r="Q11" i="3" s="1"/>
  <c r="K11" i="3"/>
  <c r="N11" i="3" s="1"/>
  <c r="H290" i="3"/>
  <c r="L290" i="3" s="1"/>
  <c r="K290" i="3"/>
  <c r="N290" i="3" s="1"/>
  <c r="H282" i="3"/>
  <c r="L282" i="3" s="1"/>
  <c r="K282" i="3"/>
  <c r="N282" i="3" s="1"/>
  <c r="H274" i="3"/>
  <c r="L274" i="3" s="1"/>
  <c r="K274" i="3"/>
  <c r="N274" i="3" s="1"/>
  <c r="H266" i="3"/>
  <c r="L266" i="3" s="1"/>
  <c r="Q266" i="3" s="1"/>
  <c r="K266" i="3"/>
  <c r="N266" i="3" s="1"/>
  <c r="H258" i="3"/>
  <c r="L258" i="3" s="1"/>
  <c r="Q258" i="3" s="1"/>
  <c r="K258" i="3"/>
  <c r="N258" i="3" s="1"/>
  <c r="H250" i="3"/>
  <c r="L250" i="3" s="1"/>
  <c r="Q250" i="3" s="1"/>
  <c r="K250" i="3"/>
  <c r="N250" i="3" s="1"/>
  <c r="H242" i="3"/>
  <c r="L242" i="3" s="1"/>
  <c r="Q242" i="3" s="1"/>
  <c r="K242" i="3"/>
  <c r="N242" i="3" s="1"/>
  <c r="H234" i="3"/>
  <c r="L234" i="3" s="1"/>
  <c r="Q234" i="3" s="1"/>
  <c r="K234" i="3"/>
  <c r="N234" i="3" s="1"/>
  <c r="H226" i="3"/>
  <c r="L226" i="3" s="1"/>
  <c r="Q226" i="3" s="1"/>
  <c r="K226" i="3"/>
  <c r="N226" i="3" s="1"/>
  <c r="H218" i="3"/>
  <c r="L218" i="3" s="1"/>
  <c r="Q218" i="3" s="1"/>
  <c r="K218" i="3"/>
  <c r="N218" i="3" s="1"/>
  <c r="H210" i="3"/>
  <c r="L210" i="3" s="1"/>
  <c r="Q210" i="3" s="1"/>
  <c r="K210" i="3"/>
  <c r="N210" i="3" s="1"/>
  <c r="H202" i="3"/>
  <c r="L202" i="3" s="1"/>
  <c r="Q202" i="3" s="1"/>
  <c r="K202" i="3"/>
  <c r="N202" i="3" s="1"/>
  <c r="H194" i="3"/>
  <c r="L194" i="3" s="1"/>
  <c r="K194" i="3"/>
  <c r="N194" i="3" s="1"/>
  <c r="H186" i="3"/>
  <c r="L186" i="3" s="1"/>
  <c r="Q186" i="3" s="1"/>
  <c r="K186" i="3"/>
  <c r="N186" i="3" s="1"/>
  <c r="H178" i="3"/>
  <c r="L178" i="3" s="1"/>
  <c r="Q178" i="3" s="1"/>
  <c r="K178" i="3"/>
  <c r="N178" i="3" s="1"/>
  <c r="H170" i="3"/>
  <c r="L170" i="3" s="1"/>
  <c r="K170" i="3"/>
  <c r="N170" i="3" s="1"/>
  <c r="H162" i="3"/>
  <c r="L162" i="3" s="1"/>
  <c r="Q162" i="3" s="1"/>
  <c r="K162" i="3"/>
  <c r="N162" i="3" s="1"/>
  <c r="H154" i="3"/>
  <c r="L154" i="3" s="1"/>
  <c r="Q154" i="3" s="1"/>
  <c r="K154" i="3"/>
  <c r="N154" i="3" s="1"/>
  <c r="H146" i="3"/>
  <c r="L146" i="3" s="1"/>
  <c r="Q146" i="3" s="1"/>
  <c r="K146" i="3"/>
  <c r="N146" i="3" s="1"/>
  <c r="H138" i="3"/>
  <c r="L138" i="3" s="1"/>
  <c r="Q138" i="3" s="1"/>
  <c r="K138" i="3"/>
  <c r="N138" i="3" s="1"/>
  <c r="H130" i="3"/>
  <c r="L130" i="3" s="1"/>
  <c r="Q130" i="3" s="1"/>
  <c r="K130" i="3"/>
  <c r="N130" i="3" s="1"/>
  <c r="H122" i="3"/>
  <c r="L122" i="3" s="1"/>
  <c r="Q122" i="3" s="1"/>
  <c r="K122" i="3"/>
  <c r="N122" i="3" s="1"/>
  <c r="H114" i="3"/>
  <c r="L114" i="3" s="1"/>
  <c r="Q114" i="3" s="1"/>
  <c r="K114" i="3"/>
  <c r="N114" i="3" s="1"/>
  <c r="H106" i="3"/>
  <c r="L106" i="3" s="1"/>
  <c r="Q106" i="3" s="1"/>
  <c r="K106" i="3"/>
  <c r="N106" i="3" s="1"/>
  <c r="H98" i="3"/>
  <c r="L98" i="3" s="1"/>
  <c r="Q98" i="3" s="1"/>
  <c r="K98" i="3"/>
  <c r="N98" i="3" s="1"/>
  <c r="H90" i="3"/>
  <c r="L90" i="3" s="1"/>
  <c r="Q90" i="3" s="1"/>
  <c r="K90" i="3"/>
  <c r="N90" i="3" s="1"/>
  <c r="H82" i="3"/>
  <c r="L82" i="3" s="1"/>
  <c r="Q82" i="3" s="1"/>
  <c r="K82" i="3"/>
  <c r="N82" i="3" s="1"/>
  <c r="H74" i="3"/>
  <c r="L74" i="3" s="1"/>
  <c r="Q74" i="3" s="1"/>
  <c r="K74" i="3"/>
  <c r="N74" i="3" s="1"/>
  <c r="H66" i="3"/>
  <c r="L66" i="3" s="1"/>
  <c r="Q66" i="3" s="1"/>
  <c r="K66" i="3"/>
  <c r="N66" i="3" s="1"/>
  <c r="H58" i="3"/>
  <c r="L58" i="3" s="1"/>
  <c r="Q58" i="3" s="1"/>
  <c r="K58" i="3"/>
  <c r="N58" i="3" s="1"/>
  <c r="H50" i="3"/>
  <c r="L50" i="3" s="1"/>
  <c r="Q50" i="3" s="1"/>
  <c r="K50" i="3"/>
  <c r="N50" i="3" s="1"/>
  <c r="H42" i="3"/>
  <c r="L42" i="3" s="1"/>
  <c r="Q42" i="3" s="1"/>
  <c r="K42" i="3"/>
  <c r="N42" i="3" s="1"/>
  <c r="H34" i="3"/>
  <c r="L34" i="3" s="1"/>
  <c r="Q34" i="3" s="1"/>
  <c r="K34" i="3"/>
  <c r="N34" i="3" s="1"/>
  <c r="H26" i="3"/>
  <c r="L26" i="3" s="1"/>
  <c r="Q26" i="3" s="1"/>
  <c r="K26" i="3"/>
  <c r="N26" i="3" s="1"/>
  <c r="H18" i="3"/>
  <c r="L18" i="3" s="1"/>
  <c r="Q18" i="3" s="1"/>
  <c r="K18" i="3"/>
  <c r="N18" i="3" s="1"/>
  <c r="H10" i="3"/>
  <c r="L10" i="3" s="1"/>
  <c r="Q10" i="3" s="1"/>
  <c r="K10" i="3"/>
  <c r="N10" i="3" s="1"/>
  <c r="H2" i="3"/>
  <c r="L2" i="3" s="1"/>
  <c r="Q2" i="3" s="1"/>
  <c r="K2" i="3"/>
  <c r="N2" i="3" s="1"/>
  <c r="H286" i="3"/>
  <c r="L286" i="3" s="1"/>
  <c r="K286" i="3"/>
  <c r="N286" i="3" s="1"/>
  <c r="H284" i="3"/>
  <c r="L284" i="3" s="1"/>
  <c r="K284" i="3"/>
  <c r="N284" i="3" s="1"/>
  <c r="H244" i="3"/>
  <c r="L244" i="3" s="1"/>
  <c r="Q244" i="3" s="1"/>
  <c r="K244" i="3"/>
  <c r="N244" i="3" s="1"/>
  <c r="H204" i="3"/>
  <c r="L204" i="3" s="1"/>
  <c r="K204" i="3"/>
  <c r="N204" i="3" s="1"/>
  <c r="H164" i="3"/>
  <c r="L164" i="3" s="1"/>
  <c r="Q164" i="3" s="1"/>
  <c r="K164" i="3"/>
  <c r="H140" i="3"/>
  <c r="L140" i="3" s="1"/>
  <c r="Q140" i="3" s="1"/>
  <c r="K140" i="3"/>
  <c r="N140" i="3" s="1"/>
  <c r="H100" i="3"/>
  <c r="L100" i="3" s="1"/>
  <c r="Q100" i="3" s="1"/>
  <c r="K100" i="3"/>
  <c r="N100" i="3" s="1"/>
  <c r="H68" i="3"/>
  <c r="L68" i="3" s="1"/>
  <c r="Q68" i="3" s="1"/>
  <c r="K68" i="3"/>
  <c r="N68" i="3" s="1"/>
  <c r="H36" i="3"/>
  <c r="L36" i="3" s="1"/>
  <c r="Q36" i="3" s="1"/>
  <c r="K36" i="3"/>
  <c r="N36" i="3" s="1"/>
  <c r="H28" i="3"/>
  <c r="L28" i="3" s="1"/>
  <c r="Q28" i="3" s="1"/>
  <c r="K28" i="3"/>
  <c r="N28" i="3" s="1"/>
  <c r="H20" i="3"/>
  <c r="L20" i="3" s="1"/>
  <c r="Q20" i="3" s="1"/>
  <c r="K20" i="3"/>
  <c r="N20" i="3" s="1"/>
  <c r="H12" i="3"/>
  <c r="L12" i="3" s="1"/>
  <c r="Q12" i="3" s="1"/>
  <c r="K12" i="3"/>
  <c r="N12" i="3" s="1"/>
  <c r="H4" i="3"/>
  <c r="L4" i="3" s="1"/>
  <c r="Q4" i="3" s="1"/>
  <c r="K4" i="3"/>
  <c r="N4" i="3" s="1"/>
  <c r="H267" i="3"/>
  <c r="L267" i="3" s="1"/>
  <c r="Q267" i="3" s="1"/>
  <c r="K267" i="3"/>
  <c r="N267" i="3" s="1"/>
  <c r="H227" i="3"/>
  <c r="L227" i="3" s="1"/>
  <c r="Q227" i="3" s="1"/>
  <c r="K227" i="3"/>
  <c r="N227" i="3" s="1"/>
  <c r="H163" i="3"/>
  <c r="L163" i="3" s="1"/>
  <c r="Q163" i="3" s="1"/>
  <c r="K163" i="3"/>
  <c r="N163" i="3" s="1"/>
  <c r="H131" i="3"/>
  <c r="L131" i="3" s="1"/>
  <c r="Q131" i="3" s="1"/>
  <c r="K131" i="3"/>
  <c r="N131" i="3" s="1"/>
  <c r="H99" i="3"/>
  <c r="L99" i="3" s="1"/>
  <c r="K99" i="3"/>
  <c r="N99" i="3" s="1"/>
  <c r="H83" i="3"/>
  <c r="L83" i="3" s="1"/>
  <c r="Q83" i="3" s="1"/>
  <c r="K83" i="3"/>
  <c r="N83" i="3" s="1"/>
  <c r="H75" i="3"/>
  <c r="L75" i="3" s="1"/>
  <c r="Q75" i="3" s="1"/>
  <c r="K75" i="3"/>
  <c r="N75" i="3" s="1"/>
  <c r="H51" i="3"/>
  <c r="L51" i="3" s="1"/>
  <c r="Q51" i="3" s="1"/>
  <c r="K51" i="3"/>
  <c r="N51" i="3" s="1"/>
  <c r="H35" i="3"/>
  <c r="L35" i="3" s="1"/>
  <c r="Q35" i="3" s="1"/>
  <c r="K35" i="3"/>
  <c r="N35" i="3" s="1"/>
  <c r="H19" i="3"/>
  <c r="L19" i="3" s="1"/>
  <c r="Q19" i="3" s="1"/>
  <c r="K19" i="3"/>
  <c r="N19" i="3" s="1"/>
  <c r="H3" i="3"/>
  <c r="L3" i="3" s="1"/>
  <c r="Q3" i="3" s="1"/>
  <c r="K3" i="3"/>
  <c r="N3" i="3" s="1"/>
  <c r="H297" i="3"/>
  <c r="L297" i="3" s="1"/>
  <c r="Q297" i="3" s="1"/>
  <c r="K297" i="3"/>
  <c r="N297" i="3" s="1"/>
  <c r="H289" i="3"/>
  <c r="L289" i="3" s="1"/>
  <c r="K289" i="3"/>
  <c r="N289" i="3" s="1"/>
  <c r="H281" i="3"/>
  <c r="L281" i="3" s="1"/>
  <c r="K281" i="3"/>
  <c r="N281" i="3" s="1"/>
  <c r="H273" i="3"/>
  <c r="L273" i="3" s="1"/>
  <c r="K273" i="3"/>
  <c r="N273" i="3" s="1"/>
  <c r="H265" i="3"/>
  <c r="L265" i="3" s="1"/>
  <c r="Q265" i="3" s="1"/>
  <c r="K265" i="3"/>
  <c r="N265" i="3" s="1"/>
  <c r="H257" i="3"/>
  <c r="L257" i="3" s="1"/>
  <c r="Q257" i="3" s="1"/>
  <c r="K257" i="3"/>
  <c r="N257" i="3" s="1"/>
  <c r="H249" i="3"/>
  <c r="L249" i="3" s="1"/>
  <c r="K249" i="3"/>
  <c r="N249" i="3" s="1"/>
  <c r="H241" i="3"/>
  <c r="L241" i="3" s="1"/>
  <c r="K241" i="3"/>
  <c r="N241" i="3" s="1"/>
  <c r="H233" i="3"/>
  <c r="L233" i="3" s="1"/>
  <c r="Q233" i="3" s="1"/>
  <c r="K233" i="3"/>
  <c r="N233" i="3" s="1"/>
  <c r="H225" i="3"/>
  <c r="L225" i="3" s="1"/>
  <c r="Q225" i="3" s="1"/>
  <c r="K225" i="3"/>
  <c r="N225" i="3" s="1"/>
  <c r="H217" i="3"/>
  <c r="L217" i="3" s="1"/>
  <c r="Q217" i="3" s="1"/>
  <c r="K217" i="3"/>
  <c r="N217" i="3" s="1"/>
  <c r="H209" i="3"/>
  <c r="L209" i="3" s="1"/>
  <c r="Q209" i="3" s="1"/>
  <c r="K209" i="3"/>
  <c r="N209" i="3" s="1"/>
  <c r="H201" i="3"/>
  <c r="L201" i="3" s="1"/>
  <c r="Q201" i="3" s="1"/>
  <c r="K201" i="3"/>
  <c r="N201" i="3" s="1"/>
  <c r="H193" i="3"/>
  <c r="L193" i="3" s="1"/>
  <c r="Q193" i="3" s="1"/>
  <c r="K193" i="3"/>
  <c r="N193" i="3" s="1"/>
  <c r="H185" i="3"/>
  <c r="L185" i="3" s="1"/>
  <c r="Q185" i="3" s="1"/>
  <c r="K185" i="3"/>
  <c r="N185" i="3" s="1"/>
  <c r="H177" i="3"/>
  <c r="L177" i="3" s="1"/>
  <c r="Q177" i="3" s="1"/>
  <c r="K177" i="3"/>
  <c r="N177" i="3" s="1"/>
  <c r="H169" i="3"/>
  <c r="L169" i="3" s="1"/>
  <c r="Q169" i="3" s="1"/>
  <c r="K169" i="3"/>
  <c r="N169" i="3" s="1"/>
  <c r="H161" i="3"/>
  <c r="L161" i="3" s="1"/>
  <c r="Q161" i="3" s="1"/>
  <c r="K161" i="3"/>
  <c r="N161" i="3" s="1"/>
  <c r="H153" i="3"/>
  <c r="L153" i="3" s="1"/>
  <c r="Q153" i="3" s="1"/>
  <c r="K153" i="3"/>
  <c r="N153" i="3" s="1"/>
  <c r="H145" i="3"/>
  <c r="L145" i="3" s="1"/>
  <c r="Q145" i="3" s="1"/>
  <c r="K145" i="3"/>
  <c r="N145" i="3" s="1"/>
  <c r="H137" i="3"/>
  <c r="L137" i="3" s="1"/>
  <c r="Q137" i="3" s="1"/>
  <c r="K137" i="3"/>
  <c r="N137" i="3" s="1"/>
  <c r="H129" i="3"/>
  <c r="L129" i="3" s="1"/>
  <c r="Q129" i="3" s="1"/>
  <c r="K129" i="3"/>
  <c r="N129" i="3" s="1"/>
  <c r="H121" i="3"/>
  <c r="L121" i="3" s="1"/>
  <c r="Q121" i="3" s="1"/>
  <c r="K121" i="3"/>
  <c r="N121" i="3" s="1"/>
  <c r="H113" i="3"/>
  <c r="L113" i="3" s="1"/>
  <c r="Q113" i="3" s="1"/>
  <c r="K113" i="3"/>
  <c r="N113" i="3" s="1"/>
  <c r="H105" i="3"/>
  <c r="L105" i="3" s="1"/>
  <c r="Q105" i="3" s="1"/>
  <c r="K105" i="3"/>
  <c r="N105" i="3" s="1"/>
  <c r="H97" i="3"/>
  <c r="L97" i="3" s="1"/>
  <c r="Q97" i="3" s="1"/>
  <c r="K97" i="3"/>
  <c r="N97" i="3" s="1"/>
  <c r="H89" i="3"/>
  <c r="L89" i="3" s="1"/>
  <c r="Q89" i="3" s="1"/>
  <c r="K89" i="3"/>
  <c r="N89" i="3" s="1"/>
  <c r="H81" i="3"/>
  <c r="L81" i="3" s="1"/>
  <c r="Q81" i="3" s="1"/>
  <c r="K81" i="3"/>
  <c r="N81" i="3" s="1"/>
  <c r="H73" i="3"/>
  <c r="L73" i="3" s="1"/>
  <c r="Q73" i="3" s="1"/>
  <c r="K73" i="3"/>
  <c r="N73" i="3" s="1"/>
  <c r="H65" i="3"/>
  <c r="L65" i="3" s="1"/>
  <c r="Q65" i="3" s="1"/>
  <c r="K65" i="3"/>
  <c r="N65" i="3" s="1"/>
  <c r="H57" i="3"/>
  <c r="L57" i="3" s="1"/>
  <c r="Q57" i="3" s="1"/>
  <c r="K57" i="3"/>
  <c r="N57" i="3" s="1"/>
  <c r="H49" i="3"/>
  <c r="L49" i="3" s="1"/>
  <c r="Q49" i="3" s="1"/>
  <c r="K49" i="3"/>
  <c r="N49" i="3" s="1"/>
  <c r="H41" i="3"/>
  <c r="L41" i="3" s="1"/>
  <c r="Q41" i="3" s="1"/>
  <c r="K41" i="3"/>
  <c r="N41" i="3" s="1"/>
  <c r="H33" i="3"/>
  <c r="L33" i="3" s="1"/>
  <c r="Q33" i="3" s="1"/>
  <c r="K33" i="3"/>
  <c r="N33" i="3" s="1"/>
  <c r="H25" i="3"/>
  <c r="L25" i="3" s="1"/>
  <c r="Q25" i="3" s="1"/>
  <c r="K25" i="3"/>
  <c r="N25" i="3" s="1"/>
  <c r="H17" i="3"/>
  <c r="L17" i="3" s="1"/>
  <c r="Q17" i="3" s="1"/>
  <c r="K17" i="3"/>
  <c r="N17" i="3" s="1"/>
  <c r="H9" i="3"/>
  <c r="L9" i="3" s="1"/>
  <c r="Q9" i="3" s="1"/>
  <c r="K9" i="3"/>
  <c r="N9" i="3" s="1"/>
  <c r="H270" i="3"/>
  <c r="L270" i="3" s="1"/>
  <c r="Q270" i="3" s="1"/>
  <c r="K270" i="3"/>
  <c r="N270" i="3" s="1"/>
  <c r="H268" i="3"/>
  <c r="L268" i="3" s="1"/>
  <c r="Q268" i="3" s="1"/>
  <c r="K268" i="3"/>
  <c r="N268" i="3" s="1"/>
  <c r="H220" i="3"/>
  <c r="L220" i="3" s="1"/>
  <c r="Q220" i="3" s="1"/>
  <c r="K220" i="3"/>
  <c r="N220" i="3" s="1"/>
  <c r="H180" i="3"/>
  <c r="L180" i="3" s="1"/>
  <c r="Q180" i="3" s="1"/>
  <c r="K180" i="3"/>
  <c r="N180" i="3" s="1"/>
  <c r="H132" i="3"/>
  <c r="L132" i="3" s="1"/>
  <c r="Q132" i="3" s="1"/>
  <c r="K132" i="3"/>
  <c r="N132" i="3" s="1"/>
  <c r="H76" i="3"/>
  <c r="L76" i="3" s="1"/>
  <c r="K76" i="3"/>
  <c r="N76" i="3" s="1"/>
  <c r="H275" i="3"/>
  <c r="L275" i="3" s="1"/>
  <c r="K275" i="3"/>
  <c r="N275" i="3" s="1"/>
  <c r="H243" i="3"/>
  <c r="L243" i="3" s="1"/>
  <c r="Q243" i="3" s="1"/>
  <c r="K243" i="3"/>
  <c r="N243" i="3" s="1"/>
  <c r="H203" i="3"/>
  <c r="L203" i="3" s="1"/>
  <c r="Q203" i="3" s="1"/>
  <c r="K203" i="3"/>
  <c r="N203" i="3" s="1"/>
  <c r="H155" i="3"/>
  <c r="L155" i="3" s="1"/>
  <c r="Q155" i="3" s="1"/>
  <c r="K155" i="3"/>
  <c r="N155" i="3" s="1"/>
  <c r="H296" i="3"/>
  <c r="L296" i="3" s="1"/>
  <c r="K296" i="3"/>
  <c r="N296" i="3" s="1"/>
  <c r="H280" i="3"/>
  <c r="L280" i="3" s="1"/>
  <c r="K280" i="3"/>
  <c r="N280" i="3" s="1"/>
  <c r="H264" i="3"/>
  <c r="L264" i="3" s="1"/>
  <c r="Q264" i="3" s="1"/>
  <c r="K264" i="3"/>
  <c r="N264" i="3" s="1"/>
  <c r="H248" i="3"/>
  <c r="L248" i="3" s="1"/>
  <c r="K248" i="3"/>
  <c r="N248" i="3" s="1"/>
  <c r="H232" i="3"/>
  <c r="L232" i="3" s="1"/>
  <c r="K232" i="3"/>
  <c r="N232" i="3" s="1"/>
  <c r="H216" i="3"/>
  <c r="L216" i="3" s="1"/>
  <c r="Q216" i="3" s="1"/>
  <c r="K216" i="3"/>
  <c r="N216" i="3" s="1"/>
  <c r="H200" i="3"/>
  <c r="L200" i="3" s="1"/>
  <c r="Q200" i="3" s="1"/>
  <c r="K200" i="3"/>
  <c r="N200" i="3" s="1"/>
  <c r="H184" i="3"/>
  <c r="L184" i="3" s="1"/>
  <c r="Q184" i="3" s="1"/>
  <c r="K184" i="3"/>
  <c r="N184" i="3" s="1"/>
  <c r="H168" i="3"/>
  <c r="L168" i="3" s="1"/>
  <c r="Q168" i="3" s="1"/>
  <c r="K168" i="3"/>
  <c r="N168" i="3" s="1"/>
  <c r="H152" i="3"/>
  <c r="L152" i="3" s="1"/>
  <c r="Q152" i="3" s="1"/>
  <c r="K152" i="3"/>
  <c r="N152" i="3" s="1"/>
  <c r="H136" i="3"/>
  <c r="L136" i="3" s="1"/>
  <c r="Q136" i="3" s="1"/>
  <c r="K136" i="3"/>
  <c r="N136" i="3" s="1"/>
  <c r="H120" i="3"/>
  <c r="L120" i="3" s="1"/>
  <c r="Q120" i="3" s="1"/>
  <c r="K120" i="3"/>
  <c r="N120" i="3" s="1"/>
  <c r="H104" i="3"/>
  <c r="L104" i="3" s="1"/>
  <c r="Q104" i="3" s="1"/>
  <c r="K104" i="3"/>
  <c r="N104" i="3" s="1"/>
  <c r="H96" i="3"/>
  <c r="L96" i="3" s="1"/>
  <c r="K96" i="3"/>
  <c r="N96" i="3" s="1"/>
  <c r="H88" i="3"/>
  <c r="L88" i="3" s="1"/>
  <c r="Q88" i="3" s="1"/>
  <c r="K88" i="3"/>
  <c r="N88" i="3" s="1"/>
  <c r="H80" i="3"/>
  <c r="L80" i="3" s="1"/>
  <c r="Q80" i="3" s="1"/>
  <c r="K80" i="3"/>
  <c r="N80" i="3" s="1"/>
  <c r="H72" i="3"/>
  <c r="L72" i="3" s="1"/>
  <c r="Q72" i="3" s="1"/>
  <c r="K72" i="3"/>
  <c r="N72" i="3" s="1"/>
  <c r="H64" i="3"/>
  <c r="L64" i="3" s="1"/>
  <c r="Q64" i="3" s="1"/>
  <c r="K64" i="3"/>
  <c r="N64" i="3" s="1"/>
  <c r="H56" i="3"/>
  <c r="L56" i="3" s="1"/>
  <c r="K56" i="3"/>
  <c r="N56" i="3" s="1"/>
  <c r="H48" i="3"/>
  <c r="L48" i="3" s="1"/>
  <c r="Q48" i="3" s="1"/>
  <c r="K48" i="3"/>
  <c r="N48" i="3" s="1"/>
  <c r="H40" i="3"/>
  <c r="L40" i="3" s="1"/>
  <c r="Q40" i="3" s="1"/>
  <c r="K40" i="3"/>
  <c r="N40" i="3" s="1"/>
  <c r="H32" i="3"/>
  <c r="L32" i="3" s="1"/>
  <c r="K32" i="3"/>
  <c r="N32" i="3" s="1"/>
  <c r="H24" i="3"/>
  <c r="L24" i="3" s="1"/>
  <c r="Q24" i="3" s="1"/>
  <c r="K24" i="3"/>
  <c r="N24" i="3" s="1"/>
  <c r="H16" i="3"/>
  <c r="L16" i="3" s="1"/>
  <c r="Q16" i="3" s="1"/>
  <c r="K16" i="3"/>
  <c r="N16" i="3" s="1"/>
  <c r="H8" i="3"/>
  <c r="L8" i="3" s="1"/>
  <c r="Q8" i="3" s="1"/>
  <c r="K8" i="3"/>
  <c r="N8" i="3" s="1"/>
  <c r="H278" i="3"/>
  <c r="L278" i="3" s="1"/>
  <c r="K278" i="3"/>
  <c r="N278" i="3" s="1"/>
  <c r="H276" i="3"/>
  <c r="L276" i="3" s="1"/>
  <c r="K276" i="3"/>
  <c r="N276" i="3" s="1"/>
  <c r="H236" i="3"/>
  <c r="L236" i="3" s="1"/>
  <c r="Q236" i="3" s="1"/>
  <c r="K236" i="3"/>
  <c r="N236" i="3" s="1"/>
  <c r="H196" i="3"/>
  <c r="L196" i="3" s="1"/>
  <c r="Q196" i="3" s="1"/>
  <c r="K196" i="3"/>
  <c r="N196" i="3" s="1"/>
  <c r="H156" i="3"/>
  <c r="L156" i="3" s="1"/>
  <c r="Q156" i="3" s="1"/>
  <c r="K156" i="3"/>
  <c r="N156" i="3" s="1"/>
  <c r="H116" i="3"/>
  <c r="L116" i="3" s="1"/>
  <c r="Q116" i="3" s="1"/>
  <c r="K116" i="3"/>
  <c r="N116" i="3" s="1"/>
  <c r="H92" i="3"/>
  <c r="L92" i="3" s="1"/>
  <c r="Q92" i="3" s="1"/>
  <c r="K92" i="3"/>
  <c r="N92" i="3" s="1"/>
  <c r="H52" i="3"/>
  <c r="L52" i="3" s="1"/>
  <c r="Q52" i="3" s="1"/>
  <c r="K52" i="3"/>
  <c r="N52" i="3" s="1"/>
  <c r="N164" i="3"/>
  <c r="H283" i="3"/>
  <c r="L283" i="3" s="1"/>
  <c r="K283" i="3"/>
  <c r="N283" i="3" s="1"/>
  <c r="H235" i="3"/>
  <c r="L235" i="3" s="1"/>
  <c r="Q235" i="3" s="1"/>
  <c r="K235" i="3"/>
  <c r="N235" i="3" s="1"/>
  <c r="H195" i="3"/>
  <c r="L195" i="3" s="1"/>
  <c r="Q195" i="3" s="1"/>
  <c r="K195" i="3"/>
  <c r="N195" i="3" s="1"/>
  <c r="H171" i="3"/>
  <c r="L171" i="3" s="1"/>
  <c r="Q171" i="3" s="1"/>
  <c r="K171" i="3"/>
  <c r="N171" i="3" s="1"/>
  <c r="H123" i="3"/>
  <c r="L123" i="3" s="1"/>
  <c r="Q123" i="3" s="1"/>
  <c r="K123" i="3"/>
  <c r="N123" i="3" s="1"/>
  <c r="H288" i="3"/>
  <c r="L288" i="3" s="1"/>
  <c r="K288" i="3"/>
  <c r="N288" i="3" s="1"/>
  <c r="H272" i="3"/>
  <c r="L272" i="3" s="1"/>
  <c r="K272" i="3"/>
  <c r="N272" i="3" s="1"/>
  <c r="H256" i="3"/>
  <c r="L256" i="3" s="1"/>
  <c r="Q256" i="3" s="1"/>
  <c r="K256" i="3"/>
  <c r="N256" i="3" s="1"/>
  <c r="H240" i="3"/>
  <c r="L240" i="3" s="1"/>
  <c r="Q240" i="3" s="1"/>
  <c r="K240" i="3"/>
  <c r="N240" i="3" s="1"/>
  <c r="H224" i="3"/>
  <c r="L224" i="3" s="1"/>
  <c r="Q224" i="3" s="1"/>
  <c r="K224" i="3"/>
  <c r="N224" i="3" s="1"/>
  <c r="H208" i="3"/>
  <c r="L208" i="3" s="1"/>
  <c r="Q208" i="3" s="1"/>
  <c r="K208" i="3"/>
  <c r="N208" i="3" s="1"/>
  <c r="H192" i="3"/>
  <c r="L192" i="3" s="1"/>
  <c r="K192" i="3"/>
  <c r="N192" i="3" s="1"/>
  <c r="H176" i="3"/>
  <c r="L176" i="3" s="1"/>
  <c r="Q176" i="3" s="1"/>
  <c r="K176" i="3"/>
  <c r="N176" i="3" s="1"/>
  <c r="H160" i="3"/>
  <c r="L160" i="3" s="1"/>
  <c r="Q160" i="3" s="1"/>
  <c r="K160" i="3"/>
  <c r="N160" i="3" s="1"/>
  <c r="H144" i="3"/>
  <c r="L144" i="3" s="1"/>
  <c r="Q144" i="3" s="1"/>
  <c r="K144" i="3"/>
  <c r="N144" i="3" s="1"/>
  <c r="H128" i="3"/>
  <c r="L128" i="3" s="1"/>
  <c r="Q128" i="3" s="1"/>
  <c r="K128" i="3"/>
  <c r="N128" i="3" s="1"/>
  <c r="H112" i="3"/>
  <c r="L112" i="3" s="1"/>
  <c r="Q112" i="3" s="1"/>
  <c r="K112" i="3"/>
  <c r="N112" i="3" s="1"/>
  <c r="H295" i="3"/>
  <c r="L295" i="3" s="1"/>
  <c r="K295" i="3"/>
  <c r="N295" i="3" s="1"/>
  <c r="H287" i="3"/>
  <c r="L287" i="3" s="1"/>
  <c r="K287" i="3"/>
  <c r="N287" i="3" s="1"/>
  <c r="H279" i="3"/>
  <c r="L279" i="3" s="1"/>
  <c r="K279" i="3"/>
  <c r="N279" i="3" s="1"/>
  <c r="H271" i="3"/>
  <c r="L271" i="3" s="1"/>
  <c r="K271" i="3"/>
  <c r="N271" i="3" s="1"/>
  <c r="H263" i="3"/>
  <c r="L263" i="3" s="1"/>
  <c r="Q263" i="3" s="1"/>
  <c r="K263" i="3"/>
  <c r="N263" i="3" s="1"/>
  <c r="H255" i="3"/>
  <c r="L255" i="3" s="1"/>
  <c r="Q255" i="3" s="1"/>
  <c r="K255" i="3"/>
  <c r="N255" i="3" s="1"/>
  <c r="H247" i="3"/>
  <c r="L247" i="3" s="1"/>
  <c r="Q247" i="3" s="1"/>
  <c r="K247" i="3"/>
  <c r="N247" i="3" s="1"/>
  <c r="H239" i="3"/>
  <c r="L239" i="3" s="1"/>
  <c r="Q239" i="3" s="1"/>
  <c r="K239" i="3"/>
  <c r="N239" i="3" s="1"/>
  <c r="H231" i="3"/>
  <c r="L231" i="3" s="1"/>
  <c r="Q231" i="3" s="1"/>
  <c r="K231" i="3"/>
  <c r="N231" i="3" s="1"/>
  <c r="H223" i="3"/>
  <c r="L223" i="3" s="1"/>
  <c r="Q223" i="3" s="1"/>
  <c r="K223" i="3"/>
  <c r="N223" i="3" s="1"/>
  <c r="H215" i="3"/>
  <c r="L215" i="3" s="1"/>
  <c r="Q215" i="3" s="1"/>
  <c r="K215" i="3"/>
  <c r="N215" i="3" s="1"/>
  <c r="H207" i="3"/>
  <c r="L207" i="3" s="1"/>
  <c r="Q207" i="3" s="1"/>
  <c r="K207" i="3"/>
  <c r="N207" i="3" s="1"/>
  <c r="H199" i="3"/>
  <c r="L199" i="3" s="1"/>
  <c r="Q199" i="3" s="1"/>
  <c r="K199" i="3"/>
  <c r="N199" i="3" s="1"/>
  <c r="H191" i="3"/>
  <c r="L191" i="3" s="1"/>
  <c r="Q191" i="3" s="1"/>
  <c r="K191" i="3"/>
  <c r="N191" i="3" s="1"/>
  <c r="H183" i="3"/>
  <c r="L183" i="3" s="1"/>
  <c r="Q183" i="3" s="1"/>
  <c r="K183" i="3"/>
  <c r="N183" i="3" s="1"/>
  <c r="H175" i="3"/>
  <c r="L175" i="3" s="1"/>
  <c r="Q175" i="3" s="1"/>
  <c r="K175" i="3"/>
  <c r="N175" i="3" s="1"/>
  <c r="H167" i="3"/>
  <c r="L167" i="3" s="1"/>
  <c r="Q167" i="3" s="1"/>
  <c r="K167" i="3"/>
  <c r="N167" i="3" s="1"/>
  <c r="H159" i="3"/>
  <c r="L159" i="3" s="1"/>
  <c r="Q159" i="3" s="1"/>
  <c r="K159" i="3"/>
  <c r="N159" i="3" s="1"/>
  <c r="H151" i="3"/>
  <c r="L151" i="3" s="1"/>
  <c r="Q151" i="3" s="1"/>
  <c r="K151" i="3"/>
  <c r="N151" i="3" s="1"/>
  <c r="H143" i="3"/>
  <c r="L143" i="3" s="1"/>
  <c r="Q143" i="3" s="1"/>
  <c r="K143" i="3"/>
  <c r="N143" i="3" s="1"/>
  <c r="H135" i="3"/>
  <c r="L135" i="3" s="1"/>
  <c r="Q135" i="3" s="1"/>
  <c r="K135" i="3"/>
  <c r="N135" i="3" s="1"/>
  <c r="H127" i="3"/>
  <c r="L127" i="3" s="1"/>
  <c r="Q127" i="3" s="1"/>
  <c r="K127" i="3"/>
  <c r="N127" i="3" s="1"/>
  <c r="H119" i="3"/>
  <c r="L119" i="3" s="1"/>
  <c r="Q119" i="3" s="1"/>
  <c r="K119" i="3"/>
  <c r="N119" i="3" s="1"/>
  <c r="H111" i="3"/>
  <c r="L111" i="3" s="1"/>
  <c r="Q111" i="3" s="1"/>
  <c r="K111" i="3"/>
  <c r="N111" i="3" s="1"/>
  <c r="H103" i="3"/>
  <c r="L103" i="3" s="1"/>
  <c r="Q103" i="3" s="1"/>
  <c r="K103" i="3"/>
  <c r="N103" i="3" s="1"/>
  <c r="H95" i="3"/>
  <c r="L95" i="3" s="1"/>
  <c r="K95" i="3"/>
  <c r="N95" i="3" s="1"/>
  <c r="H87" i="3"/>
  <c r="L87" i="3" s="1"/>
  <c r="Q87" i="3" s="1"/>
  <c r="K87" i="3"/>
  <c r="N87" i="3" s="1"/>
  <c r="H79" i="3"/>
  <c r="L79" i="3" s="1"/>
  <c r="Q79" i="3" s="1"/>
  <c r="K79" i="3"/>
  <c r="N79" i="3" s="1"/>
  <c r="H71" i="3"/>
  <c r="L71" i="3" s="1"/>
  <c r="Q71" i="3" s="1"/>
  <c r="K71" i="3"/>
  <c r="N71" i="3" s="1"/>
  <c r="H63" i="3"/>
  <c r="L63" i="3" s="1"/>
  <c r="Q63" i="3" s="1"/>
  <c r="K63" i="3"/>
  <c r="N63" i="3" s="1"/>
  <c r="H55" i="3"/>
  <c r="L55" i="3" s="1"/>
  <c r="Q55" i="3" s="1"/>
  <c r="K55" i="3"/>
  <c r="N55" i="3" s="1"/>
  <c r="H47" i="3"/>
  <c r="L47" i="3" s="1"/>
  <c r="Q47" i="3" s="1"/>
  <c r="K47" i="3"/>
  <c r="N47" i="3" s="1"/>
  <c r="H39" i="3"/>
  <c r="L39" i="3" s="1"/>
  <c r="Q39" i="3" s="1"/>
  <c r="K39" i="3"/>
  <c r="N39" i="3" s="1"/>
  <c r="H31" i="3"/>
  <c r="L31" i="3" s="1"/>
  <c r="Q31" i="3" s="1"/>
  <c r="K31" i="3"/>
  <c r="N31" i="3" s="1"/>
  <c r="H23" i="3"/>
  <c r="L23" i="3" s="1"/>
  <c r="Q23" i="3" s="1"/>
  <c r="K23" i="3"/>
  <c r="N23" i="3" s="1"/>
  <c r="H15" i="3"/>
  <c r="L15" i="3" s="1"/>
  <c r="K15" i="3"/>
  <c r="N15" i="3" s="1"/>
  <c r="H7" i="3"/>
  <c r="L7" i="3" s="1"/>
  <c r="Q7" i="3" s="1"/>
  <c r="K7" i="3"/>
  <c r="N7" i="3" s="1"/>
  <c r="H294" i="3"/>
  <c r="L294" i="3" s="1"/>
  <c r="K294" i="3"/>
  <c r="N294" i="3" s="1"/>
  <c r="H254" i="3"/>
  <c r="L254" i="3" s="1"/>
  <c r="Q254" i="3" s="1"/>
  <c r="K254" i="3"/>
  <c r="N254" i="3" s="1"/>
  <c r="H246" i="3"/>
  <c r="L246" i="3" s="1"/>
  <c r="Q246" i="3" s="1"/>
  <c r="K246" i="3"/>
  <c r="N246" i="3" s="1"/>
  <c r="H238" i="3"/>
  <c r="L238" i="3" s="1"/>
  <c r="Q238" i="3" s="1"/>
  <c r="K238" i="3"/>
  <c r="N238" i="3" s="1"/>
  <c r="H230" i="3"/>
  <c r="L230" i="3" s="1"/>
  <c r="Q230" i="3" s="1"/>
  <c r="K230" i="3"/>
  <c r="N230" i="3" s="1"/>
  <c r="H222" i="3"/>
  <c r="L222" i="3" s="1"/>
  <c r="Q222" i="3" s="1"/>
  <c r="K222" i="3"/>
  <c r="N222" i="3" s="1"/>
  <c r="H214" i="3"/>
  <c r="L214" i="3" s="1"/>
  <c r="Q214" i="3" s="1"/>
  <c r="K214" i="3"/>
  <c r="N214" i="3" s="1"/>
  <c r="H206" i="3"/>
  <c r="L206" i="3" s="1"/>
  <c r="Q206" i="3" s="1"/>
  <c r="K206" i="3"/>
  <c r="N206" i="3" s="1"/>
  <c r="H198" i="3"/>
  <c r="L198" i="3" s="1"/>
  <c r="Q198" i="3" s="1"/>
  <c r="K198" i="3"/>
  <c r="N198" i="3" s="1"/>
  <c r="H190" i="3"/>
  <c r="L190" i="3" s="1"/>
  <c r="Q190" i="3" s="1"/>
  <c r="K190" i="3"/>
  <c r="N190" i="3" s="1"/>
  <c r="H182" i="3"/>
  <c r="L182" i="3" s="1"/>
  <c r="Q182" i="3" s="1"/>
  <c r="K182" i="3"/>
  <c r="N182" i="3" s="1"/>
  <c r="H174" i="3"/>
  <c r="L174" i="3" s="1"/>
  <c r="Q174" i="3" s="1"/>
  <c r="K174" i="3"/>
  <c r="N174" i="3" s="1"/>
  <c r="H166" i="3"/>
  <c r="L166" i="3" s="1"/>
  <c r="Q166" i="3" s="1"/>
  <c r="K166" i="3"/>
  <c r="N166" i="3" s="1"/>
  <c r="H158" i="3"/>
  <c r="L158" i="3" s="1"/>
  <c r="Q158" i="3" s="1"/>
  <c r="K158" i="3"/>
  <c r="N158" i="3" s="1"/>
  <c r="H150" i="3"/>
  <c r="L150" i="3" s="1"/>
  <c r="Q150" i="3" s="1"/>
  <c r="K150" i="3"/>
  <c r="N150" i="3" s="1"/>
  <c r="H142" i="3"/>
  <c r="L142" i="3" s="1"/>
  <c r="Q142" i="3" s="1"/>
  <c r="K142" i="3"/>
  <c r="N142" i="3" s="1"/>
  <c r="H134" i="3"/>
  <c r="L134" i="3" s="1"/>
  <c r="Q134" i="3" s="1"/>
  <c r="K134" i="3"/>
  <c r="N134" i="3" s="1"/>
  <c r="H126" i="3"/>
  <c r="L126" i="3" s="1"/>
  <c r="Q126" i="3" s="1"/>
  <c r="K126" i="3"/>
  <c r="N126" i="3" s="1"/>
  <c r="H118" i="3"/>
  <c r="L118" i="3" s="1"/>
  <c r="Q118" i="3" s="1"/>
  <c r="K118" i="3"/>
  <c r="N118" i="3" s="1"/>
  <c r="H110" i="3"/>
  <c r="L110" i="3" s="1"/>
  <c r="Q110" i="3" s="1"/>
  <c r="K110" i="3"/>
  <c r="N110" i="3" s="1"/>
  <c r="H102" i="3"/>
  <c r="L102" i="3" s="1"/>
  <c r="Q102" i="3" s="1"/>
  <c r="K102" i="3"/>
  <c r="N102" i="3" s="1"/>
  <c r="H94" i="3"/>
  <c r="L94" i="3" s="1"/>
  <c r="K94" i="3"/>
  <c r="N94" i="3" s="1"/>
  <c r="H86" i="3"/>
  <c r="L86" i="3" s="1"/>
  <c r="Q86" i="3" s="1"/>
  <c r="K86" i="3"/>
  <c r="N86" i="3" s="1"/>
  <c r="H78" i="3"/>
  <c r="L78" i="3" s="1"/>
  <c r="Q78" i="3" s="1"/>
  <c r="K78" i="3"/>
  <c r="N78" i="3" s="1"/>
  <c r="H70" i="3"/>
  <c r="L70" i="3" s="1"/>
  <c r="Q70" i="3" s="1"/>
  <c r="K70" i="3"/>
  <c r="N70" i="3" s="1"/>
  <c r="H62" i="3"/>
  <c r="L62" i="3" s="1"/>
  <c r="K62" i="3"/>
  <c r="N62" i="3" s="1"/>
  <c r="H54" i="3"/>
  <c r="L54" i="3" s="1"/>
  <c r="Q54" i="3" s="1"/>
  <c r="K54" i="3"/>
  <c r="N54" i="3" s="1"/>
  <c r="H46" i="3"/>
  <c r="L46" i="3" s="1"/>
  <c r="Q46" i="3" s="1"/>
  <c r="K46" i="3"/>
  <c r="N46" i="3" s="1"/>
  <c r="H38" i="3"/>
  <c r="L38" i="3" s="1"/>
  <c r="Q38" i="3" s="1"/>
  <c r="K38" i="3"/>
  <c r="N38" i="3" s="1"/>
  <c r="H30" i="3"/>
  <c r="L30" i="3" s="1"/>
  <c r="Q30" i="3" s="1"/>
  <c r="K30" i="3"/>
  <c r="N30" i="3" s="1"/>
  <c r="H22" i="3"/>
  <c r="L22" i="3" s="1"/>
  <c r="Q22" i="3" s="1"/>
  <c r="K22" i="3"/>
  <c r="N22" i="3" s="1"/>
  <c r="H14" i="3"/>
  <c r="L14" i="3" s="1"/>
  <c r="Q14" i="3" s="1"/>
  <c r="K14" i="3"/>
  <c r="N14" i="3" s="1"/>
  <c r="H6" i="3"/>
  <c r="L6" i="3" s="1"/>
  <c r="Q6" i="3" s="1"/>
  <c r="K6" i="3"/>
  <c r="N6" i="3" s="1"/>
  <c r="N262" i="3"/>
  <c r="H293" i="3"/>
  <c r="L293" i="3" s="1"/>
  <c r="K293" i="3"/>
  <c r="N293" i="3" s="1"/>
  <c r="H285" i="3"/>
  <c r="L285" i="3" s="1"/>
  <c r="K285" i="3"/>
  <c r="N285" i="3" s="1"/>
  <c r="H277" i="3"/>
  <c r="L277" i="3" s="1"/>
  <c r="K277" i="3"/>
  <c r="N277" i="3" s="1"/>
  <c r="H269" i="3"/>
  <c r="L269" i="3" s="1"/>
  <c r="Q269" i="3" s="1"/>
  <c r="K269" i="3"/>
  <c r="N269" i="3" s="1"/>
  <c r="H261" i="3"/>
  <c r="L261" i="3" s="1"/>
  <c r="K261" i="3"/>
  <c r="N261" i="3" s="1"/>
  <c r="H253" i="3"/>
  <c r="L253" i="3" s="1"/>
  <c r="Q253" i="3" s="1"/>
  <c r="K253" i="3"/>
  <c r="N253" i="3" s="1"/>
  <c r="H245" i="3"/>
  <c r="L245" i="3" s="1"/>
  <c r="Q245" i="3" s="1"/>
  <c r="K245" i="3"/>
  <c r="N245" i="3" s="1"/>
  <c r="H237" i="3"/>
  <c r="L237" i="3" s="1"/>
  <c r="Q237" i="3" s="1"/>
  <c r="K237" i="3"/>
  <c r="N237" i="3" s="1"/>
  <c r="H229" i="3"/>
  <c r="L229" i="3" s="1"/>
  <c r="Q229" i="3" s="1"/>
  <c r="K229" i="3"/>
  <c r="N229" i="3" s="1"/>
  <c r="H221" i="3"/>
  <c r="L221" i="3" s="1"/>
  <c r="Q221" i="3" s="1"/>
  <c r="K221" i="3"/>
  <c r="N221" i="3" s="1"/>
  <c r="H213" i="3"/>
  <c r="L213" i="3" s="1"/>
  <c r="Q213" i="3" s="1"/>
  <c r="K213" i="3"/>
  <c r="N213" i="3" s="1"/>
  <c r="H205" i="3"/>
  <c r="L205" i="3" s="1"/>
  <c r="Q205" i="3" s="1"/>
  <c r="K205" i="3"/>
  <c r="N205" i="3" s="1"/>
  <c r="H197" i="3"/>
  <c r="L197" i="3" s="1"/>
  <c r="Q197" i="3" s="1"/>
  <c r="K197" i="3"/>
  <c r="N197" i="3" s="1"/>
  <c r="H189" i="3"/>
  <c r="L189" i="3" s="1"/>
  <c r="Q189" i="3" s="1"/>
  <c r="K189" i="3"/>
  <c r="N189" i="3" s="1"/>
  <c r="H181" i="3"/>
  <c r="L181" i="3" s="1"/>
  <c r="Q181" i="3" s="1"/>
  <c r="K181" i="3"/>
  <c r="N181" i="3" s="1"/>
  <c r="H173" i="3"/>
  <c r="L173" i="3" s="1"/>
  <c r="Q173" i="3" s="1"/>
  <c r="K173" i="3"/>
  <c r="N173" i="3" s="1"/>
  <c r="H165" i="3"/>
  <c r="L165" i="3" s="1"/>
  <c r="Q165" i="3" s="1"/>
  <c r="K165" i="3"/>
  <c r="N165" i="3" s="1"/>
  <c r="H157" i="3"/>
  <c r="L157" i="3" s="1"/>
  <c r="Q157" i="3" s="1"/>
  <c r="K157" i="3"/>
  <c r="N157" i="3" s="1"/>
  <c r="H149" i="3"/>
  <c r="L149" i="3" s="1"/>
  <c r="K149" i="3"/>
  <c r="N149" i="3" s="1"/>
  <c r="H141" i="3"/>
  <c r="L141" i="3" s="1"/>
  <c r="Q141" i="3" s="1"/>
  <c r="K141" i="3"/>
  <c r="N141" i="3" s="1"/>
  <c r="H133" i="3"/>
  <c r="L133" i="3" s="1"/>
  <c r="K133" i="3"/>
  <c r="N133" i="3" s="1"/>
  <c r="H125" i="3"/>
  <c r="L125" i="3" s="1"/>
  <c r="Q125" i="3" s="1"/>
  <c r="K125" i="3"/>
  <c r="N125" i="3" s="1"/>
  <c r="H117" i="3"/>
  <c r="L117" i="3" s="1"/>
  <c r="Q117" i="3" s="1"/>
  <c r="K117" i="3"/>
  <c r="N117" i="3" s="1"/>
  <c r="H109" i="3"/>
  <c r="L109" i="3" s="1"/>
  <c r="Q109" i="3" s="1"/>
  <c r="K109" i="3"/>
  <c r="N109" i="3" s="1"/>
  <c r="H101" i="3"/>
  <c r="L101" i="3" s="1"/>
  <c r="Q101" i="3" s="1"/>
  <c r="K101" i="3"/>
  <c r="N101" i="3" s="1"/>
  <c r="H93" i="3"/>
  <c r="L93" i="3" s="1"/>
  <c r="K93" i="3"/>
  <c r="N93" i="3" s="1"/>
  <c r="H85" i="3"/>
  <c r="L85" i="3" s="1"/>
  <c r="K85" i="3"/>
  <c r="N85" i="3" s="1"/>
  <c r="H77" i="3"/>
  <c r="L77" i="3" s="1"/>
  <c r="Q77" i="3" s="1"/>
  <c r="K77" i="3"/>
  <c r="N77" i="3" s="1"/>
  <c r="H69" i="3"/>
  <c r="L69" i="3" s="1"/>
  <c r="Q69" i="3" s="1"/>
  <c r="K69" i="3"/>
  <c r="N69" i="3" s="1"/>
  <c r="H61" i="3"/>
  <c r="L61" i="3" s="1"/>
  <c r="Q61" i="3" s="1"/>
  <c r="K61" i="3"/>
  <c r="N61" i="3" s="1"/>
  <c r="H53" i="3"/>
  <c r="L53" i="3" s="1"/>
  <c r="Q53" i="3" s="1"/>
  <c r="K53" i="3"/>
  <c r="N53" i="3" s="1"/>
  <c r="H45" i="3"/>
  <c r="L45" i="3" s="1"/>
  <c r="Q45" i="3" s="1"/>
  <c r="K45" i="3"/>
  <c r="N45" i="3" s="1"/>
  <c r="H37" i="3"/>
  <c r="L37" i="3" s="1"/>
  <c r="Q37" i="3" s="1"/>
  <c r="K37" i="3"/>
  <c r="N37" i="3" s="1"/>
  <c r="H29" i="3"/>
  <c r="L29" i="3" s="1"/>
  <c r="Q29" i="3" s="1"/>
  <c r="K29" i="3"/>
  <c r="N29" i="3" s="1"/>
  <c r="H21" i="3"/>
  <c r="L21" i="3" s="1"/>
  <c r="Q21" i="3" s="1"/>
  <c r="K21" i="3"/>
  <c r="N21" i="3" s="1"/>
  <c r="H13" i="3"/>
  <c r="L13" i="3" s="1"/>
  <c r="Q13" i="3" s="1"/>
  <c r="K13" i="3"/>
  <c r="N13" i="3" s="1"/>
  <c r="H5" i="3"/>
  <c r="L5" i="3" s="1"/>
  <c r="Q5" i="3" s="1"/>
  <c r="K5" i="3"/>
  <c r="N5" i="3" s="1"/>
  <c r="I279" i="3"/>
  <c r="I223" i="3"/>
  <c r="I175" i="3"/>
  <c r="I127" i="3"/>
  <c r="I95" i="3"/>
  <c r="I63" i="3"/>
  <c r="I39" i="3"/>
  <c r="I23" i="3"/>
  <c r="I7" i="3"/>
  <c r="I286" i="3"/>
  <c r="I238" i="3"/>
  <c r="I190" i="3"/>
  <c r="I142" i="3"/>
  <c r="I285" i="3"/>
  <c r="I261" i="3"/>
  <c r="I229" i="3"/>
  <c r="I213" i="3"/>
  <c r="I205" i="3"/>
  <c r="I189" i="3"/>
  <c r="I173" i="3"/>
  <c r="I157" i="3"/>
  <c r="I149" i="3"/>
  <c r="I141" i="3"/>
  <c r="I125" i="3"/>
  <c r="I117" i="3"/>
  <c r="I109" i="3"/>
  <c r="I101" i="3"/>
  <c r="I93" i="3"/>
  <c r="I85" i="3"/>
  <c r="I77" i="3"/>
  <c r="I69" i="3"/>
  <c r="I61" i="3"/>
  <c r="I53" i="3"/>
  <c r="I45" i="3"/>
  <c r="I37" i="3"/>
  <c r="I29" i="3"/>
  <c r="I21" i="3"/>
  <c r="I13" i="3"/>
  <c r="I5" i="3"/>
  <c r="I255" i="3"/>
  <c r="I207" i="3"/>
  <c r="I151" i="3"/>
  <c r="I262" i="3"/>
  <c r="I214" i="3"/>
  <c r="I174" i="3"/>
  <c r="I102" i="3"/>
  <c r="I62" i="3"/>
  <c r="I269" i="3"/>
  <c r="I237" i="3"/>
  <c r="I221" i="3"/>
  <c r="I197" i="3"/>
  <c r="I181" i="3"/>
  <c r="I165" i="3"/>
  <c r="I133" i="3"/>
  <c r="I292" i="3"/>
  <c r="I284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8" i="3"/>
  <c r="I140" i="3"/>
  <c r="I132" i="3"/>
  <c r="I124" i="3"/>
  <c r="I116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" i="3"/>
  <c r="I295" i="3"/>
  <c r="I247" i="3"/>
  <c r="I199" i="3"/>
  <c r="I159" i="3"/>
  <c r="I111" i="3"/>
  <c r="I71" i="3"/>
  <c r="I254" i="3"/>
  <c r="I198" i="3"/>
  <c r="I150" i="3"/>
  <c r="I110" i="3"/>
  <c r="I70" i="3"/>
  <c r="I38" i="3"/>
  <c r="I253" i="3"/>
  <c r="I291" i="3"/>
  <c r="I283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1" i="3"/>
  <c r="I123" i="3"/>
  <c r="I115" i="3"/>
  <c r="I107" i="3"/>
  <c r="I99" i="3"/>
  <c r="I91" i="3"/>
  <c r="I83" i="3"/>
  <c r="I75" i="3"/>
  <c r="I67" i="3"/>
  <c r="I59" i="3"/>
  <c r="I51" i="3"/>
  <c r="I43" i="3"/>
  <c r="I35" i="3"/>
  <c r="I27" i="3"/>
  <c r="I19" i="3"/>
  <c r="I11" i="3"/>
  <c r="I3" i="3"/>
  <c r="I271" i="3"/>
  <c r="I231" i="3"/>
  <c r="I183" i="3"/>
  <c r="I143" i="3"/>
  <c r="I103" i="3"/>
  <c r="I47" i="3"/>
  <c r="I278" i="3"/>
  <c r="I230" i="3"/>
  <c r="I182" i="3"/>
  <c r="I118" i="3"/>
  <c r="I78" i="3"/>
  <c r="I293" i="3"/>
  <c r="I245" i="3"/>
  <c r="I290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30" i="3"/>
  <c r="I122" i="3"/>
  <c r="I114" i="3"/>
  <c r="I106" i="3"/>
  <c r="I98" i="3"/>
  <c r="I90" i="3"/>
  <c r="I82" i="3"/>
  <c r="I74" i="3"/>
  <c r="I66" i="3"/>
  <c r="I58" i="3"/>
  <c r="I50" i="3"/>
  <c r="I42" i="3"/>
  <c r="I34" i="3"/>
  <c r="I26" i="3"/>
  <c r="I18" i="3"/>
  <c r="I10" i="3"/>
  <c r="I2" i="3"/>
  <c r="I263" i="3"/>
  <c r="I215" i="3"/>
  <c r="I167" i="3"/>
  <c r="I119" i="3"/>
  <c r="I79" i="3"/>
  <c r="I55" i="3"/>
  <c r="I31" i="3"/>
  <c r="I15" i="3"/>
  <c r="I270" i="3"/>
  <c r="I222" i="3"/>
  <c r="I166" i="3"/>
  <c r="I134" i="3"/>
  <c r="I94" i="3"/>
  <c r="I54" i="3"/>
  <c r="I30" i="3"/>
  <c r="I22" i="3"/>
  <c r="I14" i="3"/>
  <c r="I6" i="3"/>
  <c r="I277" i="3"/>
  <c r="I297" i="3"/>
  <c r="I289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9" i="3"/>
  <c r="I121" i="3"/>
  <c r="I113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287" i="3"/>
  <c r="I239" i="3"/>
  <c r="I191" i="3"/>
  <c r="I135" i="3"/>
  <c r="I87" i="3"/>
  <c r="I294" i="3"/>
  <c r="I246" i="3"/>
  <c r="I206" i="3"/>
  <c r="I158" i="3"/>
  <c r="I126" i="3"/>
  <c r="I86" i="3"/>
  <c r="I46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8" i="3"/>
  <c r="I120" i="3"/>
  <c r="I112" i="3"/>
  <c r="I104" i="3"/>
  <c r="I96" i="3"/>
  <c r="I88" i="3"/>
  <c r="I80" i="3"/>
  <c r="I72" i="3"/>
  <c r="I64" i="3"/>
  <c r="I56" i="3"/>
  <c r="I48" i="3"/>
  <c r="I40" i="3"/>
  <c r="I32" i="3"/>
  <c r="I24" i="3"/>
  <c r="I16" i="3"/>
  <c r="I8" i="3"/>
  <c r="W31" i="3" l="1"/>
  <c r="Q94" i="3"/>
  <c r="W72" i="3"/>
  <c r="Q296" i="3"/>
  <c r="W40" i="3"/>
  <c r="Q204" i="3"/>
  <c r="W39" i="3"/>
  <c r="Q194" i="3"/>
  <c r="W66" i="3"/>
  <c r="Q290" i="3"/>
  <c r="W45" i="3"/>
  <c r="Q259" i="3"/>
  <c r="W41" i="3"/>
  <c r="Q232" i="3"/>
  <c r="W51" i="3"/>
  <c r="Q275" i="3"/>
  <c r="W42" i="3"/>
  <c r="Q241" i="3"/>
  <c r="W49" i="3"/>
  <c r="Q273" i="3"/>
  <c r="W70" i="3"/>
  <c r="Q294" i="3"/>
  <c r="W32" i="3"/>
  <c r="Q95" i="3"/>
  <c r="W63" i="3"/>
  <c r="Q287" i="3"/>
  <c r="W48" i="3"/>
  <c r="Q272" i="3"/>
  <c r="W43" i="3"/>
  <c r="Q248" i="3"/>
  <c r="W28" i="3"/>
  <c r="Q76" i="3"/>
  <c r="W44" i="3"/>
  <c r="Q249" i="3"/>
  <c r="W57" i="3"/>
  <c r="Q281" i="3"/>
  <c r="W37" i="3"/>
  <c r="Q170" i="3"/>
  <c r="W71" i="3"/>
  <c r="Q295" i="3"/>
  <c r="W64" i="3"/>
  <c r="Q288" i="3"/>
  <c r="W35" i="3"/>
  <c r="Q133" i="3"/>
  <c r="W46" i="3"/>
  <c r="Q261" i="3"/>
  <c r="W27" i="3"/>
  <c r="Q62" i="3"/>
  <c r="W55" i="3"/>
  <c r="Q279" i="3"/>
  <c r="W38" i="3"/>
  <c r="Q192" i="3"/>
  <c r="W29" i="3"/>
  <c r="Q85" i="3"/>
  <c r="W53" i="3"/>
  <c r="Q277" i="3"/>
  <c r="W30" i="3"/>
  <c r="Q93" i="3"/>
  <c r="W61" i="3"/>
  <c r="Q285" i="3"/>
  <c r="W52" i="3"/>
  <c r="Q276" i="3"/>
  <c r="W26" i="3"/>
  <c r="Q56" i="3"/>
  <c r="W65" i="3"/>
  <c r="Q289" i="3"/>
  <c r="W34" i="3"/>
  <c r="Q99" i="3"/>
  <c r="W60" i="3"/>
  <c r="Q284" i="3"/>
  <c r="W50" i="3"/>
  <c r="Q274" i="3"/>
  <c r="W68" i="3"/>
  <c r="Q292" i="3"/>
  <c r="W36" i="3"/>
  <c r="Q149" i="3"/>
  <c r="W24" i="3"/>
  <c r="Q15" i="3"/>
  <c r="W47" i="3"/>
  <c r="Q271" i="3"/>
  <c r="W59" i="3"/>
  <c r="Q283" i="3"/>
  <c r="W69" i="3"/>
  <c r="Q293" i="3"/>
  <c r="W54" i="3"/>
  <c r="Q278" i="3"/>
  <c r="W25" i="3"/>
  <c r="Q32" i="3"/>
  <c r="W33" i="3"/>
  <c r="Q96" i="3"/>
  <c r="W56" i="3"/>
  <c r="Q280" i="3"/>
  <c r="W62" i="3"/>
  <c r="Q286" i="3"/>
  <c r="W58" i="3"/>
  <c r="Q282" i="3"/>
  <c r="W67" i="3"/>
  <c r="Q291" i="3"/>
  <c r="U2" i="3"/>
  <c r="U8" i="3" s="1"/>
  <c r="U12" i="3" s="1"/>
  <c r="L298" i="3"/>
  <c r="N298" i="3"/>
  <c r="O303" i="3" s="1"/>
  <c r="O304" i="3" s="1"/>
  <c r="Q298" i="3" l="1"/>
  <c r="Q302" i="3" s="1"/>
  <c r="U7" i="3"/>
  <c r="U16" i="3" s="1"/>
  <c r="U4" i="3"/>
  <c r="U18" i="3" l="1"/>
</calcChain>
</file>

<file path=xl/sharedStrings.xml><?xml version="1.0" encoding="utf-8"?>
<sst xmlns="http://schemas.openxmlformats.org/spreadsheetml/2006/main" count="1918" uniqueCount="375">
  <si>
    <t>C</t>
  </si>
  <si>
    <t>HL</t>
  </si>
  <si>
    <t>Cl</t>
  </si>
  <si>
    <t>S</t>
  </si>
  <si>
    <t>.inp</t>
  </si>
  <si>
    <t>list</t>
  </si>
  <si>
    <t>to</t>
  </si>
  <si>
    <t>excel.py</t>
  </si>
  <si>
    <t>Cost</t>
  </si>
  <si>
    <t>Hydraulic Penalty</t>
  </si>
  <si>
    <t>File extension</t>
  </si>
  <si>
    <t>Column1</t>
  </si>
  <si>
    <t>Column2</t>
  </si>
  <si>
    <t>Column3</t>
  </si>
  <si>
    <t>Column4</t>
  </si>
  <si>
    <t>Column5</t>
  </si>
  <si>
    <t>Column6</t>
  </si>
  <si>
    <t>Non-dominated Solutions</t>
  </si>
  <si>
    <t>Length</t>
  </si>
  <si>
    <t>500199.500200.1</t>
  </si>
  <si>
    <t>500200.8059020X.1</t>
  </si>
  <si>
    <t>500201.500250.1</t>
  </si>
  <si>
    <t>500201.507245.1</t>
  </si>
  <si>
    <t>500202.700151X.1</t>
  </si>
  <si>
    <t>500202.700153X.1</t>
  </si>
  <si>
    <t>500202.8059032X.1</t>
  </si>
  <si>
    <t>500203.500204.1</t>
  </si>
  <si>
    <t>500203.700150X.1</t>
  </si>
  <si>
    <t>500204.500205.1</t>
  </si>
  <si>
    <t>500204.500264.1</t>
  </si>
  <si>
    <t>500205.700170X.1</t>
  </si>
  <si>
    <t>500207.507747.1</t>
  </si>
  <si>
    <t>500207.700113X.1</t>
  </si>
  <si>
    <t>500209.507233.1</t>
  </si>
  <si>
    <t>500209.700154X.1</t>
  </si>
  <si>
    <t>500209.700155X.1</t>
  </si>
  <si>
    <t>500210.300212X.1</t>
  </si>
  <si>
    <t>500210.8058992X.1</t>
  </si>
  <si>
    <t>500210.8058994X.1</t>
  </si>
  <si>
    <t>500211.8058990X.1</t>
  </si>
  <si>
    <t>500212.500213.1</t>
  </si>
  <si>
    <t>500213.700144X.1</t>
  </si>
  <si>
    <t>500214.500215.1</t>
  </si>
  <si>
    <t>500214.700141X.1</t>
  </si>
  <si>
    <t>500215.8096701X.1</t>
  </si>
  <si>
    <t>500216.507743.1</t>
  </si>
  <si>
    <t>500217.500224.1</t>
  </si>
  <si>
    <t>500217.500269.1</t>
  </si>
  <si>
    <t>500218.500219.1</t>
  </si>
  <si>
    <t>500218.700124X.1</t>
  </si>
  <si>
    <t>500219.500222.1</t>
  </si>
  <si>
    <t>500219.700115X.1</t>
  </si>
  <si>
    <t>500219.8059086X.1</t>
  </si>
  <si>
    <t>500220.500254.1</t>
  </si>
  <si>
    <t>500220.700126X.1</t>
  </si>
  <si>
    <t>500222.700123X.1</t>
  </si>
  <si>
    <t>500224.700139X.1</t>
  </si>
  <si>
    <t>500224.700142X.1</t>
  </si>
  <si>
    <t>500225.500226.1</t>
  </si>
  <si>
    <t>500226.500255.1</t>
  </si>
  <si>
    <t>500227.700121X.1</t>
  </si>
  <si>
    <t>500227.8059089X.1</t>
  </si>
  <si>
    <t>500228.700129X.1</t>
  </si>
  <si>
    <t>500228.700133X.1</t>
  </si>
  <si>
    <t>500229.700103X.1</t>
  </si>
  <si>
    <t>500229.700107X.1</t>
  </si>
  <si>
    <t>500230.700102X.1</t>
  </si>
  <si>
    <t>500230.700108X.1</t>
  </si>
  <si>
    <t>500230.700111X.1</t>
  </si>
  <si>
    <t>500231.700166X.1</t>
  </si>
  <si>
    <t>500232.700105X.1</t>
  </si>
  <si>
    <t>500233.700135X.1</t>
  </si>
  <si>
    <t>500234.700109X.1</t>
  </si>
  <si>
    <t>500234.700137X.1</t>
  </si>
  <si>
    <t>500235.500242.1</t>
  </si>
  <si>
    <t>500235.700112X.1</t>
  </si>
  <si>
    <t>500236.500241.1</t>
  </si>
  <si>
    <t>500237.700114X.1</t>
  </si>
  <si>
    <t>500237.8058988X.1</t>
  </si>
  <si>
    <t>500238.8059087X.1</t>
  </si>
  <si>
    <t>500239.700122X.1</t>
  </si>
  <si>
    <t>500239.8059091X.1</t>
  </si>
  <si>
    <t>500241.8059055X.1</t>
  </si>
  <si>
    <t>500242.700128X.1</t>
  </si>
  <si>
    <t>500242.8059047X.1</t>
  </si>
  <si>
    <t>500243.500271.1</t>
  </si>
  <si>
    <t>500243.700127X.1</t>
  </si>
  <si>
    <t>500243.700134X.1</t>
  </si>
  <si>
    <t>500244.700136X.1</t>
  </si>
  <si>
    <t>500245.507753.1</t>
  </si>
  <si>
    <t>500245.700146X.1</t>
  </si>
  <si>
    <t>500246.700157X.1</t>
  </si>
  <si>
    <t>500247.700162X.1</t>
  </si>
  <si>
    <t>500248.700167X.1</t>
  </si>
  <si>
    <t>500249.500199.1</t>
  </si>
  <si>
    <t>500249.8059034X.1</t>
  </si>
  <si>
    <t>500253.500220.1</t>
  </si>
  <si>
    <t>500258.700143X.1</t>
  </si>
  <si>
    <t>500259.8058405X.1</t>
  </si>
  <si>
    <t>500262.507249.1</t>
  </si>
  <si>
    <t>500265.507005.1</t>
  </si>
  <si>
    <t>500265.8093043X.1</t>
  </si>
  <si>
    <t>500267.500247.1</t>
  </si>
  <si>
    <t>500268.8059048X.1</t>
  </si>
  <si>
    <t>500272.500257.1</t>
  </si>
  <si>
    <t>500272.700116X.1</t>
  </si>
  <si>
    <t>506165.500271.1</t>
  </si>
  <si>
    <t>506165.8055439X.1</t>
  </si>
  <si>
    <t>507004.PF03.1</t>
  </si>
  <si>
    <t>507005.8058383X.1</t>
  </si>
  <si>
    <t>507005.8105873X.1</t>
  </si>
  <si>
    <t>507007.700160X.1</t>
  </si>
  <si>
    <t>507007.8059774X.1</t>
  </si>
  <si>
    <t>507008.8058387X.1</t>
  </si>
  <si>
    <t>507010.507011.1</t>
  </si>
  <si>
    <t>507010.8058389X.1</t>
  </si>
  <si>
    <t>507011.8058391X.1</t>
  </si>
  <si>
    <t>507012.8058401X.1</t>
  </si>
  <si>
    <t>507234.700132X.1</t>
  </si>
  <si>
    <t>507236.700131X.1</t>
  </si>
  <si>
    <t>507239.500247.1</t>
  </si>
  <si>
    <t>507240.507742.1</t>
  </si>
  <si>
    <t>507240.8059000X.1</t>
  </si>
  <si>
    <t>507241.8059001X.1</t>
  </si>
  <si>
    <t>507242.507241.1</t>
  </si>
  <si>
    <t>507244.700149X.1</t>
  </si>
  <si>
    <t>507246.507247.1</t>
  </si>
  <si>
    <t>507246.8059023X.1</t>
  </si>
  <si>
    <t>507246.8059030X.1</t>
  </si>
  <si>
    <t>507249.507248.1</t>
  </si>
  <si>
    <t>507249.8059033X.1</t>
  </si>
  <si>
    <t>507250.500252.1</t>
  </si>
  <si>
    <t>507251.507250.1</t>
  </si>
  <si>
    <t>507446.507450.1</t>
  </si>
  <si>
    <t>507446.507453.1</t>
  </si>
  <si>
    <t>507448.507447.1</t>
  </si>
  <si>
    <t>507448.8059778X.1</t>
  </si>
  <si>
    <t>507449.507446.1</t>
  </si>
  <si>
    <t>507450.8059780X.1</t>
  </si>
  <si>
    <t>507452.8058390X.1</t>
  </si>
  <si>
    <t>507453.507452.1</t>
  </si>
  <si>
    <t>507454.507452.1</t>
  </si>
  <si>
    <t>507454.8059790X.1</t>
  </si>
  <si>
    <t>507741.8082528.1</t>
  </si>
  <si>
    <t>507742.700152X.1</t>
  </si>
  <si>
    <t>507743.700140X.1</t>
  </si>
  <si>
    <t>507744.8059085X.1</t>
  </si>
  <si>
    <t>507745.500225.1</t>
  </si>
  <si>
    <t>507745.507746.1</t>
  </si>
  <si>
    <t>507747.8058986X.1</t>
  </si>
  <si>
    <t>507748.8058987X.1</t>
  </si>
  <si>
    <t>507754.500210.1</t>
  </si>
  <si>
    <t>507754.700171X.1</t>
  </si>
  <si>
    <t>700102Y.500229.1</t>
  </si>
  <si>
    <t>700103Y.500231.1</t>
  </si>
  <si>
    <t>700104Y.507233.1</t>
  </si>
  <si>
    <t>700105Y.700104X.1</t>
  </si>
  <si>
    <t>700106Y.500233.1</t>
  </si>
  <si>
    <t>700107Y.8059056X.1</t>
  </si>
  <si>
    <t>700108Y.500234.1</t>
  </si>
  <si>
    <t>700109Y.500223.1</t>
  </si>
  <si>
    <t>700110Y.500223.1</t>
  </si>
  <si>
    <t>700111Y.700106X.1</t>
  </si>
  <si>
    <t>700112Y.500236.1</t>
  </si>
  <si>
    <t>700113Y.500236.1</t>
  </si>
  <si>
    <t>700114Y.500207.1</t>
  </si>
  <si>
    <t>700115Y.500238.1</t>
  </si>
  <si>
    <t>700116Y.500239.1</t>
  </si>
  <si>
    <t>700117Y.500240.1</t>
  </si>
  <si>
    <t>700118Y.500240.1</t>
  </si>
  <si>
    <t>700119Y.500240.1</t>
  </si>
  <si>
    <t>700120Y.500240.1</t>
  </si>
  <si>
    <t>700121Y.700120X.1</t>
  </si>
  <si>
    <t>700122Y.500227.1</t>
  </si>
  <si>
    <t>700123Y.700117X.1</t>
  </si>
  <si>
    <t>700124Y.500241.1</t>
  </si>
  <si>
    <t>700125Y.500225.1</t>
  </si>
  <si>
    <t>700126Y.507745.1</t>
  </si>
  <si>
    <t>700128Y.507250.1</t>
  </si>
  <si>
    <t>700129Y.507236.1</t>
  </si>
  <si>
    <t>700130Y.507235.1</t>
  </si>
  <si>
    <t>700131Y.507237.1</t>
  </si>
  <si>
    <t>700132Y.507235.1</t>
  </si>
  <si>
    <t>700133Y.700130X.1</t>
  </si>
  <si>
    <t>700134Y.500228.1</t>
  </si>
  <si>
    <t>700135Y.500244.1</t>
  </si>
  <si>
    <t>700136Y.700138X.1</t>
  </si>
  <si>
    <t>700137Y.500244.1</t>
  </si>
  <si>
    <t>700138Y.700147X.1</t>
  </si>
  <si>
    <t>700139Y.8087726.1</t>
  </si>
  <si>
    <t>700140Y.500215.1</t>
  </si>
  <si>
    <t>700141Y.700148X.1</t>
  </si>
  <si>
    <t>700142Y.500273.1</t>
  </si>
  <si>
    <t>700143Y.500216.1</t>
  </si>
  <si>
    <t>700144Y.500214.1</t>
  </si>
  <si>
    <t>700145Y.500213.1</t>
  </si>
  <si>
    <t>700146Y.700145X.1</t>
  </si>
  <si>
    <t>700147Y.500245.1</t>
  </si>
  <si>
    <t>700148Y.500212.1</t>
  </si>
  <si>
    <t>700149Y.507245.1</t>
  </si>
  <si>
    <t>700150Y.507243.1</t>
  </si>
  <si>
    <t>700151Y.500259.1</t>
  </si>
  <si>
    <t>700152Y.500200.1</t>
  </si>
  <si>
    <t>700153Y.500199.1</t>
  </si>
  <si>
    <t>700154Y.700156X.1</t>
  </si>
  <si>
    <t>700155Y.700169X.1</t>
  </si>
  <si>
    <t>700156Y.507753.1</t>
  </si>
  <si>
    <t>700157Y.507003.1</t>
  </si>
  <si>
    <t>700158Y.PF01.1</t>
  </si>
  <si>
    <t>700160Y.507004.1</t>
  </si>
  <si>
    <t>700162Y.500231.1</t>
  </si>
  <si>
    <t>700166Y.500248.1</t>
  </si>
  <si>
    <t>700167Y.500233.1</t>
  </si>
  <si>
    <t>700168Y.500248.1</t>
  </si>
  <si>
    <t>700169Y.500248.1</t>
  </si>
  <si>
    <t>700170Y.500232.1</t>
  </si>
  <si>
    <t>700171Y.500205.1</t>
  </si>
  <si>
    <t>8055439Y.506165.1</t>
  </si>
  <si>
    <t>8058383Y.507006.1</t>
  </si>
  <si>
    <t>8058387Y.507007.1</t>
  </si>
  <si>
    <t>8058389Y.507004.1</t>
  </si>
  <si>
    <t>8058390Y.507009.1</t>
  </si>
  <si>
    <t>8058391Y.507454.1</t>
  </si>
  <si>
    <t>8058405Y.507011.1</t>
  </si>
  <si>
    <t>8058987Y.500237.1</t>
  </si>
  <si>
    <t>8058988Y.500211.1</t>
  </si>
  <si>
    <t>8058990Y.8058991X.1</t>
  </si>
  <si>
    <t>8058991Y.507754.1</t>
  </si>
  <si>
    <t>8058992Y.700168X.1</t>
  </si>
  <si>
    <t>8058994Y.500232.1</t>
  </si>
  <si>
    <t>8059000Y.500212.1</t>
  </si>
  <si>
    <t>8059001Y.507240.1</t>
  </si>
  <si>
    <t>8059020Y.500201.1</t>
  </si>
  <si>
    <t>8059023Y.507245.1</t>
  </si>
  <si>
    <t>8059030Y.500209.1</t>
  </si>
  <si>
    <t>8059032Y.500203.1</t>
  </si>
  <si>
    <t>8059033Y.500249.1</t>
  </si>
  <si>
    <t>8059034Y.507741.1</t>
  </si>
  <si>
    <t>8059048Y.500235.1</t>
  </si>
  <si>
    <t>8059055Y.500238.1</t>
  </si>
  <si>
    <t>8059056Y.500218.1</t>
  </si>
  <si>
    <t>8059085Y.500222.1</t>
  </si>
  <si>
    <t>8059086Y.8099156.1</t>
  </si>
  <si>
    <t>8059087Y.500226.1</t>
  </si>
  <si>
    <t>8059089Y.500256.1</t>
  </si>
  <si>
    <t>8059091Y.700119X.1</t>
  </si>
  <si>
    <t>8059774Y.507009.1</t>
  </si>
  <si>
    <t>8059778Y.507447.1</t>
  </si>
  <si>
    <t>8059780Y.507447.1</t>
  </si>
  <si>
    <t>8059789Y.507455.1</t>
  </si>
  <si>
    <t>8059790Y.8059789X.1</t>
  </si>
  <si>
    <t>8087725.8087728X.1</t>
  </si>
  <si>
    <t>8087725.8087733.1</t>
  </si>
  <si>
    <t>8087726.8087727X.1</t>
  </si>
  <si>
    <t>8087726.8087736.1</t>
  </si>
  <si>
    <t>8087727Y.8087734.1</t>
  </si>
  <si>
    <t>8087728Y.8087735.1</t>
  </si>
  <si>
    <t>8087732.8101041X.1</t>
  </si>
  <si>
    <t>8087733.8102457.1</t>
  </si>
  <si>
    <t>8087734.8087725.1</t>
  </si>
  <si>
    <t>8087735.8087732.1</t>
  </si>
  <si>
    <t>8087736.8087737.1</t>
  </si>
  <si>
    <t>8087737.700110X.1</t>
  </si>
  <si>
    <t>8093041.8093040.1</t>
  </si>
  <si>
    <t>8093042Y.8093041.1</t>
  </si>
  <si>
    <t>8093043Y.8093041.1</t>
  </si>
  <si>
    <t>8096701Y.500273.1</t>
  </si>
  <si>
    <t>8099156.500223.1</t>
  </si>
  <si>
    <t>8099156.700118X.1</t>
  </si>
  <si>
    <t>8101041Y.8101040.1</t>
  </si>
  <si>
    <t>8102457.8102458X.1</t>
  </si>
  <si>
    <t>8102458Y.8102457.1</t>
  </si>
  <si>
    <t>8105873Y.507003.1</t>
  </si>
  <si>
    <t>PF01.507748.1</t>
  </si>
  <si>
    <t>PF02.507010.1</t>
  </si>
  <si>
    <t>507006.700159Y.1</t>
  </si>
  <si>
    <t>507003.8058985X.1</t>
  </si>
  <si>
    <t>500246.700158X.1</t>
  </si>
  <si>
    <t>8058985Y.PF02.1</t>
  </si>
  <si>
    <t>PF03.700159X.1</t>
  </si>
  <si>
    <t>Pipe_name</t>
  </si>
  <si>
    <t>Original_Diameter</t>
  </si>
  <si>
    <t>300212Y.P_04.1</t>
  </si>
  <si>
    <t>500216.P_03.1</t>
  </si>
  <si>
    <t>700127Y.P_02.1</t>
  </si>
  <si>
    <t>8058401Y.P_06.1</t>
  </si>
  <si>
    <t>8059047Y.P_01.1</t>
  </si>
  <si>
    <t>8082528.P_05.1</t>
  </si>
  <si>
    <t>GHD_001.8093042X.1</t>
  </si>
  <si>
    <t>GHD_002.500246.1</t>
  </si>
  <si>
    <t>GHD_005.GHD_001.1</t>
  </si>
  <si>
    <t>P_01.700125X.1</t>
  </si>
  <si>
    <t>P_02.500227.1</t>
  </si>
  <si>
    <t>P_03.500217.1</t>
  </si>
  <si>
    <t>P_04.500211.1</t>
  </si>
  <si>
    <t>P_05.500263.1</t>
  </si>
  <si>
    <t>P_06.507009.1</t>
  </si>
  <si>
    <t>GHD_006.8058986Y.1</t>
  </si>
  <si>
    <t>507006.GHD_006.1</t>
  </si>
  <si>
    <t>GHD_004.GHD_002.1</t>
  </si>
  <si>
    <t>GHD_014.500269.1</t>
  </si>
  <si>
    <t>GHD_016.507005.1</t>
  </si>
  <si>
    <t>GHD_015.700110X.1</t>
  </si>
  <si>
    <t>GHD_017.8058985X.1</t>
  </si>
  <si>
    <t>GHD_020.700158Y.1</t>
  </si>
  <si>
    <t>8058985X.PF02.1</t>
  </si>
  <si>
    <t>GHD_007.8087737.1</t>
  </si>
  <si>
    <t>GHD_007.GHD_012.1</t>
  </si>
  <si>
    <t>GHD_012.GHD_010.1</t>
  </si>
  <si>
    <t>GHD_010.GHD_008.1</t>
  </si>
  <si>
    <t>GHD_010.GHD_009.1</t>
  </si>
  <si>
    <t>8101040.GHD_011.1</t>
  </si>
  <si>
    <t>GHD_014.500217.1</t>
  </si>
  <si>
    <t>GHD_014.GHD_013.1</t>
  </si>
  <si>
    <t>GHD_013.GHD_011.1</t>
  </si>
  <si>
    <t>500244.GHD_015.1</t>
  </si>
  <si>
    <t>GHD_007.GHD_015.1</t>
  </si>
  <si>
    <t>GHD_022.700159Y.1</t>
  </si>
  <si>
    <t>GHD_016.500265.1</t>
  </si>
  <si>
    <t>507006.GHD_024.1</t>
  </si>
  <si>
    <t>8058390X.507012.1</t>
  </si>
  <si>
    <t>507003.GHD_018.1</t>
  </si>
  <si>
    <t>500246.GHD_019.1</t>
  </si>
  <si>
    <t>507005.GHD_021.1</t>
  </si>
  <si>
    <t>GHD_016.GHD_023.1</t>
  </si>
  <si>
    <t>8093043X.8093043Y.1</t>
  </si>
  <si>
    <t>2043 Diameter</t>
  </si>
  <si>
    <t>2022 Diameter</t>
  </si>
  <si>
    <t>2043 Length</t>
  </si>
  <si>
    <t>Pipe Added?</t>
  </si>
  <si>
    <t>Yes</t>
  </si>
  <si>
    <t>No</t>
  </si>
  <si>
    <t>Diameter Change?</t>
  </si>
  <si>
    <t>Length Change?</t>
  </si>
  <si>
    <t>Total</t>
  </si>
  <si>
    <t>Opex Parameters</t>
  </si>
  <si>
    <t>Variable</t>
  </si>
  <si>
    <t>Value</t>
  </si>
  <si>
    <t>Units</t>
  </si>
  <si>
    <t>Annual Interest rate</t>
  </si>
  <si>
    <t>Payback period</t>
  </si>
  <si>
    <t>years</t>
  </si>
  <si>
    <t>Energy Price</t>
  </si>
  <si>
    <t>kWh</t>
  </si>
  <si>
    <t>Annuity</t>
  </si>
  <si>
    <t>Maintenance</t>
  </si>
  <si>
    <t>Pipes</t>
  </si>
  <si>
    <t>Tanks</t>
  </si>
  <si>
    <t>Valves</t>
  </si>
  <si>
    <t>N/A</t>
  </si>
  <si>
    <t>Pump Stations</t>
  </si>
  <si>
    <t>Pump Energy</t>
  </si>
  <si>
    <t>Manual Check</t>
  </si>
  <si>
    <t>NetworkEvaluator</t>
  </si>
  <si>
    <t>Check DL Cost</t>
  </si>
  <si>
    <t>GHD_018.GHD_017.1</t>
  </si>
  <si>
    <t>GHD_019.GHD_020.1</t>
  </si>
  <si>
    <t>GHD_021.GHD_022.1</t>
  </si>
  <si>
    <t>GHD_023.GHD_024.1</t>
  </si>
  <si>
    <t>PS total Inv cost</t>
  </si>
  <si>
    <t>TOTEX total</t>
  </si>
  <si>
    <t>TOTEX pipes pumps</t>
  </si>
  <si>
    <t>2022 total cost</t>
  </si>
  <si>
    <t>2043 Pipeline unit cost</t>
  </si>
  <si>
    <t>2022 Pipeline unit cost</t>
  </si>
  <si>
    <t>2043 pipes</t>
  </si>
  <si>
    <t>In 2022, not 2043</t>
  </si>
  <si>
    <t>in 2022, not in 2043</t>
  </si>
  <si>
    <t>unit cost</t>
  </si>
  <si>
    <t>total cost</t>
  </si>
  <si>
    <t>2022 length</t>
  </si>
  <si>
    <t>This should be $6.5. (missing 200k from pipes in 2022, not in 2043)</t>
  </si>
  <si>
    <t>asdfa</t>
  </si>
  <si>
    <t>asdfa2</t>
  </si>
  <si>
    <t>Master Plan CAPEX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</si>
</sst>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3F3F76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3" applyNumberFormat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44" fontId="3" fillId="0" borderId="2" xfId="1" applyFont="1" applyBorder="1" applyAlignment="1">
      <alignment horizontal="center" vertical="top"/>
    </xf>
    <xf numFmtId="44" fontId="0" fillId="0" borderId="0" xfId="1" applyNumberFormat="1" applyFont="1"/>
    <xf numFmtId="167" fontId="0" fillId="0" borderId="0" xfId="1" applyNumberFormat="1" applyFont="1"/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44" fontId="0" fillId="0" borderId="0" xfId="0" applyNumberFormat="1"/>
    <xf numFmtId="8" fontId="0" fillId="0" borderId="0" xfId="0" applyNumberFormat="1"/>
    <xf numFmtId="0" fontId="7" fillId="0" borderId="0" xfId="0" applyFont="1"/>
    <xf numFmtId="9" fontId="6" fillId="3" borderId="3" xfId="3" applyNumberFormat="1"/>
    <xf numFmtId="0" fontId="6" fillId="3" borderId="3" xfId="3"/>
    <xf numFmtId="167" fontId="5" fillId="2" borderId="0" xfId="2" applyNumberFormat="1"/>
  </cellXfs>
  <cellStyles count="4">
    <cellStyle name="Currency" xfId="1" builtinId="4"/>
    <cellStyle name="Good" xfId="2" builtinId="26"/>
    <cellStyle name="Input" xfId="3" builtinId="20"/>
    <cellStyle name="Normal" xfId="0" builtinId="0"/>
  </cellStyles>
  <dxfs count="28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7" formatCode="_-&quot;$&quot;* #,##0_-;\-&quot;$&quot;* #,##0_-;_-&quot;$&quot;* &quot;-&quot;??_-;_-@_-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Pareto Curve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Sheet1!$B$3:$B$188</c:f>
              <c:numCache>
                <c:formatCode>_("$"* #,##0.00_);_("$"* \(#,##0.00\);_("$"* "-"??_);_(@_)</c:formatCode>
                <c:ptCount val="186"/>
                <c:pt idx="0">
                  <c:v>136584.65</c:v>
                </c:pt>
                <c:pt idx="1">
                  <c:v>136584.65</c:v>
                </c:pt>
                <c:pt idx="2">
                  <c:v>136584.65</c:v>
                </c:pt>
                <c:pt idx="3">
                  <c:v>136681.54999999999</c:v>
                </c:pt>
                <c:pt idx="4">
                  <c:v>136681.54999999999</c:v>
                </c:pt>
                <c:pt idx="5">
                  <c:v>136696.04999999999</c:v>
                </c:pt>
                <c:pt idx="6">
                  <c:v>136735.69</c:v>
                </c:pt>
                <c:pt idx="7">
                  <c:v>136735.69</c:v>
                </c:pt>
                <c:pt idx="8">
                  <c:v>136735.69</c:v>
                </c:pt>
                <c:pt idx="9">
                  <c:v>136735.69</c:v>
                </c:pt>
                <c:pt idx="10">
                  <c:v>136735.69</c:v>
                </c:pt>
                <c:pt idx="11">
                  <c:v>136754</c:v>
                </c:pt>
                <c:pt idx="12">
                  <c:v>136754</c:v>
                </c:pt>
                <c:pt idx="13">
                  <c:v>136754</c:v>
                </c:pt>
                <c:pt idx="14">
                  <c:v>136754</c:v>
                </c:pt>
                <c:pt idx="15">
                  <c:v>136754</c:v>
                </c:pt>
                <c:pt idx="16">
                  <c:v>136754</c:v>
                </c:pt>
                <c:pt idx="17">
                  <c:v>136754</c:v>
                </c:pt>
                <c:pt idx="18">
                  <c:v>136754</c:v>
                </c:pt>
                <c:pt idx="19">
                  <c:v>136754</c:v>
                </c:pt>
                <c:pt idx="20">
                  <c:v>136754</c:v>
                </c:pt>
                <c:pt idx="21">
                  <c:v>136754</c:v>
                </c:pt>
                <c:pt idx="22">
                  <c:v>136754</c:v>
                </c:pt>
                <c:pt idx="23">
                  <c:v>136754</c:v>
                </c:pt>
                <c:pt idx="24">
                  <c:v>136754</c:v>
                </c:pt>
                <c:pt idx="25">
                  <c:v>136809.91</c:v>
                </c:pt>
                <c:pt idx="26">
                  <c:v>136809.91</c:v>
                </c:pt>
                <c:pt idx="27">
                  <c:v>136809.91</c:v>
                </c:pt>
                <c:pt idx="28">
                  <c:v>136850.9</c:v>
                </c:pt>
                <c:pt idx="29">
                  <c:v>136850.9</c:v>
                </c:pt>
                <c:pt idx="30">
                  <c:v>136850.9</c:v>
                </c:pt>
                <c:pt idx="31">
                  <c:v>136850.9</c:v>
                </c:pt>
                <c:pt idx="32">
                  <c:v>136850.9</c:v>
                </c:pt>
                <c:pt idx="33">
                  <c:v>136850.9</c:v>
                </c:pt>
                <c:pt idx="34">
                  <c:v>136850.9</c:v>
                </c:pt>
                <c:pt idx="35">
                  <c:v>136850.9</c:v>
                </c:pt>
                <c:pt idx="36">
                  <c:v>136850.9</c:v>
                </c:pt>
                <c:pt idx="37">
                  <c:v>136850.9</c:v>
                </c:pt>
                <c:pt idx="38">
                  <c:v>136850.9</c:v>
                </c:pt>
                <c:pt idx="39">
                  <c:v>136850.9</c:v>
                </c:pt>
                <c:pt idx="40">
                  <c:v>136850.9</c:v>
                </c:pt>
                <c:pt idx="41">
                  <c:v>136850.9</c:v>
                </c:pt>
                <c:pt idx="42">
                  <c:v>136850.9</c:v>
                </c:pt>
                <c:pt idx="43">
                  <c:v>136850.9</c:v>
                </c:pt>
                <c:pt idx="44">
                  <c:v>136850.9</c:v>
                </c:pt>
                <c:pt idx="45">
                  <c:v>136850.9</c:v>
                </c:pt>
                <c:pt idx="46">
                  <c:v>136869.22</c:v>
                </c:pt>
                <c:pt idx="47">
                  <c:v>136869.22</c:v>
                </c:pt>
                <c:pt idx="48">
                  <c:v>136869.22</c:v>
                </c:pt>
                <c:pt idx="49">
                  <c:v>136869.22</c:v>
                </c:pt>
                <c:pt idx="50">
                  <c:v>136869.22</c:v>
                </c:pt>
                <c:pt idx="51">
                  <c:v>136869.22</c:v>
                </c:pt>
                <c:pt idx="52">
                  <c:v>136869.22</c:v>
                </c:pt>
                <c:pt idx="53">
                  <c:v>136869.22</c:v>
                </c:pt>
                <c:pt idx="54">
                  <c:v>136869.22</c:v>
                </c:pt>
                <c:pt idx="55">
                  <c:v>136869.22</c:v>
                </c:pt>
                <c:pt idx="56">
                  <c:v>136869.22</c:v>
                </c:pt>
                <c:pt idx="57">
                  <c:v>136869.22</c:v>
                </c:pt>
                <c:pt idx="58">
                  <c:v>136869.22</c:v>
                </c:pt>
                <c:pt idx="59">
                  <c:v>136869.22</c:v>
                </c:pt>
                <c:pt idx="60">
                  <c:v>136869.22</c:v>
                </c:pt>
                <c:pt idx="61">
                  <c:v>136869.22</c:v>
                </c:pt>
                <c:pt idx="62">
                  <c:v>136869.22</c:v>
                </c:pt>
                <c:pt idx="63">
                  <c:v>136869.22</c:v>
                </c:pt>
                <c:pt idx="64">
                  <c:v>136869.22</c:v>
                </c:pt>
                <c:pt idx="65">
                  <c:v>136869.22</c:v>
                </c:pt>
                <c:pt idx="66">
                  <c:v>136869.22</c:v>
                </c:pt>
                <c:pt idx="67">
                  <c:v>136869.22</c:v>
                </c:pt>
                <c:pt idx="68">
                  <c:v>136869.22</c:v>
                </c:pt>
                <c:pt idx="69">
                  <c:v>136869.22</c:v>
                </c:pt>
                <c:pt idx="70">
                  <c:v>136869.22</c:v>
                </c:pt>
                <c:pt idx="71">
                  <c:v>136869.22</c:v>
                </c:pt>
                <c:pt idx="72">
                  <c:v>136869.22</c:v>
                </c:pt>
                <c:pt idx="73">
                  <c:v>136869.22</c:v>
                </c:pt>
                <c:pt idx="74">
                  <c:v>136869.22</c:v>
                </c:pt>
                <c:pt idx="75">
                  <c:v>136869.22</c:v>
                </c:pt>
                <c:pt idx="76">
                  <c:v>136869.22</c:v>
                </c:pt>
                <c:pt idx="77">
                  <c:v>136869.22</c:v>
                </c:pt>
                <c:pt idx="78">
                  <c:v>136869.22</c:v>
                </c:pt>
                <c:pt idx="79">
                  <c:v>136869.22</c:v>
                </c:pt>
                <c:pt idx="80">
                  <c:v>136869.22</c:v>
                </c:pt>
                <c:pt idx="81">
                  <c:v>136869.22</c:v>
                </c:pt>
                <c:pt idx="82">
                  <c:v>136869.22</c:v>
                </c:pt>
                <c:pt idx="83">
                  <c:v>136869.22</c:v>
                </c:pt>
                <c:pt idx="84">
                  <c:v>136869.22</c:v>
                </c:pt>
                <c:pt idx="85">
                  <c:v>136869.22</c:v>
                </c:pt>
                <c:pt idx="86">
                  <c:v>136869.22</c:v>
                </c:pt>
                <c:pt idx="87">
                  <c:v>136869.22</c:v>
                </c:pt>
                <c:pt idx="88">
                  <c:v>136869.22</c:v>
                </c:pt>
                <c:pt idx="89">
                  <c:v>136869.22</c:v>
                </c:pt>
                <c:pt idx="90">
                  <c:v>136869.22</c:v>
                </c:pt>
                <c:pt idx="91">
                  <c:v>136869.22</c:v>
                </c:pt>
                <c:pt idx="92">
                  <c:v>136869.22</c:v>
                </c:pt>
                <c:pt idx="93">
                  <c:v>136869.22</c:v>
                </c:pt>
                <c:pt idx="94">
                  <c:v>136869.22</c:v>
                </c:pt>
                <c:pt idx="95">
                  <c:v>136869.22</c:v>
                </c:pt>
                <c:pt idx="96">
                  <c:v>136869.22</c:v>
                </c:pt>
                <c:pt idx="97">
                  <c:v>136869.22</c:v>
                </c:pt>
                <c:pt idx="98">
                  <c:v>136869.22</c:v>
                </c:pt>
                <c:pt idx="99">
                  <c:v>136869.22</c:v>
                </c:pt>
                <c:pt idx="100">
                  <c:v>136869.22</c:v>
                </c:pt>
                <c:pt idx="101">
                  <c:v>136869.22</c:v>
                </c:pt>
                <c:pt idx="102">
                  <c:v>136925.13</c:v>
                </c:pt>
                <c:pt idx="103">
                  <c:v>136925.13</c:v>
                </c:pt>
                <c:pt idx="104">
                  <c:v>136943.45000000001</c:v>
                </c:pt>
                <c:pt idx="105">
                  <c:v>136943.45000000001</c:v>
                </c:pt>
                <c:pt idx="106">
                  <c:v>136943.45000000001</c:v>
                </c:pt>
                <c:pt idx="107">
                  <c:v>137349.74</c:v>
                </c:pt>
                <c:pt idx="108">
                  <c:v>137349.74</c:v>
                </c:pt>
                <c:pt idx="109">
                  <c:v>137349.74</c:v>
                </c:pt>
                <c:pt idx="110">
                  <c:v>137349.74</c:v>
                </c:pt>
                <c:pt idx="111">
                  <c:v>137349.74</c:v>
                </c:pt>
                <c:pt idx="112">
                  <c:v>137349.74</c:v>
                </c:pt>
                <c:pt idx="113">
                  <c:v>137359.18</c:v>
                </c:pt>
                <c:pt idx="114">
                  <c:v>137359.18</c:v>
                </c:pt>
                <c:pt idx="115">
                  <c:v>137359.18</c:v>
                </c:pt>
                <c:pt idx="116">
                  <c:v>137359.18</c:v>
                </c:pt>
                <c:pt idx="117">
                  <c:v>137359.18</c:v>
                </c:pt>
                <c:pt idx="118">
                  <c:v>137359.18</c:v>
                </c:pt>
                <c:pt idx="119">
                  <c:v>137359.18</c:v>
                </c:pt>
                <c:pt idx="120">
                  <c:v>137359.18</c:v>
                </c:pt>
                <c:pt idx="121">
                  <c:v>137359.18</c:v>
                </c:pt>
                <c:pt idx="122">
                  <c:v>137359.18</c:v>
                </c:pt>
                <c:pt idx="123">
                  <c:v>137359.18</c:v>
                </c:pt>
                <c:pt idx="124">
                  <c:v>137359.18</c:v>
                </c:pt>
                <c:pt idx="125">
                  <c:v>137359.18</c:v>
                </c:pt>
                <c:pt idx="126">
                  <c:v>137359.18</c:v>
                </c:pt>
                <c:pt idx="127">
                  <c:v>137359.18</c:v>
                </c:pt>
                <c:pt idx="128">
                  <c:v>137359.18</c:v>
                </c:pt>
                <c:pt idx="129">
                  <c:v>137359.18</c:v>
                </c:pt>
                <c:pt idx="130">
                  <c:v>137359.18</c:v>
                </c:pt>
                <c:pt idx="131">
                  <c:v>137359.18</c:v>
                </c:pt>
                <c:pt idx="132">
                  <c:v>137359.18</c:v>
                </c:pt>
                <c:pt idx="133">
                  <c:v>137359.18</c:v>
                </c:pt>
                <c:pt idx="134">
                  <c:v>137359.18</c:v>
                </c:pt>
                <c:pt idx="135">
                  <c:v>137359.18</c:v>
                </c:pt>
                <c:pt idx="136">
                  <c:v>137359.18</c:v>
                </c:pt>
                <c:pt idx="137">
                  <c:v>137359.19</c:v>
                </c:pt>
                <c:pt idx="138">
                  <c:v>137359.19</c:v>
                </c:pt>
                <c:pt idx="139">
                  <c:v>137359.19</c:v>
                </c:pt>
                <c:pt idx="140">
                  <c:v>137359.19</c:v>
                </c:pt>
                <c:pt idx="141">
                  <c:v>137359.19</c:v>
                </c:pt>
                <c:pt idx="142">
                  <c:v>137399.07999999999</c:v>
                </c:pt>
                <c:pt idx="143">
                  <c:v>137399.07999999999</c:v>
                </c:pt>
                <c:pt idx="144">
                  <c:v>137399.07999999999</c:v>
                </c:pt>
                <c:pt idx="145">
                  <c:v>137399.07999999999</c:v>
                </c:pt>
                <c:pt idx="146">
                  <c:v>137415.1</c:v>
                </c:pt>
                <c:pt idx="147">
                  <c:v>137415.1</c:v>
                </c:pt>
                <c:pt idx="148">
                  <c:v>137415.1</c:v>
                </c:pt>
                <c:pt idx="149">
                  <c:v>137473.31</c:v>
                </c:pt>
                <c:pt idx="150">
                  <c:v>137473.31</c:v>
                </c:pt>
                <c:pt idx="151">
                  <c:v>138476.74</c:v>
                </c:pt>
                <c:pt idx="152">
                  <c:v>138476.74</c:v>
                </c:pt>
                <c:pt idx="153">
                  <c:v>138476.74</c:v>
                </c:pt>
                <c:pt idx="154">
                  <c:v>138476.74</c:v>
                </c:pt>
                <c:pt idx="155">
                  <c:v>138476.74</c:v>
                </c:pt>
                <c:pt idx="156">
                  <c:v>138476.74</c:v>
                </c:pt>
                <c:pt idx="157">
                  <c:v>138476.74</c:v>
                </c:pt>
                <c:pt idx="158">
                  <c:v>138476.74</c:v>
                </c:pt>
                <c:pt idx="159">
                  <c:v>138476.74</c:v>
                </c:pt>
                <c:pt idx="160">
                  <c:v>138516.64000000001</c:v>
                </c:pt>
                <c:pt idx="161">
                  <c:v>138516.64000000001</c:v>
                </c:pt>
                <c:pt idx="162">
                  <c:v>138516.64000000001</c:v>
                </c:pt>
                <c:pt idx="163">
                  <c:v>138516.64000000001</c:v>
                </c:pt>
                <c:pt idx="164">
                  <c:v>138516.64000000001</c:v>
                </c:pt>
                <c:pt idx="165">
                  <c:v>138516.64000000001</c:v>
                </c:pt>
                <c:pt idx="166">
                  <c:v>138550.97</c:v>
                </c:pt>
                <c:pt idx="167">
                  <c:v>138550.97</c:v>
                </c:pt>
                <c:pt idx="168">
                  <c:v>138550.97</c:v>
                </c:pt>
                <c:pt idx="169">
                  <c:v>138550.97</c:v>
                </c:pt>
                <c:pt idx="170">
                  <c:v>138550.97</c:v>
                </c:pt>
                <c:pt idx="171">
                  <c:v>138550.97</c:v>
                </c:pt>
                <c:pt idx="172">
                  <c:v>138550.97</c:v>
                </c:pt>
                <c:pt idx="173">
                  <c:v>138550.97</c:v>
                </c:pt>
                <c:pt idx="174">
                  <c:v>138550.97</c:v>
                </c:pt>
                <c:pt idx="175">
                  <c:v>138550.97</c:v>
                </c:pt>
                <c:pt idx="176">
                  <c:v>138550.97</c:v>
                </c:pt>
                <c:pt idx="177">
                  <c:v>138550.97</c:v>
                </c:pt>
                <c:pt idx="178">
                  <c:v>138550.97</c:v>
                </c:pt>
                <c:pt idx="179">
                  <c:v>138550.97</c:v>
                </c:pt>
                <c:pt idx="180">
                  <c:v>138550.97</c:v>
                </c:pt>
                <c:pt idx="181">
                  <c:v>138550.97</c:v>
                </c:pt>
                <c:pt idx="182">
                  <c:v>138550.97</c:v>
                </c:pt>
                <c:pt idx="183">
                  <c:v>138550.97</c:v>
                </c:pt>
                <c:pt idx="184">
                  <c:v>138550.97</c:v>
                </c:pt>
                <c:pt idx="185">
                  <c:v>138550.97</c:v>
                </c:pt>
              </c:numCache>
            </c:numRef>
          </c:xVal>
          <c:yVal>
            <c:numRef>
              <c:f>Sheet1!$D$3:$D$188</c:f>
              <c:numCache>
                <c:formatCode>_("$"* #,##0.00_);_("$"* \(#,##0.00\);_("$"* "-"??_);_(@_)</c:formatCode>
                <c:ptCount val="186"/>
                <c:pt idx="0">
                  <c:v>4555247.41</c:v>
                </c:pt>
                <c:pt idx="1">
                  <c:v>4555247.41</c:v>
                </c:pt>
                <c:pt idx="2">
                  <c:v>4555247.41</c:v>
                </c:pt>
                <c:pt idx="3">
                  <c:v>4553534.54</c:v>
                </c:pt>
                <c:pt idx="4">
                  <c:v>4553534.54</c:v>
                </c:pt>
                <c:pt idx="5">
                  <c:v>26450.28</c:v>
                </c:pt>
                <c:pt idx="6">
                  <c:v>3659.81</c:v>
                </c:pt>
                <c:pt idx="7">
                  <c:v>3659.81</c:v>
                </c:pt>
                <c:pt idx="8">
                  <c:v>3659.81</c:v>
                </c:pt>
                <c:pt idx="9">
                  <c:v>3659.81</c:v>
                </c:pt>
                <c:pt idx="10">
                  <c:v>3659.81</c:v>
                </c:pt>
                <c:pt idx="11">
                  <c:v>3658.18</c:v>
                </c:pt>
                <c:pt idx="12">
                  <c:v>3658.18</c:v>
                </c:pt>
                <c:pt idx="13">
                  <c:v>3658.18</c:v>
                </c:pt>
                <c:pt idx="14">
                  <c:v>3658.18</c:v>
                </c:pt>
                <c:pt idx="15">
                  <c:v>3658.18</c:v>
                </c:pt>
                <c:pt idx="16">
                  <c:v>3658.18</c:v>
                </c:pt>
                <c:pt idx="17">
                  <c:v>3658.18</c:v>
                </c:pt>
                <c:pt idx="18">
                  <c:v>3658.18</c:v>
                </c:pt>
                <c:pt idx="19">
                  <c:v>3658.18</c:v>
                </c:pt>
                <c:pt idx="20">
                  <c:v>3658.18</c:v>
                </c:pt>
                <c:pt idx="21">
                  <c:v>3658.18</c:v>
                </c:pt>
                <c:pt idx="22">
                  <c:v>3658.37</c:v>
                </c:pt>
                <c:pt idx="23">
                  <c:v>3658.37</c:v>
                </c:pt>
                <c:pt idx="24">
                  <c:v>3658.37</c:v>
                </c:pt>
                <c:pt idx="25">
                  <c:v>3281.64</c:v>
                </c:pt>
                <c:pt idx="26">
                  <c:v>3281.64</c:v>
                </c:pt>
                <c:pt idx="27">
                  <c:v>3281.64</c:v>
                </c:pt>
                <c:pt idx="28">
                  <c:v>2036.75</c:v>
                </c:pt>
                <c:pt idx="29">
                  <c:v>2036.75</c:v>
                </c:pt>
                <c:pt idx="30">
                  <c:v>2036.75</c:v>
                </c:pt>
                <c:pt idx="31">
                  <c:v>2036.75</c:v>
                </c:pt>
                <c:pt idx="32">
                  <c:v>2036.75</c:v>
                </c:pt>
                <c:pt idx="33">
                  <c:v>2036.75</c:v>
                </c:pt>
                <c:pt idx="34">
                  <c:v>2036.75</c:v>
                </c:pt>
                <c:pt idx="35">
                  <c:v>2036.94</c:v>
                </c:pt>
                <c:pt idx="36">
                  <c:v>2036.94</c:v>
                </c:pt>
                <c:pt idx="37">
                  <c:v>2036.94</c:v>
                </c:pt>
                <c:pt idx="38">
                  <c:v>2036.94</c:v>
                </c:pt>
                <c:pt idx="39">
                  <c:v>2036.94</c:v>
                </c:pt>
                <c:pt idx="40">
                  <c:v>2036.94</c:v>
                </c:pt>
                <c:pt idx="41">
                  <c:v>2036.94</c:v>
                </c:pt>
                <c:pt idx="42">
                  <c:v>2036.94</c:v>
                </c:pt>
                <c:pt idx="43">
                  <c:v>2036.94</c:v>
                </c:pt>
                <c:pt idx="44">
                  <c:v>2036.94</c:v>
                </c:pt>
                <c:pt idx="45">
                  <c:v>2036.94</c:v>
                </c:pt>
                <c:pt idx="46">
                  <c:v>2035.27</c:v>
                </c:pt>
                <c:pt idx="47">
                  <c:v>2035.32</c:v>
                </c:pt>
                <c:pt idx="48">
                  <c:v>2035.32</c:v>
                </c:pt>
                <c:pt idx="49">
                  <c:v>2035.32</c:v>
                </c:pt>
                <c:pt idx="50">
                  <c:v>2035.32</c:v>
                </c:pt>
                <c:pt idx="51">
                  <c:v>2035.32</c:v>
                </c:pt>
                <c:pt idx="52">
                  <c:v>2035.32</c:v>
                </c:pt>
                <c:pt idx="53">
                  <c:v>2035.32</c:v>
                </c:pt>
                <c:pt idx="54">
                  <c:v>2035.32</c:v>
                </c:pt>
                <c:pt idx="55">
                  <c:v>2035.32</c:v>
                </c:pt>
                <c:pt idx="56">
                  <c:v>2035.32</c:v>
                </c:pt>
                <c:pt idx="57">
                  <c:v>2035.32</c:v>
                </c:pt>
                <c:pt idx="58">
                  <c:v>2035.32</c:v>
                </c:pt>
                <c:pt idx="59">
                  <c:v>2035.33</c:v>
                </c:pt>
                <c:pt idx="60">
                  <c:v>2035.33</c:v>
                </c:pt>
                <c:pt idx="61">
                  <c:v>2035.33</c:v>
                </c:pt>
                <c:pt idx="62">
                  <c:v>2035.33</c:v>
                </c:pt>
                <c:pt idx="63">
                  <c:v>2035.33</c:v>
                </c:pt>
                <c:pt idx="64">
                  <c:v>2035.33</c:v>
                </c:pt>
                <c:pt idx="65">
                  <c:v>2035.33</c:v>
                </c:pt>
                <c:pt idx="66">
                  <c:v>2035.33</c:v>
                </c:pt>
                <c:pt idx="67">
                  <c:v>2035.33</c:v>
                </c:pt>
                <c:pt idx="68">
                  <c:v>2035.33</c:v>
                </c:pt>
                <c:pt idx="69">
                  <c:v>2035.33</c:v>
                </c:pt>
                <c:pt idx="70">
                  <c:v>2035.33</c:v>
                </c:pt>
                <c:pt idx="71">
                  <c:v>2035.33</c:v>
                </c:pt>
                <c:pt idx="72">
                  <c:v>2035.33</c:v>
                </c:pt>
                <c:pt idx="73">
                  <c:v>2035.49</c:v>
                </c:pt>
                <c:pt idx="74">
                  <c:v>2035.49</c:v>
                </c:pt>
                <c:pt idx="75">
                  <c:v>2035.49</c:v>
                </c:pt>
                <c:pt idx="76">
                  <c:v>2035.49</c:v>
                </c:pt>
                <c:pt idx="77">
                  <c:v>2035.49</c:v>
                </c:pt>
                <c:pt idx="78">
                  <c:v>2035.49</c:v>
                </c:pt>
                <c:pt idx="79">
                  <c:v>2035.49</c:v>
                </c:pt>
                <c:pt idx="80">
                  <c:v>2035.49</c:v>
                </c:pt>
                <c:pt idx="81">
                  <c:v>2035.49</c:v>
                </c:pt>
                <c:pt idx="82">
                  <c:v>2035.49</c:v>
                </c:pt>
                <c:pt idx="83">
                  <c:v>2035.49</c:v>
                </c:pt>
                <c:pt idx="84">
                  <c:v>2035.49</c:v>
                </c:pt>
                <c:pt idx="85">
                  <c:v>2035.49</c:v>
                </c:pt>
                <c:pt idx="86">
                  <c:v>2035.49</c:v>
                </c:pt>
                <c:pt idx="87">
                  <c:v>2035.49</c:v>
                </c:pt>
                <c:pt idx="88">
                  <c:v>2035.49</c:v>
                </c:pt>
                <c:pt idx="89">
                  <c:v>2035.49</c:v>
                </c:pt>
                <c:pt idx="90">
                  <c:v>2035.49</c:v>
                </c:pt>
                <c:pt idx="91">
                  <c:v>2035.49</c:v>
                </c:pt>
                <c:pt idx="92">
                  <c:v>2035.49</c:v>
                </c:pt>
                <c:pt idx="93">
                  <c:v>2035.49</c:v>
                </c:pt>
                <c:pt idx="94">
                  <c:v>2035.49</c:v>
                </c:pt>
                <c:pt idx="95">
                  <c:v>2035.49</c:v>
                </c:pt>
                <c:pt idx="96">
                  <c:v>2035.49</c:v>
                </c:pt>
                <c:pt idx="97">
                  <c:v>2035.49</c:v>
                </c:pt>
                <c:pt idx="98">
                  <c:v>2035.49</c:v>
                </c:pt>
                <c:pt idx="99">
                  <c:v>2035.49</c:v>
                </c:pt>
                <c:pt idx="100">
                  <c:v>2035.49</c:v>
                </c:pt>
                <c:pt idx="101">
                  <c:v>2035.49</c:v>
                </c:pt>
                <c:pt idx="102">
                  <c:v>1658.75</c:v>
                </c:pt>
                <c:pt idx="103">
                  <c:v>1658.75</c:v>
                </c:pt>
                <c:pt idx="104">
                  <c:v>1658.75</c:v>
                </c:pt>
                <c:pt idx="105">
                  <c:v>1658.75</c:v>
                </c:pt>
                <c:pt idx="106">
                  <c:v>1658.75</c:v>
                </c:pt>
                <c:pt idx="107">
                  <c:v>1549.25</c:v>
                </c:pt>
                <c:pt idx="108">
                  <c:v>1549.25</c:v>
                </c:pt>
                <c:pt idx="109">
                  <c:v>1549.25</c:v>
                </c:pt>
                <c:pt idx="110">
                  <c:v>1549.25</c:v>
                </c:pt>
                <c:pt idx="111">
                  <c:v>1549.25</c:v>
                </c:pt>
                <c:pt idx="112">
                  <c:v>1549.25</c:v>
                </c:pt>
                <c:pt idx="113">
                  <c:v>1548.24</c:v>
                </c:pt>
                <c:pt idx="114">
                  <c:v>1548.24</c:v>
                </c:pt>
                <c:pt idx="115">
                  <c:v>1549.1</c:v>
                </c:pt>
                <c:pt idx="116">
                  <c:v>1549.1</c:v>
                </c:pt>
                <c:pt idx="117">
                  <c:v>1549.1</c:v>
                </c:pt>
                <c:pt idx="118">
                  <c:v>1549.1</c:v>
                </c:pt>
                <c:pt idx="119">
                  <c:v>1549.1</c:v>
                </c:pt>
                <c:pt idx="120">
                  <c:v>1549.1</c:v>
                </c:pt>
                <c:pt idx="121">
                  <c:v>1549.1</c:v>
                </c:pt>
                <c:pt idx="122">
                  <c:v>1549.1</c:v>
                </c:pt>
                <c:pt idx="123">
                  <c:v>1549.1</c:v>
                </c:pt>
                <c:pt idx="124">
                  <c:v>1549.1</c:v>
                </c:pt>
                <c:pt idx="125">
                  <c:v>1549.1</c:v>
                </c:pt>
                <c:pt idx="126">
                  <c:v>1549.1</c:v>
                </c:pt>
                <c:pt idx="127">
                  <c:v>1549.1</c:v>
                </c:pt>
                <c:pt idx="128">
                  <c:v>1549.1</c:v>
                </c:pt>
                <c:pt idx="129">
                  <c:v>1549.1</c:v>
                </c:pt>
                <c:pt idx="130">
                  <c:v>1549.1</c:v>
                </c:pt>
                <c:pt idx="131">
                  <c:v>1549.1</c:v>
                </c:pt>
                <c:pt idx="132">
                  <c:v>1549.1</c:v>
                </c:pt>
                <c:pt idx="133">
                  <c:v>1549.1</c:v>
                </c:pt>
                <c:pt idx="134">
                  <c:v>1549.1</c:v>
                </c:pt>
                <c:pt idx="135">
                  <c:v>1549.1</c:v>
                </c:pt>
                <c:pt idx="136">
                  <c:v>1549.1</c:v>
                </c:pt>
                <c:pt idx="137">
                  <c:v>1548.22</c:v>
                </c:pt>
                <c:pt idx="138">
                  <c:v>1548.22</c:v>
                </c:pt>
                <c:pt idx="139">
                  <c:v>1548.22</c:v>
                </c:pt>
                <c:pt idx="140">
                  <c:v>1548.22</c:v>
                </c:pt>
                <c:pt idx="141">
                  <c:v>1548.22</c:v>
                </c:pt>
                <c:pt idx="142">
                  <c:v>1430.9</c:v>
                </c:pt>
                <c:pt idx="143">
                  <c:v>1430.9</c:v>
                </c:pt>
                <c:pt idx="144">
                  <c:v>1430.9</c:v>
                </c:pt>
                <c:pt idx="145">
                  <c:v>1430.9</c:v>
                </c:pt>
                <c:pt idx="146">
                  <c:v>1171.68</c:v>
                </c:pt>
                <c:pt idx="147">
                  <c:v>1171.68</c:v>
                </c:pt>
                <c:pt idx="148">
                  <c:v>1171.68</c:v>
                </c:pt>
                <c:pt idx="149">
                  <c:v>1171.68</c:v>
                </c:pt>
                <c:pt idx="150">
                  <c:v>1171.68</c:v>
                </c:pt>
                <c:pt idx="151">
                  <c:v>1061.1500000000001</c:v>
                </c:pt>
                <c:pt idx="152">
                  <c:v>1061.1500000000001</c:v>
                </c:pt>
                <c:pt idx="153">
                  <c:v>1061.1500000000001</c:v>
                </c:pt>
                <c:pt idx="154">
                  <c:v>1061.1500000000001</c:v>
                </c:pt>
                <c:pt idx="155">
                  <c:v>1061.1500000000001</c:v>
                </c:pt>
                <c:pt idx="156">
                  <c:v>1061.1500000000001</c:v>
                </c:pt>
                <c:pt idx="157">
                  <c:v>1061.1500000000001</c:v>
                </c:pt>
                <c:pt idx="158">
                  <c:v>1061.1500000000001</c:v>
                </c:pt>
                <c:pt idx="159">
                  <c:v>1061.1500000000001</c:v>
                </c:pt>
                <c:pt idx="160">
                  <c:v>944.37</c:v>
                </c:pt>
                <c:pt idx="161">
                  <c:v>944.37</c:v>
                </c:pt>
                <c:pt idx="162">
                  <c:v>944.37</c:v>
                </c:pt>
                <c:pt idx="163">
                  <c:v>944.37</c:v>
                </c:pt>
                <c:pt idx="164">
                  <c:v>944.37</c:v>
                </c:pt>
                <c:pt idx="165">
                  <c:v>944.37</c:v>
                </c:pt>
                <c:pt idx="166">
                  <c:v>684.61</c:v>
                </c:pt>
                <c:pt idx="167">
                  <c:v>684.61</c:v>
                </c:pt>
                <c:pt idx="168">
                  <c:v>684.61</c:v>
                </c:pt>
                <c:pt idx="169">
                  <c:v>684.61</c:v>
                </c:pt>
                <c:pt idx="170">
                  <c:v>684.61</c:v>
                </c:pt>
                <c:pt idx="171">
                  <c:v>684.61</c:v>
                </c:pt>
                <c:pt idx="172">
                  <c:v>684.61</c:v>
                </c:pt>
                <c:pt idx="173">
                  <c:v>684.61</c:v>
                </c:pt>
                <c:pt idx="174">
                  <c:v>684.61</c:v>
                </c:pt>
                <c:pt idx="175">
                  <c:v>684.61</c:v>
                </c:pt>
                <c:pt idx="176">
                  <c:v>684.61</c:v>
                </c:pt>
                <c:pt idx="177">
                  <c:v>684.61</c:v>
                </c:pt>
                <c:pt idx="178">
                  <c:v>684.61</c:v>
                </c:pt>
                <c:pt idx="179">
                  <c:v>684.61</c:v>
                </c:pt>
                <c:pt idx="180">
                  <c:v>684.61</c:v>
                </c:pt>
                <c:pt idx="181">
                  <c:v>684.61</c:v>
                </c:pt>
                <c:pt idx="182">
                  <c:v>684.61</c:v>
                </c:pt>
                <c:pt idx="183">
                  <c:v>684.61</c:v>
                </c:pt>
                <c:pt idx="184">
                  <c:v>684.61</c:v>
                </c:pt>
                <c:pt idx="185">
                  <c:v>684.61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A-44FC-9654-4E84030D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71504"/>
        <c:axId val="387870544"/>
      </c:scatterChart>
      <c:valAx>
        <c:axId val="3878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0544"/>
        <c:crosses val="autoZero"/>
        <c:crossBetween val="midCat"/>
      </c:valAx>
      <c:valAx>
        <c:axId val="38787054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128587</xdr:rowOff>
    </xdr:from>
    <xdr:to>
      <xdr:col>21</xdr:col>
      <xdr:colOff>104775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5060C-B3B4-FE3F-36DB-E4FC7710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iller-moran\WDNOptimizer\Optimisation_Cost_Basis.xlsx" TargetMode="External"/><Relationship Id="rId1" Type="http://schemas.openxmlformats.org/officeDocument/2006/relationships/externalLinkPath" Target="/Users/dmiller-moran/WDNOptimizer/Optimisation_Cost_Ba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miller-moran\WDNOptimizer\Manual%20upgrade%20costs.xlsx" TargetMode="External"/><Relationship Id="rId1" Type="http://schemas.openxmlformats.org/officeDocument/2006/relationships/externalLinkPath" Target="/Users/dmiller-moran/WDNOptimizer/Manual%20upgrade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pes"/>
      <sheetName val="Pumps"/>
      <sheetName val="Valves"/>
      <sheetName val="Tanks"/>
      <sheetName val="Maintenance"/>
      <sheetName val="Opex"/>
    </sheetNames>
    <sheetDataSet>
      <sheetData sheetId="0">
        <row r="1">
          <cell r="A1" t="str">
            <v>Size</v>
          </cell>
          <cell r="B1" t="str">
            <v>PS4 - TDC $/m</v>
          </cell>
        </row>
        <row r="2">
          <cell r="A2">
            <v>32</v>
          </cell>
          <cell r="B2">
            <v>362.58707029616613</v>
          </cell>
        </row>
        <row r="3">
          <cell r="A3">
            <v>50</v>
          </cell>
          <cell r="B3">
            <v>362.58707029616613</v>
          </cell>
        </row>
        <row r="4">
          <cell r="A4">
            <v>63</v>
          </cell>
          <cell r="B4">
            <v>362.58707029616613</v>
          </cell>
        </row>
        <row r="5">
          <cell r="A5">
            <v>75</v>
          </cell>
          <cell r="B5">
            <v>362.58707029616613</v>
          </cell>
        </row>
        <row r="6">
          <cell r="A6">
            <v>96</v>
          </cell>
          <cell r="B6">
            <v>362.58707029616613</v>
          </cell>
        </row>
        <row r="7">
          <cell r="A7">
            <v>100</v>
          </cell>
          <cell r="B7">
            <v>362.58707029616613</v>
          </cell>
        </row>
        <row r="8">
          <cell r="A8">
            <v>101</v>
          </cell>
          <cell r="B8">
            <v>362.58707029616613</v>
          </cell>
        </row>
        <row r="9">
          <cell r="A9">
            <v>103</v>
          </cell>
          <cell r="B9">
            <v>362.58707029616613</v>
          </cell>
        </row>
        <row r="10">
          <cell r="A10">
            <v>141</v>
          </cell>
          <cell r="B10">
            <v>433.89080378537034</v>
          </cell>
        </row>
        <row r="11">
          <cell r="A11">
            <v>143</v>
          </cell>
          <cell r="B11">
            <v>433.89080378537034</v>
          </cell>
        </row>
        <row r="12">
          <cell r="A12">
            <v>150</v>
          </cell>
          <cell r="B12">
            <v>433.89080378537034</v>
          </cell>
        </row>
        <row r="13">
          <cell r="A13">
            <v>158</v>
          </cell>
          <cell r="B13">
            <v>433.89080378537034</v>
          </cell>
        </row>
        <row r="14">
          <cell r="A14">
            <v>186</v>
          </cell>
          <cell r="B14">
            <v>546.15625651305356</v>
          </cell>
        </row>
        <row r="15">
          <cell r="A15">
            <v>200</v>
          </cell>
          <cell r="B15">
            <v>546.15625651305356</v>
          </cell>
        </row>
        <row r="16">
          <cell r="A16">
            <v>225</v>
          </cell>
          <cell r="B16">
            <v>546.15625651305356</v>
          </cell>
        </row>
        <row r="17">
          <cell r="A17">
            <v>235</v>
          </cell>
          <cell r="B17">
            <v>546.15625651305356</v>
          </cell>
        </row>
        <row r="18">
          <cell r="A18">
            <v>300</v>
          </cell>
          <cell r="B18">
            <v>690.28082420399824</v>
          </cell>
        </row>
        <row r="19">
          <cell r="A19">
            <v>375</v>
          </cell>
          <cell r="B19">
            <v>1014.940376686758</v>
          </cell>
        </row>
        <row r="20">
          <cell r="A20">
            <v>450</v>
          </cell>
          <cell r="B20">
            <v>1095.3467144511797</v>
          </cell>
        </row>
        <row r="21">
          <cell r="A21">
            <v>525</v>
          </cell>
          <cell r="B21">
            <v>1326.9359952555494</v>
          </cell>
        </row>
        <row r="22">
          <cell r="A22">
            <v>600</v>
          </cell>
          <cell r="B22">
            <v>1516.4982802920565</v>
          </cell>
        </row>
        <row r="23">
          <cell r="A23">
            <v>750</v>
          </cell>
          <cell r="B23">
            <v>1895.6228503650705</v>
          </cell>
        </row>
        <row r="24">
          <cell r="A24">
            <v>800</v>
          </cell>
          <cell r="B24">
            <v>2021.9977070560751</v>
          </cell>
        </row>
        <row r="25">
          <cell r="A25">
            <v>825</v>
          </cell>
          <cell r="B25">
            <v>2085.1851354015776</v>
          </cell>
        </row>
        <row r="26">
          <cell r="A26">
            <v>900</v>
          </cell>
          <cell r="B26">
            <v>2274.7474204380846</v>
          </cell>
        </row>
        <row r="27">
          <cell r="A27">
            <v>1050</v>
          </cell>
          <cell r="B27">
            <v>2653.8719905110988</v>
          </cell>
        </row>
        <row r="28">
          <cell r="A28">
            <v>1150</v>
          </cell>
          <cell r="B28">
            <v>2906.6217038931081</v>
          </cell>
        </row>
        <row r="29">
          <cell r="A29">
            <v>1350</v>
          </cell>
          <cell r="B29">
            <v>3412.1211306571267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E24B6-9007-460A-9D36-C43FB59F902D}" name="Table1" displayName="Table1" ref="A2:I188" totalsRowShown="0">
  <autoFilter ref="A2:I188" xr:uid="{C20E24B6-9007-460A-9D36-C43FB59F902D}"/>
  <tableColumns count="9">
    <tableColumn id="1" xr3:uid="{0D02619B-08C1-4101-A42A-C5842397A042}" name="Column1"/>
    <tableColumn id="2" xr3:uid="{98187E88-D373-4D4A-AC3B-EF8A0441BA8A}" name="Cost" dataCellStyle="Currency"/>
    <tableColumn id="3" xr3:uid="{FAFDBC7E-AE8F-4057-9016-E186D5373AC1}" name="Column2"/>
    <tableColumn id="4" xr3:uid="{A6C86E54-E836-4ED9-BB52-863FA1F93BA8}" name="Hydraulic Penalty" dataCellStyle="Currency"/>
    <tableColumn id="5" xr3:uid="{2DC5CE46-DECD-4929-82C8-83E2B4D0E45B}" name="Column3"/>
    <tableColumn id="6" xr3:uid="{0EDA4A64-818C-4BC1-A4CD-A55DD1978A72}" name="Column4"/>
    <tableColumn id="7" xr3:uid="{B5943DCE-2AA7-4C02-BDB5-154A7F71B100}" name="Column5"/>
    <tableColumn id="8" xr3:uid="{DCB3198E-AACF-46D5-9345-65CBD2DBA3ED}" name="Column6"/>
    <tableColumn id="9" xr3:uid="{86AC1090-FDBF-4943-85C5-F4491AEAC925}" name="File exten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4BC2D0-6615-420C-B7B9-D32B74AE4E98}" name="Table2" displayName="Table2" ref="A1:G281" totalsRowCount="1" headerRowDxfId="27">
  <autoFilter ref="A1:G280" xr:uid="{E54BC2D0-6615-420C-B7B9-D32B74AE4E98}">
    <filterColumn colId="4">
      <filters>
        <filter val="#N/A"/>
      </filters>
    </filterColumn>
  </autoFilter>
  <tableColumns count="7">
    <tableColumn id="1" xr3:uid="{B66950B8-EA12-419E-941B-7D2478D0F35E}" name="Column1" totalsRowLabel="Total" dataDxfId="26" totalsRowDxfId="10"/>
    <tableColumn id="2" xr3:uid="{20F224D3-9E5E-4A75-B8A1-19A7FFAE4C30}" name="Pipe_name"/>
    <tableColumn id="3" xr3:uid="{24F6D2C1-A771-48C3-9F41-AC085F92B881}" name="Original_Diameter"/>
    <tableColumn id="4" xr3:uid="{8D43E7CB-2703-46AC-ADD5-17B17C795CF4}" name="Length"/>
    <tableColumn id="5" xr3:uid="{A5182C9B-5748-4A0C-8E85-40E63EA5FB4B}" name="in 2022, not in 2043" dataDxfId="13">
      <calculatedColumnFormula>MATCH(Table2[[#This Row],[Pipe_name]],'2043 pipes'!B:B,0)</calculatedColumnFormula>
    </tableColumn>
    <tableColumn id="6" xr3:uid="{920696D0-1E25-4FAE-B8F2-6B852E704336}" name="unit cost" dataDxfId="12">
      <calculatedColumnFormula>VLOOKUP(Table2[[#This Row],[Original_Diameter]],[1]Pipes!$A:$B,2,FALSE)</calculatedColumnFormula>
    </tableColumn>
    <tableColumn id="7" xr3:uid="{7E4E82C8-A09A-450E-B3FA-13ACCC79526F}" name="total cost" totalsRowFunction="sum" dataDxfId="11">
      <calculatedColumnFormula>Table2[[#This Row],[unit cost]]*Table2[[#This Row],[Length]]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24EFB-2C49-4687-8657-AA168BD33348}" name="Table3" displayName="Table3" ref="A1:R298" totalsRowCount="1" headerRowDxfId="25">
  <autoFilter ref="A1:R297" xr:uid="{72224EFB-2C49-4687-8657-AA168BD33348}"/>
  <tableColumns count="18">
    <tableColumn id="1" xr3:uid="{C4707E4C-6113-4425-BF25-CBD54C4B8403}" name="Column1" totalsRowLabel="Total" dataDxfId="24" totalsRowDxfId="7"/>
    <tableColumn id="2" xr3:uid="{49E7F511-3878-4FEB-9AC6-46C5CD1C6379}" name="Pipe_name"/>
    <tableColumn id="3" xr3:uid="{954DC0B1-4031-4BC5-82CA-6BA67A519FCC}" name="2043 Diameter"/>
    <tableColumn id="4" xr3:uid="{E1CFB74D-C102-4FA9-A4EC-DCC8773F83DB}" name="2043 Length"/>
    <tableColumn id="6" xr3:uid="{D0763081-E624-4A0B-AD98-E5F998011589}" name="2022 Diameter" dataDxfId="23">
      <calculatedColumnFormula>VLOOKUP(Table3[[#This Row],[Pipe_name]],Table2[[Pipe_name]:[Original_Diameter]],2,FALSE)</calculatedColumnFormula>
    </tableColumn>
    <tableColumn id="7" xr3:uid="{2C8D8AD2-2904-49EF-90A4-2D6B228AD921}" name="2022 length" dataDxfId="22">
      <calculatedColumnFormula>VLOOKUP(Table3[[#This Row],[Pipe_name]],Table2[[Pipe_name]:[Length]],3,FALSE)</calculatedColumnFormula>
    </tableColumn>
    <tableColumn id="5" xr3:uid="{0E1F8E86-0BD6-4922-B3F6-95AB20CA662C}" name="Pipe Added?" dataDxfId="21"/>
    <tableColumn id="8" xr3:uid="{946D67A9-9AB7-4583-8CB3-71C620A3B240}" name="Diameter Change?" dataDxfId="20">
      <calculatedColumnFormula>IF(Table3[[#This Row],[2043 Diameter]]=Table3[[#This Row],[2022 Diameter]],"No","Yes")</calculatedColumnFormula>
    </tableColumn>
    <tableColumn id="9" xr3:uid="{A8F43BEC-C34A-4BE5-A538-E45322DBA7BE}" name="Length Change?" dataDxfId="19">
      <calculatedColumnFormula>IF(Table3[[#This Row],[2043 Length]]=Table3[[#This Row],[2022 length]],"No","Yes")</calculatedColumnFormula>
    </tableColumn>
    <tableColumn id="10" xr3:uid="{9DD9EF0E-44F9-429B-918C-87F9FEB2A0D3}" name="2043 Pipeline unit cost" dataDxfId="18" totalsRowDxfId="6" dataCellStyle="Currency">
      <calculatedColumnFormula>VLOOKUP(Table3[[#This Row],[2043 Diameter]],[1]Pipes!$A:$B,2,FALSE)</calculatedColumnFormula>
    </tableColumn>
    <tableColumn id="14" xr3:uid="{C336E907-F56E-44CB-B14B-6B64D112F904}" name="2022 Pipeline unit cost" dataDxfId="16" totalsRowDxfId="5" dataCellStyle="Currency">
      <calculatedColumnFormula>VLOOKUP(Table3[[#This Row],[2022 Diameter]],[1]Pipes!$A:$B,2,FALSE)</calculatedColumnFormula>
    </tableColumn>
    <tableColumn id="11" xr3:uid="{32C6C7B9-5D65-4181-886C-9BDDEC7B0434}" name="Master Plan CAPEX Cost" totalsRowFunction="sum" dataDxfId="17" totalsRowDxfId="4" dataCellStyle="Currency" totalsRowCellStyle="Good">
      <calculatedColumnFormula>IF(OR(IFERROR(Table3[[#This Row],[Diameter Change?]]="Yes","Yes"),Table3[[#This Row],[Pipe Added?]]="Yes"),Table3[[#This Row],[2043 Pipeline unit cost]]*Table3[[#This Row],[2043 Length]],0)</calculatedColumnFormula>
    </tableColumn>
    <tableColumn id="12" xr3:uid="{C39984D2-0890-4A4A-9B86-D932CB98E100}" name="Check DL Cost" dataCellStyle="Currency">
      <calculatedColumnFormula>VLOOKUP(Table3[[#This Row],[Pipe_name]],[2]!Table1[[id3]:[Cost]],8,FALSE)</calculatedColumnFormula>
    </tableColumn>
    <tableColumn id="13" xr3:uid="{D7E28AD5-87CE-4547-9F46-90EB7870A545}" name="2022 total cost" totalsRowFunction="sum" dataDxfId="15" totalsRowDxfId="3" dataCellStyle="Currency">
      <calculatedColumnFormula>IFERROR(Table3[[#This Row],[2022 length]]*Table3[[#This Row],[2022 Pipeline unit cost]],0)</calculatedColumnFormula>
    </tableColumn>
    <tableColumn id="15" xr3:uid="{2E66CE6F-0106-4396-8363-C2FE1C7FECA2}" name="2043 pipes" totalsRowFunction="sum" totalsRowDxfId="2" dataCellStyle="Currency">
      <calculatedColumnFormula>Table3[[#This Row],[2043 Length]]*Table3[[#This Row],[2043 Pipeline unit cost]]</calculatedColumnFormula>
    </tableColumn>
    <tableColumn id="16" xr3:uid="{B479A139-F095-4464-AF03-842737A9B30C}" name="In 2022, not 2043" dataDxfId="14" dataCellStyle="Currency">
      <calculatedColumnFormula>MATCH(Table3[[#This Row],[Pipe_name]],'2022 pipes'!B:B,0)</calculatedColumnFormula>
    </tableColumn>
    <tableColumn id="17" xr3:uid="{31697EDF-25F6-4766-A687-2D9CF1787183}" name="asdfa" totalsRowFunction="sum" dataDxfId="9" totalsRowDxfId="1" dataCellStyle="Currency">
      <calculatedColumnFormula>Table3[[#This Row],[2043 pipes]]-Table3[[#This Row],[Master Plan CAPEX Cost]]</calculatedColumnFormula>
    </tableColumn>
    <tableColumn id="18" xr3:uid="{7511BC84-684C-4905-B52D-1608AFB80E68}" name="asdfa2" totalsRowFunction="sum" dataDxfId="8" totalsRowDxfId="0" dataCellStyle="Currency">
      <calculatedColumnFormula>Table3[[#This Row],[asdfa]]-Table3[[#This Row],[2022 total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"/>
  <sheetViews>
    <sheetView workbookViewId="0">
      <selection activeCell="T30" sqref="T30"/>
    </sheetView>
  </sheetViews>
  <sheetFormatPr defaultRowHeight="15" x14ac:dyDescent="0.25"/>
  <cols>
    <col min="1" max="1" width="11" customWidth="1"/>
    <col min="2" max="2" width="12.5703125" bestFit="1" customWidth="1"/>
    <col min="3" max="3" width="11" customWidth="1"/>
    <col min="4" max="4" width="18.5703125" customWidth="1"/>
    <col min="5" max="8" width="11" customWidth="1"/>
    <col min="9" max="9" width="15.7109375" customWidth="1"/>
  </cols>
  <sheetData>
    <row r="1" spans="1:9" x14ac:dyDescent="0.25">
      <c r="A1" s="5" t="s">
        <v>17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11</v>
      </c>
      <c r="B2" t="s">
        <v>8</v>
      </c>
      <c r="C2" t="s">
        <v>12</v>
      </c>
      <c r="D2" t="s">
        <v>9</v>
      </c>
      <c r="E2" t="s">
        <v>13</v>
      </c>
      <c r="F2" t="s">
        <v>14</v>
      </c>
      <c r="G2" t="s">
        <v>15</v>
      </c>
      <c r="H2" t="s">
        <v>16</v>
      </c>
      <c r="I2" t="s">
        <v>10</v>
      </c>
    </row>
    <row r="3" spans="1:9" x14ac:dyDescent="0.25">
      <c r="A3" t="s">
        <v>0</v>
      </c>
      <c r="B3" s="2">
        <v>136584.65</v>
      </c>
      <c r="C3" t="s">
        <v>1</v>
      </c>
      <c r="D3" s="2">
        <v>4555247.41</v>
      </c>
      <c r="E3" t="s">
        <v>2</v>
      </c>
      <c r="F3">
        <v>1</v>
      </c>
      <c r="G3" t="s">
        <v>3</v>
      </c>
      <c r="H3">
        <v>107</v>
      </c>
      <c r="I3" t="s">
        <v>4</v>
      </c>
    </row>
    <row r="4" spans="1:9" x14ac:dyDescent="0.25">
      <c r="A4" t="s">
        <v>0</v>
      </c>
      <c r="B4" s="2">
        <v>136584.65</v>
      </c>
      <c r="C4" t="s">
        <v>1</v>
      </c>
      <c r="D4" s="2">
        <v>4555247.41</v>
      </c>
      <c r="E4" t="s">
        <v>2</v>
      </c>
      <c r="F4">
        <v>1</v>
      </c>
      <c r="G4" t="s">
        <v>3</v>
      </c>
      <c r="H4">
        <v>143</v>
      </c>
      <c r="I4" t="s">
        <v>4</v>
      </c>
    </row>
    <row r="5" spans="1:9" x14ac:dyDescent="0.25">
      <c r="A5" t="s">
        <v>0</v>
      </c>
      <c r="B5" s="2">
        <v>136584.65</v>
      </c>
      <c r="C5" t="s">
        <v>1</v>
      </c>
      <c r="D5" s="2">
        <v>4555247.41</v>
      </c>
      <c r="E5" t="s">
        <v>2</v>
      </c>
      <c r="F5">
        <v>1</v>
      </c>
      <c r="G5" t="s">
        <v>3</v>
      </c>
      <c r="H5">
        <v>81</v>
      </c>
      <c r="I5" t="s">
        <v>4</v>
      </c>
    </row>
    <row r="6" spans="1:9" x14ac:dyDescent="0.25">
      <c r="A6" t="s">
        <v>0</v>
      </c>
      <c r="B6" s="2">
        <v>136681.54999999999</v>
      </c>
      <c r="C6" t="s">
        <v>1</v>
      </c>
      <c r="D6" s="2">
        <v>4553534.54</v>
      </c>
      <c r="E6" t="s">
        <v>2</v>
      </c>
      <c r="F6">
        <v>1</v>
      </c>
      <c r="G6" t="s">
        <v>3</v>
      </c>
      <c r="H6">
        <v>109</v>
      </c>
      <c r="I6" t="s">
        <v>4</v>
      </c>
    </row>
    <row r="7" spans="1:9" x14ac:dyDescent="0.25">
      <c r="A7" t="s">
        <v>0</v>
      </c>
      <c r="B7" s="2">
        <v>136681.54999999999</v>
      </c>
      <c r="C7" t="s">
        <v>1</v>
      </c>
      <c r="D7" s="2">
        <v>4553534.54</v>
      </c>
      <c r="E7" t="s">
        <v>2</v>
      </c>
      <c r="F7">
        <v>1</v>
      </c>
      <c r="G7" t="s">
        <v>3</v>
      </c>
      <c r="H7">
        <v>145</v>
      </c>
      <c r="I7" t="s">
        <v>4</v>
      </c>
    </row>
    <row r="8" spans="1:9" x14ac:dyDescent="0.25">
      <c r="A8" t="s">
        <v>0</v>
      </c>
      <c r="B8" s="2">
        <v>136696.04999999999</v>
      </c>
      <c r="C8" t="s">
        <v>1</v>
      </c>
      <c r="D8" s="2">
        <v>26450.28</v>
      </c>
      <c r="E8" t="s">
        <v>2</v>
      </c>
      <c r="F8">
        <v>2</v>
      </c>
      <c r="G8" t="s">
        <v>3</v>
      </c>
      <c r="H8">
        <v>146</v>
      </c>
      <c r="I8" t="s">
        <v>4</v>
      </c>
    </row>
    <row r="9" spans="1:9" x14ac:dyDescent="0.25">
      <c r="A9" t="s">
        <v>0</v>
      </c>
      <c r="B9" s="2">
        <v>136735.69</v>
      </c>
      <c r="C9" t="s">
        <v>1</v>
      </c>
      <c r="D9" s="2">
        <v>3659.81</v>
      </c>
      <c r="E9" t="s">
        <v>2</v>
      </c>
      <c r="F9">
        <v>3</v>
      </c>
      <c r="G9" t="s">
        <v>3</v>
      </c>
      <c r="H9">
        <v>120</v>
      </c>
      <c r="I9" t="s">
        <v>4</v>
      </c>
    </row>
    <row r="10" spans="1:9" x14ac:dyDescent="0.25">
      <c r="A10" t="s">
        <v>0</v>
      </c>
      <c r="B10" s="2">
        <v>136735.69</v>
      </c>
      <c r="C10" t="s">
        <v>1</v>
      </c>
      <c r="D10" s="2">
        <v>3659.81</v>
      </c>
      <c r="E10" t="s">
        <v>2</v>
      </c>
      <c r="F10">
        <v>3</v>
      </c>
      <c r="G10" t="s">
        <v>3</v>
      </c>
      <c r="H10">
        <v>155</v>
      </c>
      <c r="I10" t="s">
        <v>4</v>
      </c>
    </row>
    <row r="11" spans="1:9" x14ac:dyDescent="0.25">
      <c r="A11" t="s">
        <v>0</v>
      </c>
      <c r="B11" s="2">
        <v>136735.69</v>
      </c>
      <c r="C11" t="s">
        <v>1</v>
      </c>
      <c r="D11" s="2">
        <v>3659.81</v>
      </c>
      <c r="E11" t="s">
        <v>2</v>
      </c>
      <c r="F11">
        <v>3</v>
      </c>
      <c r="G11" t="s">
        <v>3</v>
      </c>
      <c r="H11">
        <v>46</v>
      </c>
      <c r="I11" t="s">
        <v>4</v>
      </c>
    </row>
    <row r="12" spans="1:9" x14ac:dyDescent="0.25">
      <c r="A12" t="s">
        <v>0</v>
      </c>
      <c r="B12" s="2">
        <v>136735.69</v>
      </c>
      <c r="C12" t="s">
        <v>1</v>
      </c>
      <c r="D12" s="2">
        <v>3659.81</v>
      </c>
      <c r="E12" t="s">
        <v>2</v>
      </c>
      <c r="F12">
        <v>3</v>
      </c>
      <c r="G12" t="s">
        <v>3</v>
      </c>
      <c r="H12">
        <v>62</v>
      </c>
      <c r="I12" t="s">
        <v>4</v>
      </c>
    </row>
    <row r="13" spans="1:9" x14ac:dyDescent="0.25">
      <c r="A13" t="s">
        <v>0</v>
      </c>
      <c r="B13" s="2">
        <v>136735.69</v>
      </c>
      <c r="C13" t="s">
        <v>1</v>
      </c>
      <c r="D13" s="2">
        <v>3659.81</v>
      </c>
      <c r="E13" t="s">
        <v>2</v>
      </c>
      <c r="F13">
        <v>3</v>
      </c>
      <c r="G13" t="s">
        <v>3</v>
      </c>
      <c r="H13">
        <v>91</v>
      </c>
      <c r="I13" t="s">
        <v>4</v>
      </c>
    </row>
    <row r="14" spans="1:9" x14ac:dyDescent="0.25">
      <c r="A14" t="s">
        <v>0</v>
      </c>
      <c r="B14" s="2">
        <v>136754</v>
      </c>
      <c r="C14" t="s">
        <v>1</v>
      </c>
      <c r="D14" s="2">
        <v>3658.18</v>
      </c>
      <c r="E14" t="s">
        <v>2</v>
      </c>
      <c r="F14">
        <v>3</v>
      </c>
      <c r="G14" t="s">
        <v>3</v>
      </c>
      <c r="H14">
        <v>103</v>
      </c>
      <c r="I14" t="s">
        <v>4</v>
      </c>
    </row>
    <row r="15" spans="1:9" x14ac:dyDescent="0.25">
      <c r="A15" t="s">
        <v>0</v>
      </c>
      <c r="B15" s="2">
        <v>136754</v>
      </c>
      <c r="C15" t="s">
        <v>1</v>
      </c>
      <c r="D15" s="2">
        <v>3658.18</v>
      </c>
      <c r="E15" t="s">
        <v>2</v>
      </c>
      <c r="F15">
        <v>3</v>
      </c>
      <c r="G15" t="s">
        <v>3</v>
      </c>
      <c r="H15">
        <v>119</v>
      </c>
      <c r="I15" t="s">
        <v>4</v>
      </c>
    </row>
    <row r="16" spans="1:9" x14ac:dyDescent="0.25">
      <c r="A16" t="s">
        <v>0</v>
      </c>
      <c r="B16" s="2">
        <v>136754</v>
      </c>
      <c r="C16" t="s">
        <v>1</v>
      </c>
      <c r="D16" s="2">
        <v>3658.18</v>
      </c>
      <c r="E16" t="s">
        <v>2</v>
      </c>
      <c r="F16">
        <v>3</v>
      </c>
      <c r="G16" t="s">
        <v>3</v>
      </c>
      <c r="H16">
        <v>139</v>
      </c>
      <c r="I16" t="s">
        <v>4</v>
      </c>
    </row>
    <row r="17" spans="1:9" x14ac:dyDescent="0.25">
      <c r="A17" t="s">
        <v>0</v>
      </c>
      <c r="B17" s="2">
        <v>136754</v>
      </c>
      <c r="C17" t="s">
        <v>1</v>
      </c>
      <c r="D17" s="2">
        <v>3658.18</v>
      </c>
      <c r="E17" t="s">
        <v>2</v>
      </c>
      <c r="F17">
        <v>3</v>
      </c>
      <c r="G17" t="s">
        <v>3</v>
      </c>
      <c r="H17">
        <v>156</v>
      </c>
      <c r="I17" t="s">
        <v>4</v>
      </c>
    </row>
    <row r="18" spans="1:9" x14ac:dyDescent="0.25">
      <c r="A18" t="s">
        <v>0</v>
      </c>
      <c r="B18" s="2">
        <v>136754</v>
      </c>
      <c r="C18" t="s">
        <v>1</v>
      </c>
      <c r="D18" s="2">
        <v>3658.18</v>
      </c>
      <c r="E18" t="s">
        <v>2</v>
      </c>
      <c r="F18">
        <v>3</v>
      </c>
      <c r="G18" t="s">
        <v>3</v>
      </c>
      <c r="H18">
        <v>182</v>
      </c>
      <c r="I18" t="s">
        <v>4</v>
      </c>
    </row>
    <row r="19" spans="1:9" x14ac:dyDescent="0.25">
      <c r="A19" t="s">
        <v>0</v>
      </c>
      <c r="B19" s="2">
        <v>136754</v>
      </c>
      <c r="C19" t="s">
        <v>1</v>
      </c>
      <c r="D19" s="2">
        <v>3658.18</v>
      </c>
      <c r="E19" t="s">
        <v>2</v>
      </c>
      <c r="F19">
        <v>3</v>
      </c>
      <c r="G19" t="s">
        <v>3</v>
      </c>
      <c r="H19">
        <v>32</v>
      </c>
      <c r="I19" t="s">
        <v>4</v>
      </c>
    </row>
    <row r="20" spans="1:9" x14ac:dyDescent="0.25">
      <c r="A20" t="s">
        <v>0</v>
      </c>
      <c r="B20" s="2">
        <v>136754</v>
      </c>
      <c r="C20" t="s">
        <v>1</v>
      </c>
      <c r="D20" s="2">
        <v>3658.18</v>
      </c>
      <c r="E20" t="s">
        <v>2</v>
      </c>
      <c r="F20">
        <v>3</v>
      </c>
      <c r="G20" t="s">
        <v>3</v>
      </c>
      <c r="H20">
        <v>49</v>
      </c>
      <c r="I20" t="s">
        <v>4</v>
      </c>
    </row>
    <row r="21" spans="1:9" x14ac:dyDescent="0.25">
      <c r="A21" t="s">
        <v>0</v>
      </c>
      <c r="B21" s="2">
        <v>136754</v>
      </c>
      <c r="C21" t="s">
        <v>1</v>
      </c>
      <c r="D21" s="2">
        <v>3658.18</v>
      </c>
      <c r="E21" t="s">
        <v>2</v>
      </c>
      <c r="F21">
        <v>3</v>
      </c>
      <c r="G21" t="s">
        <v>3</v>
      </c>
      <c r="H21">
        <v>57</v>
      </c>
      <c r="I21" t="s">
        <v>4</v>
      </c>
    </row>
    <row r="22" spans="1:9" x14ac:dyDescent="0.25">
      <c r="A22" t="s">
        <v>0</v>
      </c>
      <c r="B22" s="2">
        <v>136754</v>
      </c>
      <c r="C22" t="s">
        <v>1</v>
      </c>
      <c r="D22" s="2">
        <v>3658.18</v>
      </c>
      <c r="E22" t="s">
        <v>2</v>
      </c>
      <c r="F22">
        <v>3</v>
      </c>
      <c r="G22" t="s">
        <v>3</v>
      </c>
      <c r="H22">
        <v>65</v>
      </c>
      <c r="I22" t="s">
        <v>4</v>
      </c>
    </row>
    <row r="23" spans="1:9" x14ac:dyDescent="0.25">
      <c r="A23" t="s">
        <v>0</v>
      </c>
      <c r="B23" s="2">
        <v>136754</v>
      </c>
      <c r="C23" t="s">
        <v>1</v>
      </c>
      <c r="D23" s="2">
        <v>3658.18</v>
      </c>
      <c r="E23" t="s">
        <v>2</v>
      </c>
      <c r="F23">
        <v>3</v>
      </c>
      <c r="G23" t="s">
        <v>3</v>
      </c>
      <c r="H23">
        <v>77</v>
      </c>
      <c r="I23" t="s">
        <v>4</v>
      </c>
    </row>
    <row r="24" spans="1:9" x14ac:dyDescent="0.25">
      <c r="A24" t="s">
        <v>0</v>
      </c>
      <c r="B24" s="2">
        <v>136754</v>
      </c>
      <c r="C24" t="s">
        <v>1</v>
      </c>
      <c r="D24" s="2">
        <v>3658.18</v>
      </c>
      <c r="E24" t="s">
        <v>2</v>
      </c>
      <c r="F24">
        <v>3</v>
      </c>
      <c r="G24" t="s">
        <v>3</v>
      </c>
      <c r="H24">
        <v>90</v>
      </c>
      <c r="I24" t="s">
        <v>4</v>
      </c>
    </row>
    <row r="25" spans="1:9" x14ac:dyDescent="0.25">
      <c r="A25" t="s">
        <v>0</v>
      </c>
      <c r="B25" s="2">
        <v>136754</v>
      </c>
      <c r="C25" t="s">
        <v>1</v>
      </c>
      <c r="D25" s="2">
        <v>3658.37</v>
      </c>
      <c r="E25" t="s">
        <v>2</v>
      </c>
      <c r="F25">
        <v>3</v>
      </c>
      <c r="G25" t="s">
        <v>3</v>
      </c>
      <c r="H25">
        <v>124</v>
      </c>
      <c r="I25" t="s">
        <v>4</v>
      </c>
    </row>
    <row r="26" spans="1:9" x14ac:dyDescent="0.25">
      <c r="A26" t="s">
        <v>0</v>
      </c>
      <c r="B26" s="2">
        <v>136754</v>
      </c>
      <c r="C26" t="s">
        <v>1</v>
      </c>
      <c r="D26" s="2">
        <v>3658.37</v>
      </c>
      <c r="E26" t="s">
        <v>2</v>
      </c>
      <c r="F26">
        <v>3</v>
      </c>
      <c r="G26" t="s">
        <v>3</v>
      </c>
      <c r="H26">
        <v>162</v>
      </c>
      <c r="I26" t="s">
        <v>4</v>
      </c>
    </row>
    <row r="27" spans="1:9" x14ac:dyDescent="0.25">
      <c r="A27" t="s">
        <v>0</v>
      </c>
      <c r="B27" s="2">
        <v>136754</v>
      </c>
      <c r="C27" t="s">
        <v>1</v>
      </c>
      <c r="D27" s="2">
        <v>3658.37</v>
      </c>
      <c r="E27" t="s">
        <v>2</v>
      </c>
      <c r="F27">
        <v>3</v>
      </c>
      <c r="G27" t="s">
        <v>3</v>
      </c>
      <c r="H27">
        <v>95</v>
      </c>
      <c r="I27" t="s">
        <v>4</v>
      </c>
    </row>
    <row r="28" spans="1:9" x14ac:dyDescent="0.25">
      <c r="A28" t="s">
        <v>0</v>
      </c>
      <c r="B28" s="2">
        <v>136809.91</v>
      </c>
      <c r="C28" t="s">
        <v>1</v>
      </c>
      <c r="D28" s="2">
        <v>3281.64</v>
      </c>
      <c r="E28" t="s">
        <v>2</v>
      </c>
      <c r="F28">
        <v>3</v>
      </c>
      <c r="G28" t="s">
        <v>3</v>
      </c>
      <c r="H28">
        <v>114</v>
      </c>
      <c r="I28" t="s">
        <v>4</v>
      </c>
    </row>
    <row r="29" spans="1:9" x14ac:dyDescent="0.25">
      <c r="A29" t="s">
        <v>0</v>
      </c>
      <c r="B29" s="2">
        <v>136809.91</v>
      </c>
      <c r="C29" t="s">
        <v>1</v>
      </c>
      <c r="D29" s="2">
        <v>3281.64</v>
      </c>
      <c r="E29" t="s">
        <v>2</v>
      </c>
      <c r="F29">
        <v>3</v>
      </c>
      <c r="G29" t="s">
        <v>3</v>
      </c>
      <c r="H29">
        <v>151</v>
      </c>
      <c r="I29" t="s">
        <v>4</v>
      </c>
    </row>
    <row r="30" spans="1:9" x14ac:dyDescent="0.25">
      <c r="A30" t="s">
        <v>0</v>
      </c>
      <c r="B30" s="2">
        <v>136809.91</v>
      </c>
      <c r="C30" t="s">
        <v>1</v>
      </c>
      <c r="D30" s="2">
        <v>3281.64</v>
      </c>
      <c r="E30" t="s">
        <v>2</v>
      </c>
      <c r="F30">
        <v>3</v>
      </c>
      <c r="G30" t="s">
        <v>3</v>
      </c>
      <c r="H30">
        <v>86</v>
      </c>
      <c r="I30" t="s">
        <v>4</v>
      </c>
    </row>
    <row r="31" spans="1:9" x14ac:dyDescent="0.25">
      <c r="A31" t="s">
        <v>0</v>
      </c>
      <c r="B31" s="2">
        <v>136850.9</v>
      </c>
      <c r="C31" t="s">
        <v>1</v>
      </c>
      <c r="D31" s="2">
        <v>2036.75</v>
      </c>
      <c r="E31" t="s">
        <v>2</v>
      </c>
      <c r="F31">
        <v>0</v>
      </c>
      <c r="G31" t="s">
        <v>3</v>
      </c>
      <c r="H31">
        <v>125</v>
      </c>
      <c r="I31" t="s">
        <v>4</v>
      </c>
    </row>
    <row r="32" spans="1:9" x14ac:dyDescent="0.25">
      <c r="A32" t="s">
        <v>0</v>
      </c>
      <c r="B32" s="2">
        <v>136850.9</v>
      </c>
      <c r="C32" t="s">
        <v>1</v>
      </c>
      <c r="D32" s="2">
        <v>2036.75</v>
      </c>
      <c r="E32" t="s">
        <v>2</v>
      </c>
      <c r="F32">
        <v>0</v>
      </c>
      <c r="G32" t="s">
        <v>3</v>
      </c>
      <c r="H32">
        <v>163</v>
      </c>
      <c r="I32" t="s">
        <v>4</v>
      </c>
    </row>
    <row r="33" spans="1:9" x14ac:dyDescent="0.25">
      <c r="A33" t="s">
        <v>0</v>
      </c>
      <c r="B33" s="2">
        <v>136850.9</v>
      </c>
      <c r="C33" t="s">
        <v>1</v>
      </c>
      <c r="D33" s="2">
        <v>2036.75</v>
      </c>
      <c r="E33" t="s">
        <v>2</v>
      </c>
      <c r="F33">
        <v>0</v>
      </c>
      <c r="G33" t="s">
        <v>3</v>
      </c>
      <c r="H33">
        <v>27</v>
      </c>
      <c r="I33" t="s">
        <v>4</v>
      </c>
    </row>
    <row r="34" spans="1:9" x14ac:dyDescent="0.25">
      <c r="A34" t="s">
        <v>0</v>
      </c>
      <c r="B34" s="2">
        <v>136850.9</v>
      </c>
      <c r="C34" t="s">
        <v>1</v>
      </c>
      <c r="D34" s="2">
        <v>2036.75</v>
      </c>
      <c r="E34" t="s">
        <v>2</v>
      </c>
      <c r="F34">
        <v>0</v>
      </c>
      <c r="G34" t="s">
        <v>3</v>
      </c>
      <c r="H34">
        <v>39</v>
      </c>
      <c r="I34" t="s">
        <v>4</v>
      </c>
    </row>
    <row r="35" spans="1:9" x14ac:dyDescent="0.25">
      <c r="A35" t="s">
        <v>0</v>
      </c>
      <c r="B35" s="2">
        <v>136850.9</v>
      </c>
      <c r="C35" t="s">
        <v>1</v>
      </c>
      <c r="D35" s="2">
        <v>2036.75</v>
      </c>
      <c r="E35" t="s">
        <v>2</v>
      </c>
      <c r="F35">
        <v>0</v>
      </c>
      <c r="G35" t="s">
        <v>3</v>
      </c>
      <c r="H35">
        <v>53</v>
      </c>
      <c r="I35" t="s">
        <v>4</v>
      </c>
    </row>
    <row r="36" spans="1:9" x14ac:dyDescent="0.25">
      <c r="A36" t="s">
        <v>0</v>
      </c>
      <c r="B36" s="2">
        <v>136850.9</v>
      </c>
      <c r="C36" t="s">
        <v>1</v>
      </c>
      <c r="D36" s="2">
        <v>2036.75</v>
      </c>
      <c r="E36" t="s">
        <v>2</v>
      </c>
      <c r="F36">
        <v>0</v>
      </c>
      <c r="G36" t="s">
        <v>3</v>
      </c>
      <c r="H36">
        <v>71</v>
      </c>
      <c r="I36" t="s">
        <v>4</v>
      </c>
    </row>
    <row r="37" spans="1:9" x14ac:dyDescent="0.25">
      <c r="A37" t="s">
        <v>0</v>
      </c>
      <c r="B37" s="2">
        <v>136850.9</v>
      </c>
      <c r="C37" t="s">
        <v>1</v>
      </c>
      <c r="D37" s="2">
        <v>2036.75</v>
      </c>
      <c r="E37" t="s">
        <v>2</v>
      </c>
      <c r="F37">
        <v>0</v>
      </c>
      <c r="G37" t="s">
        <v>3</v>
      </c>
      <c r="H37">
        <v>96</v>
      </c>
      <c r="I37" t="s">
        <v>4</v>
      </c>
    </row>
    <row r="38" spans="1:9" x14ac:dyDescent="0.25">
      <c r="A38" t="s">
        <v>0</v>
      </c>
      <c r="B38" s="2">
        <v>136850.9</v>
      </c>
      <c r="C38" t="s">
        <v>1</v>
      </c>
      <c r="D38" s="2">
        <v>2036.94</v>
      </c>
      <c r="E38" t="s">
        <v>2</v>
      </c>
      <c r="F38">
        <v>0</v>
      </c>
      <c r="G38" t="s">
        <v>3</v>
      </c>
      <c r="H38">
        <v>121</v>
      </c>
      <c r="I38" t="s">
        <v>4</v>
      </c>
    </row>
    <row r="39" spans="1:9" x14ac:dyDescent="0.25">
      <c r="A39" t="s">
        <v>0</v>
      </c>
      <c r="B39" s="2">
        <v>136850.9</v>
      </c>
      <c r="C39" t="s">
        <v>1</v>
      </c>
      <c r="D39" s="2">
        <v>2036.94</v>
      </c>
      <c r="E39" t="s">
        <v>2</v>
      </c>
      <c r="F39">
        <v>0</v>
      </c>
      <c r="G39" t="s">
        <v>3</v>
      </c>
      <c r="H39">
        <v>12</v>
      </c>
      <c r="I39" t="s">
        <v>4</v>
      </c>
    </row>
    <row r="40" spans="1:9" x14ac:dyDescent="0.25">
      <c r="A40" t="s">
        <v>0</v>
      </c>
      <c r="B40" s="2">
        <v>136850.9</v>
      </c>
      <c r="C40" t="s">
        <v>1</v>
      </c>
      <c r="D40" s="2">
        <v>2036.94</v>
      </c>
      <c r="E40" t="s">
        <v>2</v>
      </c>
      <c r="F40">
        <v>0</v>
      </c>
      <c r="G40" t="s">
        <v>3</v>
      </c>
      <c r="H40">
        <v>158</v>
      </c>
      <c r="I40" t="s">
        <v>4</v>
      </c>
    </row>
    <row r="41" spans="1:9" x14ac:dyDescent="0.25">
      <c r="A41" t="s">
        <v>0</v>
      </c>
      <c r="B41" s="2">
        <v>136850.9</v>
      </c>
      <c r="C41" t="s">
        <v>1</v>
      </c>
      <c r="D41" s="2">
        <v>2036.94</v>
      </c>
      <c r="E41" t="s">
        <v>2</v>
      </c>
      <c r="F41">
        <v>0</v>
      </c>
      <c r="G41" t="s">
        <v>3</v>
      </c>
      <c r="H41">
        <v>18</v>
      </c>
      <c r="I41" t="s">
        <v>4</v>
      </c>
    </row>
    <row r="42" spans="1:9" x14ac:dyDescent="0.25">
      <c r="A42" t="s">
        <v>0</v>
      </c>
      <c r="B42" s="2">
        <v>136850.9</v>
      </c>
      <c r="C42" t="s">
        <v>1</v>
      </c>
      <c r="D42" s="2">
        <v>2036.94</v>
      </c>
      <c r="E42" t="s">
        <v>2</v>
      </c>
      <c r="F42">
        <v>0</v>
      </c>
      <c r="G42" t="s">
        <v>3</v>
      </c>
      <c r="H42">
        <v>26</v>
      </c>
      <c r="I42" t="s">
        <v>4</v>
      </c>
    </row>
    <row r="43" spans="1:9" x14ac:dyDescent="0.25">
      <c r="A43" t="s">
        <v>0</v>
      </c>
      <c r="B43" s="2">
        <v>136850.9</v>
      </c>
      <c r="C43" t="s">
        <v>1</v>
      </c>
      <c r="D43" s="2">
        <v>2036.94</v>
      </c>
      <c r="E43" t="s">
        <v>2</v>
      </c>
      <c r="F43">
        <v>0</v>
      </c>
      <c r="G43" t="s">
        <v>3</v>
      </c>
      <c r="H43">
        <v>35</v>
      </c>
      <c r="I43" t="s">
        <v>4</v>
      </c>
    </row>
    <row r="44" spans="1:9" x14ac:dyDescent="0.25">
      <c r="A44" t="s">
        <v>0</v>
      </c>
      <c r="B44" s="2">
        <v>136850.9</v>
      </c>
      <c r="C44" t="s">
        <v>1</v>
      </c>
      <c r="D44" s="2">
        <v>2036.94</v>
      </c>
      <c r="E44" t="s">
        <v>2</v>
      </c>
      <c r="F44">
        <v>0</v>
      </c>
      <c r="G44" t="s">
        <v>3</v>
      </c>
      <c r="H44">
        <v>4</v>
      </c>
      <c r="I44" t="s">
        <v>4</v>
      </c>
    </row>
    <row r="45" spans="1:9" x14ac:dyDescent="0.25">
      <c r="A45" t="s">
        <v>0</v>
      </c>
      <c r="B45" s="2">
        <v>136850.9</v>
      </c>
      <c r="C45" t="s">
        <v>1</v>
      </c>
      <c r="D45" s="2">
        <v>2036.94</v>
      </c>
      <c r="E45" t="s">
        <v>2</v>
      </c>
      <c r="F45">
        <v>0</v>
      </c>
      <c r="G45" t="s">
        <v>3</v>
      </c>
      <c r="H45">
        <v>51</v>
      </c>
      <c r="I45" t="s">
        <v>4</v>
      </c>
    </row>
    <row r="46" spans="1:9" x14ac:dyDescent="0.25">
      <c r="A46" t="s">
        <v>0</v>
      </c>
      <c r="B46" s="2">
        <v>136850.9</v>
      </c>
      <c r="C46" t="s">
        <v>1</v>
      </c>
      <c r="D46" s="2">
        <v>2036.94</v>
      </c>
      <c r="E46" t="s">
        <v>2</v>
      </c>
      <c r="F46">
        <v>0</v>
      </c>
      <c r="G46" t="s">
        <v>3</v>
      </c>
      <c r="H46">
        <v>67</v>
      </c>
      <c r="I46" t="s">
        <v>4</v>
      </c>
    </row>
    <row r="47" spans="1:9" x14ac:dyDescent="0.25">
      <c r="A47" t="s">
        <v>0</v>
      </c>
      <c r="B47" s="2">
        <v>136850.9</v>
      </c>
      <c r="C47" t="s">
        <v>1</v>
      </c>
      <c r="D47" s="2">
        <v>2036.94</v>
      </c>
      <c r="E47" t="s">
        <v>2</v>
      </c>
      <c r="F47">
        <v>0</v>
      </c>
      <c r="G47" t="s">
        <v>3</v>
      </c>
      <c r="H47">
        <v>7</v>
      </c>
      <c r="I47" t="s">
        <v>4</v>
      </c>
    </row>
    <row r="48" spans="1:9" x14ac:dyDescent="0.25">
      <c r="A48" t="s">
        <v>0</v>
      </c>
      <c r="B48" s="2">
        <v>136850.9</v>
      </c>
      <c r="C48" t="s">
        <v>1</v>
      </c>
      <c r="D48" s="2">
        <v>2036.94</v>
      </c>
      <c r="E48" t="s">
        <v>2</v>
      </c>
      <c r="F48">
        <v>0</v>
      </c>
      <c r="G48" t="s">
        <v>3</v>
      </c>
      <c r="H48">
        <v>92</v>
      </c>
      <c r="I48" t="s">
        <v>4</v>
      </c>
    </row>
    <row r="49" spans="1:9" x14ac:dyDescent="0.25">
      <c r="A49" t="s">
        <v>0</v>
      </c>
      <c r="B49" s="2">
        <v>136869.22</v>
      </c>
      <c r="C49" t="s">
        <v>1</v>
      </c>
      <c r="D49" s="2">
        <v>2035.27</v>
      </c>
      <c r="E49" t="s">
        <v>2</v>
      </c>
      <c r="F49">
        <v>0</v>
      </c>
      <c r="G49" t="s">
        <v>3</v>
      </c>
      <c r="H49">
        <v>157</v>
      </c>
      <c r="I49" t="s">
        <v>4</v>
      </c>
    </row>
    <row r="50" spans="1:9" x14ac:dyDescent="0.25">
      <c r="A50" t="s">
        <v>0</v>
      </c>
      <c r="B50" s="2">
        <v>136869.22</v>
      </c>
      <c r="C50" t="s">
        <v>1</v>
      </c>
      <c r="D50" s="2">
        <v>2035.32</v>
      </c>
      <c r="E50" t="s">
        <v>2</v>
      </c>
      <c r="F50">
        <v>0</v>
      </c>
      <c r="G50" t="s">
        <v>3</v>
      </c>
      <c r="H50">
        <v>104</v>
      </c>
      <c r="I50" t="s">
        <v>4</v>
      </c>
    </row>
    <row r="51" spans="1:9" x14ac:dyDescent="0.25">
      <c r="A51" t="s">
        <v>0</v>
      </c>
      <c r="B51" s="2">
        <v>136869.22</v>
      </c>
      <c r="C51" t="s">
        <v>1</v>
      </c>
      <c r="D51" s="2">
        <v>2035.32</v>
      </c>
      <c r="E51" t="s">
        <v>2</v>
      </c>
      <c r="F51">
        <v>0</v>
      </c>
      <c r="G51" t="s">
        <v>3</v>
      </c>
      <c r="H51">
        <v>128</v>
      </c>
      <c r="I51" t="s">
        <v>4</v>
      </c>
    </row>
    <row r="52" spans="1:9" x14ac:dyDescent="0.25">
      <c r="A52" t="s">
        <v>0</v>
      </c>
      <c r="B52" s="2">
        <v>136869.22</v>
      </c>
      <c r="C52" t="s">
        <v>1</v>
      </c>
      <c r="D52" s="2">
        <v>2035.32</v>
      </c>
      <c r="E52" t="s">
        <v>2</v>
      </c>
      <c r="F52">
        <v>0</v>
      </c>
      <c r="G52" t="s">
        <v>3</v>
      </c>
      <c r="H52">
        <v>140</v>
      </c>
      <c r="I52" t="s">
        <v>4</v>
      </c>
    </row>
    <row r="53" spans="1:9" x14ac:dyDescent="0.25">
      <c r="A53" t="s">
        <v>0</v>
      </c>
      <c r="B53" s="2">
        <v>136869.22</v>
      </c>
      <c r="C53" t="s">
        <v>1</v>
      </c>
      <c r="D53" s="2">
        <v>2035.32</v>
      </c>
      <c r="E53" t="s">
        <v>2</v>
      </c>
      <c r="F53">
        <v>0</v>
      </c>
      <c r="G53" t="s">
        <v>3</v>
      </c>
      <c r="H53">
        <v>168</v>
      </c>
      <c r="I53" t="s">
        <v>4</v>
      </c>
    </row>
    <row r="54" spans="1:9" x14ac:dyDescent="0.25">
      <c r="A54" t="s">
        <v>0</v>
      </c>
      <c r="B54" s="2">
        <v>136869.22</v>
      </c>
      <c r="C54" t="s">
        <v>1</v>
      </c>
      <c r="D54" s="2">
        <v>2035.32</v>
      </c>
      <c r="E54" t="s">
        <v>2</v>
      </c>
      <c r="F54">
        <v>0</v>
      </c>
      <c r="G54" t="s">
        <v>3</v>
      </c>
      <c r="H54">
        <v>183</v>
      </c>
      <c r="I54" t="s">
        <v>4</v>
      </c>
    </row>
    <row r="55" spans="1:9" x14ac:dyDescent="0.25">
      <c r="A55" t="s">
        <v>0</v>
      </c>
      <c r="B55" s="2">
        <v>136869.22</v>
      </c>
      <c r="C55" t="s">
        <v>1</v>
      </c>
      <c r="D55" s="2">
        <v>2035.32</v>
      </c>
      <c r="E55" t="s">
        <v>2</v>
      </c>
      <c r="F55">
        <v>0</v>
      </c>
      <c r="G55" t="s">
        <v>3</v>
      </c>
      <c r="H55">
        <v>25</v>
      </c>
      <c r="I55" t="s">
        <v>4</v>
      </c>
    </row>
    <row r="56" spans="1:9" x14ac:dyDescent="0.25">
      <c r="A56" t="s">
        <v>0</v>
      </c>
      <c r="B56" s="2">
        <v>136869.22</v>
      </c>
      <c r="C56" t="s">
        <v>1</v>
      </c>
      <c r="D56" s="2">
        <v>2035.32</v>
      </c>
      <c r="E56" t="s">
        <v>2</v>
      </c>
      <c r="F56">
        <v>0</v>
      </c>
      <c r="G56" t="s">
        <v>3</v>
      </c>
      <c r="H56">
        <v>38</v>
      </c>
      <c r="I56" t="s">
        <v>4</v>
      </c>
    </row>
    <row r="57" spans="1:9" x14ac:dyDescent="0.25">
      <c r="A57" t="s">
        <v>0</v>
      </c>
      <c r="B57" s="2">
        <v>136869.22</v>
      </c>
      <c r="C57" t="s">
        <v>1</v>
      </c>
      <c r="D57" s="2">
        <v>2035.32</v>
      </c>
      <c r="E57" t="s">
        <v>2</v>
      </c>
      <c r="F57">
        <v>0</v>
      </c>
      <c r="G57" t="s">
        <v>3</v>
      </c>
      <c r="H57">
        <v>52</v>
      </c>
      <c r="I57" t="s">
        <v>4</v>
      </c>
    </row>
    <row r="58" spans="1:9" x14ac:dyDescent="0.25">
      <c r="A58" t="s">
        <v>0</v>
      </c>
      <c r="B58" s="2">
        <v>136869.22</v>
      </c>
      <c r="C58" t="s">
        <v>1</v>
      </c>
      <c r="D58" s="2">
        <v>2035.32</v>
      </c>
      <c r="E58" t="s">
        <v>2</v>
      </c>
      <c r="F58">
        <v>0</v>
      </c>
      <c r="G58" t="s">
        <v>3</v>
      </c>
      <c r="H58">
        <v>58</v>
      </c>
      <c r="I58" t="s">
        <v>4</v>
      </c>
    </row>
    <row r="59" spans="1:9" x14ac:dyDescent="0.25">
      <c r="A59" t="s">
        <v>0</v>
      </c>
      <c r="B59" s="2">
        <v>136869.22</v>
      </c>
      <c r="C59" t="s">
        <v>1</v>
      </c>
      <c r="D59" s="2">
        <v>2035.32</v>
      </c>
      <c r="E59" t="s">
        <v>2</v>
      </c>
      <c r="F59">
        <v>0</v>
      </c>
      <c r="G59" t="s">
        <v>3</v>
      </c>
      <c r="H59">
        <v>68</v>
      </c>
      <c r="I59" t="s">
        <v>4</v>
      </c>
    </row>
    <row r="60" spans="1:9" x14ac:dyDescent="0.25">
      <c r="A60" t="s">
        <v>0</v>
      </c>
      <c r="B60" s="2">
        <v>136869.22</v>
      </c>
      <c r="C60" t="s">
        <v>1</v>
      </c>
      <c r="D60" s="2">
        <v>2035.32</v>
      </c>
      <c r="E60" t="s">
        <v>2</v>
      </c>
      <c r="F60">
        <v>0</v>
      </c>
      <c r="G60" t="s">
        <v>3</v>
      </c>
      <c r="H60">
        <v>78</v>
      </c>
      <c r="I60" t="s">
        <v>4</v>
      </c>
    </row>
    <row r="61" spans="1:9" x14ac:dyDescent="0.25">
      <c r="A61" t="s">
        <v>0</v>
      </c>
      <c r="B61" s="2">
        <v>136869.22</v>
      </c>
      <c r="C61" t="s">
        <v>1</v>
      </c>
      <c r="D61" s="2">
        <v>2035.32</v>
      </c>
      <c r="E61" t="s">
        <v>2</v>
      </c>
      <c r="F61">
        <v>0</v>
      </c>
      <c r="G61" t="s">
        <v>3</v>
      </c>
      <c r="H61">
        <v>99</v>
      </c>
      <c r="I61" t="s">
        <v>4</v>
      </c>
    </row>
    <row r="62" spans="1:9" x14ac:dyDescent="0.25">
      <c r="A62" t="s">
        <v>0</v>
      </c>
      <c r="B62" s="2">
        <v>136869.22</v>
      </c>
      <c r="C62" t="s">
        <v>1</v>
      </c>
      <c r="D62" s="2">
        <v>2035.33</v>
      </c>
      <c r="E62" t="s">
        <v>2</v>
      </c>
      <c r="F62">
        <v>0</v>
      </c>
      <c r="G62" t="s">
        <v>3</v>
      </c>
      <c r="H62">
        <v>0</v>
      </c>
      <c r="I62" t="s">
        <v>4</v>
      </c>
    </row>
    <row r="63" spans="1:9" x14ac:dyDescent="0.25">
      <c r="A63" t="s">
        <v>0</v>
      </c>
      <c r="B63" s="2">
        <v>136869.22</v>
      </c>
      <c r="C63" t="s">
        <v>1</v>
      </c>
      <c r="D63" s="2">
        <v>2035.33</v>
      </c>
      <c r="E63" t="s">
        <v>2</v>
      </c>
      <c r="F63">
        <v>0</v>
      </c>
      <c r="G63" t="s">
        <v>3</v>
      </c>
      <c r="H63">
        <v>100</v>
      </c>
      <c r="I63" t="s">
        <v>4</v>
      </c>
    </row>
    <row r="64" spans="1:9" x14ac:dyDescent="0.25">
      <c r="A64" t="s">
        <v>0</v>
      </c>
      <c r="B64" s="2">
        <v>136869.22</v>
      </c>
      <c r="C64" t="s">
        <v>1</v>
      </c>
      <c r="D64" s="2">
        <v>2035.33</v>
      </c>
      <c r="E64" t="s">
        <v>2</v>
      </c>
      <c r="F64">
        <v>0</v>
      </c>
      <c r="G64" t="s">
        <v>3</v>
      </c>
      <c r="H64">
        <v>129</v>
      </c>
      <c r="I64" t="s">
        <v>4</v>
      </c>
    </row>
    <row r="65" spans="1:9" x14ac:dyDescent="0.25">
      <c r="A65" t="s">
        <v>0</v>
      </c>
      <c r="B65" s="2">
        <v>136869.22</v>
      </c>
      <c r="C65" t="s">
        <v>1</v>
      </c>
      <c r="D65" s="2">
        <v>2035.33</v>
      </c>
      <c r="E65" t="s">
        <v>2</v>
      </c>
      <c r="F65">
        <v>0</v>
      </c>
      <c r="G65" t="s">
        <v>3</v>
      </c>
      <c r="H65">
        <v>13</v>
      </c>
      <c r="I65" t="s">
        <v>4</v>
      </c>
    </row>
    <row r="66" spans="1:9" x14ac:dyDescent="0.25">
      <c r="A66" t="s">
        <v>0</v>
      </c>
      <c r="B66" s="2">
        <v>136869.22</v>
      </c>
      <c r="C66" t="s">
        <v>1</v>
      </c>
      <c r="D66" s="2">
        <v>2035.33</v>
      </c>
      <c r="E66" t="s">
        <v>2</v>
      </c>
      <c r="F66">
        <v>0</v>
      </c>
      <c r="G66" t="s">
        <v>3</v>
      </c>
      <c r="H66">
        <v>167</v>
      </c>
      <c r="I66" t="s">
        <v>4</v>
      </c>
    </row>
    <row r="67" spans="1:9" x14ac:dyDescent="0.25">
      <c r="A67" t="s">
        <v>0</v>
      </c>
      <c r="B67" s="2">
        <v>136869.22</v>
      </c>
      <c r="C67" t="s">
        <v>1</v>
      </c>
      <c r="D67" s="2">
        <v>2035.33</v>
      </c>
      <c r="E67" t="s">
        <v>2</v>
      </c>
      <c r="F67">
        <v>0</v>
      </c>
      <c r="G67" t="s">
        <v>3</v>
      </c>
      <c r="H67">
        <v>17</v>
      </c>
      <c r="I67" t="s">
        <v>4</v>
      </c>
    </row>
    <row r="68" spans="1:9" x14ac:dyDescent="0.25">
      <c r="A68" t="s">
        <v>0</v>
      </c>
      <c r="B68" s="2">
        <v>136869.22</v>
      </c>
      <c r="C68" t="s">
        <v>1</v>
      </c>
      <c r="D68" s="2">
        <v>2035.33</v>
      </c>
      <c r="E68" t="s">
        <v>2</v>
      </c>
      <c r="F68">
        <v>0</v>
      </c>
      <c r="G68" t="s">
        <v>3</v>
      </c>
      <c r="H68">
        <v>1</v>
      </c>
      <c r="I68" t="s">
        <v>4</v>
      </c>
    </row>
    <row r="69" spans="1:9" x14ac:dyDescent="0.25">
      <c r="A69" t="s">
        <v>0</v>
      </c>
      <c r="B69" s="2">
        <v>136869.22</v>
      </c>
      <c r="C69" t="s">
        <v>1</v>
      </c>
      <c r="D69" s="2">
        <v>2035.33</v>
      </c>
      <c r="E69" t="s">
        <v>2</v>
      </c>
      <c r="F69">
        <v>0</v>
      </c>
      <c r="G69" t="s">
        <v>3</v>
      </c>
      <c r="H69">
        <v>29</v>
      </c>
      <c r="I69" t="s">
        <v>4</v>
      </c>
    </row>
    <row r="70" spans="1:9" x14ac:dyDescent="0.25">
      <c r="A70" t="s">
        <v>0</v>
      </c>
      <c r="B70" s="2">
        <v>136869.22</v>
      </c>
      <c r="C70" t="s">
        <v>1</v>
      </c>
      <c r="D70" s="2">
        <v>2035.33</v>
      </c>
      <c r="E70" t="s">
        <v>2</v>
      </c>
      <c r="F70">
        <v>0</v>
      </c>
      <c r="G70" t="s">
        <v>3</v>
      </c>
      <c r="H70">
        <v>2</v>
      </c>
      <c r="I70" t="s">
        <v>4</v>
      </c>
    </row>
    <row r="71" spans="1:9" x14ac:dyDescent="0.25">
      <c r="A71" t="s">
        <v>0</v>
      </c>
      <c r="B71" s="2">
        <v>136869.22</v>
      </c>
      <c r="C71" t="s">
        <v>1</v>
      </c>
      <c r="D71" s="2">
        <v>2035.33</v>
      </c>
      <c r="E71" t="s">
        <v>2</v>
      </c>
      <c r="F71">
        <v>0</v>
      </c>
      <c r="G71" t="s">
        <v>3</v>
      </c>
      <c r="H71">
        <v>42</v>
      </c>
      <c r="I71" t="s">
        <v>4</v>
      </c>
    </row>
    <row r="72" spans="1:9" x14ac:dyDescent="0.25">
      <c r="A72" t="s">
        <v>0</v>
      </c>
      <c r="B72" s="2">
        <v>136869.22</v>
      </c>
      <c r="C72" t="s">
        <v>1</v>
      </c>
      <c r="D72" s="2">
        <v>2035.33</v>
      </c>
      <c r="E72" t="s">
        <v>2</v>
      </c>
      <c r="F72">
        <v>0</v>
      </c>
      <c r="G72" t="s">
        <v>3</v>
      </c>
      <c r="H72">
        <v>56</v>
      </c>
      <c r="I72" t="s">
        <v>4</v>
      </c>
    </row>
    <row r="73" spans="1:9" x14ac:dyDescent="0.25">
      <c r="A73" t="s">
        <v>0</v>
      </c>
      <c r="B73" s="2">
        <v>136869.22</v>
      </c>
      <c r="C73" t="s">
        <v>1</v>
      </c>
      <c r="D73" s="2">
        <v>2035.33</v>
      </c>
      <c r="E73" t="s">
        <v>2</v>
      </c>
      <c r="F73">
        <v>0</v>
      </c>
      <c r="G73" t="s">
        <v>3</v>
      </c>
      <c r="H73">
        <v>5</v>
      </c>
      <c r="I73" t="s">
        <v>4</v>
      </c>
    </row>
    <row r="74" spans="1:9" x14ac:dyDescent="0.25">
      <c r="A74" t="s">
        <v>0</v>
      </c>
      <c r="B74" s="2">
        <v>136869.22</v>
      </c>
      <c r="C74" t="s">
        <v>1</v>
      </c>
      <c r="D74" s="2">
        <v>2035.33</v>
      </c>
      <c r="E74" t="s">
        <v>2</v>
      </c>
      <c r="F74">
        <v>0</v>
      </c>
      <c r="G74" t="s">
        <v>3</v>
      </c>
      <c r="H74">
        <v>74</v>
      </c>
      <c r="I74" t="s">
        <v>4</v>
      </c>
    </row>
    <row r="75" spans="1:9" x14ac:dyDescent="0.25">
      <c r="A75" t="s">
        <v>0</v>
      </c>
      <c r="B75" s="2">
        <v>136869.22</v>
      </c>
      <c r="C75" t="s">
        <v>1</v>
      </c>
      <c r="D75" s="2">
        <v>2035.33</v>
      </c>
      <c r="E75" t="s">
        <v>2</v>
      </c>
      <c r="F75">
        <v>0</v>
      </c>
      <c r="G75" t="s">
        <v>3</v>
      </c>
      <c r="H75">
        <v>8</v>
      </c>
      <c r="I75" t="s">
        <v>4</v>
      </c>
    </row>
    <row r="76" spans="1:9" x14ac:dyDescent="0.25">
      <c r="A76" t="s">
        <v>0</v>
      </c>
      <c r="B76" s="2">
        <v>136869.22</v>
      </c>
      <c r="C76" t="s">
        <v>1</v>
      </c>
      <c r="D76" s="2">
        <v>2035.49</v>
      </c>
      <c r="E76" t="s">
        <v>2</v>
      </c>
      <c r="F76">
        <v>0</v>
      </c>
      <c r="G76" t="s">
        <v>3</v>
      </c>
      <c r="H76">
        <v>105</v>
      </c>
      <c r="I76" t="s">
        <v>4</v>
      </c>
    </row>
    <row r="77" spans="1:9" x14ac:dyDescent="0.25">
      <c r="A77" t="s">
        <v>0</v>
      </c>
      <c r="B77" s="2">
        <v>136869.22</v>
      </c>
      <c r="C77" t="s">
        <v>1</v>
      </c>
      <c r="D77" s="2">
        <v>2035.49</v>
      </c>
      <c r="E77" t="s">
        <v>2</v>
      </c>
      <c r="F77">
        <v>0</v>
      </c>
      <c r="G77" t="s">
        <v>3</v>
      </c>
      <c r="H77">
        <v>106</v>
      </c>
      <c r="I77" t="s">
        <v>4</v>
      </c>
    </row>
    <row r="78" spans="1:9" x14ac:dyDescent="0.25">
      <c r="A78" t="s">
        <v>0</v>
      </c>
      <c r="B78" s="2">
        <v>136869.22</v>
      </c>
      <c r="C78" t="s">
        <v>1</v>
      </c>
      <c r="D78" s="2">
        <v>2035.49</v>
      </c>
      <c r="E78" t="s">
        <v>2</v>
      </c>
      <c r="F78">
        <v>0</v>
      </c>
      <c r="G78" t="s">
        <v>3</v>
      </c>
      <c r="H78">
        <v>126</v>
      </c>
      <c r="I78" t="s">
        <v>4</v>
      </c>
    </row>
    <row r="79" spans="1:9" x14ac:dyDescent="0.25">
      <c r="A79" t="s">
        <v>0</v>
      </c>
      <c r="B79" s="2">
        <v>136869.22</v>
      </c>
      <c r="C79" t="s">
        <v>1</v>
      </c>
      <c r="D79" s="2">
        <v>2035.49</v>
      </c>
      <c r="E79" t="s">
        <v>2</v>
      </c>
      <c r="F79">
        <v>0</v>
      </c>
      <c r="G79" t="s">
        <v>3</v>
      </c>
      <c r="H79">
        <v>133</v>
      </c>
      <c r="I79" t="s">
        <v>4</v>
      </c>
    </row>
    <row r="80" spans="1:9" x14ac:dyDescent="0.25">
      <c r="A80" t="s">
        <v>0</v>
      </c>
      <c r="B80" s="2">
        <v>136869.22</v>
      </c>
      <c r="C80" t="s">
        <v>1</v>
      </c>
      <c r="D80" s="2">
        <v>2035.49</v>
      </c>
      <c r="E80" t="s">
        <v>2</v>
      </c>
      <c r="F80">
        <v>0</v>
      </c>
      <c r="G80" t="s">
        <v>3</v>
      </c>
      <c r="H80">
        <v>135</v>
      </c>
      <c r="I80" t="s">
        <v>4</v>
      </c>
    </row>
    <row r="81" spans="1:9" x14ac:dyDescent="0.25">
      <c r="A81" t="s">
        <v>0</v>
      </c>
      <c r="B81" s="2">
        <v>136869.22</v>
      </c>
      <c r="C81" t="s">
        <v>1</v>
      </c>
      <c r="D81" s="2">
        <v>2035.49</v>
      </c>
      <c r="E81" t="s">
        <v>2</v>
      </c>
      <c r="F81">
        <v>0</v>
      </c>
      <c r="G81" t="s">
        <v>3</v>
      </c>
      <c r="H81">
        <v>141</v>
      </c>
      <c r="I81" t="s">
        <v>4</v>
      </c>
    </row>
    <row r="82" spans="1:9" x14ac:dyDescent="0.25">
      <c r="A82" t="s">
        <v>0</v>
      </c>
      <c r="B82" s="2">
        <v>136869.22</v>
      </c>
      <c r="C82" t="s">
        <v>1</v>
      </c>
      <c r="D82" s="2">
        <v>2035.49</v>
      </c>
      <c r="E82" t="s">
        <v>2</v>
      </c>
      <c r="F82">
        <v>0</v>
      </c>
      <c r="G82" t="s">
        <v>3</v>
      </c>
      <c r="H82">
        <v>142</v>
      </c>
      <c r="I82" t="s">
        <v>4</v>
      </c>
    </row>
    <row r="83" spans="1:9" x14ac:dyDescent="0.25">
      <c r="A83" t="s">
        <v>0</v>
      </c>
      <c r="B83" s="2">
        <v>136869.22</v>
      </c>
      <c r="C83" t="s">
        <v>1</v>
      </c>
      <c r="D83" s="2">
        <v>2035.49</v>
      </c>
      <c r="E83" t="s">
        <v>2</v>
      </c>
      <c r="F83">
        <v>0</v>
      </c>
      <c r="G83" t="s">
        <v>3</v>
      </c>
      <c r="H83">
        <v>164</v>
      </c>
      <c r="I83" t="s">
        <v>4</v>
      </c>
    </row>
    <row r="84" spans="1:9" x14ac:dyDescent="0.25">
      <c r="A84" t="s">
        <v>0</v>
      </c>
      <c r="B84" s="2">
        <v>136869.22</v>
      </c>
      <c r="C84" t="s">
        <v>1</v>
      </c>
      <c r="D84" s="2">
        <v>2035.49</v>
      </c>
      <c r="E84" t="s">
        <v>2</v>
      </c>
      <c r="F84">
        <v>0</v>
      </c>
      <c r="G84" t="s">
        <v>3</v>
      </c>
      <c r="H84">
        <v>170</v>
      </c>
      <c r="I84" t="s">
        <v>4</v>
      </c>
    </row>
    <row r="85" spans="1:9" x14ac:dyDescent="0.25">
      <c r="A85" t="s">
        <v>0</v>
      </c>
      <c r="B85" s="2">
        <v>136869.22</v>
      </c>
      <c r="C85" t="s">
        <v>1</v>
      </c>
      <c r="D85" s="2">
        <v>2035.49</v>
      </c>
      <c r="E85" t="s">
        <v>2</v>
      </c>
      <c r="F85">
        <v>0</v>
      </c>
      <c r="G85" t="s">
        <v>3</v>
      </c>
      <c r="H85">
        <v>172</v>
      </c>
      <c r="I85" t="s">
        <v>4</v>
      </c>
    </row>
    <row r="86" spans="1:9" x14ac:dyDescent="0.25">
      <c r="A86" t="s">
        <v>0</v>
      </c>
      <c r="B86" s="2">
        <v>136869.22</v>
      </c>
      <c r="C86" t="s">
        <v>1</v>
      </c>
      <c r="D86" s="2">
        <v>2035.49</v>
      </c>
      <c r="E86" t="s">
        <v>2</v>
      </c>
      <c r="F86">
        <v>0</v>
      </c>
      <c r="G86" t="s">
        <v>3</v>
      </c>
      <c r="H86">
        <v>176</v>
      </c>
      <c r="I86" t="s">
        <v>4</v>
      </c>
    </row>
    <row r="87" spans="1:9" x14ac:dyDescent="0.25">
      <c r="A87" t="s">
        <v>0</v>
      </c>
      <c r="B87" s="2">
        <v>136869.22</v>
      </c>
      <c r="C87" t="s">
        <v>1</v>
      </c>
      <c r="D87" s="2">
        <v>2035.49</v>
      </c>
      <c r="E87" t="s">
        <v>2</v>
      </c>
      <c r="F87">
        <v>0</v>
      </c>
      <c r="G87" t="s">
        <v>3</v>
      </c>
      <c r="H87">
        <v>178</v>
      </c>
      <c r="I87" t="s">
        <v>4</v>
      </c>
    </row>
    <row r="88" spans="1:9" x14ac:dyDescent="0.25">
      <c r="A88" t="s">
        <v>0</v>
      </c>
      <c r="B88" s="2">
        <v>136869.22</v>
      </c>
      <c r="C88" t="s">
        <v>1</v>
      </c>
      <c r="D88" s="2">
        <v>2035.49</v>
      </c>
      <c r="E88" t="s">
        <v>2</v>
      </c>
      <c r="F88">
        <v>0</v>
      </c>
      <c r="G88" t="s">
        <v>3</v>
      </c>
      <c r="H88">
        <v>184</v>
      </c>
      <c r="I88" t="s">
        <v>4</v>
      </c>
    </row>
    <row r="89" spans="1:9" x14ac:dyDescent="0.25">
      <c r="A89" t="s">
        <v>0</v>
      </c>
      <c r="B89" s="2">
        <v>136869.22</v>
      </c>
      <c r="C89" t="s">
        <v>1</v>
      </c>
      <c r="D89" s="2">
        <v>2035.49</v>
      </c>
      <c r="E89" t="s">
        <v>2</v>
      </c>
      <c r="F89">
        <v>0</v>
      </c>
      <c r="G89" t="s">
        <v>3</v>
      </c>
      <c r="H89">
        <v>185</v>
      </c>
      <c r="I89" t="s">
        <v>4</v>
      </c>
    </row>
    <row r="90" spans="1:9" x14ac:dyDescent="0.25">
      <c r="A90" t="s">
        <v>0</v>
      </c>
      <c r="B90" s="2">
        <v>136869.22</v>
      </c>
      <c r="C90" t="s">
        <v>1</v>
      </c>
      <c r="D90" s="2">
        <v>2035.49</v>
      </c>
      <c r="E90" t="s">
        <v>2</v>
      </c>
      <c r="F90">
        <v>0</v>
      </c>
      <c r="G90" t="s">
        <v>3</v>
      </c>
      <c r="H90">
        <v>19</v>
      </c>
      <c r="I90" t="s">
        <v>4</v>
      </c>
    </row>
    <row r="91" spans="1:9" x14ac:dyDescent="0.25">
      <c r="A91" t="s">
        <v>0</v>
      </c>
      <c r="B91" s="2">
        <v>136869.22</v>
      </c>
      <c r="C91" t="s">
        <v>1</v>
      </c>
      <c r="D91" s="2">
        <v>2035.49</v>
      </c>
      <c r="E91" t="s">
        <v>2</v>
      </c>
      <c r="F91">
        <v>0</v>
      </c>
      <c r="G91" t="s">
        <v>3</v>
      </c>
      <c r="H91">
        <v>20</v>
      </c>
      <c r="I91" t="s">
        <v>4</v>
      </c>
    </row>
    <row r="92" spans="1:9" x14ac:dyDescent="0.25">
      <c r="A92" t="s">
        <v>0</v>
      </c>
      <c r="B92" s="2">
        <v>136869.22</v>
      </c>
      <c r="C92" t="s">
        <v>1</v>
      </c>
      <c r="D92" s="2">
        <v>2035.49</v>
      </c>
      <c r="E92" t="s">
        <v>2</v>
      </c>
      <c r="F92">
        <v>0</v>
      </c>
      <c r="G92" t="s">
        <v>3</v>
      </c>
      <c r="H92">
        <v>28</v>
      </c>
      <c r="I92" t="s">
        <v>4</v>
      </c>
    </row>
    <row r="93" spans="1:9" x14ac:dyDescent="0.25">
      <c r="A93" t="s">
        <v>0</v>
      </c>
      <c r="B93" s="2">
        <v>136869.22</v>
      </c>
      <c r="C93" t="s">
        <v>1</v>
      </c>
      <c r="D93" s="2">
        <v>2035.49</v>
      </c>
      <c r="E93" t="s">
        <v>2</v>
      </c>
      <c r="F93">
        <v>0</v>
      </c>
      <c r="G93" t="s">
        <v>3</v>
      </c>
      <c r="H93">
        <v>30</v>
      </c>
      <c r="I93" t="s">
        <v>4</v>
      </c>
    </row>
    <row r="94" spans="1:9" x14ac:dyDescent="0.25">
      <c r="A94" t="s">
        <v>0</v>
      </c>
      <c r="B94" s="2">
        <v>136869.22</v>
      </c>
      <c r="C94" t="s">
        <v>1</v>
      </c>
      <c r="D94" s="2">
        <v>2035.49</v>
      </c>
      <c r="E94" t="s">
        <v>2</v>
      </c>
      <c r="F94">
        <v>0</v>
      </c>
      <c r="G94" t="s">
        <v>3</v>
      </c>
      <c r="H94">
        <v>31</v>
      </c>
      <c r="I94" t="s">
        <v>4</v>
      </c>
    </row>
    <row r="95" spans="1:9" x14ac:dyDescent="0.25">
      <c r="A95" t="s">
        <v>0</v>
      </c>
      <c r="B95" s="2">
        <v>136869.22</v>
      </c>
      <c r="C95" t="s">
        <v>1</v>
      </c>
      <c r="D95" s="2">
        <v>2035.49</v>
      </c>
      <c r="E95" t="s">
        <v>2</v>
      </c>
      <c r="F95">
        <v>0</v>
      </c>
      <c r="G95" t="s">
        <v>3</v>
      </c>
      <c r="H95">
        <v>40</v>
      </c>
      <c r="I95" t="s">
        <v>4</v>
      </c>
    </row>
    <row r="96" spans="1:9" x14ac:dyDescent="0.25">
      <c r="A96" t="s">
        <v>0</v>
      </c>
      <c r="B96" s="2">
        <v>136869.22</v>
      </c>
      <c r="C96" t="s">
        <v>1</v>
      </c>
      <c r="D96" s="2">
        <v>2035.49</v>
      </c>
      <c r="E96" t="s">
        <v>2</v>
      </c>
      <c r="F96">
        <v>0</v>
      </c>
      <c r="G96" t="s">
        <v>3</v>
      </c>
      <c r="H96">
        <v>43</v>
      </c>
      <c r="I96" t="s">
        <v>4</v>
      </c>
    </row>
    <row r="97" spans="1:9" x14ac:dyDescent="0.25">
      <c r="A97" t="s">
        <v>0</v>
      </c>
      <c r="B97" s="2">
        <v>136869.22</v>
      </c>
      <c r="C97" t="s">
        <v>1</v>
      </c>
      <c r="D97" s="2">
        <v>2035.49</v>
      </c>
      <c r="E97" t="s">
        <v>2</v>
      </c>
      <c r="F97">
        <v>0</v>
      </c>
      <c r="G97" t="s">
        <v>3</v>
      </c>
      <c r="H97">
        <v>44</v>
      </c>
      <c r="I97" t="s">
        <v>4</v>
      </c>
    </row>
    <row r="98" spans="1:9" x14ac:dyDescent="0.25">
      <c r="A98" t="s">
        <v>0</v>
      </c>
      <c r="B98" s="2">
        <v>136869.22</v>
      </c>
      <c r="C98" t="s">
        <v>1</v>
      </c>
      <c r="D98" s="2">
        <v>2035.49</v>
      </c>
      <c r="E98" t="s">
        <v>2</v>
      </c>
      <c r="F98">
        <v>0</v>
      </c>
      <c r="G98" t="s">
        <v>3</v>
      </c>
      <c r="H98">
        <v>54</v>
      </c>
      <c r="I98" t="s">
        <v>4</v>
      </c>
    </row>
    <row r="99" spans="1:9" x14ac:dyDescent="0.25">
      <c r="A99" t="s">
        <v>0</v>
      </c>
      <c r="B99" s="2">
        <v>136869.22</v>
      </c>
      <c r="C99" t="s">
        <v>1</v>
      </c>
      <c r="D99" s="2">
        <v>2035.49</v>
      </c>
      <c r="E99" t="s">
        <v>2</v>
      </c>
      <c r="F99">
        <v>0</v>
      </c>
      <c r="G99" t="s">
        <v>3</v>
      </c>
      <c r="H99">
        <v>59</v>
      </c>
      <c r="I99" t="s">
        <v>4</v>
      </c>
    </row>
    <row r="100" spans="1:9" x14ac:dyDescent="0.25">
      <c r="A100" t="s">
        <v>0</v>
      </c>
      <c r="B100" s="2">
        <v>136869.22</v>
      </c>
      <c r="C100" t="s">
        <v>1</v>
      </c>
      <c r="D100" s="2">
        <v>2035.49</v>
      </c>
      <c r="E100" t="s">
        <v>2</v>
      </c>
      <c r="F100">
        <v>0</v>
      </c>
      <c r="G100" t="s">
        <v>3</v>
      </c>
      <c r="H100">
        <v>60</v>
      </c>
      <c r="I100" t="s">
        <v>4</v>
      </c>
    </row>
    <row r="101" spans="1:9" x14ac:dyDescent="0.25">
      <c r="A101" t="s">
        <v>0</v>
      </c>
      <c r="B101" s="2">
        <v>136869.22</v>
      </c>
      <c r="C101" t="s">
        <v>1</v>
      </c>
      <c r="D101" s="2">
        <v>2035.49</v>
      </c>
      <c r="E101" t="s">
        <v>2</v>
      </c>
      <c r="F101">
        <v>0</v>
      </c>
      <c r="G101" t="s">
        <v>3</v>
      </c>
      <c r="H101">
        <v>72</v>
      </c>
      <c r="I101" t="s">
        <v>4</v>
      </c>
    </row>
    <row r="102" spans="1:9" x14ac:dyDescent="0.25">
      <c r="A102" t="s">
        <v>0</v>
      </c>
      <c r="B102" s="2">
        <v>136869.22</v>
      </c>
      <c r="C102" t="s">
        <v>1</v>
      </c>
      <c r="D102" s="2">
        <v>2035.49</v>
      </c>
      <c r="E102" t="s">
        <v>2</v>
      </c>
      <c r="F102">
        <v>0</v>
      </c>
      <c r="G102" t="s">
        <v>3</v>
      </c>
      <c r="H102">
        <v>79</v>
      </c>
      <c r="I102" t="s">
        <v>4</v>
      </c>
    </row>
    <row r="103" spans="1:9" x14ac:dyDescent="0.25">
      <c r="A103" t="s">
        <v>0</v>
      </c>
      <c r="B103" s="2">
        <v>136869.22</v>
      </c>
      <c r="C103" t="s">
        <v>1</v>
      </c>
      <c r="D103" s="2">
        <v>2035.49</v>
      </c>
      <c r="E103" t="s">
        <v>2</v>
      </c>
      <c r="F103">
        <v>0</v>
      </c>
      <c r="G103" t="s">
        <v>3</v>
      </c>
      <c r="H103">
        <v>80</v>
      </c>
      <c r="I103" t="s">
        <v>4</v>
      </c>
    </row>
    <row r="104" spans="1:9" x14ac:dyDescent="0.25">
      <c r="A104" t="s">
        <v>0</v>
      </c>
      <c r="B104" s="2">
        <v>136869.22</v>
      </c>
      <c r="C104" t="s">
        <v>1</v>
      </c>
      <c r="D104" s="2">
        <v>2035.49</v>
      </c>
      <c r="E104" t="s">
        <v>2</v>
      </c>
      <c r="F104">
        <v>0</v>
      </c>
      <c r="G104" t="s">
        <v>3</v>
      </c>
      <c r="H104">
        <v>97</v>
      </c>
      <c r="I104" t="s">
        <v>4</v>
      </c>
    </row>
    <row r="105" spans="1:9" x14ac:dyDescent="0.25">
      <c r="A105" t="s">
        <v>0</v>
      </c>
      <c r="B105" s="2">
        <v>136925.13</v>
      </c>
      <c r="C105" t="s">
        <v>1</v>
      </c>
      <c r="D105" s="2">
        <v>1658.75</v>
      </c>
      <c r="E105" t="s">
        <v>2</v>
      </c>
      <c r="F105">
        <v>0</v>
      </c>
      <c r="G105" t="s">
        <v>3</v>
      </c>
      <c r="H105">
        <v>116</v>
      </c>
      <c r="I105" t="s">
        <v>4</v>
      </c>
    </row>
    <row r="106" spans="1:9" x14ac:dyDescent="0.25">
      <c r="A106" t="s">
        <v>0</v>
      </c>
      <c r="B106" s="2">
        <v>136925.13</v>
      </c>
      <c r="C106" t="s">
        <v>1</v>
      </c>
      <c r="D106" s="2">
        <v>1658.75</v>
      </c>
      <c r="E106" t="s">
        <v>2</v>
      </c>
      <c r="F106">
        <v>0</v>
      </c>
      <c r="G106" t="s">
        <v>3</v>
      </c>
      <c r="H106">
        <v>153</v>
      </c>
      <c r="I106" t="s">
        <v>4</v>
      </c>
    </row>
    <row r="107" spans="1:9" x14ac:dyDescent="0.25">
      <c r="A107" t="s">
        <v>0</v>
      </c>
      <c r="B107" s="2">
        <v>136943.45000000001</v>
      </c>
      <c r="C107" t="s">
        <v>1</v>
      </c>
      <c r="D107" s="2">
        <v>1658.75</v>
      </c>
      <c r="E107" t="s">
        <v>2</v>
      </c>
      <c r="F107">
        <v>0</v>
      </c>
      <c r="G107" t="s">
        <v>3</v>
      </c>
      <c r="H107">
        <v>112</v>
      </c>
      <c r="I107" t="s">
        <v>4</v>
      </c>
    </row>
    <row r="108" spans="1:9" x14ac:dyDescent="0.25">
      <c r="A108" t="s">
        <v>0</v>
      </c>
      <c r="B108" s="2">
        <v>136943.45000000001</v>
      </c>
      <c r="C108" t="s">
        <v>1</v>
      </c>
      <c r="D108" s="2">
        <v>1658.75</v>
      </c>
      <c r="E108" t="s">
        <v>2</v>
      </c>
      <c r="F108">
        <v>0</v>
      </c>
      <c r="G108" t="s">
        <v>3</v>
      </c>
      <c r="H108">
        <v>149</v>
      </c>
      <c r="I108" t="s">
        <v>4</v>
      </c>
    </row>
    <row r="109" spans="1:9" x14ac:dyDescent="0.25">
      <c r="A109" t="s">
        <v>0</v>
      </c>
      <c r="B109" s="2">
        <v>136943.45000000001</v>
      </c>
      <c r="C109" t="s">
        <v>1</v>
      </c>
      <c r="D109" s="2">
        <v>1658.75</v>
      </c>
      <c r="E109" t="s">
        <v>2</v>
      </c>
      <c r="F109">
        <v>0</v>
      </c>
      <c r="G109" t="s">
        <v>3</v>
      </c>
      <c r="H109">
        <v>84</v>
      </c>
      <c r="I109" t="s">
        <v>4</v>
      </c>
    </row>
    <row r="110" spans="1:9" x14ac:dyDescent="0.25">
      <c r="A110" t="s">
        <v>0</v>
      </c>
      <c r="B110" s="2">
        <v>137349.74</v>
      </c>
      <c r="C110" t="s">
        <v>1</v>
      </c>
      <c r="D110" s="2">
        <v>1549.25</v>
      </c>
      <c r="E110" t="s">
        <v>2</v>
      </c>
      <c r="F110">
        <v>0</v>
      </c>
      <c r="G110" t="s">
        <v>3</v>
      </c>
      <c r="H110">
        <v>113</v>
      </c>
      <c r="I110" t="s">
        <v>4</v>
      </c>
    </row>
    <row r="111" spans="1:9" x14ac:dyDescent="0.25">
      <c r="A111" t="s">
        <v>0</v>
      </c>
      <c r="B111" s="2">
        <v>137349.74</v>
      </c>
      <c r="C111" t="s">
        <v>1</v>
      </c>
      <c r="D111" s="2">
        <v>1549.25</v>
      </c>
      <c r="E111" t="s">
        <v>2</v>
      </c>
      <c r="F111">
        <v>0</v>
      </c>
      <c r="G111" t="s">
        <v>3</v>
      </c>
      <c r="H111">
        <v>150</v>
      </c>
      <c r="I111" t="s">
        <v>4</v>
      </c>
    </row>
    <row r="112" spans="1:9" x14ac:dyDescent="0.25">
      <c r="A112" t="s">
        <v>0</v>
      </c>
      <c r="B112" s="2">
        <v>137349.74</v>
      </c>
      <c r="C112" t="s">
        <v>1</v>
      </c>
      <c r="D112" s="2">
        <v>1549.25</v>
      </c>
      <c r="E112" t="s">
        <v>2</v>
      </c>
      <c r="F112">
        <v>0</v>
      </c>
      <c r="G112" t="s">
        <v>3</v>
      </c>
      <c r="H112">
        <v>36</v>
      </c>
      <c r="I112" t="s">
        <v>4</v>
      </c>
    </row>
    <row r="113" spans="1:9" x14ac:dyDescent="0.25">
      <c r="A113" t="s">
        <v>0</v>
      </c>
      <c r="B113" s="2">
        <v>137349.74</v>
      </c>
      <c r="C113" t="s">
        <v>1</v>
      </c>
      <c r="D113" s="2">
        <v>1549.25</v>
      </c>
      <c r="E113" t="s">
        <v>2</v>
      </c>
      <c r="F113">
        <v>0</v>
      </c>
      <c r="G113" t="s">
        <v>3</v>
      </c>
      <c r="H113">
        <v>48</v>
      </c>
      <c r="I113" t="s">
        <v>4</v>
      </c>
    </row>
    <row r="114" spans="1:9" x14ac:dyDescent="0.25">
      <c r="A114" t="s">
        <v>0</v>
      </c>
      <c r="B114" s="2">
        <v>137349.74</v>
      </c>
      <c r="C114" t="s">
        <v>1</v>
      </c>
      <c r="D114" s="2">
        <v>1549.25</v>
      </c>
      <c r="E114" t="s">
        <v>2</v>
      </c>
      <c r="F114">
        <v>0</v>
      </c>
      <c r="G114" t="s">
        <v>3</v>
      </c>
      <c r="H114">
        <v>64</v>
      </c>
      <c r="I114" t="s">
        <v>4</v>
      </c>
    </row>
    <row r="115" spans="1:9" x14ac:dyDescent="0.25">
      <c r="A115" t="s">
        <v>0</v>
      </c>
      <c r="B115" s="2">
        <v>137349.74</v>
      </c>
      <c r="C115" t="s">
        <v>1</v>
      </c>
      <c r="D115" s="2">
        <v>1549.25</v>
      </c>
      <c r="E115" t="s">
        <v>2</v>
      </c>
      <c r="F115">
        <v>0</v>
      </c>
      <c r="G115" t="s">
        <v>3</v>
      </c>
      <c r="H115">
        <v>85</v>
      </c>
      <c r="I115" t="s">
        <v>4</v>
      </c>
    </row>
    <row r="116" spans="1:9" x14ac:dyDescent="0.25">
      <c r="A116" t="s">
        <v>0</v>
      </c>
      <c r="B116" s="2">
        <v>137359.18</v>
      </c>
      <c r="C116" t="s">
        <v>1</v>
      </c>
      <c r="D116" s="2">
        <v>1548.24</v>
      </c>
      <c r="E116" t="s">
        <v>2</v>
      </c>
      <c r="F116">
        <v>0</v>
      </c>
      <c r="G116" t="s">
        <v>3</v>
      </c>
      <c r="H116">
        <v>130</v>
      </c>
      <c r="I116" t="s">
        <v>4</v>
      </c>
    </row>
    <row r="117" spans="1:9" x14ac:dyDescent="0.25">
      <c r="A117" t="s">
        <v>0</v>
      </c>
      <c r="B117" s="2">
        <v>137359.18</v>
      </c>
      <c r="C117" t="s">
        <v>1</v>
      </c>
      <c r="D117" s="2">
        <v>1548.24</v>
      </c>
      <c r="E117" t="s">
        <v>2</v>
      </c>
      <c r="F117">
        <v>0</v>
      </c>
      <c r="G117" t="s">
        <v>3</v>
      </c>
      <c r="H117">
        <v>169</v>
      </c>
      <c r="I117" t="s">
        <v>4</v>
      </c>
    </row>
    <row r="118" spans="1:9" x14ac:dyDescent="0.25">
      <c r="A118" t="s">
        <v>0</v>
      </c>
      <c r="B118" s="2">
        <v>137359.18</v>
      </c>
      <c r="C118" t="s">
        <v>1</v>
      </c>
      <c r="D118" s="2">
        <v>1549.1</v>
      </c>
      <c r="E118" t="s">
        <v>2</v>
      </c>
      <c r="F118">
        <v>0</v>
      </c>
      <c r="G118" t="s">
        <v>3</v>
      </c>
      <c r="H118">
        <v>102</v>
      </c>
      <c r="I118" t="s">
        <v>4</v>
      </c>
    </row>
    <row r="119" spans="1:9" x14ac:dyDescent="0.25">
      <c r="A119" t="s">
        <v>0</v>
      </c>
      <c r="B119" s="2">
        <v>137359.18</v>
      </c>
      <c r="C119" t="s">
        <v>1</v>
      </c>
      <c r="D119" s="2">
        <v>1549.1</v>
      </c>
      <c r="E119" t="s">
        <v>2</v>
      </c>
      <c r="F119">
        <v>0</v>
      </c>
      <c r="G119" t="s">
        <v>3</v>
      </c>
      <c r="H119">
        <v>11</v>
      </c>
      <c r="I119" t="s">
        <v>4</v>
      </c>
    </row>
    <row r="120" spans="1:9" x14ac:dyDescent="0.25">
      <c r="A120" t="s">
        <v>0</v>
      </c>
      <c r="B120" s="2">
        <v>137359.18</v>
      </c>
      <c r="C120" t="s">
        <v>1</v>
      </c>
      <c r="D120" s="2">
        <v>1549.1</v>
      </c>
      <c r="E120" t="s">
        <v>2</v>
      </c>
      <c r="F120">
        <v>0</v>
      </c>
      <c r="G120" t="s">
        <v>3</v>
      </c>
      <c r="H120">
        <v>127</v>
      </c>
      <c r="I120" t="s">
        <v>4</v>
      </c>
    </row>
    <row r="121" spans="1:9" x14ac:dyDescent="0.25">
      <c r="A121" t="s">
        <v>0</v>
      </c>
      <c r="B121" s="2">
        <v>137359.18</v>
      </c>
      <c r="C121" t="s">
        <v>1</v>
      </c>
      <c r="D121" s="2">
        <v>1549.1</v>
      </c>
      <c r="E121" t="s">
        <v>2</v>
      </c>
      <c r="F121">
        <v>0</v>
      </c>
      <c r="G121" t="s">
        <v>3</v>
      </c>
      <c r="H121">
        <v>131</v>
      </c>
      <c r="I121" t="s">
        <v>4</v>
      </c>
    </row>
    <row r="122" spans="1:9" x14ac:dyDescent="0.25">
      <c r="A122" t="s">
        <v>0</v>
      </c>
      <c r="B122" s="2">
        <v>137359.18</v>
      </c>
      <c r="C122" t="s">
        <v>1</v>
      </c>
      <c r="D122" s="2">
        <v>1549.1</v>
      </c>
      <c r="E122" t="s">
        <v>2</v>
      </c>
      <c r="F122">
        <v>0</v>
      </c>
      <c r="G122" t="s">
        <v>3</v>
      </c>
      <c r="H122">
        <v>132</v>
      </c>
      <c r="I122" t="s">
        <v>4</v>
      </c>
    </row>
    <row r="123" spans="1:9" x14ac:dyDescent="0.25">
      <c r="A123" t="s">
        <v>0</v>
      </c>
      <c r="B123" s="2">
        <v>137359.18</v>
      </c>
      <c r="C123" t="s">
        <v>1</v>
      </c>
      <c r="D123" s="2">
        <v>1549.1</v>
      </c>
      <c r="E123" t="s">
        <v>2</v>
      </c>
      <c r="F123">
        <v>0</v>
      </c>
      <c r="G123" t="s">
        <v>3</v>
      </c>
      <c r="H123">
        <v>136</v>
      </c>
      <c r="I123" t="s">
        <v>4</v>
      </c>
    </row>
    <row r="124" spans="1:9" x14ac:dyDescent="0.25">
      <c r="A124" t="s">
        <v>0</v>
      </c>
      <c r="B124" s="2">
        <v>137359.18</v>
      </c>
      <c r="C124" t="s">
        <v>1</v>
      </c>
      <c r="D124" s="2">
        <v>1549.1</v>
      </c>
      <c r="E124" t="s">
        <v>2</v>
      </c>
      <c r="F124">
        <v>0</v>
      </c>
      <c r="G124" t="s">
        <v>3</v>
      </c>
      <c r="H124">
        <v>138</v>
      </c>
      <c r="I124" t="s">
        <v>4</v>
      </c>
    </row>
    <row r="125" spans="1:9" x14ac:dyDescent="0.25">
      <c r="A125" t="s">
        <v>0</v>
      </c>
      <c r="B125" s="2">
        <v>137359.18</v>
      </c>
      <c r="C125" t="s">
        <v>1</v>
      </c>
      <c r="D125" s="2">
        <v>1549.1</v>
      </c>
      <c r="E125" t="s">
        <v>2</v>
      </c>
      <c r="F125">
        <v>0</v>
      </c>
      <c r="G125" t="s">
        <v>3</v>
      </c>
      <c r="H125">
        <v>166</v>
      </c>
      <c r="I125" t="s">
        <v>4</v>
      </c>
    </row>
    <row r="126" spans="1:9" x14ac:dyDescent="0.25">
      <c r="A126" t="s">
        <v>0</v>
      </c>
      <c r="B126" s="2">
        <v>137359.18</v>
      </c>
      <c r="C126" t="s">
        <v>1</v>
      </c>
      <c r="D126" s="2">
        <v>1549.1</v>
      </c>
      <c r="E126" t="s">
        <v>2</v>
      </c>
      <c r="F126">
        <v>0</v>
      </c>
      <c r="G126" t="s">
        <v>3</v>
      </c>
      <c r="H126">
        <v>16</v>
      </c>
      <c r="I126" t="s">
        <v>4</v>
      </c>
    </row>
    <row r="127" spans="1:9" x14ac:dyDescent="0.25">
      <c r="A127" t="s">
        <v>0</v>
      </c>
      <c r="B127" s="2">
        <v>137359.18</v>
      </c>
      <c r="C127" t="s">
        <v>1</v>
      </c>
      <c r="D127" s="2">
        <v>1549.1</v>
      </c>
      <c r="E127" t="s">
        <v>2</v>
      </c>
      <c r="F127">
        <v>0</v>
      </c>
      <c r="G127" t="s">
        <v>3</v>
      </c>
      <c r="H127">
        <v>173</v>
      </c>
      <c r="I127" t="s">
        <v>4</v>
      </c>
    </row>
    <row r="128" spans="1:9" x14ac:dyDescent="0.25">
      <c r="A128" t="s">
        <v>0</v>
      </c>
      <c r="B128" s="2">
        <v>137359.18</v>
      </c>
      <c r="C128" t="s">
        <v>1</v>
      </c>
      <c r="D128" s="2">
        <v>1549.1</v>
      </c>
      <c r="E128" t="s">
        <v>2</v>
      </c>
      <c r="F128">
        <v>0</v>
      </c>
      <c r="G128" t="s">
        <v>3</v>
      </c>
      <c r="H128">
        <v>174</v>
      </c>
      <c r="I128" t="s">
        <v>4</v>
      </c>
    </row>
    <row r="129" spans="1:9" x14ac:dyDescent="0.25">
      <c r="A129" t="s">
        <v>0</v>
      </c>
      <c r="B129" s="2">
        <v>137359.18</v>
      </c>
      <c r="C129" t="s">
        <v>1</v>
      </c>
      <c r="D129" s="2">
        <v>1549.1</v>
      </c>
      <c r="E129" t="s">
        <v>2</v>
      </c>
      <c r="F129">
        <v>0</v>
      </c>
      <c r="G129" t="s">
        <v>3</v>
      </c>
      <c r="H129">
        <v>175</v>
      </c>
      <c r="I129" t="s">
        <v>4</v>
      </c>
    </row>
    <row r="130" spans="1:9" x14ac:dyDescent="0.25">
      <c r="A130" t="s">
        <v>0</v>
      </c>
      <c r="B130" s="2">
        <v>137359.18</v>
      </c>
      <c r="C130" t="s">
        <v>1</v>
      </c>
      <c r="D130" s="2">
        <v>1549.1</v>
      </c>
      <c r="E130" t="s">
        <v>2</v>
      </c>
      <c r="F130">
        <v>0</v>
      </c>
      <c r="G130" t="s">
        <v>3</v>
      </c>
      <c r="H130">
        <v>179</v>
      </c>
      <c r="I130" t="s">
        <v>4</v>
      </c>
    </row>
    <row r="131" spans="1:9" x14ac:dyDescent="0.25">
      <c r="A131" t="s">
        <v>0</v>
      </c>
      <c r="B131" s="2">
        <v>137359.18</v>
      </c>
      <c r="C131" t="s">
        <v>1</v>
      </c>
      <c r="D131" s="2">
        <v>1549.1</v>
      </c>
      <c r="E131" t="s">
        <v>2</v>
      </c>
      <c r="F131">
        <v>0</v>
      </c>
      <c r="G131" t="s">
        <v>3</v>
      </c>
      <c r="H131">
        <v>181</v>
      </c>
      <c r="I131" t="s">
        <v>4</v>
      </c>
    </row>
    <row r="132" spans="1:9" x14ac:dyDescent="0.25">
      <c r="A132" t="s">
        <v>0</v>
      </c>
      <c r="B132" s="2">
        <v>137359.18</v>
      </c>
      <c r="C132" t="s">
        <v>1</v>
      </c>
      <c r="D132" s="2">
        <v>1549.1</v>
      </c>
      <c r="E132" t="s">
        <v>2</v>
      </c>
      <c r="F132">
        <v>0</v>
      </c>
      <c r="G132" t="s">
        <v>3</v>
      </c>
      <c r="H132">
        <v>23</v>
      </c>
      <c r="I132" t="s">
        <v>4</v>
      </c>
    </row>
    <row r="133" spans="1:9" x14ac:dyDescent="0.25">
      <c r="A133" t="s">
        <v>0</v>
      </c>
      <c r="B133" s="2">
        <v>137359.18</v>
      </c>
      <c r="C133" t="s">
        <v>1</v>
      </c>
      <c r="D133" s="2">
        <v>1549.1</v>
      </c>
      <c r="E133" t="s">
        <v>2</v>
      </c>
      <c r="F133">
        <v>0</v>
      </c>
      <c r="G133" t="s">
        <v>3</v>
      </c>
      <c r="H133">
        <v>3</v>
      </c>
      <c r="I133" t="s">
        <v>4</v>
      </c>
    </row>
    <row r="134" spans="1:9" x14ac:dyDescent="0.25">
      <c r="A134" t="s">
        <v>0</v>
      </c>
      <c r="B134" s="2">
        <v>137359.18</v>
      </c>
      <c r="C134" t="s">
        <v>1</v>
      </c>
      <c r="D134" s="2">
        <v>1549.1</v>
      </c>
      <c r="E134" t="s">
        <v>2</v>
      </c>
      <c r="F134">
        <v>0</v>
      </c>
      <c r="G134" t="s">
        <v>3</v>
      </c>
      <c r="H134">
        <v>41</v>
      </c>
      <c r="I134" t="s">
        <v>4</v>
      </c>
    </row>
    <row r="135" spans="1:9" x14ac:dyDescent="0.25">
      <c r="A135" t="s">
        <v>0</v>
      </c>
      <c r="B135" s="2">
        <v>137359.18</v>
      </c>
      <c r="C135" t="s">
        <v>1</v>
      </c>
      <c r="D135" s="2">
        <v>1549.1</v>
      </c>
      <c r="E135" t="s">
        <v>2</v>
      </c>
      <c r="F135">
        <v>0</v>
      </c>
      <c r="G135" t="s">
        <v>3</v>
      </c>
      <c r="H135">
        <v>55</v>
      </c>
      <c r="I135" t="s">
        <v>4</v>
      </c>
    </row>
    <row r="136" spans="1:9" x14ac:dyDescent="0.25">
      <c r="A136" t="s">
        <v>0</v>
      </c>
      <c r="B136" s="2">
        <v>137359.18</v>
      </c>
      <c r="C136" t="s">
        <v>1</v>
      </c>
      <c r="D136" s="2">
        <v>1549.1</v>
      </c>
      <c r="E136" t="s">
        <v>2</v>
      </c>
      <c r="F136">
        <v>0</v>
      </c>
      <c r="G136" t="s">
        <v>3</v>
      </c>
      <c r="H136">
        <v>6</v>
      </c>
      <c r="I136" t="s">
        <v>4</v>
      </c>
    </row>
    <row r="137" spans="1:9" x14ac:dyDescent="0.25">
      <c r="A137" t="s">
        <v>0</v>
      </c>
      <c r="B137" s="2">
        <v>137359.18</v>
      </c>
      <c r="C137" t="s">
        <v>1</v>
      </c>
      <c r="D137" s="2">
        <v>1549.1</v>
      </c>
      <c r="E137" t="s">
        <v>2</v>
      </c>
      <c r="F137">
        <v>0</v>
      </c>
      <c r="G137" t="s">
        <v>3</v>
      </c>
      <c r="H137">
        <v>73</v>
      </c>
      <c r="I137" t="s">
        <v>4</v>
      </c>
    </row>
    <row r="138" spans="1:9" x14ac:dyDescent="0.25">
      <c r="A138" t="s">
        <v>0</v>
      </c>
      <c r="B138" s="2">
        <v>137359.18</v>
      </c>
      <c r="C138" t="s">
        <v>1</v>
      </c>
      <c r="D138" s="2">
        <v>1549.1</v>
      </c>
      <c r="E138" t="s">
        <v>2</v>
      </c>
      <c r="F138">
        <v>0</v>
      </c>
      <c r="G138" t="s">
        <v>3</v>
      </c>
      <c r="H138">
        <v>76</v>
      </c>
      <c r="I138" t="s">
        <v>4</v>
      </c>
    </row>
    <row r="139" spans="1:9" x14ac:dyDescent="0.25">
      <c r="A139" t="s">
        <v>0</v>
      </c>
      <c r="B139" s="2">
        <v>137359.18</v>
      </c>
      <c r="C139" t="s">
        <v>1</v>
      </c>
      <c r="D139" s="2">
        <v>1549.1</v>
      </c>
      <c r="E139" t="s">
        <v>2</v>
      </c>
      <c r="F139">
        <v>0</v>
      </c>
      <c r="G139" t="s">
        <v>3</v>
      </c>
      <c r="H139">
        <v>98</v>
      </c>
      <c r="I139" t="s">
        <v>4</v>
      </c>
    </row>
    <row r="140" spans="1:9" x14ac:dyDescent="0.25">
      <c r="A140" t="s">
        <v>0</v>
      </c>
      <c r="B140" s="2">
        <v>137359.19</v>
      </c>
      <c r="C140" t="s">
        <v>1</v>
      </c>
      <c r="D140" s="2">
        <v>1548.22</v>
      </c>
      <c r="E140" t="s">
        <v>2</v>
      </c>
      <c r="F140">
        <v>0</v>
      </c>
      <c r="G140" t="s">
        <v>3</v>
      </c>
      <c r="H140">
        <v>122</v>
      </c>
      <c r="I140" t="s">
        <v>4</v>
      </c>
    </row>
    <row r="141" spans="1:9" x14ac:dyDescent="0.25">
      <c r="A141" t="s">
        <v>0</v>
      </c>
      <c r="B141" s="2">
        <v>137359.19</v>
      </c>
      <c r="C141" t="s">
        <v>1</v>
      </c>
      <c r="D141" s="2">
        <v>1548.22</v>
      </c>
      <c r="E141" t="s">
        <v>2</v>
      </c>
      <c r="F141">
        <v>0</v>
      </c>
      <c r="G141" t="s">
        <v>3</v>
      </c>
      <c r="H141">
        <v>159</v>
      </c>
      <c r="I141" t="s">
        <v>4</v>
      </c>
    </row>
    <row r="142" spans="1:9" x14ac:dyDescent="0.25">
      <c r="A142" t="s">
        <v>0</v>
      </c>
      <c r="B142" s="2">
        <v>137359.19</v>
      </c>
      <c r="C142" t="s">
        <v>1</v>
      </c>
      <c r="D142" s="2">
        <v>1548.22</v>
      </c>
      <c r="E142" t="s">
        <v>2</v>
      </c>
      <c r="F142">
        <v>0</v>
      </c>
      <c r="G142" t="s">
        <v>3</v>
      </c>
      <c r="H142">
        <v>171</v>
      </c>
      <c r="I142" t="s">
        <v>4</v>
      </c>
    </row>
    <row r="143" spans="1:9" x14ac:dyDescent="0.25">
      <c r="A143" t="s">
        <v>0</v>
      </c>
      <c r="B143" s="2">
        <v>137359.19</v>
      </c>
      <c r="C143" t="s">
        <v>1</v>
      </c>
      <c r="D143" s="2">
        <v>1548.22</v>
      </c>
      <c r="E143" t="s">
        <v>2</v>
      </c>
      <c r="F143">
        <v>0</v>
      </c>
      <c r="G143" t="s">
        <v>3</v>
      </c>
      <c r="H143">
        <v>70</v>
      </c>
      <c r="I143" t="s">
        <v>4</v>
      </c>
    </row>
    <row r="144" spans="1:9" x14ac:dyDescent="0.25">
      <c r="A144" t="s">
        <v>0</v>
      </c>
      <c r="B144" s="2">
        <v>137359.19</v>
      </c>
      <c r="C144" t="s">
        <v>1</v>
      </c>
      <c r="D144" s="2">
        <v>1548.22</v>
      </c>
      <c r="E144" t="s">
        <v>2</v>
      </c>
      <c r="F144">
        <v>0</v>
      </c>
      <c r="G144" t="s">
        <v>3</v>
      </c>
      <c r="H144">
        <v>93</v>
      </c>
      <c r="I144" t="s">
        <v>4</v>
      </c>
    </row>
    <row r="145" spans="1:9" x14ac:dyDescent="0.25">
      <c r="A145" t="s">
        <v>0</v>
      </c>
      <c r="B145" s="2">
        <v>137399.07999999999</v>
      </c>
      <c r="C145" t="s">
        <v>1</v>
      </c>
      <c r="D145" s="2">
        <v>1430.9</v>
      </c>
      <c r="E145" t="s">
        <v>2</v>
      </c>
      <c r="F145">
        <v>0</v>
      </c>
      <c r="G145" t="s">
        <v>3</v>
      </c>
      <c r="H145">
        <v>118</v>
      </c>
      <c r="I145" t="s">
        <v>4</v>
      </c>
    </row>
    <row r="146" spans="1:9" x14ac:dyDescent="0.25">
      <c r="A146" t="s">
        <v>0</v>
      </c>
      <c r="B146" s="2">
        <v>137399.07999999999</v>
      </c>
      <c r="C146" t="s">
        <v>1</v>
      </c>
      <c r="D146" s="2">
        <v>1430.9</v>
      </c>
      <c r="E146" t="s">
        <v>2</v>
      </c>
      <c r="F146">
        <v>0</v>
      </c>
      <c r="G146" t="s">
        <v>3</v>
      </c>
      <c r="H146">
        <v>160</v>
      </c>
      <c r="I146" t="s">
        <v>4</v>
      </c>
    </row>
    <row r="147" spans="1:9" x14ac:dyDescent="0.25">
      <c r="A147" t="s">
        <v>0</v>
      </c>
      <c r="B147" s="2">
        <v>137399.07999999999</v>
      </c>
      <c r="C147" t="s">
        <v>1</v>
      </c>
      <c r="D147" s="2">
        <v>1430.9</v>
      </c>
      <c r="E147" t="s">
        <v>2</v>
      </c>
      <c r="F147">
        <v>0</v>
      </c>
      <c r="G147" t="s">
        <v>3</v>
      </c>
      <c r="H147">
        <v>165</v>
      </c>
      <c r="I147" t="s">
        <v>4</v>
      </c>
    </row>
    <row r="148" spans="1:9" x14ac:dyDescent="0.25">
      <c r="A148" t="s">
        <v>0</v>
      </c>
      <c r="B148" s="2">
        <v>137399.07999999999</v>
      </c>
      <c r="C148" t="s">
        <v>1</v>
      </c>
      <c r="D148" s="2">
        <v>1430.9</v>
      </c>
      <c r="E148" t="s">
        <v>2</v>
      </c>
      <c r="F148">
        <v>0</v>
      </c>
      <c r="G148" t="s">
        <v>3</v>
      </c>
      <c r="H148">
        <v>89</v>
      </c>
      <c r="I148" t="s">
        <v>4</v>
      </c>
    </row>
    <row r="149" spans="1:9" x14ac:dyDescent="0.25">
      <c r="A149" t="s">
        <v>0</v>
      </c>
      <c r="B149" s="2">
        <v>137415.1</v>
      </c>
      <c r="C149" t="s">
        <v>1</v>
      </c>
      <c r="D149" s="2">
        <v>1171.68</v>
      </c>
      <c r="E149" t="s">
        <v>2</v>
      </c>
      <c r="F149">
        <v>0</v>
      </c>
      <c r="G149" t="s">
        <v>3</v>
      </c>
      <c r="H149">
        <v>117</v>
      </c>
      <c r="I149" t="s">
        <v>4</v>
      </c>
    </row>
    <row r="150" spans="1:9" x14ac:dyDescent="0.25">
      <c r="A150" t="s">
        <v>0</v>
      </c>
      <c r="B150" s="2">
        <v>137415.1</v>
      </c>
      <c r="C150" t="s">
        <v>1</v>
      </c>
      <c r="D150" s="2">
        <v>1171.68</v>
      </c>
      <c r="E150" t="s">
        <v>2</v>
      </c>
      <c r="F150">
        <v>0</v>
      </c>
      <c r="G150" t="s">
        <v>3</v>
      </c>
      <c r="H150">
        <v>154</v>
      </c>
      <c r="I150" t="s">
        <v>4</v>
      </c>
    </row>
    <row r="151" spans="1:9" x14ac:dyDescent="0.25">
      <c r="A151" t="s">
        <v>0</v>
      </c>
      <c r="B151" s="2">
        <v>137415.1</v>
      </c>
      <c r="C151" t="s">
        <v>1</v>
      </c>
      <c r="D151" s="2">
        <v>1171.68</v>
      </c>
      <c r="E151" t="s">
        <v>2</v>
      </c>
      <c r="F151">
        <v>0</v>
      </c>
      <c r="G151" t="s">
        <v>3</v>
      </c>
      <c r="H151">
        <v>88</v>
      </c>
      <c r="I151" t="s">
        <v>4</v>
      </c>
    </row>
    <row r="152" spans="1:9" x14ac:dyDescent="0.25">
      <c r="A152" t="s">
        <v>0</v>
      </c>
      <c r="B152" s="2">
        <v>137473.31</v>
      </c>
      <c r="C152" t="s">
        <v>1</v>
      </c>
      <c r="D152" s="2">
        <v>1171.68</v>
      </c>
      <c r="E152" t="s">
        <v>2</v>
      </c>
      <c r="F152">
        <v>0</v>
      </c>
      <c r="G152" t="s">
        <v>3</v>
      </c>
      <c r="H152">
        <v>110</v>
      </c>
      <c r="I152" t="s">
        <v>4</v>
      </c>
    </row>
    <row r="153" spans="1:9" x14ac:dyDescent="0.25">
      <c r="A153" t="s">
        <v>0</v>
      </c>
      <c r="B153" s="2">
        <v>137473.31</v>
      </c>
      <c r="C153" t="s">
        <v>1</v>
      </c>
      <c r="D153" s="2">
        <v>1171.68</v>
      </c>
      <c r="E153" t="s">
        <v>2</v>
      </c>
      <c r="F153">
        <v>0</v>
      </c>
      <c r="G153" t="s">
        <v>3</v>
      </c>
      <c r="H153">
        <v>147</v>
      </c>
      <c r="I153" t="s">
        <v>4</v>
      </c>
    </row>
    <row r="154" spans="1:9" x14ac:dyDescent="0.25">
      <c r="A154" t="s">
        <v>0</v>
      </c>
      <c r="B154" s="2">
        <v>138476.74</v>
      </c>
      <c r="C154" t="s">
        <v>1</v>
      </c>
      <c r="D154" s="2">
        <v>1061.1500000000001</v>
      </c>
      <c r="E154" t="s">
        <v>2</v>
      </c>
      <c r="F154">
        <v>0</v>
      </c>
      <c r="G154" t="s">
        <v>3</v>
      </c>
      <c r="H154">
        <v>10</v>
      </c>
      <c r="I154" t="s">
        <v>4</v>
      </c>
    </row>
    <row r="155" spans="1:9" x14ac:dyDescent="0.25">
      <c r="A155" t="s">
        <v>0</v>
      </c>
      <c r="B155" s="2">
        <v>138476.74</v>
      </c>
      <c r="C155" t="s">
        <v>1</v>
      </c>
      <c r="D155" s="2">
        <v>1061.1500000000001</v>
      </c>
      <c r="E155" t="s">
        <v>2</v>
      </c>
      <c r="F155">
        <v>0</v>
      </c>
      <c r="G155" t="s">
        <v>3</v>
      </c>
      <c r="H155">
        <v>111</v>
      </c>
      <c r="I155" t="s">
        <v>4</v>
      </c>
    </row>
    <row r="156" spans="1:9" x14ac:dyDescent="0.25">
      <c r="A156" t="s">
        <v>0</v>
      </c>
      <c r="B156" s="2">
        <v>138476.74</v>
      </c>
      <c r="C156" t="s">
        <v>1</v>
      </c>
      <c r="D156" s="2">
        <v>1061.1500000000001</v>
      </c>
      <c r="E156" t="s">
        <v>2</v>
      </c>
      <c r="F156">
        <v>0</v>
      </c>
      <c r="G156" t="s">
        <v>3</v>
      </c>
      <c r="H156">
        <v>148</v>
      </c>
      <c r="I156" t="s">
        <v>4</v>
      </c>
    </row>
    <row r="157" spans="1:9" x14ac:dyDescent="0.25">
      <c r="A157" t="s">
        <v>0</v>
      </c>
      <c r="B157" s="2">
        <v>138476.74</v>
      </c>
      <c r="C157" t="s">
        <v>1</v>
      </c>
      <c r="D157" s="2">
        <v>1061.1500000000001</v>
      </c>
      <c r="E157" t="s">
        <v>2</v>
      </c>
      <c r="F157">
        <v>0</v>
      </c>
      <c r="G157" t="s">
        <v>3</v>
      </c>
      <c r="H157">
        <v>15</v>
      </c>
      <c r="I157" t="s">
        <v>4</v>
      </c>
    </row>
    <row r="158" spans="1:9" x14ac:dyDescent="0.25">
      <c r="A158" t="s">
        <v>0</v>
      </c>
      <c r="B158" s="2">
        <v>138476.74</v>
      </c>
      <c r="C158" t="s">
        <v>1</v>
      </c>
      <c r="D158" s="2">
        <v>1061.1500000000001</v>
      </c>
      <c r="E158" t="s">
        <v>2</v>
      </c>
      <c r="F158">
        <v>0</v>
      </c>
      <c r="G158" t="s">
        <v>3</v>
      </c>
      <c r="H158">
        <v>22</v>
      </c>
      <c r="I158" t="s">
        <v>4</v>
      </c>
    </row>
    <row r="159" spans="1:9" x14ac:dyDescent="0.25">
      <c r="A159" t="s">
        <v>0</v>
      </c>
      <c r="B159" s="2">
        <v>138476.74</v>
      </c>
      <c r="C159" t="s">
        <v>1</v>
      </c>
      <c r="D159" s="2">
        <v>1061.1500000000001</v>
      </c>
      <c r="E159" t="s">
        <v>2</v>
      </c>
      <c r="F159">
        <v>0</v>
      </c>
      <c r="G159" t="s">
        <v>3</v>
      </c>
      <c r="H159">
        <v>34</v>
      </c>
      <c r="I159" t="s">
        <v>4</v>
      </c>
    </row>
    <row r="160" spans="1:9" x14ac:dyDescent="0.25">
      <c r="A160" t="s">
        <v>0</v>
      </c>
      <c r="B160" s="2">
        <v>138476.74</v>
      </c>
      <c r="C160" t="s">
        <v>1</v>
      </c>
      <c r="D160" s="2">
        <v>1061.1500000000001</v>
      </c>
      <c r="E160" t="s">
        <v>2</v>
      </c>
      <c r="F160">
        <v>0</v>
      </c>
      <c r="G160" t="s">
        <v>3</v>
      </c>
      <c r="H160">
        <v>47</v>
      </c>
      <c r="I160" t="s">
        <v>4</v>
      </c>
    </row>
    <row r="161" spans="1:9" x14ac:dyDescent="0.25">
      <c r="A161" t="s">
        <v>0</v>
      </c>
      <c r="B161" s="2">
        <v>138476.74</v>
      </c>
      <c r="C161" t="s">
        <v>1</v>
      </c>
      <c r="D161" s="2">
        <v>1061.1500000000001</v>
      </c>
      <c r="E161" t="s">
        <v>2</v>
      </c>
      <c r="F161">
        <v>0</v>
      </c>
      <c r="G161" t="s">
        <v>3</v>
      </c>
      <c r="H161">
        <v>63</v>
      </c>
      <c r="I161" t="s">
        <v>4</v>
      </c>
    </row>
    <row r="162" spans="1:9" x14ac:dyDescent="0.25">
      <c r="A162" t="s">
        <v>0</v>
      </c>
      <c r="B162" s="2">
        <v>138476.74</v>
      </c>
      <c r="C162" t="s">
        <v>1</v>
      </c>
      <c r="D162" s="2">
        <v>1061.1500000000001</v>
      </c>
      <c r="E162" t="s">
        <v>2</v>
      </c>
      <c r="F162">
        <v>0</v>
      </c>
      <c r="G162" t="s">
        <v>3</v>
      </c>
      <c r="H162">
        <v>83</v>
      </c>
      <c r="I162" t="s">
        <v>4</v>
      </c>
    </row>
    <row r="163" spans="1:9" x14ac:dyDescent="0.25">
      <c r="A163" t="s">
        <v>0</v>
      </c>
      <c r="B163" s="2">
        <v>138516.64000000001</v>
      </c>
      <c r="C163" t="s">
        <v>1</v>
      </c>
      <c r="D163" s="2">
        <v>944.37</v>
      </c>
      <c r="E163" t="s">
        <v>2</v>
      </c>
      <c r="F163">
        <v>0</v>
      </c>
      <c r="G163" t="s">
        <v>3</v>
      </c>
      <c r="H163">
        <v>115</v>
      </c>
      <c r="I163" t="s">
        <v>4</v>
      </c>
    </row>
    <row r="164" spans="1:9" x14ac:dyDescent="0.25">
      <c r="A164" t="s">
        <v>0</v>
      </c>
      <c r="B164" s="2">
        <v>138516.64000000001</v>
      </c>
      <c r="C164" t="s">
        <v>1</v>
      </c>
      <c r="D164" s="2">
        <v>944.37</v>
      </c>
      <c r="E164" t="s">
        <v>2</v>
      </c>
      <c r="F164">
        <v>0</v>
      </c>
      <c r="G164" t="s">
        <v>3</v>
      </c>
      <c r="H164">
        <v>134</v>
      </c>
      <c r="I164" t="s">
        <v>4</v>
      </c>
    </row>
    <row r="165" spans="1:9" x14ac:dyDescent="0.25">
      <c r="A165" t="s">
        <v>0</v>
      </c>
      <c r="B165" s="2">
        <v>138516.64000000001</v>
      </c>
      <c r="C165" t="s">
        <v>1</v>
      </c>
      <c r="D165" s="2">
        <v>944.37</v>
      </c>
      <c r="E165" t="s">
        <v>2</v>
      </c>
      <c r="F165">
        <v>0</v>
      </c>
      <c r="G165" t="s">
        <v>3</v>
      </c>
      <c r="H165">
        <v>152</v>
      </c>
      <c r="I165" t="s">
        <v>4</v>
      </c>
    </row>
    <row r="166" spans="1:9" x14ac:dyDescent="0.25">
      <c r="A166" t="s">
        <v>0</v>
      </c>
      <c r="B166" s="2">
        <v>138516.64000000001</v>
      </c>
      <c r="C166" t="s">
        <v>1</v>
      </c>
      <c r="D166" s="2">
        <v>944.37</v>
      </c>
      <c r="E166" t="s">
        <v>2</v>
      </c>
      <c r="F166">
        <v>0</v>
      </c>
      <c r="G166" t="s">
        <v>3</v>
      </c>
      <c r="H166">
        <v>177</v>
      </c>
      <c r="I166" t="s">
        <v>4</v>
      </c>
    </row>
    <row r="167" spans="1:9" x14ac:dyDescent="0.25">
      <c r="A167" t="s">
        <v>0</v>
      </c>
      <c r="B167" s="2">
        <v>138516.64000000001</v>
      </c>
      <c r="C167" t="s">
        <v>1</v>
      </c>
      <c r="D167" s="2">
        <v>944.37</v>
      </c>
      <c r="E167" t="s">
        <v>2</v>
      </c>
      <c r="F167">
        <v>0</v>
      </c>
      <c r="G167" t="s">
        <v>3</v>
      </c>
      <c r="H167">
        <v>66</v>
      </c>
      <c r="I167" t="s">
        <v>4</v>
      </c>
    </row>
    <row r="168" spans="1:9" x14ac:dyDescent="0.25">
      <c r="A168" t="s">
        <v>0</v>
      </c>
      <c r="B168" s="2">
        <v>138516.64000000001</v>
      </c>
      <c r="C168" t="s">
        <v>1</v>
      </c>
      <c r="D168" s="2">
        <v>944.37</v>
      </c>
      <c r="E168" t="s">
        <v>2</v>
      </c>
      <c r="F168">
        <v>0</v>
      </c>
      <c r="G168" t="s">
        <v>3</v>
      </c>
      <c r="H168">
        <v>87</v>
      </c>
      <c r="I168" t="s">
        <v>4</v>
      </c>
    </row>
    <row r="169" spans="1:9" x14ac:dyDescent="0.25">
      <c r="A169" t="s">
        <v>0</v>
      </c>
      <c r="B169" s="2">
        <v>138550.97</v>
      </c>
      <c r="C169" t="s">
        <v>1</v>
      </c>
      <c r="D169" s="2">
        <v>684.61</v>
      </c>
      <c r="E169" t="s">
        <v>2</v>
      </c>
      <c r="F169">
        <v>0</v>
      </c>
      <c r="G169" t="s">
        <v>3</v>
      </c>
      <c r="H169">
        <v>101</v>
      </c>
      <c r="I169" t="s">
        <v>4</v>
      </c>
    </row>
    <row r="170" spans="1:9" x14ac:dyDescent="0.25">
      <c r="A170" t="s">
        <v>0</v>
      </c>
      <c r="B170" s="2">
        <v>138550.97</v>
      </c>
      <c r="C170" t="s">
        <v>1</v>
      </c>
      <c r="D170" s="2">
        <v>684.61</v>
      </c>
      <c r="E170" t="s">
        <v>2</v>
      </c>
      <c r="F170">
        <v>0</v>
      </c>
      <c r="G170" t="s">
        <v>3</v>
      </c>
      <c r="H170">
        <v>108</v>
      </c>
      <c r="I170" t="s">
        <v>4</v>
      </c>
    </row>
    <row r="171" spans="1:9" x14ac:dyDescent="0.25">
      <c r="A171" t="s">
        <v>0</v>
      </c>
      <c r="B171" s="2">
        <v>138550.97</v>
      </c>
      <c r="C171" t="s">
        <v>1</v>
      </c>
      <c r="D171" s="2">
        <v>684.61</v>
      </c>
      <c r="E171" t="s">
        <v>2</v>
      </c>
      <c r="F171">
        <v>0</v>
      </c>
      <c r="G171" t="s">
        <v>3</v>
      </c>
      <c r="H171">
        <v>123</v>
      </c>
      <c r="I171" t="s">
        <v>4</v>
      </c>
    </row>
    <row r="172" spans="1:9" x14ac:dyDescent="0.25">
      <c r="A172" t="s">
        <v>0</v>
      </c>
      <c r="B172" s="2">
        <v>138550.97</v>
      </c>
      <c r="C172" t="s">
        <v>1</v>
      </c>
      <c r="D172" s="2">
        <v>684.61</v>
      </c>
      <c r="E172" t="s">
        <v>2</v>
      </c>
      <c r="F172">
        <v>0</v>
      </c>
      <c r="G172" t="s">
        <v>3</v>
      </c>
      <c r="H172">
        <v>137</v>
      </c>
      <c r="I172" t="s">
        <v>4</v>
      </c>
    </row>
    <row r="173" spans="1:9" x14ac:dyDescent="0.25">
      <c r="A173" t="s">
        <v>0</v>
      </c>
      <c r="B173" s="2">
        <v>138550.97</v>
      </c>
      <c r="C173" t="s">
        <v>1</v>
      </c>
      <c r="D173" s="2">
        <v>684.61</v>
      </c>
      <c r="E173" t="s">
        <v>2</v>
      </c>
      <c r="F173">
        <v>0</v>
      </c>
      <c r="G173" t="s">
        <v>3</v>
      </c>
      <c r="H173">
        <v>144</v>
      </c>
      <c r="I173" t="s">
        <v>4</v>
      </c>
    </row>
    <row r="174" spans="1:9" x14ac:dyDescent="0.25">
      <c r="A174" t="s">
        <v>0</v>
      </c>
      <c r="B174" s="2">
        <v>138550.97</v>
      </c>
      <c r="C174" t="s">
        <v>1</v>
      </c>
      <c r="D174" s="2">
        <v>684.61</v>
      </c>
      <c r="E174" t="s">
        <v>2</v>
      </c>
      <c r="F174">
        <v>0</v>
      </c>
      <c r="G174" t="s">
        <v>3</v>
      </c>
      <c r="H174">
        <v>14</v>
      </c>
      <c r="I174" t="s">
        <v>4</v>
      </c>
    </row>
    <row r="175" spans="1:9" x14ac:dyDescent="0.25">
      <c r="A175" t="s">
        <v>0</v>
      </c>
      <c r="B175" s="2">
        <v>138550.97</v>
      </c>
      <c r="C175" t="s">
        <v>1</v>
      </c>
      <c r="D175" s="2">
        <v>684.61</v>
      </c>
      <c r="E175" t="s">
        <v>2</v>
      </c>
      <c r="F175">
        <v>0</v>
      </c>
      <c r="G175" t="s">
        <v>3</v>
      </c>
      <c r="H175">
        <v>161</v>
      </c>
      <c r="I175" t="s">
        <v>4</v>
      </c>
    </row>
    <row r="176" spans="1:9" x14ac:dyDescent="0.25">
      <c r="A176" t="s">
        <v>0</v>
      </c>
      <c r="B176" s="2">
        <v>138550.97</v>
      </c>
      <c r="C176" t="s">
        <v>1</v>
      </c>
      <c r="D176" s="2">
        <v>684.61</v>
      </c>
      <c r="E176" t="s">
        <v>2</v>
      </c>
      <c r="F176">
        <v>0</v>
      </c>
      <c r="G176" t="s">
        <v>3</v>
      </c>
      <c r="H176">
        <v>180</v>
      </c>
      <c r="I176" t="s">
        <v>4</v>
      </c>
    </row>
    <row r="177" spans="1:9" x14ac:dyDescent="0.25">
      <c r="A177" t="s">
        <v>0</v>
      </c>
      <c r="B177" s="2">
        <v>138550.97</v>
      </c>
      <c r="C177" t="s">
        <v>1</v>
      </c>
      <c r="D177" s="2">
        <v>684.61</v>
      </c>
      <c r="E177" t="s">
        <v>2</v>
      </c>
      <c r="F177">
        <v>0</v>
      </c>
      <c r="G177" t="s">
        <v>3</v>
      </c>
      <c r="H177">
        <v>21</v>
      </c>
      <c r="I177" t="s">
        <v>4</v>
      </c>
    </row>
    <row r="178" spans="1:9" x14ac:dyDescent="0.25">
      <c r="A178" t="s">
        <v>0</v>
      </c>
      <c r="B178" s="2">
        <v>138550.97</v>
      </c>
      <c r="C178" t="s">
        <v>1</v>
      </c>
      <c r="D178" s="2">
        <v>684.61</v>
      </c>
      <c r="E178" t="s">
        <v>2</v>
      </c>
      <c r="F178">
        <v>0</v>
      </c>
      <c r="G178" t="s">
        <v>3</v>
      </c>
      <c r="H178">
        <v>24</v>
      </c>
      <c r="I178" t="s">
        <v>4</v>
      </c>
    </row>
    <row r="179" spans="1:9" x14ac:dyDescent="0.25">
      <c r="A179" t="s">
        <v>0</v>
      </c>
      <c r="B179" s="2">
        <v>138550.97</v>
      </c>
      <c r="C179" t="s">
        <v>1</v>
      </c>
      <c r="D179" s="2">
        <v>684.61</v>
      </c>
      <c r="E179" t="s">
        <v>2</v>
      </c>
      <c r="F179">
        <v>0</v>
      </c>
      <c r="G179" t="s">
        <v>3</v>
      </c>
      <c r="H179">
        <v>33</v>
      </c>
      <c r="I179" t="s">
        <v>4</v>
      </c>
    </row>
    <row r="180" spans="1:9" x14ac:dyDescent="0.25">
      <c r="A180" t="s">
        <v>0</v>
      </c>
      <c r="B180" s="2">
        <v>138550.97</v>
      </c>
      <c r="C180" t="s">
        <v>1</v>
      </c>
      <c r="D180" s="2">
        <v>684.61</v>
      </c>
      <c r="E180" t="s">
        <v>2</v>
      </c>
      <c r="F180">
        <v>0</v>
      </c>
      <c r="G180" t="s">
        <v>3</v>
      </c>
      <c r="H180">
        <v>37</v>
      </c>
      <c r="I180" t="s">
        <v>4</v>
      </c>
    </row>
    <row r="181" spans="1:9" x14ac:dyDescent="0.25">
      <c r="A181" t="s">
        <v>0</v>
      </c>
      <c r="B181" s="2">
        <v>138550.97</v>
      </c>
      <c r="C181" t="s">
        <v>1</v>
      </c>
      <c r="D181" s="2">
        <v>684.61</v>
      </c>
      <c r="E181" t="s">
        <v>2</v>
      </c>
      <c r="F181">
        <v>0</v>
      </c>
      <c r="G181" t="s">
        <v>3</v>
      </c>
      <c r="H181">
        <v>45</v>
      </c>
      <c r="I181" t="s">
        <v>4</v>
      </c>
    </row>
    <row r="182" spans="1:9" x14ac:dyDescent="0.25">
      <c r="A182" t="s">
        <v>0</v>
      </c>
      <c r="B182" s="2">
        <v>138550.97</v>
      </c>
      <c r="C182" t="s">
        <v>1</v>
      </c>
      <c r="D182" s="2">
        <v>684.61</v>
      </c>
      <c r="E182" t="s">
        <v>2</v>
      </c>
      <c r="F182">
        <v>0</v>
      </c>
      <c r="G182" t="s">
        <v>3</v>
      </c>
      <c r="H182">
        <v>50</v>
      </c>
      <c r="I182" t="s">
        <v>4</v>
      </c>
    </row>
    <row r="183" spans="1:9" x14ac:dyDescent="0.25">
      <c r="A183" t="s">
        <v>0</v>
      </c>
      <c r="B183" s="2">
        <v>138550.97</v>
      </c>
      <c r="C183" t="s">
        <v>1</v>
      </c>
      <c r="D183" s="2">
        <v>684.61</v>
      </c>
      <c r="E183" t="s">
        <v>2</v>
      </c>
      <c r="F183">
        <v>0</v>
      </c>
      <c r="G183" t="s">
        <v>3</v>
      </c>
      <c r="H183">
        <v>61</v>
      </c>
      <c r="I183" t="s">
        <v>4</v>
      </c>
    </row>
    <row r="184" spans="1:9" x14ac:dyDescent="0.25">
      <c r="A184" t="s">
        <v>0</v>
      </c>
      <c r="B184" s="2">
        <v>138550.97</v>
      </c>
      <c r="C184" t="s">
        <v>1</v>
      </c>
      <c r="D184" s="2">
        <v>684.61</v>
      </c>
      <c r="E184" t="s">
        <v>2</v>
      </c>
      <c r="F184">
        <v>0</v>
      </c>
      <c r="G184" t="s">
        <v>3</v>
      </c>
      <c r="H184">
        <v>69</v>
      </c>
      <c r="I184" t="s">
        <v>4</v>
      </c>
    </row>
    <row r="185" spans="1:9" x14ac:dyDescent="0.25">
      <c r="A185" t="s">
        <v>0</v>
      </c>
      <c r="B185" s="2">
        <v>138550.97</v>
      </c>
      <c r="C185" t="s">
        <v>1</v>
      </c>
      <c r="D185" s="2">
        <v>684.61</v>
      </c>
      <c r="E185" t="s">
        <v>2</v>
      </c>
      <c r="F185">
        <v>0</v>
      </c>
      <c r="G185" t="s">
        <v>3</v>
      </c>
      <c r="H185">
        <v>75</v>
      </c>
      <c r="I185" t="s">
        <v>4</v>
      </c>
    </row>
    <row r="186" spans="1:9" x14ac:dyDescent="0.25">
      <c r="A186" t="s">
        <v>0</v>
      </c>
      <c r="B186" s="2">
        <v>138550.97</v>
      </c>
      <c r="C186" t="s">
        <v>1</v>
      </c>
      <c r="D186" s="2">
        <v>684.61</v>
      </c>
      <c r="E186" t="s">
        <v>2</v>
      </c>
      <c r="F186">
        <v>0</v>
      </c>
      <c r="G186" t="s">
        <v>3</v>
      </c>
      <c r="H186">
        <v>82</v>
      </c>
      <c r="I186" t="s">
        <v>4</v>
      </c>
    </row>
    <row r="187" spans="1:9" x14ac:dyDescent="0.25">
      <c r="A187" t="s">
        <v>0</v>
      </c>
      <c r="B187" s="2">
        <v>138550.97</v>
      </c>
      <c r="C187" t="s">
        <v>1</v>
      </c>
      <c r="D187" s="2">
        <v>684.61</v>
      </c>
      <c r="E187" t="s">
        <v>2</v>
      </c>
      <c r="F187">
        <v>0</v>
      </c>
      <c r="G187" t="s">
        <v>3</v>
      </c>
      <c r="H187">
        <v>94</v>
      </c>
      <c r="I187" t="s">
        <v>4</v>
      </c>
    </row>
    <row r="188" spans="1:9" x14ac:dyDescent="0.25">
      <c r="A188" t="s">
        <v>0</v>
      </c>
      <c r="B188" s="2">
        <v>138550.97</v>
      </c>
      <c r="C188" t="s">
        <v>1</v>
      </c>
      <c r="D188" s="2">
        <v>684.61</v>
      </c>
      <c r="E188" t="s">
        <v>2</v>
      </c>
      <c r="F188">
        <v>0</v>
      </c>
      <c r="G188" t="s">
        <v>3</v>
      </c>
      <c r="H188">
        <v>9</v>
      </c>
      <c r="I188" t="s">
        <v>4</v>
      </c>
    </row>
    <row r="189" spans="1:9" x14ac:dyDescent="0.25">
      <c r="A189" t="s">
        <v>5</v>
      </c>
      <c r="B189" t="s">
        <v>6</v>
      </c>
      <c r="C189" t="s">
        <v>7</v>
      </c>
    </row>
  </sheetData>
  <mergeCells count="1">
    <mergeCell ref="A1:I1"/>
  </mergeCells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80A0-5451-4D29-A0B0-E6CB5859972C}">
  <dimension ref="A1:G281"/>
  <sheetViews>
    <sheetView workbookViewId="0">
      <selection activeCell="E283" sqref="E283"/>
    </sheetView>
  </sheetViews>
  <sheetFormatPr defaultRowHeight="15" x14ac:dyDescent="0.25"/>
  <cols>
    <col min="1" max="1" width="11" customWidth="1"/>
    <col min="2" max="2" width="13.140625" customWidth="1"/>
    <col min="3" max="3" width="19.42578125" customWidth="1"/>
    <col min="5" max="5" width="17.42578125" customWidth="1"/>
  </cols>
  <sheetData>
    <row r="1" spans="1:7" x14ac:dyDescent="0.25">
      <c r="A1" t="s">
        <v>11</v>
      </c>
      <c r="B1" s="3" t="s">
        <v>280</v>
      </c>
      <c r="C1" s="3" t="s">
        <v>281</v>
      </c>
      <c r="D1" s="3" t="s">
        <v>18</v>
      </c>
      <c r="E1" s="10" t="s">
        <v>367</v>
      </c>
      <c r="F1" s="10" t="s">
        <v>368</v>
      </c>
      <c r="G1" s="10" t="s">
        <v>369</v>
      </c>
    </row>
    <row r="2" spans="1:7" hidden="1" x14ac:dyDescent="0.25">
      <c r="A2" s="1">
        <v>0</v>
      </c>
      <c r="B2" t="s">
        <v>282</v>
      </c>
      <c r="C2">
        <v>200</v>
      </c>
      <c r="D2">
        <v>22.525019</v>
      </c>
      <c r="E2">
        <f>MATCH(Table2[[#This Row],[Pipe_name]],'2043 pipes'!B:B,0)</f>
        <v>2</v>
      </c>
      <c r="F2">
        <f>VLOOKUP(Table2[[#This Row],[Original_Diameter]],[1]Pipes!$A:$B,2,FALSE)</f>
        <v>546.15625651305356</v>
      </c>
      <c r="G2">
        <f>Table2[[#This Row],[unit cost]]*Table2[[#This Row],[Length]]</f>
        <v>12302.180054925406</v>
      </c>
    </row>
    <row r="3" spans="1:7" hidden="1" x14ac:dyDescent="0.25">
      <c r="A3" s="1">
        <v>1</v>
      </c>
      <c r="B3" t="s">
        <v>19</v>
      </c>
      <c r="C3">
        <v>96</v>
      </c>
      <c r="D3">
        <v>45.686810000000001</v>
      </c>
      <c r="E3">
        <f>MATCH(Table2[[#This Row],[Pipe_name]],'2043 pipes'!B:B,0)</f>
        <v>3</v>
      </c>
      <c r="F3">
        <f>VLOOKUP(Table2[[#This Row],[Original_Diameter]],[1]Pipes!$A:$B,2,FALSE)</f>
        <v>362.58707029616613</v>
      </c>
      <c r="G3">
        <f>Table2[[#This Row],[unit cost]]*Table2[[#This Row],[Length]]</f>
        <v>16565.446589077586</v>
      </c>
    </row>
    <row r="4" spans="1:7" hidden="1" x14ac:dyDescent="0.25">
      <c r="A4" s="1">
        <v>2</v>
      </c>
      <c r="B4" t="s">
        <v>20</v>
      </c>
      <c r="C4">
        <v>96</v>
      </c>
      <c r="D4">
        <v>4.3570209999999996</v>
      </c>
      <c r="E4">
        <f>MATCH(Table2[[#This Row],[Pipe_name]],'2043 pipes'!B:B,0)</f>
        <v>4</v>
      </c>
      <c r="F4">
        <f>VLOOKUP(Table2[[#This Row],[Original_Diameter]],[1]Pipes!$A:$B,2,FALSE)</f>
        <v>362.58707029616613</v>
      </c>
      <c r="G4">
        <f>Table2[[#This Row],[unit cost]]*Table2[[#This Row],[Length]]</f>
        <v>1579.7994796088719</v>
      </c>
    </row>
    <row r="5" spans="1:7" hidden="1" x14ac:dyDescent="0.25">
      <c r="A5" s="1">
        <v>3</v>
      </c>
      <c r="B5" t="s">
        <v>21</v>
      </c>
      <c r="C5">
        <v>96</v>
      </c>
      <c r="D5">
        <v>136.42901599999999</v>
      </c>
      <c r="E5">
        <f>MATCH(Table2[[#This Row],[Pipe_name]],'2043 pipes'!B:B,0)</f>
        <v>5</v>
      </c>
      <c r="F5">
        <f>VLOOKUP(Table2[[#This Row],[Original_Diameter]],[1]Pipes!$A:$B,2,FALSE)</f>
        <v>362.58707029616613</v>
      </c>
      <c r="G5">
        <f>Table2[[#This Row],[unit cost]]*Table2[[#This Row],[Length]]</f>
        <v>49467.397214828772</v>
      </c>
    </row>
    <row r="6" spans="1:7" hidden="1" x14ac:dyDescent="0.25">
      <c r="A6" s="1">
        <v>4</v>
      </c>
      <c r="B6" t="s">
        <v>22</v>
      </c>
      <c r="C6">
        <v>96</v>
      </c>
      <c r="D6">
        <v>62.614094000000001</v>
      </c>
      <c r="E6">
        <f>MATCH(Table2[[#This Row],[Pipe_name]],'2043 pipes'!B:B,0)</f>
        <v>6</v>
      </c>
      <c r="F6">
        <f>VLOOKUP(Table2[[#This Row],[Original_Diameter]],[1]Pipes!$A:$B,2,FALSE)</f>
        <v>362.58707029616613</v>
      </c>
      <c r="G6">
        <f>Table2[[#This Row],[unit cost]]*Table2[[#This Row],[Length]]</f>
        <v>22703.060902708756</v>
      </c>
    </row>
    <row r="7" spans="1:7" hidden="1" x14ac:dyDescent="0.25">
      <c r="A7" s="1">
        <v>5</v>
      </c>
      <c r="B7" t="s">
        <v>23</v>
      </c>
      <c r="C7">
        <v>96</v>
      </c>
      <c r="D7">
        <v>2.5171839999999999</v>
      </c>
      <c r="E7">
        <f>MATCH(Table2[[#This Row],[Pipe_name]],'2043 pipes'!B:B,0)</f>
        <v>7</v>
      </c>
      <c r="F7">
        <f>VLOOKUP(Table2[[#This Row],[Original_Diameter]],[1]Pipes!$A:$B,2,FALSE)</f>
        <v>362.58707029616613</v>
      </c>
      <c r="G7">
        <f>Table2[[#This Row],[unit cost]]*Table2[[#This Row],[Length]]</f>
        <v>912.69837195638456</v>
      </c>
    </row>
    <row r="8" spans="1:7" hidden="1" x14ac:dyDescent="0.25">
      <c r="A8" s="1">
        <v>6</v>
      </c>
      <c r="B8" t="s">
        <v>24</v>
      </c>
      <c r="C8">
        <v>96</v>
      </c>
      <c r="D8">
        <v>225.24456799999999</v>
      </c>
      <c r="E8">
        <f>MATCH(Table2[[#This Row],[Pipe_name]],'2043 pipes'!B:B,0)</f>
        <v>8</v>
      </c>
      <c r="F8">
        <f>VLOOKUP(Table2[[#This Row],[Original_Diameter]],[1]Pipes!$A:$B,2,FALSE)</f>
        <v>362.58707029616613</v>
      </c>
      <c r="G8">
        <f>Table2[[#This Row],[unit cost]]*Table2[[#This Row],[Length]]</f>
        <v>81670.768011245571</v>
      </c>
    </row>
    <row r="9" spans="1:7" hidden="1" x14ac:dyDescent="0.25">
      <c r="A9" s="1">
        <v>7</v>
      </c>
      <c r="B9" t="s">
        <v>25</v>
      </c>
      <c r="C9">
        <v>96</v>
      </c>
      <c r="D9">
        <v>19.968046000000001</v>
      </c>
      <c r="E9">
        <f>MATCH(Table2[[#This Row],[Pipe_name]],'2043 pipes'!B:B,0)</f>
        <v>9</v>
      </c>
      <c r="F9">
        <f>VLOOKUP(Table2[[#This Row],[Original_Diameter]],[1]Pipes!$A:$B,2,FALSE)</f>
        <v>362.58707029616613</v>
      </c>
      <c r="G9">
        <f>Table2[[#This Row],[unit cost]]*Table2[[#This Row],[Length]]</f>
        <v>7240.1552986790794</v>
      </c>
    </row>
    <row r="10" spans="1:7" hidden="1" x14ac:dyDescent="0.25">
      <c r="A10" s="1">
        <v>8</v>
      </c>
      <c r="B10" t="s">
        <v>26</v>
      </c>
      <c r="C10">
        <v>96</v>
      </c>
      <c r="D10">
        <v>85.971267999999995</v>
      </c>
      <c r="E10">
        <f>MATCH(Table2[[#This Row],[Pipe_name]],'2043 pipes'!B:B,0)</f>
        <v>10</v>
      </c>
      <c r="F10">
        <f>VLOOKUP(Table2[[#This Row],[Original_Diameter]],[1]Pipes!$A:$B,2,FALSE)</f>
        <v>362.58707029616613</v>
      </c>
      <c r="G10">
        <f>Table2[[#This Row],[unit cost]]*Table2[[#This Row],[Length]]</f>
        <v>31172.070193766536</v>
      </c>
    </row>
    <row r="11" spans="1:7" hidden="1" x14ac:dyDescent="0.25">
      <c r="A11" s="1">
        <v>9</v>
      </c>
      <c r="B11" t="s">
        <v>27</v>
      </c>
      <c r="C11">
        <v>96</v>
      </c>
      <c r="D11">
        <v>7.735258</v>
      </c>
      <c r="E11">
        <f>MATCH(Table2[[#This Row],[Pipe_name]],'2043 pipes'!B:B,0)</f>
        <v>11</v>
      </c>
      <c r="F11">
        <f>VLOOKUP(Table2[[#This Row],[Original_Diameter]],[1]Pipes!$A:$B,2,FALSE)</f>
        <v>362.58707029616613</v>
      </c>
      <c r="G11">
        <f>Table2[[#This Row],[unit cost]]*Table2[[#This Row],[Length]]</f>
        <v>2804.7045362049817</v>
      </c>
    </row>
    <row r="12" spans="1:7" hidden="1" x14ac:dyDescent="0.25">
      <c r="A12" s="1">
        <v>10</v>
      </c>
      <c r="B12" t="s">
        <v>28</v>
      </c>
      <c r="C12">
        <v>96</v>
      </c>
      <c r="D12">
        <v>145.036957</v>
      </c>
      <c r="E12">
        <f>MATCH(Table2[[#This Row],[Pipe_name]],'2043 pipes'!B:B,0)</f>
        <v>12</v>
      </c>
      <c r="F12">
        <f>VLOOKUP(Table2[[#This Row],[Original_Diameter]],[1]Pipes!$A:$B,2,FALSE)</f>
        <v>362.58707029616613</v>
      </c>
      <c r="G12">
        <f>Table2[[#This Row],[unit cost]]*Table2[[#This Row],[Length]]</f>
        <v>52588.525323301023</v>
      </c>
    </row>
    <row r="13" spans="1:7" hidden="1" x14ac:dyDescent="0.25">
      <c r="A13" s="1">
        <v>11</v>
      </c>
      <c r="B13" t="s">
        <v>29</v>
      </c>
      <c r="C13">
        <v>96</v>
      </c>
      <c r="D13">
        <v>52.606304000000002</v>
      </c>
      <c r="E13">
        <f>MATCH(Table2[[#This Row],[Pipe_name]],'2043 pipes'!B:B,0)</f>
        <v>13</v>
      </c>
      <c r="F13">
        <f>VLOOKUP(Table2[[#This Row],[Original_Diameter]],[1]Pipes!$A:$B,2,FALSE)</f>
        <v>362.58707029616613</v>
      </c>
      <c r="G13">
        <f>Table2[[#This Row],[unit cost]]*Table2[[#This Row],[Length]]</f>
        <v>19074.365646469487</v>
      </c>
    </row>
    <row r="14" spans="1:7" hidden="1" x14ac:dyDescent="0.25">
      <c r="A14" s="1">
        <v>12</v>
      </c>
      <c r="B14" t="s">
        <v>30</v>
      </c>
      <c r="C14">
        <v>200</v>
      </c>
      <c r="D14">
        <v>24.994415</v>
      </c>
      <c r="E14">
        <f>MATCH(Table2[[#This Row],[Pipe_name]],'2043 pipes'!B:B,0)</f>
        <v>14</v>
      </c>
      <c r="F14">
        <f>VLOOKUP(Table2[[#This Row],[Original_Diameter]],[1]Pipes!$A:$B,2,FALSE)</f>
        <v>546.15625651305356</v>
      </c>
      <c r="G14">
        <f>Table2[[#This Row],[unit cost]]*Table2[[#This Row],[Length]]</f>
        <v>13650.856130133714</v>
      </c>
    </row>
    <row r="15" spans="1:7" hidden="1" x14ac:dyDescent="0.25">
      <c r="A15" s="1">
        <v>13</v>
      </c>
      <c r="B15" t="s">
        <v>31</v>
      </c>
      <c r="C15">
        <v>143</v>
      </c>
      <c r="D15">
        <v>30.108805</v>
      </c>
      <c r="E15">
        <f>MATCH(Table2[[#This Row],[Pipe_name]],'2043 pipes'!B:B,0)</f>
        <v>15</v>
      </c>
      <c r="F15">
        <f>VLOOKUP(Table2[[#This Row],[Original_Diameter]],[1]Pipes!$A:$B,2,FALSE)</f>
        <v>433.89080378537034</v>
      </c>
      <c r="G15">
        <f>Table2[[#This Row],[unit cost]]*Table2[[#This Row],[Length]]</f>
        <v>13063.933602466977</v>
      </c>
    </row>
    <row r="16" spans="1:7" hidden="1" x14ac:dyDescent="0.25">
      <c r="A16" s="1">
        <v>14</v>
      </c>
      <c r="B16" t="s">
        <v>32</v>
      </c>
      <c r="C16">
        <v>143</v>
      </c>
      <c r="D16">
        <v>8.3825459999999996</v>
      </c>
      <c r="E16">
        <f>MATCH(Table2[[#This Row],[Pipe_name]],'2043 pipes'!B:B,0)</f>
        <v>16</v>
      </c>
      <c r="F16">
        <f>VLOOKUP(Table2[[#This Row],[Original_Diameter]],[1]Pipes!$A:$B,2,FALSE)</f>
        <v>433.89080378537034</v>
      </c>
      <c r="G16">
        <f>Table2[[#This Row],[unit cost]]*Table2[[#This Row],[Length]]</f>
        <v>3637.1096217078407</v>
      </c>
    </row>
    <row r="17" spans="1:7" hidden="1" x14ac:dyDescent="0.25">
      <c r="A17" s="1">
        <v>15</v>
      </c>
      <c r="B17" t="s">
        <v>33</v>
      </c>
      <c r="C17">
        <v>158</v>
      </c>
      <c r="D17">
        <v>13.110904</v>
      </c>
      <c r="E17">
        <f>MATCH(Table2[[#This Row],[Pipe_name]],'2043 pipes'!B:B,0)</f>
        <v>17</v>
      </c>
      <c r="F17">
        <f>VLOOKUP(Table2[[#This Row],[Original_Diameter]],[1]Pipes!$A:$B,2,FALSE)</f>
        <v>433.89080378537034</v>
      </c>
      <c r="G17">
        <f>Table2[[#This Row],[unit cost]]*Table2[[#This Row],[Length]]</f>
        <v>5688.7006749128268</v>
      </c>
    </row>
    <row r="18" spans="1:7" hidden="1" x14ac:dyDescent="0.25">
      <c r="A18" s="1">
        <v>16</v>
      </c>
      <c r="B18" t="s">
        <v>34</v>
      </c>
      <c r="C18">
        <v>96</v>
      </c>
      <c r="D18">
        <v>3.4892300000000001</v>
      </c>
      <c r="E18">
        <f>MATCH(Table2[[#This Row],[Pipe_name]],'2043 pipes'!B:B,0)</f>
        <v>18</v>
      </c>
      <c r="F18">
        <f>VLOOKUP(Table2[[#This Row],[Original_Diameter]],[1]Pipes!$A:$B,2,FALSE)</f>
        <v>362.58707029616613</v>
      </c>
      <c r="G18">
        <f>Table2[[#This Row],[unit cost]]*Table2[[#This Row],[Length]]</f>
        <v>1265.1496832894918</v>
      </c>
    </row>
    <row r="19" spans="1:7" hidden="1" x14ac:dyDescent="0.25">
      <c r="A19" s="1">
        <v>17</v>
      </c>
      <c r="B19" t="s">
        <v>35</v>
      </c>
      <c r="C19">
        <v>96</v>
      </c>
      <c r="D19">
        <v>17.124673999999999</v>
      </c>
      <c r="E19">
        <f>MATCH(Table2[[#This Row],[Pipe_name]],'2043 pipes'!B:B,0)</f>
        <v>19</v>
      </c>
      <c r="F19">
        <f>VLOOKUP(Table2[[#This Row],[Original_Diameter]],[1]Pipes!$A:$B,2,FALSE)</f>
        <v>362.58707029616613</v>
      </c>
      <c r="G19">
        <f>Table2[[#This Row],[unit cost]]*Table2[[#This Row],[Length]]</f>
        <v>6209.1853754369276</v>
      </c>
    </row>
    <row r="20" spans="1:7" hidden="1" x14ac:dyDescent="0.25">
      <c r="A20" s="1">
        <v>18</v>
      </c>
      <c r="B20" t="s">
        <v>36</v>
      </c>
      <c r="C20">
        <v>200</v>
      </c>
      <c r="D20">
        <v>13.671875</v>
      </c>
      <c r="E20">
        <f>MATCH(Table2[[#This Row],[Pipe_name]],'2043 pipes'!B:B,0)</f>
        <v>20</v>
      </c>
      <c r="F20">
        <f>VLOOKUP(Table2[[#This Row],[Original_Diameter]],[1]Pipes!$A:$B,2,FALSE)</f>
        <v>546.15625651305356</v>
      </c>
      <c r="G20">
        <f>Table2[[#This Row],[unit cost]]*Table2[[#This Row],[Length]]</f>
        <v>7466.980069514404</v>
      </c>
    </row>
    <row r="21" spans="1:7" hidden="1" x14ac:dyDescent="0.25">
      <c r="A21" s="1">
        <v>19</v>
      </c>
      <c r="B21" t="s">
        <v>37</v>
      </c>
      <c r="C21">
        <v>141</v>
      </c>
      <c r="D21">
        <v>5.2727279999999999</v>
      </c>
      <c r="E21">
        <f>MATCH(Table2[[#This Row],[Pipe_name]],'2043 pipes'!B:B,0)</f>
        <v>21</v>
      </c>
      <c r="F21">
        <f>VLOOKUP(Table2[[#This Row],[Original_Diameter]],[1]Pipes!$A:$B,2,FALSE)</f>
        <v>433.89080378537034</v>
      </c>
      <c r="G21">
        <f>Table2[[#This Row],[unit cost]]*Table2[[#This Row],[Length]]</f>
        <v>2287.788190061628</v>
      </c>
    </row>
    <row r="22" spans="1:7" hidden="1" x14ac:dyDescent="0.25">
      <c r="A22" s="1">
        <v>20</v>
      </c>
      <c r="B22" t="s">
        <v>38</v>
      </c>
      <c r="C22">
        <v>200</v>
      </c>
      <c r="D22">
        <v>181.64756800000001</v>
      </c>
      <c r="E22">
        <f>MATCH(Table2[[#This Row],[Pipe_name]],'2043 pipes'!B:B,0)</f>
        <v>22</v>
      </c>
      <c r="F22">
        <f>VLOOKUP(Table2[[#This Row],[Original_Diameter]],[1]Pipes!$A:$B,2,FALSE)</f>
        <v>546.15625651305356</v>
      </c>
      <c r="G22">
        <f>Table2[[#This Row],[unit cost]]*Table2[[#This Row],[Length]]</f>
        <v>99207.955743580344</v>
      </c>
    </row>
    <row r="23" spans="1:7" hidden="1" x14ac:dyDescent="0.25">
      <c r="A23" s="1">
        <v>21</v>
      </c>
      <c r="B23" t="s">
        <v>39</v>
      </c>
      <c r="C23">
        <v>96</v>
      </c>
      <c r="D23">
        <v>3.47323</v>
      </c>
      <c r="E23">
        <f>MATCH(Table2[[#This Row],[Pipe_name]],'2043 pipes'!B:B,0)</f>
        <v>23</v>
      </c>
      <c r="F23">
        <f>VLOOKUP(Table2[[#This Row],[Original_Diameter]],[1]Pipes!$A:$B,2,FALSE)</f>
        <v>362.58707029616613</v>
      </c>
      <c r="G23">
        <f>Table2[[#This Row],[unit cost]]*Table2[[#This Row],[Length]]</f>
        <v>1259.3482901647531</v>
      </c>
    </row>
    <row r="24" spans="1:7" hidden="1" x14ac:dyDescent="0.25">
      <c r="A24" s="1">
        <v>22</v>
      </c>
      <c r="B24" t="s">
        <v>40</v>
      </c>
      <c r="C24">
        <v>96</v>
      </c>
      <c r="D24">
        <v>49.140082999999997</v>
      </c>
      <c r="E24">
        <f>MATCH(Table2[[#This Row],[Pipe_name]],'2043 pipes'!B:B,0)</f>
        <v>24</v>
      </c>
      <c r="F24">
        <f>VLOOKUP(Table2[[#This Row],[Original_Diameter]],[1]Pipes!$A:$B,2,FALSE)</f>
        <v>362.58707029616613</v>
      </c>
      <c r="G24">
        <f>Table2[[#This Row],[unit cost]]*Table2[[#This Row],[Length]]</f>
        <v>17817.558729080436</v>
      </c>
    </row>
    <row r="25" spans="1:7" hidden="1" x14ac:dyDescent="0.25">
      <c r="A25" s="1">
        <v>23</v>
      </c>
      <c r="B25" t="s">
        <v>41</v>
      </c>
      <c r="C25">
        <v>96</v>
      </c>
      <c r="D25">
        <v>3.7690610000000002</v>
      </c>
      <c r="E25">
        <f>MATCH(Table2[[#This Row],[Pipe_name]],'2043 pipes'!B:B,0)</f>
        <v>25</v>
      </c>
      <c r="F25">
        <f>VLOOKUP(Table2[[#This Row],[Original_Diameter]],[1]Pipes!$A:$B,2,FALSE)</f>
        <v>362.58707029616613</v>
      </c>
      <c r="G25">
        <f>Table2[[#This Row],[unit cost]]*Table2[[#This Row],[Length]]</f>
        <v>1366.6127857575384</v>
      </c>
    </row>
    <row r="26" spans="1:7" hidden="1" x14ac:dyDescent="0.25">
      <c r="A26" s="1">
        <v>24</v>
      </c>
      <c r="B26" t="s">
        <v>42</v>
      </c>
      <c r="C26">
        <v>96</v>
      </c>
      <c r="D26">
        <v>5.1636509999999998</v>
      </c>
      <c r="E26">
        <f>MATCH(Table2[[#This Row],[Pipe_name]],'2043 pipes'!B:B,0)</f>
        <v>26</v>
      </c>
      <c r="F26">
        <f>VLOOKUP(Table2[[#This Row],[Original_Diameter]],[1]Pipes!$A:$B,2,FALSE)</f>
        <v>362.58707029616613</v>
      </c>
      <c r="G26">
        <f>Table2[[#This Row],[unit cost]]*Table2[[#This Row],[Length]]</f>
        <v>1872.2730881218686</v>
      </c>
    </row>
    <row r="27" spans="1:7" hidden="1" x14ac:dyDescent="0.25">
      <c r="A27" s="1">
        <v>25</v>
      </c>
      <c r="B27" t="s">
        <v>43</v>
      </c>
      <c r="C27">
        <v>101</v>
      </c>
      <c r="D27">
        <v>3.301901</v>
      </c>
      <c r="E27">
        <f>MATCH(Table2[[#This Row],[Pipe_name]],'2043 pipes'!B:B,0)</f>
        <v>27</v>
      </c>
      <c r="F27">
        <f>VLOOKUP(Table2[[#This Row],[Original_Diameter]],[1]Pipes!$A:$B,2,FALSE)</f>
        <v>362.58707029616613</v>
      </c>
      <c r="G27">
        <f>Table2[[#This Row],[unit cost]]*Table2[[#This Row],[Length]]</f>
        <v>1197.2266099979813</v>
      </c>
    </row>
    <row r="28" spans="1:7" hidden="1" x14ac:dyDescent="0.25">
      <c r="A28" s="1">
        <v>26</v>
      </c>
      <c r="B28" t="s">
        <v>44</v>
      </c>
      <c r="C28">
        <v>101</v>
      </c>
      <c r="D28">
        <v>6.4877750000000001</v>
      </c>
      <c r="E28">
        <f>MATCH(Table2[[#This Row],[Pipe_name]],'2043 pipes'!B:B,0)</f>
        <v>28</v>
      </c>
      <c r="F28">
        <f>VLOOKUP(Table2[[#This Row],[Original_Diameter]],[1]Pipes!$A:$B,2,FALSE)</f>
        <v>362.58707029616613</v>
      </c>
      <c r="G28">
        <f>Table2[[#This Row],[unit cost]]*Table2[[#This Row],[Length]]</f>
        <v>2352.3833299907092</v>
      </c>
    </row>
    <row r="29" spans="1:7" hidden="1" x14ac:dyDescent="0.25">
      <c r="A29" s="1">
        <v>27</v>
      </c>
      <c r="B29" t="s">
        <v>45</v>
      </c>
      <c r="C29">
        <v>96</v>
      </c>
      <c r="D29">
        <v>23.950811000000002</v>
      </c>
      <c r="E29">
        <f>MATCH(Table2[[#This Row],[Pipe_name]],'2043 pipes'!B:B,0)</f>
        <v>29</v>
      </c>
      <c r="F29">
        <f>VLOOKUP(Table2[[#This Row],[Original_Diameter]],[1]Pipes!$A:$B,2,FALSE)</f>
        <v>362.58707029616613</v>
      </c>
      <c r="G29">
        <f>Table2[[#This Row],[unit cost]]*Table2[[#This Row],[Length]]</f>
        <v>8684.2543917071889</v>
      </c>
    </row>
    <row r="30" spans="1:7" hidden="1" x14ac:dyDescent="0.25">
      <c r="A30" s="1">
        <v>28</v>
      </c>
      <c r="B30" t="s">
        <v>283</v>
      </c>
      <c r="C30">
        <v>96</v>
      </c>
      <c r="D30">
        <v>23.552605</v>
      </c>
      <c r="E30">
        <f>MATCH(Table2[[#This Row],[Pipe_name]],'2043 pipes'!B:B,0)</f>
        <v>30</v>
      </c>
      <c r="F30">
        <f>VLOOKUP(Table2[[#This Row],[Original_Diameter]],[1]Pipes!$A:$B,2,FALSE)</f>
        <v>362.58707029616613</v>
      </c>
      <c r="G30">
        <f>Table2[[#This Row],[unit cost]]*Table2[[#This Row],[Length]]</f>
        <v>8539.8700447928331</v>
      </c>
    </row>
    <row r="31" spans="1:7" hidden="1" x14ac:dyDescent="0.25">
      <c r="A31" s="1">
        <v>29</v>
      </c>
      <c r="B31" t="s">
        <v>46</v>
      </c>
      <c r="C31">
        <v>96</v>
      </c>
      <c r="D31">
        <v>119.417725</v>
      </c>
      <c r="E31">
        <f>MATCH(Table2[[#This Row],[Pipe_name]],'2043 pipes'!B:B,0)</f>
        <v>31</v>
      </c>
      <c r="F31">
        <f>VLOOKUP(Table2[[#This Row],[Original_Diameter]],[1]Pipes!$A:$B,2,FALSE)</f>
        <v>362.58707029616613</v>
      </c>
      <c r="G31">
        <f>Table2[[#This Row],[unit cost]]*Table2[[#This Row],[Length]]</f>
        <v>43299.323049183236</v>
      </c>
    </row>
    <row r="32" spans="1:7" x14ac:dyDescent="0.25">
      <c r="A32" s="1">
        <v>30</v>
      </c>
      <c r="B32" t="s">
        <v>47</v>
      </c>
      <c r="C32">
        <v>96</v>
      </c>
      <c r="D32">
        <v>145.77058400000001</v>
      </c>
      <c r="E32" t="e">
        <f>MATCH(Table2[[#This Row],[Pipe_name]],'2043 pipes'!B:B,0)</f>
        <v>#N/A</v>
      </c>
      <c r="F32">
        <f>VLOOKUP(Table2[[#This Row],[Original_Diameter]],[1]Pipes!$A:$B,2,FALSE)</f>
        <v>362.58707029616613</v>
      </c>
      <c r="G32">
        <f>Table2[[#This Row],[unit cost]]*Table2[[#This Row],[Length]]</f>
        <v>52854.528987921192</v>
      </c>
    </row>
    <row r="33" spans="1:7" hidden="1" x14ac:dyDescent="0.25">
      <c r="A33" s="1">
        <v>31</v>
      </c>
      <c r="B33" t="s">
        <v>48</v>
      </c>
      <c r="C33">
        <v>200</v>
      </c>
      <c r="D33">
        <v>67.852958999999998</v>
      </c>
      <c r="E33">
        <f>MATCH(Table2[[#This Row],[Pipe_name]],'2043 pipes'!B:B,0)</f>
        <v>33</v>
      </c>
      <c r="F33">
        <f>VLOOKUP(Table2[[#This Row],[Original_Diameter]],[1]Pipes!$A:$B,2,FALSE)</f>
        <v>546.15625651305356</v>
      </c>
      <c r="G33">
        <f>Table2[[#This Row],[unit cost]]*Table2[[#This Row],[Length]]</f>
        <v>37058.318080773708</v>
      </c>
    </row>
    <row r="34" spans="1:7" hidden="1" x14ac:dyDescent="0.25">
      <c r="A34" s="1">
        <v>32</v>
      </c>
      <c r="B34" t="s">
        <v>49</v>
      </c>
      <c r="C34">
        <v>200</v>
      </c>
      <c r="D34">
        <v>82.356407000000004</v>
      </c>
      <c r="E34">
        <f>MATCH(Table2[[#This Row],[Pipe_name]],'2043 pipes'!B:B,0)</f>
        <v>34</v>
      </c>
      <c r="F34">
        <f>VLOOKUP(Table2[[#This Row],[Original_Diameter]],[1]Pipes!$A:$B,2,FALSE)</f>
        <v>546.15625651305356</v>
      </c>
      <c r="G34">
        <f>Table2[[#This Row],[unit cost]]*Table2[[#This Row],[Length]]</f>
        <v>44979.466946985442</v>
      </c>
    </row>
    <row r="35" spans="1:7" hidden="1" x14ac:dyDescent="0.25">
      <c r="A35" s="1">
        <v>33</v>
      </c>
      <c r="B35" t="s">
        <v>50</v>
      </c>
      <c r="C35">
        <v>96</v>
      </c>
      <c r="D35">
        <v>13.533874000000001</v>
      </c>
      <c r="E35">
        <f>MATCH(Table2[[#This Row],[Pipe_name]],'2043 pipes'!B:B,0)</f>
        <v>35</v>
      </c>
      <c r="F35">
        <f>VLOOKUP(Table2[[#This Row],[Original_Diameter]],[1]Pipes!$A:$B,2,FALSE)</f>
        <v>362.58707029616613</v>
      </c>
      <c r="G35">
        <f>Table2[[#This Row],[unit cost]]*Table2[[#This Row],[Length]]</f>
        <v>4907.2077234174558</v>
      </c>
    </row>
    <row r="36" spans="1:7" hidden="1" x14ac:dyDescent="0.25">
      <c r="A36" s="1">
        <v>34</v>
      </c>
      <c r="B36" t="s">
        <v>51</v>
      </c>
      <c r="C36">
        <v>96</v>
      </c>
      <c r="D36">
        <v>16.523541999999999</v>
      </c>
      <c r="E36">
        <f>MATCH(Table2[[#This Row],[Pipe_name]],'2043 pipes'!B:B,0)</f>
        <v>36</v>
      </c>
      <c r="F36">
        <f>VLOOKUP(Table2[[#This Row],[Original_Diameter]],[1]Pipes!$A:$B,2,FALSE)</f>
        <v>362.58707029616613</v>
      </c>
      <c r="G36">
        <f>Table2[[#This Row],[unit cost]]*Table2[[#This Row],[Length]]</f>
        <v>5991.2226846956528</v>
      </c>
    </row>
    <row r="37" spans="1:7" hidden="1" x14ac:dyDescent="0.25">
      <c r="A37" s="1">
        <v>35</v>
      </c>
      <c r="B37" t="s">
        <v>52</v>
      </c>
      <c r="C37">
        <v>96</v>
      </c>
      <c r="D37">
        <v>2.96787</v>
      </c>
      <c r="E37">
        <f>MATCH(Table2[[#This Row],[Pipe_name]],'2043 pipes'!B:B,0)</f>
        <v>37</v>
      </c>
      <c r="F37">
        <f>VLOOKUP(Table2[[#This Row],[Original_Diameter]],[1]Pipes!$A:$B,2,FALSE)</f>
        <v>362.58707029616613</v>
      </c>
      <c r="G37">
        <f>Table2[[#This Row],[unit cost]]*Table2[[#This Row],[Length]]</f>
        <v>1076.1112883198825</v>
      </c>
    </row>
    <row r="38" spans="1:7" hidden="1" x14ac:dyDescent="0.25">
      <c r="A38" s="1">
        <v>36</v>
      </c>
      <c r="B38" t="s">
        <v>53</v>
      </c>
      <c r="C38">
        <v>96</v>
      </c>
      <c r="D38">
        <v>58.503292000000002</v>
      </c>
      <c r="E38">
        <f>MATCH(Table2[[#This Row],[Pipe_name]],'2043 pipes'!B:B,0)</f>
        <v>38</v>
      </c>
      <c r="F38">
        <f>VLOOKUP(Table2[[#This Row],[Original_Diameter]],[1]Pipes!$A:$B,2,FALSE)</f>
        <v>362.58707029616613</v>
      </c>
      <c r="G38">
        <f>Table2[[#This Row],[unit cost]]*Table2[[#This Row],[Length]]</f>
        <v>21212.537248961133</v>
      </c>
    </row>
    <row r="39" spans="1:7" hidden="1" x14ac:dyDescent="0.25">
      <c r="A39" s="1">
        <v>37</v>
      </c>
      <c r="B39" t="s">
        <v>54</v>
      </c>
      <c r="C39">
        <v>96</v>
      </c>
      <c r="D39">
        <v>38.472228999999999</v>
      </c>
      <c r="E39">
        <f>MATCH(Table2[[#This Row],[Pipe_name]],'2043 pipes'!B:B,0)</f>
        <v>39</v>
      </c>
      <c r="F39">
        <f>VLOOKUP(Table2[[#This Row],[Original_Diameter]],[1]Pipes!$A:$B,2,FALSE)</f>
        <v>362.58707029616613</v>
      </c>
      <c r="G39">
        <f>Table2[[#This Row],[unit cost]]*Table2[[#This Row],[Length]]</f>
        <v>13949.532800873201</v>
      </c>
    </row>
    <row r="40" spans="1:7" hidden="1" x14ac:dyDescent="0.25">
      <c r="A40" s="1">
        <v>38</v>
      </c>
      <c r="B40" t="s">
        <v>55</v>
      </c>
      <c r="C40">
        <v>101</v>
      </c>
      <c r="D40">
        <v>9.8480910000000002</v>
      </c>
      <c r="E40">
        <f>MATCH(Table2[[#This Row],[Pipe_name]],'2043 pipes'!B:B,0)</f>
        <v>40</v>
      </c>
      <c r="F40">
        <f>VLOOKUP(Table2[[#This Row],[Original_Diameter]],[1]Pipes!$A:$B,2,FALSE)</f>
        <v>362.58707029616613</v>
      </c>
      <c r="G40">
        <f>Table2[[#This Row],[unit cost]]*Table2[[#This Row],[Length]]</f>
        <v>3570.7904637000411</v>
      </c>
    </row>
    <row r="41" spans="1:7" hidden="1" x14ac:dyDescent="0.25">
      <c r="A41" s="1">
        <v>39</v>
      </c>
      <c r="B41" t="s">
        <v>56</v>
      </c>
      <c r="C41">
        <v>96</v>
      </c>
      <c r="D41">
        <v>15.723158</v>
      </c>
      <c r="E41">
        <f>MATCH(Table2[[#This Row],[Pipe_name]],'2043 pipes'!B:B,0)</f>
        <v>41</v>
      </c>
      <c r="F41">
        <f>VLOOKUP(Table2[[#This Row],[Original_Diameter]],[1]Pipes!$A:$B,2,FALSE)</f>
        <v>362.58707029616613</v>
      </c>
      <c r="G41">
        <f>Table2[[#This Row],[unit cost]]*Table2[[#This Row],[Length]]</f>
        <v>5701.0137950237267</v>
      </c>
    </row>
    <row r="42" spans="1:7" hidden="1" x14ac:dyDescent="0.25">
      <c r="A42" s="1">
        <v>40</v>
      </c>
      <c r="B42" t="s">
        <v>57</v>
      </c>
      <c r="C42">
        <v>96</v>
      </c>
      <c r="D42">
        <v>6.3597849999999996</v>
      </c>
      <c r="E42">
        <f>MATCH(Table2[[#This Row],[Pipe_name]],'2043 pipes'!B:B,0)</f>
        <v>42</v>
      </c>
      <c r="F42">
        <f>VLOOKUP(Table2[[#This Row],[Original_Diameter]],[1]Pipes!$A:$B,2,FALSE)</f>
        <v>362.58707029616613</v>
      </c>
      <c r="G42">
        <f>Table2[[#This Row],[unit cost]]*Table2[[#This Row],[Length]]</f>
        <v>2305.9758108635028</v>
      </c>
    </row>
    <row r="43" spans="1:7" hidden="1" x14ac:dyDescent="0.25">
      <c r="A43" s="1">
        <v>41</v>
      </c>
      <c r="B43" t="s">
        <v>58</v>
      </c>
      <c r="C43">
        <v>96</v>
      </c>
      <c r="D43">
        <v>133.89762899999999</v>
      </c>
      <c r="E43">
        <f>MATCH(Table2[[#This Row],[Pipe_name]],'2043 pipes'!B:B,0)</f>
        <v>43</v>
      </c>
      <c r="F43">
        <f>VLOOKUP(Table2[[#This Row],[Original_Diameter]],[1]Pipes!$A:$B,2,FALSE)</f>
        <v>362.58707029616613</v>
      </c>
      <c r="G43">
        <f>Table2[[#This Row],[unit cost]]*Table2[[#This Row],[Length]]</f>
        <v>48549.549018712969</v>
      </c>
    </row>
    <row r="44" spans="1:7" hidden="1" x14ac:dyDescent="0.25">
      <c r="A44" s="1">
        <v>42</v>
      </c>
      <c r="B44" t="s">
        <v>59</v>
      </c>
      <c r="C44">
        <v>96</v>
      </c>
      <c r="D44">
        <v>96.620529000000005</v>
      </c>
      <c r="E44">
        <f>MATCH(Table2[[#This Row],[Pipe_name]],'2043 pipes'!B:B,0)</f>
        <v>44</v>
      </c>
      <c r="F44">
        <f>VLOOKUP(Table2[[#This Row],[Original_Diameter]],[1]Pipes!$A:$B,2,FALSE)</f>
        <v>362.58707029616613</v>
      </c>
      <c r="G44">
        <f>Table2[[#This Row],[unit cost]]*Table2[[#This Row],[Length]]</f>
        <v>35033.354540575761</v>
      </c>
    </row>
    <row r="45" spans="1:7" hidden="1" x14ac:dyDescent="0.25">
      <c r="A45" s="1">
        <v>43</v>
      </c>
      <c r="B45" t="s">
        <v>60</v>
      </c>
      <c r="C45">
        <v>101</v>
      </c>
      <c r="D45">
        <v>3.3398430000000001</v>
      </c>
      <c r="E45">
        <f>MATCH(Table2[[#This Row],[Pipe_name]],'2043 pipes'!B:B,0)</f>
        <v>45</v>
      </c>
      <c r="F45">
        <f>VLOOKUP(Table2[[#This Row],[Original_Diameter]],[1]Pipes!$A:$B,2,FALSE)</f>
        <v>362.58707029616613</v>
      </c>
      <c r="G45">
        <f>Table2[[#This Row],[unit cost]]*Table2[[#This Row],[Length]]</f>
        <v>1210.9838886191585</v>
      </c>
    </row>
    <row r="46" spans="1:7" hidden="1" x14ac:dyDescent="0.25">
      <c r="A46" s="1">
        <v>44</v>
      </c>
      <c r="B46" t="s">
        <v>61</v>
      </c>
      <c r="C46">
        <v>96</v>
      </c>
      <c r="D46">
        <v>3.9365320000000001</v>
      </c>
      <c r="E46">
        <f>MATCH(Table2[[#This Row],[Pipe_name]],'2043 pipes'!B:B,0)</f>
        <v>46</v>
      </c>
      <c r="F46">
        <f>VLOOKUP(Table2[[#This Row],[Original_Diameter]],[1]Pipes!$A:$B,2,FALSE)</f>
        <v>362.58707029616613</v>
      </c>
      <c r="G46">
        <f>Table2[[#This Row],[unit cost]]*Table2[[#This Row],[Length]]</f>
        <v>1427.3356050071075</v>
      </c>
    </row>
    <row r="47" spans="1:7" hidden="1" x14ac:dyDescent="0.25">
      <c r="A47" s="1">
        <v>45</v>
      </c>
      <c r="B47" t="s">
        <v>62</v>
      </c>
      <c r="C47">
        <v>101</v>
      </c>
      <c r="D47">
        <v>126.29502100000001</v>
      </c>
      <c r="E47">
        <f>MATCH(Table2[[#This Row],[Pipe_name]],'2043 pipes'!B:B,0)</f>
        <v>47</v>
      </c>
      <c r="F47">
        <f>VLOOKUP(Table2[[#This Row],[Original_Diameter]],[1]Pipes!$A:$B,2,FALSE)</f>
        <v>362.58707029616613</v>
      </c>
      <c r="G47">
        <f>Table2[[#This Row],[unit cost]]*Table2[[#This Row],[Length]]</f>
        <v>45792.941657382777</v>
      </c>
    </row>
    <row r="48" spans="1:7" hidden="1" x14ac:dyDescent="0.25">
      <c r="A48" s="1">
        <v>46</v>
      </c>
      <c r="B48" t="s">
        <v>63</v>
      </c>
      <c r="C48">
        <v>101</v>
      </c>
      <c r="D48">
        <v>2.4787020000000002</v>
      </c>
      <c r="E48">
        <f>MATCH(Table2[[#This Row],[Pipe_name]],'2043 pipes'!B:B,0)</f>
        <v>48</v>
      </c>
      <c r="F48">
        <f>VLOOKUP(Table2[[#This Row],[Original_Diameter]],[1]Pipes!$A:$B,2,FALSE)</f>
        <v>362.58707029616613</v>
      </c>
      <c r="G48">
        <f>Table2[[#This Row],[unit cost]]*Table2[[#This Row],[Length]]</f>
        <v>898.74529631724761</v>
      </c>
    </row>
    <row r="49" spans="1:7" hidden="1" x14ac:dyDescent="0.25">
      <c r="A49" s="1">
        <v>47</v>
      </c>
      <c r="B49" t="s">
        <v>64</v>
      </c>
      <c r="C49">
        <v>96</v>
      </c>
      <c r="D49">
        <v>15.772319</v>
      </c>
      <c r="E49">
        <f>MATCH(Table2[[#This Row],[Pipe_name]],'2043 pipes'!B:B,0)</f>
        <v>49</v>
      </c>
      <c r="F49">
        <f>VLOOKUP(Table2[[#This Row],[Original_Diameter]],[1]Pipes!$A:$B,2,FALSE)</f>
        <v>362.58707029616613</v>
      </c>
      <c r="G49">
        <f>Table2[[#This Row],[unit cost]]*Table2[[#This Row],[Length]]</f>
        <v>5718.8389379865566</v>
      </c>
    </row>
    <row r="50" spans="1:7" hidden="1" x14ac:dyDescent="0.25">
      <c r="A50" s="1">
        <v>48</v>
      </c>
      <c r="B50" t="s">
        <v>65</v>
      </c>
      <c r="C50">
        <v>96</v>
      </c>
      <c r="D50">
        <v>173.47482299999999</v>
      </c>
      <c r="E50">
        <f>MATCH(Table2[[#This Row],[Pipe_name]],'2043 pipes'!B:B,0)</f>
        <v>50</v>
      </c>
      <c r="F50">
        <f>VLOOKUP(Table2[[#This Row],[Original_Diameter]],[1]Pipes!$A:$B,2,FALSE)</f>
        <v>362.58707029616613</v>
      </c>
      <c r="G50">
        <f>Table2[[#This Row],[unit cost]]*Table2[[#This Row],[Length]]</f>
        <v>62899.727841715976</v>
      </c>
    </row>
    <row r="51" spans="1:7" hidden="1" x14ac:dyDescent="0.25">
      <c r="A51" s="1">
        <v>49</v>
      </c>
      <c r="B51" t="s">
        <v>66</v>
      </c>
      <c r="C51">
        <v>96</v>
      </c>
      <c r="D51">
        <v>75.211510000000004</v>
      </c>
      <c r="E51">
        <f>MATCH(Table2[[#This Row],[Pipe_name]],'2043 pipes'!B:B,0)</f>
        <v>51</v>
      </c>
      <c r="F51">
        <f>VLOOKUP(Table2[[#This Row],[Original_Diameter]],[1]Pipes!$A:$B,2,FALSE)</f>
        <v>362.58707029616613</v>
      </c>
      <c r="G51">
        <f>Table2[[#This Row],[unit cost]]*Table2[[#This Row],[Length]]</f>
        <v>27270.721063450805</v>
      </c>
    </row>
    <row r="52" spans="1:7" hidden="1" x14ac:dyDescent="0.25">
      <c r="A52" s="1">
        <v>50</v>
      </c>
      <c r="B52" t="s">
        <v>67</v>
      </c>
      <c r="C52">
        <v>96</v>
      </c>
      <c r="D52">
        <v>86.298286000000004</v>
      </c>
      <c r="E52">
        <f>MATCH(Table2[[#This Row],[Pipe_name]],'2043 pipes'!B:B,0)</f>
        <v>52</v>
      </c>
      <c r="F52">
        <f>VLOOKUP(Table2[[#This Row],[Original_Diameter]],[1]Pipes!$A:$B,2,FALSE)</f>
        <v>362.58707029616613</v>
      </c>
      <c r="G52">
        <f>Table2[[#This Row],[unit cost]]*Table2[[#This Row],[Length]]</f>
        <v>31290.642692320653</v>
      </c>
    </row>
    <row r="53" spans="1:7" hidden="1" x14ac:dyDescent="0.25">
      <c r="A53" s="1">
        <v>51</v>
      </c>
      <c r="B53" t="s">
        <v>68</v>
      </c>
      <c r="C53">
        <v>96</v>
      </c>
      <c r="D53">
        <v>3.8836059999999999</v>
      </c>
      <c r="E53">
        <f>MATCH(Table2[[#This Row],[Pipe_name]],'2043 pipes'!B:B,0)</f>
        <v>53</v>
      </c>
      <c r="F53">
        <f>VLOOKUP(Table2[[#This Row],[Original_Diameter]],[1]Pipes!$A:$B,2,FALSE)</f>
        <v>362.58707029616613</v>
      </c>
      <c r="G53">
        <f>Table2[[#This Row],[unit cost]]*Table2[[#This Row],[Length]]</f>
        <v>1408.1453217246126</v>
      </c>
    </row>
    <row r="54" spans="1:7" hidden="1" x14ac:dyDescent="0.25">
      <c r="A54" s="1">
        <v>52</v>
      </c>
      <c r="B54" t="s">
        <v>69</v>
      </c>
      <c r="C54">
        <v>96</v>
      </c>
      <c r="D54">
        <v>81.483138999999994</v>
      </c>
      <c r="E54">
        <f>MATCH(Table2[[#This Row],[Pipe_name]],'2043 pipes'!B:B,0)</f>
        <v>54</v>
      </c>
      <c r="F54">
        <f>VLOOKUP(Table2[[#This Row],[Original_Diameter]],[1]Pipes!$A:$B,2,FALSE)</f>
        <v>362.58707029616613</v>
      </c>
      <c r="G54">
        <f>Table2[[#This Row],[unit cost]]*Table2[[#This Row],[Length]]</f>
        <v>29544.732648545272</v>
      </c>
    </row>
    <row r="55" spans="1:7" hidden="1" x14ac:dyDescent="0.25">
      <c r="A55" s="1">
        <v>53</v>
      </c>
      <c r="B55" t="s">
        <v>70</v>
      </c>
      <c r="C55">
        <v>143</v>
      </c>
      <c r="D55">
        <v>11.008478999999999</v>
      </c>
      <c r="E55">
        <f>MATCH(Table2[[#This Row],[Pipe_name]],'2043 pipes'!B:B,0)</f>
        <v>55</v>
      </c>
      <c r="F55">
        <f>VLOOKUP(Table2[[#This Row],[Original_Diameter]],[1]Pipes!$A:$B,2,FALSE)</f>
        <v>433.89080378537034</v>
      </c>
      <c r="G55">
        <f>Table2[[#This Row],[unit cost]]*Table2[[#This Row],[Length]]</f>
        <v>4776.4778017643694</v>
      </c>
    </row>
    <row r="56" spans="1:7" hidden="1" x14ac:dyDescent="0.25">
      <c r="A56" s="1">
        <v>54</v>
      </c>
      <c r="B56" t="s">
        <v>71</v>
      </c>
      <c r="C56">
        <v>75</v>
      </c>
      <c r="D56">
        <v>85.420578000000006</v>
      </c>
      <c r="E56">
        <f>MATCH(Table2[[#This Row],[Pipe_name]],'2043 pipes'!B:B,0)</f>
        <v>56</v>
      </c>
      <c r="F56">
        <f>VLOOKUP(Table2[[#This Row],[Original_Diameter]],[1]Pipes!$A:$B,2,FALSE)</f>
        <v>362.58707029616613</v>
      </c>
      <c r="G56">
        <f>Table2[[#This Row],[unit cost]]*Table2[[#This Row],[Length]]</f>
        <v>30972.397120025144</v>
      </c>
    </row>
    <row r="57" spans="1:7" hidden="1" x14ac:dyDescent="0.25">
      <c r="A57" s="1">
        <v>55</v>
      </c>
      <c r="B57" t="s">
        <v>72</v>
      </c>
      <c r="C57">
        <v>96</v>
      </c>
      <c r="D57">
        <v>43.180835999999999</v>
      </c>
      <c r="E57">
        <f>MATCH(Table2[[#This Row],[Pipe_name]],'2043 pipes'!B:B,0)</f>
        <v>57</v>
      </c>
      <c r="F57">
        <f>VLOOKUP(Table2[[#This Row],[Original_Diameter]],[1]Pipes!$A:$B,2,FALSE)</f>
        <v>362.58707029616613</v>
      </c>
      <c r="G57">
        <f>Table2[[#This Row],[unit cost]]*Table2[[#This Row],[Length]]</f>
        <v>15656.812818179222</v>
      </c>
    </row>
    <row r="58" spans="1:7" hidden="1" x14ac:dyDescent="0.25">
      <c r="A58" s="1">
        <v>56</v>
      </c>
      <c r="B58" t="s">
        <v>73</v>
      </c>
      <c r="C58">
        <v>96</v>
      </c>
      <c r="D58">
        <v>222.53407300000001</v>
      </c>
      <c r="E58">
        <f>MATCH(Table2[[#This Row],[Pipe_name]],'2043 pipes'!B:B,0)</f>
        <v>58</v>
      </c>
      <c r="F58">
        <f>VLOOKUP(Table2[[#This Row],[Original_Diameter]],[1]Pipes!$A:$B,2,FALSE)</f>
        <v>362.58707029616613</v>
      </c>
      <c r="G58">
        <f>Table2[[#This Row],[unit cost]]*Table2[[#This Row],[Length]]</f>
        <v>80687.977570143164</v>
      </c>
    </row>
    <row r="59" spans="1:7" hidden="1" x14ac:dyDescent="0.25">
      <c r="A59" s="1">
        <v>57</v>
      </c>
      <c r="B59" t="s">
        <v>74</v>
      </c>
      <c r="C59">
        <v>96</v>
      </c>
      <c r="D59">
        <v>3.589038</v>
      </c>
      <c r="E59">
        <f>MATCH(Table2[[#This Row],[Pipe_name]],'2043 pipes'!B:B,0)</f>
        <v>59</v>
      </c>
      <c r="F59">
        <f>VLOOKUP(Table2[[#This Row],[Original_Diameter]],[1]Pipes!$A:$B,2,FALSE)</f>
        <v>362.58707029616613</v>
      </c>
      <c r="G59">
        <f>Table2[[#This Row],[unit cost]]*Table2[[#This Row],[Length]]</f>
        <v>1301.3387736016116</v>
      </c>
    </row>
    <row r="60" spans="1:7" hidden="1" x14ac:dyDescent="0.25">
      <c r="A60" s="1">
        <v>58</v>
      </c>
      <c r="B60" t="s">
        <v>75</v>
      </c>
      <c r="C60">
        <v>141</v>
      </c>
      <c r="D60">
        <v>126.968475</v>
      </c>
      <c r="E60">
        <f>MATCH(Table2[[#This Row],[Pipe_name]],'2043 pipes'!B:B,0)</f>
        <v>60</v>
      </c>
      <c r="F60">
        <f>VLOOKUP(Table2[[#This Row],[Original_Diameter]],[1]Pipes!$A:$B,2,FALSE)</f>
        <v>433.89080378537034</v>
      </c>
      <c r="G60">
        <f>Table2[[#This Row],[unit cost]]*Table2[[#This Row],[Length]]</f>
        <v>55090.453673152697</v>
      </c>
    </row>
    <row r="61" spans="1:7" hidden="1" x14ac:dyDescent="0.25">
      <c r="A61" s="1">
        <v>59</v>
      </c>
      <c r="B61" t="s">
        <v>76</v>
      </c>
      <c r="C61">
        <v>200</v>
      </c>
      <c r="D61">
        <v>9.7285520000000005</v>
      </c>
      <c r="E61">
        <f>MATCH(Table2[[#This Row],[Pipe_name]],'2043 pipes'!B:B,0)</f>
        <v>61</v>
      </c>
      <c r="F61">
        <f>VLOOKUP(Table2[[#This Row],[Original_Diameter]],[1]Pipes!$A:$B,2,FALSE)</f>
        <v>546.15625651305356</v>
      </c>
      <c r="G61">
        <f>Table2[[#This Row],[unit cost]]*Table2[[#This Row],[Length]]</f>
        <v>5313.3095416125807</v>
      </c>
    </row>
    <row r="62" spans="1:7" hidden="1" x14ac:dyDescent="0.25">
      <c r="A62" s="1">
        <v>60</v>
      </c>
      <c r="B62" t="s">
        <v>77</v>
      </c>
      <c r="C62">
        <v>143</v>
      </c>
      <c r="D62">
        <v>26.569807000000001</v>
      </c>
      <c r="E62">
        <f>MATCH(Table2[[#This Row],[Pipe_name]],'2043 pipes'!B:B,0)</f>
        <v>62</v>
      </c>
      <c r="F62">
        <f>VLOOKUP(Table2[[#This Row],[Original_Diameter]],[1]Pipes!$A:$B,2,FALSE)</f>
        <v>433.89080378537034</v>
      </c>
      <c r="G62">
        <f>Table2[[#This Row],[unit cost]]*Table2[[#This Row],[Length]]</f>
        <v>11528.394915652159</v>
      </c>
    </row>
    <row r="63" spans="1:7" hidden="1" x14ac:dyDescent="0.25">
      <c r="A63" s="1">
        <v>61</v>
      </c>
      <c r="B63" t="s">
        <v>78</v>
      </c>
      <c r="C63">
        <v>200</v>
      </c>
      <c r="D63">
        <v>4.5295550000000002</v>
      </c>
      <c r="E63">
        <f>MATCH(Table2[[#This Row],[Pipe_name]],'2043 pipes'!B:B,0)</f>
        <v>63</v>
      </c>
      <c r="F63">
        <f>VLOOKUP(Table2[[#This Row],[Original_Diameter]],[1]Pipes!$A:$B,2,FALSE)</f>
        <v>546.15625651305356</v>
      </c>
      <c r="G63">
        <f>Table2[[#This Row],[unit cost]]*Table2[[#This Row],[Length]]</f>
        <v>2473.8448024699846</v>
      </c>
    </row>
    <row r="64" spans="1:7" hidden="1" x14ac:dyDescent="0.25">
      <c r="A64" s="1">
        <v>62</v>
      </c>
      <c r="B64" t="s">
        <v>79</v>
      </c>
      <c r="C64">
        <v>96</v>
      </c>
      <c r="D64">
        <v>3.8410039999999999</v>
      </c>
      <c r="E64">
        <f>MATCH(Table2[[#This Row],[Pipe_name]],'2043 pipes'!B:B,0)</f>
        <v>64</v>
      </c>
      <c r="F64">
        <f>VLOOKUP(Table2[[#This Row],[Original_Diameter]],[1]Pipes!$A:$B,2,FALSE)</f>
        <v>362.58707029616613</v>
      </c>
      <c r="G64">
        <f>Table2[[#This Row],[unit cost]]*Table2[[#This Row],[Length]]</f>
        <v>1392.6983873558552</v>
      </c>
    </row>
    <row r="65" spans="1:7" hidden="1" x14ac:dyDescent="0.25">
      <c r="A65" s="1">
        <v>63</v>
      </c>
      <c r="B65" t="s">
        <v>80</v>
      </c>
      <c r="C65">
        <v>96</v>
      </c>
      <c r="D65">
        <v>40.85342</v>
      </c>
      <c r="E65">
        <f>MATCH(Table2[[#This Row],[Pipe_name]],'2043 pipes'!B:B,0)</f>
        <v>65</v>
      </c>
      <c r="F65">
        <f>VLOOKUP(Table2[[#This Row],[Original_Diameter]],[1]Pipes!$A:$B,2,FALSE)</f>
        <v>362.58707029616613</v>
      </c>
      <c r="G65">
        <f>Table2[[#This Row],[unit cost]]*Table2[[#This Row],[Length]]</f>
        <v>14812.921869378799</v>
      </c>
    </row>
    <row r="66" spans="1:7" hidden="1" x14ac:dyDescent="0.25">
      <c r="A66" s="1">
        <v>64</v>
      </c>
      <c r="B66" t="s">
        <v>81</v>
      </c>
      <c r="C66">
        <v>96</v>
      </c>
      <c r="D66">
        <v>52.317431999999997</v>
      </c>
      <c r="E66">
        <f>MATCH(Table2[[#This Row],[Pipe_name]],'2043 pipes'!B:B,0)</f>
        <v>66</v>
      </c>
      <c r="F66">
        <f>VLOOKUP(Table2[[#This Row],[Original_Diameter]],[1]Pipes!$A:$B,2,FALSE)</f>
        <v>362.58707029616613</v>
      </c>
      <c r="G66">
        <f>Table2[[#This Row],[unit cost]]*Table2[[#This Row],[Length]]</f>
        <v>18969.624394298891</v>
      </c>
    </row>
    <row r="67" spans="1:7" hidden="1" x14ac:dyDescent="0.25">
      <c r="A67" s="1">
        <v>65</v>
      </c>
      <c r="B67" t="s">
        <v>82</v>
      </c>
      <c r="C67">
        <v>141</v>
      </c>
      <c r="D67">
        <v>12.552962000000001</v>
      </c>
      <c r="E67">
        <f>MATCH(Table2[[#This Row],[Pipe_name]],'2043 pipes'!B:B,0)</f>
        <v>67</v>
      </c>
      <c r="F67">
        <f>VLOOKUP(Table2[[#This Row],[Original_Diameter]],[1]Pipes!$A:$B,2,FALSE)</f>
        <v>433.89080378537034</v>
      </c>
      <c r="G67">
        <f>Table2[[#This Row],[unit cost]]*Table2[[#This Row],[Length]]</f>
        <v>5446.6147720672107</v>
      </c>
    </row>
    <row r="68" spans="1:7" hidden="1" x14ac:dyDescent="0.25">
      <c r="A68" s="1">
        <v>66</v>
      </c>
      <c r="B68" t="s">
        <v>83</v>
      </c>
      <c r="C68">
        <v>96</v>
      </c>
      <c r="D68">
        <v>17.265577</v>
      </c>
      <c r="E68">
        <f>MATCH(Table2[[#This Row],[Pipe_name]],'2043 pipes'!B:B,0)</f>
        <v>68</v>
      </c>
      <c r="F68">
        <f>VLOOKUP(Table2[[#This Row],[Original_Diameter]],[1]Pipes!$A:$B,2,FALSE)</f>
        <v>362.58707029616613</v>
      </c>
      <c r="G68">
        <f>Table2[[#This Row],[unit cost]]*Table2[[#This Row],[Length]]</f>
        <v>6260.2749814028693</v>
      </c>
    </row>
    <row r="69" spans="1:7" hidden="1" x14ac:dyDescent="0.25">
      <c r="A69" s="1">
        <v>67</v>
      </c>
      <c r="B69" t="s">
        <v>84</v>
      </c>
      <c r="C69">
        <v>96</v>
      </c>
      <c r="D69">
        <v>12.796141</v>
      </c>
      <c r="E69">
        <f>MATCH(Table2[[#This Row],[Pipe_name]],'2043 pipes'!B:B,0)</f>
        <v>69</v>
      </c>
      <c r="F69">
        <f>VLOOKUP(Table2[[#This Row],[Original_Diameter]],[1]Pipes!$A:$B,2,FALSE)</f>
        <v>362.58707029616613</v>
      </c>
      <c r="G69">
        <f>Table2[[#This Row],[unit cost]]*Table2[[#This Row],[Length]]</f>
        <v>4639.7152762866535</v>
      </c>
    </row>
    <row r="70" spans="1:7" hidden="1" x14ac:dyDescent="0.25">
      <c r="A70" s="1">
        <v>68</v>
      </c>
      <c r="B70" t="s">
        <v>85</v>
      </c>
      <c r="C70">
        <v>96</v>
      </c>
      <c r="D70">
        <v>59.447406999999998</v>
      </c>
      <c r="E70">
        <f>MATCH(Table2[[#This Row],[Pipe_name]],'2043 pipes'!B:B,0)</f>
        <v>70</v>
      </c>
      <c r="F70">
        <f>VLOOKUP(Table2[[#This Row],[Original_Diameter]],[1]Pipes!$A:$B,2,FALSE)</f>
        <v>362.58707029616613</v>
      </c>
      <c r="G70">
        <f>Table2[[#This Row],[unit cost]]*Table2[[#This Row],[Length]]</f>
        <v>21554.861140833797</v>
      </c>
    </row>
    <row r="71" spans="1:7" hidden="1" x14ac:dyDescent="0.25">
      <c r="A71" s="1">
        <v>69</v>
      </c>
      <c r="B71" t="s">
        <v>86</v>
      </c>
      <c r="C71">
        <v>96</v>
      </c>
      <c r="D71">
        <v>86.270981000000006</v>
      </c>
      <c r="E71">
        <f>MATCH(Table2[[#This Row],[Pipe_name]],'2043 pipes'!B:B,0)</f>
        <v>71</v>
      </c>
      <c r="F71">
        <f>VLOOKUP(Table2[[#This Row],[Original_Diameter]],[1]Pipes!$A:$B,2,FALSE)</f>
        <v>362.58707029616613</v>
      </c>
      <c r="G71">
        <f>Table2[[#This Row],[unit cost]]*Table2[[#This Row],[Length]]</f>
        <v>31280.742252366214</v>
      </c>
    </row>
    <row r="72" spans="1:7" hidden="1" x14ac:dyDescent="0.25">
      <c r="A72" s="1">
        <v>70</v>
      </c>
      <c r="B72" t="s">
        <v>87</v>
      </c>
      <c r="C72">
        <v>101</v>
      </c>
      <c r="D72">
        <v>3.7247370000000002</v>
      </c>
      <c r="E72">
        <f>MATCH(Table2[[#This Row],[Pipe_name]],'2043 pipes'!B:B,0)</f>
        <v>72</v>
      </c>
      <c r="F72">
        <f>VLOOKUP(Table2[[#This Row],[Original_Diameter]],[1]Pipes!$A:$B,2,FALSE)</f>
        <v>362.58707029616613</v>
      </c>
      <c r="G72">
        <f>Table2[[#This Row],[unit cost]]*Table2[[#This Row],[Length]]</f>
        <v>1350.5414764537311</v>
      </c>
    </row>
    <row r="73" spans="1:7" hidden="1" x14ac:dyDescent="0.25">
      <c r="A73" s="1">
        <v>71</v>
      </c>
      <c r="B73" t="s">
        <v>88</v>
      </c>
      <c r="C73">
        <v>96</v>
      </c>
      <c r="D73">
        <v>2.1454460000000002</v>
      </c>
      <c r="E73">
        <f>MATCH(Table2[[#This Row],[Pipe_name]],'2043 pipes'!B:B,0)</f>
        <v>73</v>
      </c>
      <c r="F73">
        <f>VLOOKUP(Table2[[#This Row],[Original_Diameter]],[1]Pipes!$A:$B,2,FALSE)</f>
        <v>362.58707029616613</v>
      </c>
      <c r="G73">
        <f>Table2[[#This Row],[unit cost]]*Table2[[#This Row],[Length]]</f>
        <v>777.91097961862852</v>
      </c>
    </row>
    <row r="74" spans="1:7" hidden="1" x14ac:dyDescent="0.25">
      <c r="A74" s="1">
        <v>72</v>
      </c>
      <c r="B74" t="s">
        <v>89</v>
      </c>
      <c r="C74">
        <v>96</v>
      </c>
      <c r="D74">
        <v>77.576965000000001</v>
      </c>
      <c r="E74">
        <f>MATCH(Table2[[#This Row],[Pipe_name]],'2043 pipes'!B:B,0)</f>
        <v>74</v>
      </c>
      <c r="F74">
        <f>VLOOKUP(Table2[[#This Row],[Original_Diameter]],[1]Pipes!$A:$B,2,FALSE)</f>
        <v>362.58707029616613</v>
      </c>
      <c r="G74">
        <f>Table2[[#This Row],[unit cost]]*Table2[[#This Row],[Length]]</f>
        <v>28128.40446181822</v>
      </c>
    </row>
    <row r="75" spans="1:7" hidden="1" x14ac:dyDescent="0.25">
      <c r="A75" s="1">
        <v>73</v>
      </c>
      <c r="B75" t="s">
        <v>90</v>
      </c>
      <c r="C75">
        <v>101</v>
      </c>
      <c r="D75">
        <v>14.438655000000001</v>
      </c>
      <c r="E75">
        <f>MATCH(Table2[[#This Row],[Pipe_name]],'2043 pipes'!B:B,0)</f>
        <v>75</v>
      </c>
      <c r="F75">
        <f>VLOOKUP(Table2[[#This Row],[Original_Diameter]],[1]Pipes!$A:$B,2,FALSE)</f>
        <v>362.58707029616613</v>
      </c>
      <c r="G75">
        <f>Table2[[#This Row],[unit cost]]*Table2[[#This Row],[Length]]</f>
        <v>5235.2696154670912</v>
      </c>
    </row>
    <row r="76" spans="1:7" hidden="1" x14ac:dyDescent="0.25">
      <c r="A76" s="1">
        <v>74</v>
      </c>
      <c r="B76" t="s">
        <v>91</v>
      </c>
      <c r="C76">
        <v>141</v>
      </c>
      <c r="D76">
        <v>1.973125</v>
      </c>
      <c r="E76">
        <f>MATCH(Table2[[#This Row],[Pipe_name]],'2043 pipes'!B:B,0)</f>
        <v>76</v>
      </c>
      <c r="F76">
        <f>VLOOKUP(Table2[[#This Row],[Original_Diameter]],[1]Pipes!$A:$B,2,FALSE)</f>
        <v>433.89080378537034</v>
      </c>
      <c r="G76">
        <f>Table2[[#This Row],[unit cost]]*Table2[[#This Row],[Length]]</f>
        <v>856.12079221900888</v>
      </c>
    </row>
    <row r="77" spans="1:7" hidden="1" x14ac:dyDescent="0.25">
      <c r="A77" s="1">
        <v>75</v>
      </c>
      <c r="B77" t="s">
        <v>92</v>
      </c>
      <c r="C77">
        <v>50</v>
      </c>
      <c r="D77">
        <v>65.142669999999995</v>
      </c>
      <c r="E77">
        <f>MATCH(Table2[[#This Row],[Pipe_name]],'2043 pipes'!B:B,0)</f>
        <v>77</v>
      </c>
      <c r="F77">
        <f>VLOOKUP(Table2[[#This Row],[Original_Diameter]],[1]Pipes!$A:$B,2,FALSE)</f>
        <v>362.58707029616613</v>
      </c>
      <c r="G77">
        <f>Table2[[#This Row],[unit cost]]*Table2[[#This Row],[Length]]</f>
        <v>23619.889866569953</v>
      </c>
    </row>
    <row r="78" spans="1:7" hidden="1" x14ac:dyDescent="0.25">
      <c r="A78" s="1">
        <v>76</v>
      </c>
      <c r="B78" t="s">
        <v>93</v>
      </c>
      <c r="C78">
        <v>141</v>
      </c>
      <c r="D78">
        <v>10.476153999999999</v>
      </c>
      <c r="E78">
        <f>MATCH(Table2[[#This Row],[Pipe_name]],'2043 pipes'!B:B,0)</f>
        <v>78</v>
      </c>
      <c r="F78">
        <f>VLOOKUP(Table2[[#This Row],[Original_Diameter]],[1]Pipes!$A:$B,2,FALSE)</f>
        <v>433.89080378537034</v>
      </c>
      <c r="G78">
        <f>Table2[[#This Row],[unit cost]]*Table2[[#This Row],[Length]]</f>
        <v>4545.5068796393225</v>
      </c>
    </row>
    <row r="79" spans="1:7" hidden="1" x14ac:dyDescent="0.25">
      <c r="A79" s="1">
        <v>77</v>
      </c>
      <c r="B79" t="s">
        <v>94</v>
      </c>
      <c r="C79">
        <v>96</v>
      </c>
      <c r="D79">
        <v>13.5374</v>
      </c>
      <c r="E79">
        <f>MATCH(Table2[[#This Row],[Pipe_name]],'2043 pipes'!B:B,0)</f>
        <v>79</v>
      </c>
      <c r="F79">
        <f>VLOOKUP(Table2[[#This Row],[Original_Diameter]],[1]Pipes!$A:$B,2,FALSE)</f>
        <v>362.58707029616613</v>
      </c>
      <c r="G79">
        <f>Table2[[#This Row],[unit cost]]*Table2[[#This Row],[Length]]</f>
        <v>4908.486205427319</v>
      </c>
    </row>
    <row r="80" spans="1:7" hidden="1" x14ac:dyDescent="0.25">
      <c r="A80" s="1">
        <v>78</v>
      </c>
      <c r="B80" t="s">
        <v>95</v>
      </c>
      <c r="C80">
        <v>96</v>
      </c>
      <c r="D80">
        <v>12.412012000000001</v>
      </c>
      <c r="E80">
        <f>MATCH(Table2[[#This Row],[Pipe_name]],'2043 pipes'!B:B,0)</f>
        <v>80</v>
      </c>
      <c r="F80">
        <f>VLOOKUP(Table2[[#This Row],[Original_Diameter]],[1]Pipes!$A:$B,2,FALSE)</f>
        <v>362.58707029616613</v>
      </c>
      <c r="G80">
        <f>Table2[[#This Row],[unit cost]]*Table2[[#This Row],[Length]]</f>
        <v>4500.4350675608575</v>
      </c>
    </row>
    <row r="81" spans="1:7" hidden="1" x14ac:dyDescent="0.25">
      <c r="A81" s="1">
        <v>79</v>
      </c>
      <c r="B81" t="s">
        <v>96</v>
      </c>
      <c r="C81">
        <v>63</v>
      </c>
      <c r="D81">
        <v>64.677291999999994</v>
      </c>
      <c r="E81">
        <f>MATCH(Table2[[#This Row],[Pipe_name]],'2043 pipes'!B:B,0)</f>
        <v>81</v>
      </c>
      <c r="F81">
        <f>VLOOKUP(Table2[[#This Row],[Original_Diameter]],[1]Pipes!$A:$B,2,FALSE)</f>
        <v>362.58707029616613</v>
      </c>
      <c r="G81">
        <f>Table2[[#This Row],[unit cost]]*Table2[[#This Row],[Length]]</f>
        <v>23451.149820969662</v>
      </c>
    </row>
    <row r="82" spans="1:7" hidden="1" x14ac:dyDescent="0.25">
      <c r="A82" s="1">
        <v>80</v>
      </c>
      <c r="B82" t="s">
        <v>97</v>
      </c>
      <c r="C82">
        <v>96</v>
      </c>
      <c r="D82">
        <v>147.23864699999999</v>
      </c>
      <c r="E82">
        <f>MATCH(Table2[[#This Row],[Pipe_name]],'2043 pipes'!B:B,0)</f>
        <v>82</v>
      </c>
      <c r="F82">
        <f>VLOOKUP(Table2[[#This Row],[Original_Diameter]],[1]Pipes!$A:$B,2,FALSE)</f>
        <v>362.58707029616613</v>
      </c>
      <c r="G82">
        <f>Table2[[#This Row],[unit cost]]*Table2[[#This Row],[Length]]</f>
        <v>53386.829650101383</v>
      </c>
    </row>
    <row r="83" spans="1:7" hidden="1" x14ac:dyDescent="0.25">
      <c r="A83" s="1">
        <v>81</v>
      </c>
      <c r="B83" t="s">
        <v>98</v>
      </c>
      <c r="C83">
        <v>143</v>
      </c>
      <c r="D83">
        <v>395.94937099999999</v>
      </c>
      <c r="E83">
        <f>MATCH(Table2[[#This Row],[Pipe_name]],'2043 pipes'!B:B,0)</f>
        <v>83</v>
      </c>
      <c r="F83">
        <f>VLOOKUP(Table2[[#This Row],[Original_Diameter]],[1]Pipes!$A:$B,2,FALSE)</f>
        <v>433.89080378537034</v>
      </c>
      <c r="G83">
        <f>Table2[[#This Row],[unit cost]]*Table2[[#This Row],[Length]]</f>
        <v>171798.79084150179</v>
      </c>
    </row>
    <row r="84" spans="1:7" hidden="1" x14ac:dyDescent="0.25">
      <c r="A84" s="1">
        <v>82</v>
      </c>
      <c r="B84" t="s">
        <v>99</v>
      </c>
      <c r="C84">
        <v>96</v>
      </c>
      <c r="D84">
        <v>36.269458999999998</v>
      </c>
      <c r="E84">
        <f>MATCH(Table2[[#This Row],[Pipe_name]],'2043 pipes'!B:B,0)</f>
        <v>84</v>
      </c>
      <c r="F84">
        <f>VLOOKUP(Table2[[#This Row],[Original_Diameter]],[1]Pipes!$A:$B,2,FALSE)</f>
        <v>362.58707029616613</v>
      </c>
      <c r="G84">
        <f>Table2[[#This Row],[unit cost]]*Table2[[#This Row],[Length]]</f>
        <v>13150.836880036915</v>
      </c>
    </row>
    <row r="85" spans="1:7" x14ac:dyDescent="0.25">
      <c r="A85" s="1">
        <v>83</v>
      </c>
      <c r="B85" t="s">
        <v>100</v>
      </c>
      <c r="C85">
        <v>141</v>
      </c>
      <c r="D85">
        <v>6.8764450000000004</v>
      </c>
      <c r="E85" t="e">
        <f>MATCH(Table2[[#This Row],[Pipe_name]],'2043 pipes'!B:B,0)</f>
        <v>#N/A</v>
      </c>
      <c r="F85">
        <f>VLOOKUP(Table2[[#This Row],[Original_Diameter]],[1]Pipes!$A:$B,2,FALSE)</f>
        <v>433.89080378537034</v>
      </c>
      <c r="G85">
        <f>Table2[[#This Row],[unit cost]]*Table2[[#This Row],[Length]]</f>
        <v>2983.6262482358911</v>
      </c>
    </row>
    <row r="86" spans="1:7" hidden="1" x14ac:dyDescent="0.25">
      <c r="A86" s="1">
        <v>84</v>
      </c>
      <c r="B86" t="s">
        <v>101</v>
      </c>
      <c r="C86">
        <v>141</v>
      </c>
      <c r="D86">
        <v>12.999427000000001</v>
      </c>
      <c r="E86">
        <f>MATCH(Table2[[#This Row],[Pipe_name]],'2043 pipes'!B:B,0)</f>
        <v>86</v>
      </c>
      <c r="F86">
        <f>VLOOKUP(Table2[[#This Row],[Original_Diameter]],[1]Pipes!$A:$B,2,FALSE)</f>
        <v>433.89080378537034</v>
      </c>
      <c r="G86">
        <f>Table2[[#This Row],[unit cost]]*Table2[[#This Row],[Length]]</f>
        <v>5640.3318297792457</v>
      </c>
    </row>
    <row r="87" spans="1:7" hidden="1" x14ac:dyDescent="0.25">
      <c r="A87" s="1">
        <v>85</v>
      </c>
      <c r="B87" t="s">
        <v>102</v>
      </c>
      <c r="C87">
        <v>50</v>
      </c>
      <c r="D87">
        <v>11.103839000000001</v>
      </c>
      <c r="E87">
        <f>MATCH(Table2[[#This Row],[Pipe_name]],'2043 pipes'!B:B,0)</f>
        <v>87</v>
      </c>
      <c r="F87">
        <f>VLOOKUP(Table2[[#This Row],[Original_Diameter]],[1]Pipes!$A:$B,2,FALSE)</f>
        <v>362.58707029616613</v>
      </c>
      <c r="G87">
        <f>Table2[[#This Row],[unit cost]]*Table2[[#This Row],[Length]]</f>
        <v>4026.1084520503114</v>
      </c>
    </row>
    <row r="88" spans="1:7" hidden="1" x14ac:dyDescent="0.25">
      <c r="A88" s="1">
        <v>86</v>
      </c>
      <c r="B88" t="s">
        <v>103</v>
      </c>
      <c r="C88">
        <v>96</v>
      </c>
      <c r="D88">
        <v>63.452770000000001</v>
      </c>
      <c r="E88">
        <f>MATCH(Table2[[#This Row],[Pipe_name]],'2043 pipes'!B:B,0)</f>
        <v>88</v>
      </c>
      <c r="F88">
        <f>VLOOKUP(Table2[[#This Row],[Original_Diameter]],[1]Pipes!$A:$B,2,FALSE)</f>
        <v>362.58707029616613</v>
      </c>
      <c r="G88">
        <f>Table2[[#This Row],[unit cost]]*Table2[[#This Row],[Length]]</f>
        <v>23007.15397647646</v>
      </c>
    </row>
    <row r="89" spans="1:7" hidden="1" x14ac:dyDescent="0.25">
      <c r="A89" s="1">
        <v>87</v>
      </c>
      <c r="B89" t="s">
        <v>104</v>
      </c>
      <c r="C89">
        <v>32</v>
      </c>
      <c r="D89">
        <v>26.749476999999999</v>
      </c>
      <c r="E89">
        <f>MATCH(Table2[[#This Row],[Pipe_name]],'2043 pipes'!B:B,0)</f>
        <v>89</v>
      </c>
      <c r="F89">
        <f>VLOOKUP(Table2[[#This Row],[Original_Diameter]],[1]Pipes!$A:$B,2,FALSE)</f>
        <v>362.58707029616613</v>
      </c>
      <c r="G89">
        <f>Table2[[#This Row],[unit cost]]*Table2[[#This Row],[Length]]</f>
        <v>9699.0144973846782</v>
      </c>
    </row>
    <row r="90" spans="1:7" hidden="1" x14ac:dyDescent="0.25">
      <c r="A90" s="1">
        <v>88</v>
      </c>
      <c r="B90" t="s">
        <v>105</v>
      </c>
      <c r="C90">
        <v>96</v>
      </c>
      <c r="D90">
        <v>141.13400300000001</v>
      </c>
      <c r="E90">
        <f>MATCH(Table2[[#This Row],[Pipe_name]],'2043 pipes'!B:B,0)</f>
        <v>90</v>
      </c>
      <c r="F90">
        <f>VLOOKUP(Table2[[#This Row],[Original_Diameter]],[1]Pipes!$A:$B,2,FALSE)</f>
        <v>362.58707029616613</v>
      </c>
      <c r="G90">
        <f>Table2[[#This Row],[unit cost]]*Table2[[#This Row],[Length]]</f>
        <v>51173.364666940324</v>
      </c>
    </row>
    <row r="91" spans="1:7" hidden="1" x14ac:dyDescent="0.25">
      <c r="A91" s="1">
        <v>89</v>
      </c>
      <c r="B91" t="s">
        <v>106</v>
      </c>
      <c r="C91">
        <v>101</v>
      </c>
      <c r="D91">
        <v>39.221443000000001</v>
      </c>
      <c r="E91">
        <f>MATCH(Table2[[#This Row],[Pipe_name]],'2043 pipes'!B:B,0)</f>
        <v>91</v>
      </c>
      <c r="F91">
        <f>VLOOKUP(Table2[[#This Row],[Original_Diameter]],[1]Pipes!$A:$B,2,FALSE)</f>
        <v>362.58707029616613</v>
      </c>
      <c r="G91">
        <f>Table2[[#This Row],[unit cost]]*Table2[[#This Row],[Length]]</f>
        <v>14221.188110158073</v>
      </c>
    </row>
    <row r="92" spans="1:7" hidden="1" x14ac:dyDescent="0.25">
      <c r="A92" s="1">
        <v>90</v>
      </c>
      <c r="B92" t="s">
        <v>107</v>
      </c>
      <c r="C92">
        <v>50</v>
      </c>
      <c r="D92">
        <v>64.022025999999997</v>
      </c>
      <c r="E92">
        <f>MATCH(Table2[[#This Row],[Pipe_name]],'2043 pipes'!B:B,0)</f>
        <v>92</v>
      </c>
      <c r="F92">
        <f>VLOOKUP(Table2[[#This Row],[Original_Diameter]],[1]Pipes!$A:$B,2,FALSE)</f>
        <v>362.58707029616613</v>
      </c>
      <c r="G92">
        <f>Table2[[#This Row],[unit cost]]*Table2[[#This Row],[Length]]</f>
        <v>23213.558841764974</v>
      </c>
    </row>
    <row r="93" spans="1:7" hidden="1" x14ac:dyDescent="0.25">
      <c r="A93" s="1">
        <v>91</v>
      </c>
      <c r="B93" t="s">
        <v>108</v>
      </c>
      <c r="C93">
        <v>96</v>
      </c>
      <c r="D93">
        <v>288.62799100000001</v>
      </c>
      <c r="E93">
        <f>MATCH(Table2[[#This Row],[Pipe_name]],'2043 pipes'!B:B,0)</f>
        <v>93</v>
      </c>
      <c r="F93">
        <f>VLOOKUP(Table2[[#This Row],[Original_Diameter]],[1]Pipes!$A:$B,2,FALSE)</f>
        <v>362.58707029616613</v>
      </c>
      <c r="G93">
        <f>Table2[[#This Row],[unit cost]]*Table2[[#This Row],[Length]]</f>
        <v>104652.77766215822</v>
      </c>
    </row>
    <row r="94" spans="1:7" x14ac:dyDescent="0.25">
      <c r="A94" s="1">
        <v>92</v>
      </c>
      <c r="B94" t="s">
        <v>109</v>
      </c>
      <c r="C94">
        <v>96</v>
      </c>
      <c r="D94">
        <v>3.1148169999999999</v>
      </c>
      <c r="E94" t="e">
        <f>MATCH(Table2[[#This Row],[Pipe_name]],'2043 pipes'!B:B,0)</f>
        <v>#N/A</v>
      </c>
      <c r="F94">
        <f>VLOOKUP(Table2[[#This Row],[Original_Diameter]],[1]Pipes!$A:$B,2,FALSE)</f>
        <v>362.58707029616613</v>
      </c>
      <c r="G94">
        <f>Table2[[#This Row],[unit cost]]*Table2[[#This Row],[Length]]</f>
        <v>1129.3923705386933</v>
      </c>
    </row>
    <row r="95" spans="1:7" hidden="1" x14ac:dyDescent="0.25">
      <c r="A95" s="1">
        <v>93</v>
      </c>
      <c r="B95" t="s">
        <v>110</v>
      </c>
      <c r="C95">
        <v>141</v>
      </c>
      <c r="D95">
        <v>2.2604630000000001</v>
      </c>
      <c r="E95">
        <f>MATCH(Table2[[#This Row],[Pipe_name]],'2043 pipes'!B:B,0)</f>
        <v>94</v>
      </c>
      <c r="F95">
        <f>VLOOKUP(Table2[[#This Row],[Original_Diameter]],[1]Pipes!$A:$B,2,FALSE)</f>
        <v>433.89080378537034</v>
      </c>
      <c r="G95">
        <f>Table2[[#This Row],[unit cost]]*Table2[[#This Row],[Length]]</f>
        <v>980.79410799708967</v>
      </c>
    </row>
    <row r="96" spans="1:7" hidden="1" x14ac:dyDescent="0.25">
      <c r="A96" s="1">
        <v>94</v>
      </c>
      <c r="B96" t="s">
        <v>111</v>
      </c>
      <c r="C96">
        <v>96</v>
      </c>
      <c r="D96">
        <v>141.772751</v>
      </c>
      <c r="E96">
        <f>MATCH(Table2[[#This Row],[Pipe_name]],'2043 pipes'!B:B,0)</f>
        <v>95</v>
      </c>
      <c r="F96">
        <f>VLOOKUP(Table2[[#This Row],[Original_Diameter]],[1]Pipes!$A:$B,2,FALSE)</f>
        <v>362.58707029616613</v>
      </c>
      <c r="G96">
        <f>Table2[[#This Row],[unit cost]]*Table2[[#This Row],[Length]]</f>
        <v>51404.966432917856</v>
      </c>
    </row>
    <row r="97" spans="1:7" hidden="1" x14ac:dyDescent="0.25">
      <c r="A97" s="1">
        <v>95</v>
      </c>
      <c r="B97" t="s">
        <v>112</v>
      </c>
      <c r="C97">
        <v>96</v>
      </c>
      <c r="D97">
        <v>527.37817399999994</v>
      </c>
      <c r="E97">
        <f>MATCH(Table2[[#This Row],[Pipe_name]],'2043 pipes'!B:B,0)</f>
        <v>96</v>
      </c>
      <c r="F97">
        <f>VLOOKUP(Table2[[#This Row],[Original_Diameter]],[1]Pipes!$A:$B,2,FALSE)</f>
        <v>362.58707029616613</v>
      </c>
      <c r="G97">
        <f>Table2[[#This Row],[unit cost]]*Table2[[#This Row],[Length]]</f>
        <v>191220.50704880172</v>
      </c>
    </row>
    <row r="98" spans="1:7" hidden="1" x14ac:dyDescent="0.25">
      <c r="A98" s="1">
        <v>96</v>
      </c>
      <c r="B98" t="s">
        <v>113</v>
      </c>
      <c r="C98">
        <v>101</v>
      </c>
      <c r="D98">
        <v>122.79098500000001</v>
      </c>
      <c r="E98">
        <f>MATCH(Table2[[#This Row],[Pipe_name]],'2043 pipes'!B:B,0)</f>
        <v>97</v>
      </c>
      <c r="F98">
        <f>VLOOKUP(Table2[[#This Row],[Original_Diameter]],[1]Pipes!$A:$B,2,FALSE)</f>
        <v>362.58707029616613</v>
      </c>
      <c r="G98">
        <f>Table2[[#This Row],[unit cost]]*Table2[[#This Row],[Length]]</f>
        <v>44522.423509930486</v>
      </c>
    </row>
    <row r="99" spans="1:7" hidden="1" x14ac:dyDescent="0.25">
      <c r="A99" s="1">
        <v>97</v>
      </c>
      <c r="B99" t="s">
        <v>114</v>
      </c>
      <c r="C99">
        <v>141</v>
      </c>
      <c r="D99">
        <v>1.92042</v>
      </c>
      <c r="E99">
        <f>MATCH(Table2[[#This Row],[Pipe_name]],'2043 pipes'!B:B,0)</f>
        <v>98</v>
      </c>
      <c r="F99">
        <f>VLOOKUP(Table2[[#This Row],[Original_Diameter]],[1]Pipes!$A:$B,2,FALSE)</f>
        <v>433.89080378537034</v>
      </c>
      <c r="G99">
        <f>Table2[[#This Row],[unit cost]]*Table2[[#This Row],[Length]]</f>
        <v>833.25257740550092</v>
      </c>
    </row>
    <row r="100" spans="1:7" hidden="1" x14ac:dyDescent="0.25">
      <c r="A100" s="1">
        <v>98</v>
      </c>
      <c r="B100" t="s">
        <v>115</v>
      </c>
      <c r="C100">
        <v>96</v>
      </c>
      <c r="D100">
        <v>13.021284</v>
      </c>
      <c r="E100">
        <f>MATCH(Table2[[#This Row],[Pipe_name]],'2043 pipes'!B:B,0)</f>
        <v>99</v>
      </c>
      <c r="F100">
        <f>VLOOKUP(Table2[[#This Row],[Original_Diameter]],[1]Pipes!$A:$B,2,FALSE)</f>
        <v>362.58707029616613</v>
      </c>
      <c r="G100">
        <f>Table2[[#This Row],[unit cost]]*Table2[[#This Row],[Length]]</f>
        <v>4721.3492170543432</v>
      </c>
    </row>
    <row r="101" spans="1:7" hidden="1" x14ac:dyDescent="0.25">
      <c r="A101" s="1">
        <v>99</v>
      </c>
      <c r="B101" t="s">
        <v>116</v>
      </c>
      <c r="C101">
        <v>143</v>
      </c>
      <c r="D101">
        <v>13.818092</v>
      </c>
      <c r="E101">
        <f>MATCH(Table2[[#This Row],[Pipe_name]],'2043 pipes'!B:B,0)</f>
        <v>100</v>
      </c>
      <c r="F101">
        <f>VLOOKUP(Table2[[#This Row],[Original_Diameter]],[1]Pipes!$A:$B,2,FALSE)</f>
        <v>433.89080378537034</v>
      </c>
      <c r="G101">
        <f>Table2[[#This Row],[unit cost]]*Table2[[#This Row],[Length]]</f>
        <v>5995.5430446601958</v>
      </c>
    </row>
    <row r="102" spans="1:7" hidden="1" x14ac:dyDescent="0.25">
      <c r="A102" s="1">
        <v>100</v>
      </c>
      <c r="B102" t="s">
        <v>117</v>
      </c>
      <c r="C102">
        <v>143</v>
      </c>
      <c r="D102">
        <v>21.938016999999999</v>
      </c>
      <c r="E102">
        <f>MATCH(Table2[[#This Row],[Pipe_name]],'2043 pipes'!B:B,0)</f>
        <v>101</v>
      </c>
      <c r="F102">
        <f>VLOOKUP(Table2[[#This Row],[Original_Diameter]],[1]Pipes!$A:$B,2,FALSE)</f>
        <v>433.89080378537034</v>
      </c>
      <c r="G102">
        <f>Table2[[#This Row],[unit cost]]*Table2[[#This Row],[Length]]</f>
        <v>9518.7038295871189</v>
      </c>
    </row>
    <row r="103" spans="1:7" hidden="1" x14ac:dyDescent="0.25">
      <c r="A103" s="1">
        <v>101</v>
      </c>
      <c r="B103" t="s">
        <v>118</v>
      </c>
      <c r="C103">
        <v>63</v>
      </c>
      <c r="D103">
        <v>1.725676</v>
      </c>
      <c r="E103">
        <f>MATCH(Table2[[#This Row],[Pipe_name]],'2043 pipes'!B:B,0)</f>
        <v>102</v>
      </c>
      <c r="F103">
        <f>VLOOKUP(Table2[[#This Row],[Original_Diameter]],[1]Pipes!$A:$B,2,FALSE)</f>
        <v>362.58707029616613</v>
      </c>
      <c r="G103">
        <f>Table2[[#This Row],[unit cost]]*Table2[[#This Row],[Length]]</f>
        <v>625.70780512040676</v>
      </c>
    </row>
    <row r="104" spans="1:7" hidden="1" x14ac:dyDescent="0.25">
      <c r="A104" s="1">
        <v>102</v>
      </c>
      <c r="B104" t="s">
        <v>119</v>
      </c>
      <c r="C104">
        <v>63</v>
      </c>
      <c r="D104">
        <v>65.785056999999995</v>
      </c>
      <c r="E104">
        <f>MATCH(Table2[[#This Row],[Pipe_name]],'2043 pipes'!B:B,0)</f>
        <v>103</v>
      </c>
      <c r="F104">
        <f>VLOOKUP(Table2[[#This Row],[Original_Diameter]],[1]Pipes!$A:$B,2,FALSE)</f>
        <v>362.58707029616613</v>
      </c>
      <c r="G104">
        <f>Table2[[#This Row],[unit cost]]*Table2[[#This Row],[Length]]</f>
        <v>23852.811086896294</v>
      </c>
    </row>
    <row r="105" spans="1:7" hidden="1" x14ac:dyDescent="0.25">
      <c r="A105" s="1">
        <v>103</v>
      </c>
      <c r="B105" t="s">
        <v>120</v>
      </c>
      <c r="C105">
        <v>50</v>
      </c>
      <c r="D105">
        <v>16.028227000000001</v>
      </c>
      <c r="E105">
        <f>MATCH(Table2[[#This Row],[Pipe_name]],'2043 pipes'!B:B,0)</f>
        <v>104</v>
      </c>
      <c r="F105">
        <f>VLOOKUP(Table2[[#This Row],[Original_Diameter]],[1]Pipes!$A:$B,2,FALSE)</f>
        <v>362.58707029616613</v>
      </c>
      <c r="G105">
        <f>Table2[[#This Row],[unit cost]]*Table2[[#This Row],[Length]]</f>
        <v>5811.6278699719087</v>
      </c>
    </row>
    <row r="106" spans="1:7" hidden="1" x14ac:dyDescent="0.25">
      <c r="A106" s="1">
        <v>104</v>
      </c>
      <c r="B106" t="s">
        <v>121</v>
      </c>
      <c r="C106">
        <v>96</v>
      </c>
      <c r="D106">
        <v>146.709351</v>
      </c>
      <c r="E106">
        <f>MATCH(Table2[[#This Row],[Pipe_name]],'2043 pipes'!B:B,0)</f>
        <v>105</v>
      </c>
      <c r="F106">
        <f>VLOOKUP(Table2[[#This Row],[Original_Diameter]],[1]Pipes!$A:$B,2,FALSE)</f>
        <v>362.58707029616613</v>
      </c>
      <c r="G106">
        <f>Table2[[#This Row],[unit cost]]*Table2[[#This Row],[Length]]</f>
        <v>53194.913764141907</v>
      </c>
    </row>
    <row r="107" spans="1:7" hidden="1" x14ac:dyDescent="0.25">
      <c r="A107" s="1">
        <v>105</v>
      </c>
      <c r="B107" t="s">
        <v>122</v>
      </c>
      <c r="C107">
        <v>96</v>
      </c>
      <c r="D107">
        <v>4.7796729999999998</v>
      </c>
      <c r="E107">
        <f>MATCH(Table2[[#This Row],[Pipe_name]],'2043 pipes'!B:B,0)</f>
        <v>106</v>
      </c>
      <c r="F107">
        <f>VLOOKUP(Table2[[#This Row],[Original_Diameter]],[1]Pipes!$A:$B,2,FALSE)</f>
        <v>362.58707029616613</v>
      </c>
      <c r="G107">
        <f>Table2[[#This Row],[unit cost]]*Table2[[#This Row],[Length]]</f>
        <v>1733.0476300436871</v>
      </c>
    </row>
    <row r="108" spans="1:7" hidden="1" x14ac:dyDescent="0.25">
      <c r="A108" s="1">
        <v>106</v>
      </c>
      <c r="B108" t="s">
        <v>123</v>
      </c>
      <c r="C108">
        <v>96</v>
      </c>
      <c r="D108">
        <v>282.29281600000002</v>
      </c>
      <c r="E108">
        <f>MATCH(Table2[[#This Row],[Pipe_name]],'2043 pipes'!B:B,0)</f>
        <v>107</v>
      </c>
      <c r="F108">
        <f>VLOOKUP(Table2[[#This Row],[Original_Diameter]],[1]Pipes!$A:$B,2,FALSE)</f>
        <v>362.58707029616613</v>
      </c>
      <c r="G108">
        <f>Table2[[#This Row],[unit cost]]*Table2[[#This Row],[Length]]</f>
        <v>102355.7251190947</v>
      </c>
    </row>
    <row r="109" spans="1:7" hidden="1" x14ac:dyDescent="0.25">
      <c r="A109" s="1">
        <v>107</v>
      </c>
      <c r="B109" t="s">
        <v>124</v>
      </c>
      <c r="C109">
        <v>50</v>
      </c>
      <c r="D109">
        <v>19.506592000000001</v>
      </c>
      <c r="E109">
        <f>MATCH(Table2[[#This Row],[Pipe_name]],'2043 pipes'!B:B,0)</f>
        <v>108</v>
      </c>
      <c r="F109">
        <f>VLOOKUP(Table2[[#This Row],[Original_Diameter]],[1]Pipes!$A:$B,2,FALSE)</f>
        <v>362.58707029616613</v>
      </c>
      <c r="G109">
        <f>Table2[[#This Row],[unit cost]]*Table2[[#This Row],[Length]]</f>
        <v>7072.8380447426325</v>
      </c>
    </row>
    <row r="110" spans="1:7" hidden="1" x14ac:dyDescent="0.25">
      <c r="A110" s="1">
        <v>108</v>
      </c>
      <c r="B110" t="s">
        <v>125</v>
      </c>
      <c r="C110">
        <v>96</v>
      </c>
      <c r="D110">
        <v>2.9009770000000001</v>
      </c>
      <c r="E110">
        <f>MATCH(Table2[[#This Row],[Pipe_name]],'2043 pipes'!B:B,0)</f>
        <v>109</v>
      </c>
      <c r="F110">
        <f>VLOOKUP(Table2[[#This Row],[Original_Diameter]],[1]Pipes!$A:$B,2,FALSE)</f>
        <v>362.58707029616613</v>
      </c>
      <c r="G110">
        <f>Table2[[#This Row],[unit cost]]*Table2[[#This Row],[Length]]</f>
        <v>1051.8567514265612</v>
      </c>
    </row>
    <row r="111" spans="1:7" hidden="1" x14ac:dyDescent="0.25">
      <c r="A111" s="1">
        <v>109</v>
      </c>
      <c r="B111" t="s">
        <v>126</v>
      </c>
      <c r="C111">
        <v>96</v>
      </c>
      <c r="D111">
        <v>82.272873000000004</v>
      </c>
      <c r="E111">
        <f>MATCH(Table2[[#This Row],[Pipe_name]],'2043 pipes'!B:B,0)</f>
        <v>110</v>
      </c>
      <c r="F111">
        <f>VLOOKUP(Table2[[#This Row],[Original_Diameter]],[1]Pipes!$A:$B,2,FALSE)</f>
        <v>362.58707029616613</v>
      </c>
      <c r="G111">
        <f>Table2[[#This Row],[unit cost]]*Table2[[#This Row],[Length]]</f>
        <v>29831.07998591855</v>
      </c>
    </row>
    <row r="112" spans="1:7" hidden="1" x14ac:dyDescent="0.25">
      <c r="A112" s="1">
        <v>110</v>
      </c>
      <c r="B112" t="s">
        <v>127</v>
      </c>
      <c r="C112">
        <v>96</v>
      </c>
      <c r="D112">
        <v>98.894096000000005</v>
      </c>
      <c r="E112">
        <f>MATCH(Table2[[#This Row],[Pipe_name]],'2043 pipes'!B:B,0)</f>
        <v>111</v>
      </c>
      <c r="F112">
        <f>VLOOKUP(Table2[[#This Row],[Original_Diameter]],[1]Pipes!$A:$B,2,FALSE)</f>
        <v>362.58707029616613</v>
      </c>
      <c r="G112">
        <f>Table2[[#This Row],[unit cost]]*Table2[[#This Row],[Length]]</f>
        <v>35857.720538227804</v>
      </c>
    </row>
    <row r="113" spans="1:7" hidden="1" x14ac:dyDescent="0.25">
      <c r="A113" s="1">
        <v>111</v>
      </c>
      <c r="B113" t="s">
        <v>128</v>
      </c>
      <c r="C113">
        <v>96</v>
      </c>
      <c r="D113">
        <v>148.80784600000001</v>
      </c>
      <c r="E113">
        <f>MATCH(Table2[[#This Row],[Pipe_name]],'2043 pipes'!B:B,0)</f>
        <v>112</v>
      </c>
      <c r="F113">
        <f>VLOOKUP(Table2[[#This Row],[Original_Diameter]],[1]Pipes!$A:$B,2,FALSE)</f>
        <v>362.58707029616613</v>
      </c>
      <c r="G113">
        <f>Table2[[#This Row],[unit cost]]*Table2[[#This Row],[Length]]</f>
        <v>53955.800918223067</v>
      </c>
    </row>
    <row r="114" spans="1:7" hidden="1" x14ac:dyDescent="0.25">
      <c r="A114" s="1">
        <v>112</v>
      </c>
      <c r="B114" t="s">
        <v>129</v>
      </c>
      <c r="C114">
        <v>96</v>
      </c>
      <c r="D114">
        <v>98.024199999999993</v>
      </c>
      <c r="E114">
        <f>MATCH(Table2[[#This Row],[Pipe_name]],'2043 pipes'!B:B,0)</f>
        <v>113</v>
      </c>
      <c r="F114">
        <f>VLOOKUP(Table2[[#This Row],[Original_Diameter]],[1]Pipes!$A:$B,2,FALSE)</f>
        <v>362.58707029616613</v>
      </c>
      <c r="G114">
        <f>Table2[[#This Row],[unit cost]]*Table2[[#This Row],[Length]]</f>
        <v>35542.307496125446</v>
      </c>
    </row>
    <row r="115" spans="1:7" hidden="1" x14ac:dyDescent="0.25">
      <c r="A115" s="1">
        <v>113</v>
      </c>
      <c r="B115" t="s">
        <v>130</v>
      </c>
      <c r="C115">
        <v>96</v>
      </c>
      <c r="D115">
        <v>58.299061000000002</v>
      </c>
      <c r="E115">
        <f>MATCH(Table2[[#This Row],[Pipe_name]],'2043 pipes'!B:B,0)</f>
        <v>114</v>
      </c>
      <c r="F115">
        <f>VLOOKUP(Table2[[#This Row],[Original_Diameter]],[1]Pipes!$A:$B,2,FALSE)</f>
        <v>362.58707029616613</v>
      </c>
      <c r="G115">
        <f>Table2[[#This Row],[unit cost]]*Table2[[#This Row],[Length]]</f>
        <v>21138.48572900748</v>
      </c>
    </row>
    <row r="116" spans="1:7" hidden="1" x14ac:dyDescent="0.25">
      <c r="A116" s="1">
        <v>114</v>
      </c>
      <c r="B116" t="s">
        <v>131</v>
      </c>
      <c r="C116">
        <v>96</v>
      </c>
      <c r="D116">
        <v>58.284827999999997</v>
      </c>
      <c r="E116">
        <f>MATCH(Table2[[#This Row],[Pipe_name]],'2043 pipes'!B:B,0)</f>
        <v>115</v>
      </c>
      <c r="F116">
        <f>VLOOKUP(Table2[[#This Row],[Original_Diameter]],[1]Pipes!$A:$B,2,FALSE)</f>
        <v>362.58707029616613</v>
      </c>
      <c r="G116">
        <f>Table2[[#This Row],[unit cost]]*Table2[[#This Row],[Length]]</f>
        <v>21133.325027235951</v>
      </c>
    </row>
    <row r="117" spans="1:7" hidden="1" x14ac:dyDescent="0.25">
      <c r="A117" s="1">
        <v>115</v>
      </c>
      <c r="B117" t="s">
        <v>132</v>
      </c>
      <c r="C117">
        <v>32</v>
      </c>
      <c r="D117">
        <v>43.326050000000002</v>
      </c>
      <c r="E117">
        <f>MATCH(Table2[[#This Row],[Pipe_name]],'2043 pipes'!B:B,0)</f>
        <v>116</v>
      </c>
      <c r="F117">
        <f>VLOOKUP(Table2[[#This Row],[Original_Diameter]],[1]Pipes!$A:$B,2,FALSE)</f>
        <v>362.58707029616613</v>
      </c>
      <c r="G117">
        <f>Table2[[#This Row],[unit cost]]*Table2[[#This Row],[Length]]</f>
        <v>15709.46553700521</v>
      </c>
    </row>
    <row r="118" spans="1:7" hidden="1" x14ac:dyDescent="0.25">
      <c r="A118" s="1">
        <v>116</v>
      </c>
      <c r="B118" t="s">
        <v>133</v>
      </c>
      <c r="C118">
        <v>158</v>
      </c>
      <c r="D118">
        <v>5.0012230000000004</v>
      </c>
      <c r="E118">
        <f>MATCH(Table2[[#This Row],[Pipe_name]],'2043 pipes'!B:B,0)</f>
        <v>117</v>
      </c>
      <c r="F118">
        <f>VLOOKUP(Table2[[#This Row],[Original_Diameter]],[1]Pipes!$A:$B,2,FALSE)</f>
        <v>433.89080378537034</v>
      </c>
      <c r="G118">
        <f>Table2[[#This Row],[unit cost]]*Table2[[#This Row],[Length]]</f>
        <v>2169.9846673798816</v>
      </c>
    </row>
    <row r="119" spans="1:7" hidden="1" x14ac:dyDescent="0.25">
      <c r="A119" s="1">
        <v>117</v>
      </c>
      <c r="B119" t="s">
        <v>134</v>
      </c>
      <c r="C119">
        <v>235</v>
      </c>
      <c r="D119">
        <v>11.942186</v>
      </c>
      <c r="E119">
        <f>MATCH(Table2[[#This Row],[Pipe_name]],'2043 pipes'!B:B,0)</f>
        <v>118</v>
      </c>
      <c r="F119">
        <f>VLOOKUP(Table2[[#This Row],[Original_Diameter]],[1]Pipes!$A:$B,2,FALSE)</f>
        <v>546.15625651305356</v>
      </c>
      <c r="G119">
        <f>Table2[[#This Row],[unit cost]]*Table2[[#This Row],[Length]]</f>
        <v>6522.2996003425969</v>
      </c>
    </row>
    <row r="120" spans="1:7" hidden="1" x14ac:dyDescent="0.25">
      <c r="A120" s="1">
        <v>118</v>
      </c>
      <c r="B120" t="s">
        <v>135</v>
      </c>
      <c r="C120">
        <v>103</v>
      </c>
      <c r="D120">
        <v>14.851721</v>
      </c>
      <c r="E120">
        <f>MATCH(Table2[[#This Row],[Pipe_name]],'2043 pipes'!B:B,0)</f>
        <v>119</v>
      </c>
      <c r="F120">
        <f>VLOOKUP(Table2[[#This Row],[Original_Diameter]],[1]Pipes!$A:$B,2,FALSE)</f>
        <v>362.58707029616613</v>
      </c>
      <c r="G120">
        <f>Table2[[#This Row],[unit cost]]*Table2[[#This Row],[Length]]</f>
        <v>5385.0420062460462</v>
      </c>
    </row>
    <row r="121" spans="1:7" hidden="1" x14ac:dyDescent="0.25">
      <c r="A121" s="1">
        <v>119</v>
      </c>
      <c r="B121" t="s">
        <v>136</v>
      </c>
      <c r="C121">
        <v>101</v>
      </c>
      <c r="D121">
        <v>108.220741</v>
      </c>
      <c r="E121">
        <f>MATCH(Table2[[#This Row],[Pipe_name]],'2043 pipes'!B:B,0)</f>
        <v>120</v>
      </c>
      <c r="F121">
        <f>VLOOKUP(Table2[[#This Row],[Original_Diameter]],[1]Pipes!$A:$B,2,FALSE)</f>
        <v>362.58707029616613</v>
      </c>
      <c r="G121">
        <f>Table2[[#This Row],[unit cost]]*Table2[[#This Row],[Length]]</f>
        <v>39239.441424470191</v>
      </c>
    </row>
    <row r="122" spans="1:7" hidden="1" x14ac:dyDescent="0.25">
      <c r="A122" s="1">
        <v>120</v>
      </c>
      <c r="B122" t="s">
        <v>137</v>
      </c>
      <c r="C122">
        <v>235</v>
      </c>
      <c r="D122">
        <v>23.494427000000002</v>
      </c>
      <c r="E122">
        <f>MATCH(Table2[[#This Row],[Pipe_name]],'2043 pipes'!B:B,0)</f>
        <v>121</v>
      </c>
      <c r="F122">
        <f>VLOOKUP(Table2[[#This Row],[Original_Diameter]],[1]Pipes!$A:$B,2,FALSE)</f>
        <v>546.15625651305356</v>
      </c>
      <c r="G122">
        <f>Table2[[#This Row],[unit cost]]*Table2[[#This Row],[Length]]</f>
        <v>12831.628299239212</v>
      </c>
    </row>
    <row r="123" spans="1:7" hidden="1" x14ac:dyDescent="0.25">
      <c r="A123" s="1">
        <v>121</v>
      </c>
      <c r="B123" t="s">
        <v>138</v>
      </c>
      <c r="C123">
        <v>143</v>
      </c>
      <c r="D123">
        <v>1.986054</v>
      </c>
      <c r="E123">
        <f>MATCH(Table2[[#This Row],[Pipe_name]],'2043 pipes'!B:B,0)</f>
        <v>122</v>
      </c>
      <c r="F123">
        <f>VLOOKUP(Table2[[#This Row],[Original_Diameter]],[1]Pipes!$A:$B,2,FALSE)</f>
        <v>433.89080378537034</v>
      </c>
      <c r="G123">
        <f>Table2[[#This Row],[unit cost]]*Table2[[#This Row],[Length]]</f>
        <v>861.73056642114989</v>
      </c>
    </row>
    <row r="124" spans="1:7" hidden="1" x14ac:dyDescent="0.25">
      <c r="A124" s="1">
        <v>122</v>
      </c>
      <c r="B124" t="s">
        <v>139</v>
      </c>
      <c r="C124">
        <v>143</v>
      </c>
      <c r="D124">
        <v>367.83908100000002</v>
      </c>
      <c r="E124">
        <f>MATCH(Table2[[#This Row],[Pipe_name]],'2043 pipes'!B:B,0)</f>
        <v>123</v>
      </c>
      <c r="F124">
        <f>VLOOKUP(Table2[[#This Row],[Original_Diameter]],[1]Pipes!$A:$B,2,FALSE)</f>
        <v>433.89080378537034</v>
      </c>
      <c r="G124">
        <f>Table2[[#This Row],[unit cost]]*Table2[[#This Row],[Length]]</f>
        <v>159601.99451876196</v>
      </c>
    </row>
    <row r="125" spans="1:7" hidden="1" x14ac:dyDescent="0.25">
      <c r="A125" s="1">
        <v>123</v>
      </c>
      <c r="B125" t="s">
        <v>140</v>
      </c>
      <c r="C125">
        <v>158</v>
      </c>
      <c r="D125">
        <v>7.0010770000000004</v>
      </c>
      <c r="E125">
        <f>MATCH(Table2[[#This Row],[Pipe_name]],'2043 pipes'!B:B,0)</f>
        <v>124</v>
      </c>
      <c r="F125">
        <f>VLOOKUP(Table2[[#This Row],[Original_Diameter]],[1]Pipes!$A:$B,2,FALSE)</f>
        <v>433.89080378537034</v>
      </c>
      <c r="G125">
        <f>Table2[[#This Row],[unit cost]]*Table2[[#This Row],[Length]]</f>
        <v>3037.7029268932693</v>
      </c>
    </row>
    <row r="126" spans="1:7" hidden="1" x14ac:dyDescent="0.25">
      <c r="A126" s="1">
        <v>124</v>
      </c>
      <c r="B126" t="s">
        <v>141</v>
      </c>
      <c r="C126">
        <v>143</v>
      </c>
      <c r="D126">
        <v>84.845650000000006</v>
      </c>
      <c r="E126">
        <f>MATCH(Table2[[#This Row],[Pipe_name]],'2043 pipes'!B:B,0)</f>
        <v>125</v>
      </c>
      <c r="F126">
        <f>VLOOKUP(Table2[[#This Row],[Original_Diameter]],[1]Pipes!$A:$B,2,FALSE)</f>
        <v>433.89080378537034</v>
      </c>
      <c r="G126">
        <f>Table2[[#This Row],[unit cost]]*Table2[[#This Row],[Length]]</f>
        <v>36813.747276192211</v>
      </c>
    </row>
    <row r="127" spans="1:7" hidden="1" x14ac:dyDescent="0.25">
      <c r="A127" s="1">
        <v>125</v>
      </c>
      <c r="B127" t="s">
        <v>142</v>
      </c>
      <c r="C127">
        <v>32</v>
      </c>
      <c r="D127">
        <v>7.4697009999999997</v>
      </c>
      <c r="E127">
        <f>MATCH(Table2[[#This Row],[Pipe_name]],'2043 pipes'!B:B,0)</f>
        <v>126</v>
      </c>
      <c r="F127">
        <f>VLOOKUP(Table2[[#This Row],[Original_Diameter]],[1]Pipes!$A:$B,2,FALSE)</f>
        <v>362.58707029616613</v>
      </c>
      <c r="G127">
        <f>Table2[[#This Row],[unit cost]]*Table2[[#This Row],[Length]]</f>
        <v>2708.4170015783425</v>
      </c>
    </row>
    <row r="128" spans="1:7" hidden="1" x14ac:dyDescent="0.25">
      <c r="A128" s="1">
        <v>126</v>
      </c>
      <c r="B128" t="s">
        <v>143</v>
      </c>
      <c r="C128">
        <v>101</v>
      </c>
      <c r="D128">
        <v>3.2120880000000001</v>
      </c>
      <c r="E128">
        <f>MATCH(Table2[[#This Row],[Pipe_name]],'2043 pipes'!B:B,0)</f>
        <v>127</v>
      </c>
      <c r="F128">
        <f>VLOOKUP(Table2[[#This Row],[Original_Diameter]],[1]Pipes!$A:$B,2,FALSE)</f>
        <v>362.58707029616613</v>
      </c>
      <c r="G128">
        <f>Table2[[#This Row],[unit cost]]*Table2[[#This Row],[Length]]</f>
        <v>1164.6615774534716</v>
      </c>
    </row>
    <row r="129" spans="1:7" hidden="1" x14ac:dyDescent="0.25">
      <c r="A129" s="1">
        <v>127</v>
      </c>
      <c r="B129" t="s">
        <v>144</v>
      </c>
      <c r="C129">
        <v>96</v>
      </c>
      <c r="D129">
        <v>225.927322</v>
      </c>
      <c r="E129">
        <f>MATCH(Table2[[#This Row],[Pipe_name]],'2043 pipes'!B:B,0)</f>
        <v>128</v>
      </c>
      <c r="F129">
        <f>VLOOKUP(Table2[[#This Row],[Original_Diameter]],[1]Pipes!$A:$B,2,FALSE)</f>
        <v>362.58707029616613</v>
      </c>
      <c r="G129">
        <f>Table2[[#This Row],[unit cost]]*Table2[[#This Row],[Length]]</f>
        <v>81918.325783838562</v>
      </c>
    </row>
    <row r="130" spans="1:7" hidden="1" x14ac:dyDescent="0.25">
      <c r="A130" s="1">
        <v>128</v>
      </c>
      <c r="B130" t="s">
        <v>145</v>
      </c>
      <c r="C130">
        <v>96</v>
      </c>
      <c r="D130">
        <v>43.379696000000003</v>
      </c>
      <c r="E130">
        <f>MATCH(Table2[[#This Row],[Pipe_name]],'2043 pipes'!B:B,0)</f>
        <v>129</v>
      </c>
      <c r="F130">
        <f>VLOOKUP(Table2[[#This Row],[Original_Diameter]],[1]Pipes!$A:$B,2,FALSE)</f>
        <v>362.58707029616613</v>
      </c>
      <c r="G130">
        <f>Table2[[#This Row],[unit cost]]*Table2[[#This Row],[Length]]</f>
        <v>15728.916882978318</v>
      </c>
    </row>
    <row r="131" spans="1:7" hidden="1" x14ac:dyDescent="0.25">
      <c r="A131" s="1">
        <v>129</v>
      </c>
      <c r="B131" t="s">
        <v>146</v>
      </c>
      <c r="C131">
        <v>96</v>
      </c>
      <c r="D131">
        <v>332.90835600000003</v>
      </c>
      <c r="E131">
        <f>MATCH(Table2[[#This Row],[Pipe_name]],'2043 pipes'!B:B,0)</f>
        <v>130</v>
      </c>
      <c r="F131">
        <f>VLOOKUP(Table2[[#This Row],[Original_Diameter]],[1]Pipes!$A:$B,2,FALSE)</f>
        <v>362.58707029616613</v>
      </c>
      <c r="G131">
        <f>Table2[[#This Row],[unit cost]]*Table2[[#This Row],[Length]]</f>
        <v>120708.26547915311</v>
      </c>
    </row>
    <row r="132" spans="1:7" hidden="1" x14ac:dyDescent="0.25">
      <c r="A132" s="1">
        <v>130</v>
      </c>
      <c r="B132" t="s">
        <v>147</v>
      </c>
      <c r="C132">
        <v>96</v>
      </c>
      <c r="D132">
        <v>25.897096999999999</v>
      </c>
      <c r="E132">
        <f>MATCH(Table2[[#This Row],[Pipe_name]],'2043 pipes'!B:B,0)</f>
        <v>131</v>
      </c>
      <c r="F132">
        <f>VLOOKUP(Table2[[#This Row],[Original_Diameter]],[1]Pipes!$A:$B,2,FALSE)</f>
        <v>362.58707029616613</v>
      </c>
      <c r="G132">
        <f>Table2[[#This Row],[unit cost]]*Table2[[#This Row],[Length]]</f>
        <v>9389.9525304056333</v>
      </c>
    </row>
    <row r="133" spans="1:7" hidden="1" x14ac:dyDescent="0.25">
      <c r="A133" s="1">
        <v>131</v>
      </c>
      <c r="B133" t="s">
        <v>148</v>
      </c>
      <c r="C133">
        <v>96</v>
      </c>
      <c r="D133">
        <v>27.997152</v>
      </c>
      <c r="E133">
        <f>MATCH(Table2[[#This Row],[Pipe_name]],'2043 pipes'!B:B,0)</f>
        <v>132</v>
      </c>
      <c r="F133">
        <f>VLOOKUP(Table2[[#This Row],[Original_Diameter]],[1]Pipes!$A:$B,2,FALSE)</f>
        <v>362.58707029616613</v>
      </c>
      <c r="G133">
        <f>Table2[[#This Row],[unit cost]]*Table2[[#This Row],[Length]]</f>
        <v>10151.405320316448</v>
      </c>
    </row>
    <row r="134" spans="1:7" hidden="1" x14ac:dyDescent="0.25">
      <c r="A134" s="1">
        <v>132</v>
      </c>
      <c r="B134" t="s">
        <v>149</v>
      </c>
      <c r="C134">
        <v>96</v>
      </c>
      <c r="D134">
        <v>69.551308000000006</v>
      </c>
      <c r="E134">
        <f>MATCH(Table2[[#This Row],[Pipe_name]],'2043 pipes'!B:B,0)</f>
        <v>133</v>
      </c>
      <c r="F134">
        <f>VLOOKUP(Table2[[#This Row],[Original_Diameter]],[1]Pipes!$A:$B,2,FALSE)</f>
        <v>362.58707029616613</v>
      </c>
      <c r="G134">
        <f>Table2[[#This Row],[unit cost]]*Table2[[#This Row],[Length]]</f>
        <v>25218.405002986303</v>
      </c>
    </row>
    <row r="135" spans="1:7" hidden="1" x14ac:dyDescent="0.25">
      <c r="A135" s="1">
        <v>133</v>
      </c>
      <c r="B135" t="s">
        <v>150</v>
      </c>
      <c r="C135">
        <v>200</v>
      </c>
      <c r="D135">
        <v>12.178855</v>
      </c>
      <c r="E135">
        <f>MATCH(Table2[[#This Row],[Pipe_name]],'2043 pipes'!B:B,0)</f>
        <v>134</v>
      </c>
      <c r="F135">
        <f>VLOOKUP(Table2[[#This Row],[Original_Diameter]],[1]Pipes!$A:$B,2,FALSE)</f>
        <v>546.15625651305356</v>
      </c>
      <c r="G135">
        <f>Table2[[#This Row],[unit cost]]*Table2[[#This Row],[Length]]</f>
        <v>6651.5578554152853</v>
      </c>
    </row>
    <row r="136" spans="1:7" hidden="1" x14ac:dyDescent="0.25">
      <c r="A136" s="1">
        <v>134</v>
      </c>
      <c r="B136" t="s">
        <v>151</v>
      </c>
      <c r="C136">
        <v>101</v>
      </c>
      <c r="D136">
        <v>16.057476000000001</v>
      </c>
      <c r="E136">
        <f>MATCH(Table2[[#This Row],[Pipe_name]],'2043 pipes'!B:B,0)</f>
        <v>135</v>
      </c>
      <c r="F136">
        <f>VLOOKUP(Table2[[#This Row],[Original_Diameter]],[1]Pipes!$A:$B,2,FALSE)</f>
        <v>362.58707029616613</v>
      </c>
      <c r="G136">
        <f>Table2[[#This Row],[unit cost]]*Table2[[#This Row],[Length]]</f>
        <v>5822.233179191001</v>
      </c>
    </row>
    <row r="137" spans="1:7" hidden="1" x14ac:dyDescent="0.25">
      <c r="A137" s="1">
        <v>135</v>
      </c>
      <c r="B137" t="s">
        <v>152</v>
      </c>
      <c r="C137">
        <v>96</v>
      </c>
      <c r="D137">
        <v>229.46266199999999</v>
      </c>
      <c r="E137">
        <f>MATCH(Table2[[#This Row],[Pipe_name]],'2043 pipes'!B:B,0)</f>
        <v>136</v>
      </c>
      <c r="F137">
        <f>VLOOKUP(Table2[[#This Row],[Original_Diameter]],[1]Pipes!$A:$B,2,FALSE)</f>
        <v>362.58707029616613</v>
      </c>
      <c r="G137">
        <f>Table2[[#This Row],[unit cost]]*Table2[[#This Row],[Length]]</f>
        <v>83200.194356939406</v>
      </c>
    </row>
    <row r="138" spans="1:7" hidden="1" x14ac:dyDescent="0.25">
      <c r="A138" s="1">
        <v>136</v>
      </c>
      <c r="B138" t="s">
        <v>153</v>
      </c>
      <c r="C138">
        <v>96</v>
      </c>
      <c r="D138">
        <v>13.458971</v>
      </c>
      <c r="E138">
        <f>MATCH(Table2[[#This Row],[Pipe_name]],'2043 pipes'!B:B,0)</f>
        <v>137</v>
      </c>
      <c r="F138">
        <f>VLOOKUP(Table2[[#This Row],[Original_Diameter]],[1]Pipes!$A:$B,2,FALSE)</f>
        <v>362.58707029616613</v>
      </c>
      <c r="G138">
        <f>Table2[[#This Row],[unit cost]]*Table2[[#This Row],[Length]]</f>
        <v>4880.0488640910617</v>
      </c>
    </row>
    <row r="139" spans="1:7" hidden="1" x14ac:dyDescent="0.25">
      <c r="A139" s="1">
        <v>137</v>
      </c>
      <c r="B139" t="s">
        <v>154</v>
      </c>
      <c r="C139">
        <v>96</v>
      </c>
      <c r="D139">
        <v>109.256287</v>
      </c>
      <c r="E139">
        <f>MATCH(Table2[[#This Row],[Pipe_name]],'2043 pipes'!B:B,0)</f>
        <v>138</v>
      </c>
      <c r="F139">
        <f>VLOOKUP(Table2[[#This Row],[Original_Diameter]],[1]Pipes!$A:$B,2,FALSE)</f>
        <v>362.58707029616613</v>
      </c>
      <c r="G139">
        <f>Table2[[#This Row],[unit cost]]*Table2[[#This Row],[Length]]</f>
        <v>39614.917014767103</v>
      </c>
    </row>
    <row r="140" spans="1:7" hidden="1" x14ac:dyDescent="0.25">
      <c r="A140" s="1">
        <v>138</v>
      </c>
      <c r="B140" t="s">
        <v>155</v>
      </c>
      <c r="C140">
        <v>143</v>
      </c>
      <c r="D140">
        <v>4.5255369999999999</v>
      </c>
      <c r="E140">
        <f>MATCH(Table2[[#This Row],[Pipe_name]],'2043 pipes'!B:B,0)</f>
        <v>139</v>
      </c>
      <c r="F140">
        <f>VLOOKUP(Table2[[#This Row],[Original_Diameter]],[1]Pipes!$A:$B,2,FALSE)</f>
        <v>433.89080378537034</v>
      </c>
      <c r="G140">
        <f>Table2[[#This Row],[unit cost]]*Table2[[#This Row],[Length]]</f>
        <v>1963.5888864904334</v>
      </c>
    </row>
    <row r="141" spans="1:7" hidden="1" x14ac:dyDescent="0.25">
      <c r="A141" s="1">
        <v>139</v>
      </c>
      <c r="B141" t="s">
        <v>156</v>
      </c>
      <c r="C141">
        <v>143</v>
      </c>
      <c r="D141">
        <v>99.498626999999999</v>
      </c>
      <c r="E141">
        <f>MATCH(Table2[[#This Row],[Pipe_name]],'2043 pipes'!B:B,0)</f>
        <v>140</v>
      </c>
      <c r="F141">
        <f>VLOOKUP(Table2[[#This Row],[Original_Diameter]],[1]Pipes!$A:$B,2,FALSE)</f>
        <v>433.89080378537034</v>
      </c>
      <c r="G141">
        <f>Table2[[#This Row],[unit cost]]*Table2[[#This Row],[Length]]</f>
        <v>43171.539244570748</v>
      </c>
    </row>
    <row r="142" spans="1:7" hidden="1" x14ac:dyDescent="0.25">
      <c r="A142" s="1">
        <v>140</v>
      </c>
      <c r="B142" t="s">
        <v>157</v>
      </c>
      <c r="C142">
        <v>96</v>
      </c>
      <c r="D142">
        <v>3.6382430000000001</v>
      </c>
      <c r="E142">
        <f>MATCH(Table2[[#This Row],[Pipe_name]],'2043 pipes'!B:B,0)</f>
        <v>141</v>
      </c>
      <c r="F142">
        <f>VLOOKUP(Table2[[#This Row],[Original_Diameter]],[1]Pipes!$A:$B,2,FALSE)</f>
        <v>362.58707029616613</v>
      </c>
      <c r="G142">
        <f>Table2[[#This Row],[unit cost]]*Table2[[#This Row],[Length]]</f>
        <v>1319.1798703955344</v>
      </c>
    </row>
    <row r="143" spans="1:7" hidden="1" x14ac:dyDescent="0.25">
      <c r="A143" s="1">
        <v>141</v>
      </c>
      <c r="B143" t="s">
        <v>158</v>
      </c>
      <c r="C143">
        <v>96</v>
      </c>
      <c r="D143">
        <v>12.581792999999999</v>
      </c>
      <c r="E143">
        <f>MATCH(Table2[[#This Row],[Pipe_name]],'2043 pipes'!B:B,0)</f>
        <v>142</v>
      </c>
      <c r="F143">
        <f>VLOOKUP(Table2[[#This Row],[Original_Diameter]],[1]Pipes!$A:$B,2,FALSE)</f>
        <v>362.58707029616613</v>
      </c>
      <c r="G143">
        <f>Table2[[#This Row],[unit cost]]*Table2[[#This Row],[Length]]</f>
        <v>4561.9954629428112</v>
      </c>
    </row>
    <row r="144" spans="1:7" hidden="1" x14ac:dyDescent="0.25">
      <c r="A144" s="1">
        <v>142</v>
      </c>
      <c r="B144" t="s">
        <v>159</v>
      </c>
      <c r="C144">
        <v>96</v>
      </c>
      <c r="D144">
        <v>2.4751400000000001</v>
      </c>
      <c r="E144">
        <f>MATCH(Table2[[#This Row],[Pipe_name]],'2043 pipes'!B:B,0)</f>
        <v>143</v>
      </c>
      <c r="F144">
        <f>VLOOKUP(Table2[[#This Row],[Original_Diameter]],[1]Pipes!$A:$B,2,FALSE)</f>
        <v>362.58707029616613</v>
      </c>
      <c r="G144">
        <f>Table2[[#This Row],[unit cost]]*Table2[[#This Row],[Length]]</f>
        <v>897.45376117285264</v>
      </c>
    </row>
    <row r="145" spans="1:7" hidden="1" x14ac:dyDescent="0.25">
      <c r="A145" s="1">
        <v>143</v>
      </c>
      <c r="B145" t="s">
        <v>160</v>
      </c>
      <c r="C145">
        <v>96</v>
      </c>
      <c r="D145">
        <v>7.8929539999999996</v>
      </c>
      <c r="E145">
        <f>MATCH(Table2[[#This Row],[Pipe_name]],'2043 pipes'!B:B,0)</f>
        <v>144</v>
      </c>
      <c r="F145">
        <f>VLOOKUP(Table2[[#This Row],[Original_Diameter]],[1]Pipes!$A:$B,2,FALSE)</f>
        <v>362.58707029616613</v>
      </c>
      <c r="G145">
        <f>Table2[[#This Row],[unit cost]]*Table2[[#This Row],[Length]]</f>
        <v>2861.8830668424057</v>
      </c>
    </row>
    <row r="146" spans="1:7" hidden="1" x14ac:dyDescent="0.25">
      <c r="A146" s="1">
        <v>144</v>
      </c>
      <c r="B146" t="s">
        <v>161</v>
      </c>
      <c r="C146">
        <v>96</v>
      </c>
      <c r="D146">
        <v>7.4558260000000001</v>
      </c>
      <c r="E146">
        <f>MATCH(Table2[[#This Row],[Pipe_name]],'2043 pipes'!B:B,0)</f>
        <v>145</v>
      </c>
      <c r="F146">
        <f>VLOOKUP(Table2[[#This Row],[Original_Diameter]],[1]Pipes!$A:$B,2,FALSE)</f>
        <v>362.58707029616613</v>
      </c>
      <c r="G146">
        <f>Table2[[#This Row],[unit cost]]*Table2[[#This Row],[Length]]</f>
        <v>2703.3861059779833</v>
      </c>
    </row>
    <row r="147" spans="1:7" hidden="1" x14ac:dyDescent="0.25">
      <c r="A147" s="1">
        <v>145</v>
      </c>
      <c r="B147" t="s">
        <v>162</v>
      </c>
      <c r="C147">
        <v>96</v>
      </c>
      <c r="D147">
        <v>213.494843</v>
      </c>
      <c r="E147">
        <f>MATCH(Table2[[#This Row],[Pipe_name]],'2043 pipes'!B:B,0)</f>
        <v>146</v>
      </c>
      <c r="F147">
        <f>VLOOKUP(Table2[[#This Row],[Original_Diameter]],[1]Pipes!$A:$B,2,FALSE)</f>
        <v>362.58707029616613</v>
      </c>
      <c r="G147">
        <f>Table2[[#This Row],[unit cost]]*Table2[[#This Row],[Length]]</f>
        <v>77410.469646709957</v>
      </c>
    </row>
    <row r="148" spans="1:7" hidden="1" x14ac:dyDescent="0.25">
      <c r="A148" s="1">
        <v>146</v>
      </c>
      <c r="B148" t="s">
        <v>163</v>
      </c>
      <c r="C148">
        <v>141</v>
      </c>
      <c r="D148">
        <v>6.3784000000000001</v>
      </c>
      <c r="E148">
        <f>MATCH(Table2[[#This Row],[Pipe_name]],'2043 pipes'!B:B,0)</f>
        <v>147</v>
      </c>
      <c r="F148">
        <f>VLOOKUP(Table2[[#This Row],[Original_Diameter]],[1]Pipes!$A:$B,2,FALSE)</f>
        <v>433.89080378537034</v>
      </c>
      <c r="G148">
        <f>Table2[[#This Row],[unit cost]]*Table2[[#This Row],[Length]]</f>
        <v>2767.5291028646061</v>
      </c>
    </row>
    <row r="149" spans="1:7" hidden="1" x14ac:dyDescent="0.25">
      <c r="A149" s="1">
        <v>147</v>
      </c>
      <c r="B149" t="s">
        <v>164</v>
      </c>
      <c r="C149">
        <v>143</v>
      </c>
      <c r="D149">
        <v>67.242821000000006</v>
      </c>
      <c r="E149">
        <f>MATCH(Table2[[#This Row],[Pipe_name]],'2043 pipes'!B:B,0)</f>
        <v>148</v>
      </c>
      <c r="F149">
        <f>VLOOKUP(Table2[[#This Row],[Original_Diameter]],[1]Pipes!$A:$B,2,FALSE)</f>
        <v>433.89080378537034</v>
      </c>
      <c r="G149">
        <f>Table2[[#This Row],[unit cost]]*Table2[[#This Row],[Length]]</f>
        <v>29176.041652485783</v>
      </c>
    </row>
    <row r="150" spans="1:7" hidden="1" x14ac:dyDescent="0.25">
      <c r="A150" s="1">
        <v>148</v>
      </c>
      <c r="B150" t="s">
        <v>165</v>
      </c>
      <c r="C150">
        <v>143</v>
      </c>
      <c r="D150">
        <v>3.2183989999999998</v>
      </c>
      <c r="E150">
        <f>MATCH(Table2[[#This Row],[Pipe_name]],'2043 pipes'!B:B,0)</f>
        <v>149</v>
      </c>
      <c r="F150">
        <f>VLOOKUP(Table2[[#This Row],[Original_Diameter]],[1]Pipes!$A:$B,2,FALSE)</f>
        <v>433.89080378537034</v>
      </c>
      <c r="G150">
        <f>Table2[[#This Row],[unit cost]]*Table2[[#This Row],[Length]]</f>
        <v>1396.433729012032</v>
      </c>
    </row>
    <row r="151" spans="1:7" hidden="1" x14ac:dyDescent="0.25">
      <c r="A151" s="1">
        <v>149</v>
      </c>
      <c r="B151" t="s">
        <v>166</v>
      </c>
      <c r="C151">
        <v>96</v>
      </c>
      <c r="D151">
        <v>2.6660560000000002</v>
      </c>
      <c r="E151">
        <f>MATCH(Table2[[#This Row],[Pipe_name]],'2043 pipes'!B:B,0)</f>
        <v>150</v>
      </c>
      <c r="F151">
        <f>VLOOKUP(Table2[[#This Row],[Original_Diameter]],[1]Pipes!$A:$B,2,FALSE)</f>
        <v>362.58707029616613</v>
      </c>
      <c r="G151">
        <f>Table2[[#This Row],[unit cost]]*Table2[[#This Row],[Length]]</f>
        <v>966.67743428551557</v>
      </c>
    </row>
    <row r="152" spans="1:7" hidden="1" x14ac:dyDescent="0.25">
      <c r="A152" s="1">
        <v>150</v>
      </c>
      <c r="B152" t="s">
        <v>167</v>
      </c>
      <c r="C152">
        <v>96</v>
      </c>
      <c r="D152">
        <v>7.7810860000000002</v>
      </c>
      <c r="E152">
        <f>MATCH(Table2[[#This Row],[Pipe_name]],'2043 pipes'!B:B,0)</f>
        <v>151</v>
      </c>
      <c r="F152">
        <f>VLOOKUP(Table2[[#This Row],[Original_Diameter]],[1]Pipes!$A:$B,2,FALSE)</f>
        <v>362.58707029616613</v>
      </c>
      <c r="G152">
        <f>Table2[[#This Row],[unit cost]]*Table2[[#This Row],[Length]]</f>
        <v>2821.3211764625144</v>
      </c>
    </row>
    <row r="153" spans="1:7" hidden="1" x14ac:dyDescent="0.25">
      <c r="A153" s="1">
        <v>151</v>
      </c>
      <c r="B153" t="s">
        <v>168</v>
      </c>
      <c r="C153">
        <v>101</v>
      </c>
      <c r="D153">
        <v>3.6073270000000002</v>
      </c>
      <c r="E153">
        <f>MATCH(Table2[[#This Row],[Pipe_name]],'2043 pipes'!B:B,0)</f>
        <v>152</v>
      </c>
      <c r="F153">
        <f>VLOOKUP(Table2[[#This Row],[Original_Diameter]],[1]Pipes!$A:$B,2,FALSE)</f>
        <v>362.58707029616613</v>
      </c>
      <c r="G153">
        <f>Table2[[#This Row],[unit cost]]*Table2[[#This Row],[Length]]</f>
        <v>1307.9701285302581</v>
      </c>
    </row>
    <row r="154" spans="1:7" hidden="1" x14ac:dyDescent="0.25">
      <c r="A154" s="1">
        <v>152</v>
      </c>
      <c r="B154" t="s">
        <v>169</v>
      </c>
      <c r="C154">
        <v>96</v>
      </c>
      <c r="D154">
        <v>2.6792189999999998</v>
      </c>
      <c r="E154">
        <f>MATCH(Table2[[#This Row],[Pipe_name]],'2043 pipes'!B:B,0)</f>
        <v>153</v>
      </c>
      <c r="F154">
        <f>VLOOKUP(Table2[[#This Row],[Original_Diameter]],[1]Pipes!$A:$B,2,FALSE)</f>
        <v>362.58707029616613</v>
      </c>
      <c r="G154">
        <f>Table2[[#This Row],[unit cost]]*Table2[[#This Row],[Length]]</f>
        <v>971.45016789182387</v>
      </c>
    </row>
    <row r="155" spans="1:7" hidden="1" x14ac:dyDescent="0.25">
      <c r="A155" s="1">
        <v>153</v>
      </c>
      <c r="B155" t="s">
        <v>170</v>
      </c>
      <c r="C155">
        <v>96</v>
      </c>
      <c r="D155">
        <v>2.6680459999999999</v>
      </c>
      <c r="E155">
        <f>MATCH(Table2[[#This Row],[Pipe_name]],'2043 pipes'!B:B,0)</f>
        <v>154</v>
      </c>
      <c r="F155">
        <f>VLOOKUP(Table2[[#This Row],[Original_Diameter]],[1]Pipes!$A:$B,2,FALSE)</f>
        <v>362.58707029616613</v>
      </c>
      <c r="G155">
        <f>Table2[[#This Row],[unit cost]]*Table2[[#This Row],[Length]]</f>
        <v>967.39898255540481</v>
      </c>
    </row>
    <row r="156" spans="1:7" hidden="1" x14ac:dyDescent="0.25">
      <c r="A156" s="1">
        <v>154</v>
      </c>
      <c r="B156" t="s">
        <v>171</v>
      </c>
      <c r="C156">
        <v>101</v>
      </c>
      <c r="D156">
        <v>12.919845</v>
      </c>
      <c r="E156">
        <f>MATCH(Table2[[#This Row],[Pipe_name]],'2043 pipes'!B:B,0)</f>
        <v>155</v>
      </c>
      <c r="F156">
        <f>VLOOKUP(Table2[[#This Row],[Original_Diameter]],[1]Pipes!$A:$B,2,FALSE)</f>
        <v>362.58707029616613</v>
      </c>
      <c r="G156">
        <f>Table2[[#This Row],[unit cost]]*Table2[[#This Row],[Length]]</f>
        <v>4684.5687472305708</v>
      </c>
    </row>
    <row r="157" spans="1:7" hidden="1" x14ac:dyDescent="0.25">
      <c r="A157" s="1">
        <v>155</v>
      </c>
      <c r="B157" t="s">
        <v>172</v>
      </c>
      <c r="C157">
        <v>101</v>
      </c>
      <c r="D157">
        <v>115.18137400000001</v>
      </c>
      <c r="E157">
        <f>MATCH(Table2[[#This Row],[Pipe_name]],'2043 pipes'!B:B,0)</f>
        <v>156</v>
      </c>
      <c r="F157">
        <f>VLOOKUP(Table2[[#This Row],[Original_Diameter]],[1]Pipes!$A:$B,2,FALSE)</f>
        <v>362.58707029616613</v>
      </c>
      <c r="G157">
        <f>Table2[[#This Row],[unit cost]]*Table2[[#This Row],[Length]]</f>
        <v>41763.276951347005</v>
      </c>
    </row>
    <row r="158" spans="1:7" hidden="1" x14ac:dyDescent="0.25">
      <c r="A158" s="1">
        <v>156</v>
      </c>
      <c r="B158" t="s">
        <v>173</v>
      </c>
      <c r="C158">
        <v>96</v>
      </c>
      <c r="D158">
        <v>3.8705880000000001</v>
      </c>
      <c r="E158">
        <f>MATCH(Table2[[#This Row],[Pipe_name]],'2043 pipes'!B:B,0)</f>
        <v>157</v>
      </c>
      <c r="F158">
        <f>VLOOKUP(Table2[[#This Row],[Original_Diameter]],[1]Pipes!$A:$B,2,FALSE)</f>
        <v>362.58707029616613</v>
      </c>
      <c r="G158">
        <f>Table2[[#This Row],[unit cost]]*Table2[[#This Row],[Length]]</f>
        <v>1403.4251632434971</v>
      </c>
    </row>
    <row r="159" spans="1:7" hidden="1" x14ac:dyDescent="0.25">
      <c r="A159" s="1">
        <v>157</v>
      </c>
      <c r="B159" t="s">
        <v>174</v>
      </c>
      <c r="C159">
        <v>101</v>
      </c>
      <c r="D159">
        <v>124.045097</v>
      </c>
      <c r="E159">
        <f>MATCH(Table2[[#This Row],[Pipe_name]],'2043 pipes'!B:B,0)</f>
        <v>158</v>
      </c>
      <c r="F159">
        <f>VLOOKUP(Table2[[#This Row],[Original_Diameter]],[1]Pipes!$A:$B,2,FALSE)</f>
        <v>362.58707029616613</v>
      </c>
      <c r="G159">
        <f>Table2[[#This Row],[unit cost]]*Table2[[#This Row],[Length]]</f>
        <v>44977.148305833747</v>
      </c>
    </row>
    <row r="160" spans="1:7" hidden="1" x14ac:dyDescent="0.25">
      <c r="A160" s="1">
        <v>158</v>
      </c>
      <c r="B160" t="s">
        <v>175</v>
      </c>
      <c r="C160">
        <v>200</v>
      </c>
      <c r="D160">
        <v>3.1112630000000001</v>
      </c>
      <c r="E160">
        <f>MATCH(Table2[[#This Row],[Pipe_name]],'2043 pipes'!B:B,0)</f>
        <v>159</v>
      </c>
      <c r="F160">
        <f>VLOOKUP(Table2[[#This Row],[Original_Diameter]],[1]Pipes!$A:$B,2,FALSE)</f>
        <v>546.15625651305356</v>
      </c>
      <c r="G160">
        <f>Table2[[#This Row],[unit cost]]*Table2[[#This Row],[Length]]</f>
        <v>1699.2357531075727</v>
      </c>
    </row>
    <row r="161" spans="1:7" hidden="1" x14ac:dyDescent="0.25">
      <c r="A161" s="1">
        <v>159</v>
      </c>
      <c r="B161" t="s">
        <v>176</v>
      </c>
      <c r="C161">
        <v>96</v>
      </c>
      <c r="D161">
        <v>9.9872010000000007</v>
      </c>
      <c r="E161">
        <f>MATCH(Table2[[#This Row],[Pipe_name]],'2043 pipes'!B:B,0)</f>
        <v>160</v>
      </c>
      <c r="F161">
        <f>VLOOKUP(Table2[[#This Row],[Original_Diameter]],[1]Pipes!$A:$B,2,FALSE)</f>
        <v>362.58707029616613</v>
      </c>
      <c r="G161">
        <f>Table2[[#This Row],[unit cost]]*Table2[[#This Row],[Length]]</f>
        <v>3621.2299510489411</v>
      </c>
    </row>
    <row r="162" spans="1:7" hidden="1" x14ac:dyDescent="0.25">
      <c r="A162" s="1">
        <v>160</v>
      </c>
      <c r="B162" t="s">
        <v>177</v>
      </c>
      <c r="C162">
        <v>96</v>
      </c>
      <c r="D162">
        <v>5.0449950000000001</v>
      </c>
      <c r="E162">
        <f>MATCH(Table2[[#This Row],[Pipe_name]],'2043 pipes'!B:B,0)</f>
        <v>161</v>
      </c>
      <c r="F162">
        <f>VLOOKUP(Table2[[#This Row],[Original_Diameter]],[1]Pipes!$A:$B,2,FALSE)</f>
        <v>362.58707029616613</v>
      </c>
      <c r="G162">
        <f>Table2[[#This Row],[unit cost]]*Table2[[#This Row],[Length]]</f>
        <v>1829.2499567088066</v>
      </c>
    </row>
    <row r="163" spans="1:7" hidden="1" x14ac:dyDescent="0.25">
      <c r="A163" s="1">
        <v>161</v>
      </c>
      <c r="B163" t="s">
        <v>284</v>
      </c>
      <c r="C163">
        <v>96</v>
      </c>
      <c r="D163">
        <v>23.800051</v>
      </c>
      <c r="E163">
        <f>MATCH(Table2[[#This Row],[Pipe_name]],'2043 pipes'!B:B,0)</f>
        <v>162</v>
      </c>
      <c r="F163">
        <f>VLOOKUP(Table2[[#This Row],[Original_Diameter]],[1]Pipes!$A:$B,2,FALSE)</f>
        <v>362.58707029616613</v>
      </c>
      <c r="G163">
        <f>Table2[[#This Row],[unit cost]]*Table2[[#This Row],[Length]]</f>
        <v>8629.5907649893397</v>
      </c>
    </row>
    <row r="164" spans="1:7" hidden="1" x14ac:dyDescent="0.25">
      <c r="A164" s="1">
        <v>162</v>
      </c>
      <c r="B164" t="s">
        <v>178</v>
      </c>
      <c r="C164">
        <v>96</v>
      </c>
      <c r="D164">
        <v>138.09229999999999</v>
      </c>
      <c r="E164">
        <f>MATCH(Table2[[#This Row],[Pipe_name]],'2043 pipes'!B:B,0)</f>
        <v>163</v>
      </c>
      <c r="F164">
        <f>VLOOKUP(Table2[[#This Row],[Original_Diameter]],[1]Pipes!$A:$B,2,FALSE)</f>
        <v>362.58707029616613</v>
      </c>
      <c r="G164">
        <f>Table2[[#This Row],[unit cost]]*Table2[[#This Row],[Length]]</f>
        <v>50070.48248745926</v>
      </c>
    </row>
    <row r="165" spans="1:7" hidden="1" x14ac:dyDescent="0.25">
      <c r="A165" s="1">
        <v>163</v>
      </c>
      <c r="B165" t="s">
        <v>179</v>
      </c>
      <c r="C165">
        <v>101</v>
      </c>
      <c r="D165">
        <v>2.538627</v>
      </c>
      <c r="E165">
        <f>MATCH(Table2[[#This Row],[Pipe_name]],'2043 pipes'!B:B,0)</f>
        <v>164</v>
      </c>
      <c r="F165">
        <f>VLOOKUP(Table2[[#This Row],[Original_Diameter]],[1]Pipes!$A:$B,2,FALSE)</f>
        <v>362.58707029616613</v>
      </c>
      <c r="G165">
        <f>Table2[[#This Row],[unit cost]]*Table2[[#This Row],[Length]]</f>
        <v>920.47332650474527</v>
      </c>
    </row>
    <row r="166" spans="1:7" hidden="1" x14ac:dyDescent="0.25">
      <c r="A166" s="1">
        <v>164</v>
      </c>
      <c r="B166" t="s">
        <v>180</v>
      </c>
      <c r="C166">
        <v>101</v>
      </c>
      <c r="D166">
        <v>2.2279800000000001</v>
      </c>
      <c r="E166">
        <f>MATCH(Table2[[#This Row],[Pipe_name]],'2043 pipes'!B:B,0)</f>
        <v>165</v>
      </c>
      <c r="F166">
        <f>VLOOKUP(Table2[[#This Row],[Original_Diameter]],[1]Pipes!$A:$B,2,FALSE)</f>
        <v>362.58707029616613</v>
      </c>
      <c r="G166">
        <f>Table2[[#This Row],[unit cost]]*Table2[[#This Row],[Length]]</f>
        <v>807.83674087845225</v>
      </c>
    </row>
    <row r="167" spans="1:7" hidden="1" x14ac:dyDescent="0.25">
      <c r="A167" s="1">
        <v>165</v>
      </c>
      <c r="B167" t="s">
        <v>181</v>
      </c>
      <c r="C167">
        <v>63</v>
      </c>
      <c r="D167">
        <v>1.889615</v>
      </c>
      <c r="E167">
        <f>MATCH(Table2[[#This Row],[Pipe_name]],'2043 pipes'!B:B,0)</f>
        <v>166</v>
      </c>
      <c r="F167">
        <f>VLOOKUP(Table2[[#This Row],[Original_Diameter]],[1]Pipes!$A:$B,2,FALSE)</f>
        <v>362.58707029616613</v>
      </c>
      <c r="G167">
        <f>Table2[[#This Row],[unit cost]]*Table2[[#This Row],[Length]]</f>
        <v>685.14996683768993</v>
      </c>
    </row>
    <row r="168" spans="1:7" hidden="1" x14ac:dyDescent="0.25">
      <c r="A168" s="1">
        <v>166</v>
      </c>
      <c r="B168" t="s">
        <v>182</v>
      </c>
      <c r="C168">
        <v>63</v>
      </c>
      <c r="D168">
        <v>33.836829999999999</v>
      </c>
      <c r="E168">
        <f>MATCH(Table2[[#This Row],[Pipe_name]],'2043 pipes'!B:B,0)</f>
        <v>167</v>
      </c>
      <c r="F168">
        <f>VLOOKUP(Table2[[#This Row],[Original_Diameter]],[1]Pipes!$A:$B,2,FALSE)</f>
        <v>362.58707029616613</v>
      </c>
      <c r="G168">
        <f>Table2[[#This Row],[unit cost]]*Table2[[#This Row],[Length]]</f>
        <v>12268.797057809423</v>
      </c>
    </row>
    <row r="169" spans="1:7" hidden="1" x14ac:dyDescent="0.25">
      <c r="A169" s="1">
        <v>167</v>
      </c>
      <c r="B169" t="s">
        <v>183</v>
      </c>
      <c r="C169">
        <v>101</v>
      </c>
      <c r="D169">
        <v>15.349275</v>
      </c>
      <c r="E169">
        <f>MATCH(Table2[[#This Row],[Pipe_name]],'2043 pipes'!B:B,0)</f>
        <v>168</v>
      </c>
      <c r="F169">
        <f>VLOOKUP(Table2[[#This Row],[Original_Diameter]],[1]Pipes!$A:$B,2,FALSE)</f>
        <v>362.58707029616613</v>
      </c>
      <c r="G169">
        <f>Table2[[#This Row],[unit cost]]*Table2[[#This Row],[Length]]</f>
        <v>5565.448653420186</v>
      </c>
    </row>
    <row r="170" spans="1:7" hidden="1" x14ac:dyDescent="0.25">
      <c r="A170" s="1">
        <v>168</v>
      </c>
      <c r="B170" t="s">
        <v>184</v>
      </c>
      <c r="C170">
        <v>101</v>
      </c>
      <c r="D170">
        <v>48.553196</v>
      </c>
      <c r="E170">
        <f>MATCH(Table2[[#This Row],[Pipe_name]],'2043 pipes'!B:B,0)</f>
        <v>169</v>
      </c>
      <c r="F170">
        <f>VLOOKUP(Table2[[#This Row],[Original_Diameter]],[1]Pipes!$A:$B,2,FALSE)</f>
        <v>362.58707029616613</v>
      </c>
      <c r="G170">
        <f>Table2[[#This Row],[unit cost]]*Table2[[#This Row],[Length]]</f>
        <v>17604.761091155531</v>
      </c>
    </row>
    <row r="171" spans="1:7" hidden="1" x14ac:dyDescent="0.25">
      <c r="A171" s="1">
        <v>169</v>
      </c>
      <c r="B171" t="s">
        <v>185</v>
      </c>
      <c r="C171">
        <v>75</v>
      </c>
      <c r="D171">
        <v>3.5177619999999998</v>
      </c>
      <c r="E171">
        <f>MATCH(Table2[[#This Row],[Pipe_name]],'2043 pipes'!B:B,0)</f>
        <v>170</v>
      </c>
      <c r="F171">
        <f>VLOOKUP(Table2[[#This Row],[Original_Diameter]],[1]Pipes!$A:$B,2,FALSE)</f>
        <v>362.58707029616613</v>
      </c>
      <c r="G171">
        <f>Table2[[#This Row],[unit cost]]*Table2[[#This Row],[Length]]</f>
        <v>1275.4950175791819</v>
      </c>
    </row>
    <row r="172" spans="1:7" hidden="1" x14ac:dyDescent="0.25">
      <c r="A172" s="1">
        <v>170</v>
      </c>
      <c r="B172" t="s">
        <v>186</v>
      </c>
      <c r="C172">
        <v>96</v>
      </c>
      <c r="D172">
        <v>9.5849220000000006</v>
      </c>
      <c r="E172">
        <f>MATCH(Table2[[#This Row],[Pipe_name]],'2043 pipes'!B:B,0)</f>
        <v>171</v>
      </c>
      <c r="F172">
        <f>VLOOKUP(Table2[[#This Row],[Original_Diameter]],[1]Pipes!$A:$B,2,FALSE)</f>
        <v>362.58707029616613</v>
      </c>
      <c r="G172">
        <f>Table2[[#This Row],[unit cost]]*Table2[[#This Row],[Length]]</f>
        <v>3475.3687869972696</v>
      </c>
    </row>
    <row r="173" spans="1:7" hidden="1" x14ac:dyDescent="0.25">
      <c r="A173" s="1">
        <v>171</v>
      </c>
      <c r="B173" t="s">
        <v>187</v>
      </c>
      <c r="C173">
        <v>96</v>
      </c>
      <c r="D173">
        <v>2.2259570000000002</v>
      </c>
      <c r="E173">
        <f>MATCH(Table2[[#This Row],[Pipe_name]],'2043 pipes'!B:B,0)</f>
        <v>172</v>
      </c>
      <c r="F173">
        <f>VLOOKUP(Table2[[#This Row],[Original_Diameter]],[1]Pipes!$A:$B,2,FALSE)</f>
        <v>362.58707029616613</v>
      </c>
      <c r="G173">
        <f>Table2[[#This Row],[unit cost]]*Table2[[#This Row],[Length]]</f>
        <v>807.10322723524314</v>
      </c>
    </row>
    <row r="174" spans="1:7" hidden="1" x14ac:dyDescent="0.25">
      <c r="A174" s="1">
        <v>172</v>
      </c>
      <c r="B174" t="s">
        <v>188</v>
      </c>
      <c r="C174">
        <v>96</v>
      </c>
      <c r="D174">
        <v>178.84324599999999</v>
      </c>
      <c r="E174">
        <f>MATCH(Table2[[#This Row],[Pipe_name]],'2043 pipes'!B:B,0)</f>
        <v>173</v>
      </c>
      <c r="F174">
        <f>VLOOKUP(Table2[[#This Row],[Original_Diameter]],[1]Pipes!$A:$B,2,FALSE)</f>
        <v>362.58707029616613</v>
      </c>
      <c r="G174">
        <f>Table2[[#This Row],[unit cost]]*Table2[[#This Row],[Length]]</f>
        <v>64846.248609396527</v>
      </c>
    </row>
    <row r="175" spans="1:7" hidden="1" x14ac:dyDescent="0.25">
      <c r="A175" s="1">
        <v>173</v>
      </c>
      <c r="B175" t="s">
        <v>189</v>
      </c>
      <c r="C175">
        <v>96</v>
      </c>
      <c r="D175">
        <v>127.177818</v>
      </c>
      <c r="E175">
        <f>MATCH(Table2[[#This Row],[Pipe_name]],'2043 pipes'!B:B,0)</f>
        <v>174</v>
      </c>
      <c r="F175">
        <f>VLOOKUP(Table2[[#This Row],[Original_Diameter]],[1]Pipes!$A:$B,2,FALSE)</f>
        <v>362.58707029616613</v>
      </c>
      <c r="G175">
        <f>Table2[[#This Row],[unit cost]]*Table2[[#This Row],[Length]]</f>
        <v>46113.032435279027</v>
      </c>
    </row>
    <row r="176" spans="1:7" hidden="1" x14ac:dyDescent="0.25">
      <c r="A176" s="1">
        <v>174</v>
      </c>
      <c r="B176" t="s">
        <v>190</v>
      </c>
      <c r="C176">
        <v>96</v>
      </c>
      <c r="D176">
        <v>12.743964</v>
      </c>
      <c r="E176">
        <f>MATCH(Table2[[#This Row],[Pipe_name]],'2043 pipes'!B:B,0)</f>
        <v>175</v>
      </c>
      <c r="F176">
        <f>VLOOKUP(Table2[[#This Row],[Original_Diameter]],[1]Pipes!$A:$B,2,FALSE)</f>
        <v>362.58707029616613</v>
      </c>
      <c r="G176">
        <f>Table2[[#This Row],[unit cost]]*Table2[[#This Row],[Length]]</f>
        <v>4620.7965707198109</v>
      </c>
    </row>
    <row r="177" spans="1:7" hidden="1" x14ac:dyDescent="0.25">
      <c r="A177" s="1">
        <v>175</v>
      </c>
      <c r="B177" t="s">
        <v>191</v>
      </c>
      <c r="C177">
        <v>101</v>
      </c>
      <c r="D177">
        <v>408.69790599999999</v>
      </c>
      <c r="E177">
        <f>MATCH(Table2[[#This Row],[Pipe_name]],'2043 pipes'!B:B,0)</f>
        <v>176</v>
      </c>
      <c r="F177">
        <f>VLOOKUP(Table2[[#This Row],[Original_Diameter]],[1]Pipes!$A:$B,2,FALSE)</f>
        <v>362.58707029616613</v>
      </c>
      <c r="G177">
        <f>Table2[[#This Row],[unit cost]]*Table2[[#This Row],[Length]]</f>
        <v>148188.57637271789</v>
      </c>
    </row>
    <row r="178" spans="1:7" hidden="1" x14ac:dyDescent="0.25">
      <c r="A178" s="1">
        <v>176</v>
      </c>
      <c r="B178" t="s">
        <v>192</v>
      </c>
      <c r="C178">
        <v>96</v>
      </c>
      <c r="D178">
        <v>107.99260700000001</v>
      </c>
      <c r="E178">
        <f>MATCH(Table2[[#This Row],[Pipe_name]],'2043 pipes'!B:B,0)</f>
        <v>177</v>
      </c>
      <c r="F178">
        <f>VLOOKUP(Table2[[#This Row],[Original_Diameter]],[1]Pipes!$A:$B,2,FALSE)</f>
        <v>362.58707029616613</v>
      </c>
      <c r="G178">
        <f>Table2[[#This Row],[unit cost]]*Table2[[#This Row],[Length]]</f>
        <v>39156.722985775246</v>
      </c>
    </row>
    <row r="179" spans="1:7" hidden="1" x14ac:dyDescent="0.25">
      <c r="A179" s="1">
        <v>177</v>
      </c>
      <c r="B179" t="s">
        <v>193</v>
      </c>
      <c r="C179">
        <v>96</v>
      </c>
      <c r="D179">
        <v>2.132644</v>
      </c>
      <c r="E179">
        <f>MATCH(Table2[[#This Row],[Pipe_name]],'2043 pipes'!B:B,0)</f>
        <v>178</v>
      </c>
      <c r="F179">
        <f>VLOOKUP(Table2[[#This Row],[Original_Diameter]],[1]Pipes!$A:$B,2,FALSE)</f>
        <v>362.58707029616613</v>
      </c>
      <c r="G179">
        <f>Table2[[#This Row],[unit cost]]*Table2[[#This Row],[Length]]</f>
        <v>773.26913994469692</v>
      </c>
    </row>
    <row r="180" spans="1:7" hidden="1" x14ac:dyDescent="0.25">
      <c r="A180" s="1">
        <v>178</v>
      </c>
      <c r="B180" t="s">
        <v>194</v>
      </c>
      <c r="C180">
        <v>96</v>
      </c>
      <c r="D180">
        <v>105.80323</v>
      </c>
      <c r="E180">
        <f>MATCH(Table2[[#This Row],[Pipe_name]],'2043 pipes'!B:B,0)</f>
        <v>179</v>
      </c>
      <c r="F180">
        <f>VLOOKUP(Table2[[#This Row],[Original_Diameter]],[1]Pipes!$A:$B,2,FALSE)</f>
        <v>362.58707029616613</v>
      </c>
      <c r="G180">
        <f>Table2[[#This Row],[unit cost]]*Table2[[#This Row],[Length]]</f>
        <v>38362.883193571433</v>
      </c>
    </row>
    <row r="181" spans="1:7" hidden="1" x14ac:dyDescent="0.25">
      <c r="A181" s="1">
        <v>179</v>
      </c>
      <c r="B181" t="s">
        <v>195</v>
      </c>
      <c r="C181">
        <v>101</v>
      </c>
      <c r="D181">
        <v>8.1444369999999999</v>
      </c>
      <c r="E181">
        <f>MATCH(Table2[[#This Row],[Pipe_name]],'2043 pipes'!B:B,0)</f>
        <v>180</v>
      </c>
      <c r="F181">
        <f>VLOOKUP(Table2[[#This Row],[Original_Diameter]],[1]Pipes!$A:$B,2,FALSE)</f>
        <v>362.58707029616613</v>
      </c>
      <c r="G181">
        <f>Table2[[#This Row],[unit cost]]*Table2[[#This Row],[Length]]</f>
        <v>2953.0675510416963</v>
      </c>
    </row>
    <row r="182" spans="1:7" hidden="1" x14ac:dyDescent="0.25">
      <c r="A182" s="1">
        <v>180</v>
      </c>
      <c r="B182" t="s">
        <v>196</v>
      </c>
      <c r="C182">
        <v>101</v>
      </c>
      <c r="D182">
        <v>211.655563</v>
      </c>
      <c r="E182">
        <f>MATCH(Table2[[#This Row],[Pipe_name]],'2043 pipes'!B:B,0)</f>
        <v>181</v>
      </c>
      <c r="F182">
        <f>VLOOKUP(Table2[[#This Row],[Original_Diameter]],[1]Pipes!$A:$B,2,FALSE)</f>
        <v>362.58707029616613</v>
      </c>
      <c r="G182">
        <f>Table2[[#This Row],[unit cost]]*Table2[[#This Row],[Length]]</f>
        <v>76743.570500055619</v>
      </c>
    </row>
    <row r="183" spans="1:7" hidden="1" x14ac:dyDescent="0.25">
      <c r="A183" s="1">
        <v>181</v>
      </c>
      <c r="B183" t="s">
        <v>197</v>
      </c>
      <c r="C183">
        <v>96</v>
      </c>
      <c r="D183">
        <v>8.5563300000000009</v>
      </c>
      <c r="E183">
        <f>MATCH(Table2[[#This Row],[Pipe_name]],'2043 pipes'!B:B,0)</f>
        <v>182</v>
      </c>
      <c r="F183">
        <f>VLOOKUP(Table2[[#This Row],[Original_Diameter]],[1]Pipes!$A:$B,2,FALSE)</f>
        <v>362.58707029616613</v>
      </c>
      <c r="G183">
        <f>Table2[[#This Row],[unit cost]]*Table2[[#This Row],[Length]]</f>
        <v>3102.4146271871955</v>
      </c>
    </row>
    <row r="184" spans="1:7" hidden="1" x14ac:dyDescent="0.25">
      <c r="A184" s="1">
        <v>182</v>
      </c>
      <c r="B184" t="s">
        <v>198</v>
      </c>
      <c r="C184">
        <v>101</v>
      </c>
      <c r="D184">
        <v>2.8590740000000001</v>
      </c>
      <c r="E184">
        <f>MATCH(Table2[[#This Row],[Pipe_name]],'2043 pipes'!B:B,0)</f>
        <v>183</v>
      </c>
      <c r="F184">
        <f>VLOOKUP(Table2[[#This Row],[Original_Diameter]],[1]Pipes!$A:$B,2,FALSE)</f>
        <v>362.58707029616613</v>
      </c>
      <c r="G184">
        <f>Table2[[#This Row],[unit cost]]*Table2[[#This Row],[Length]]</f>
        <v>1036.6632654199409</v>
      </c>
    </row>
    <row r="185" spans="1:7" hidden="1" x14ac:dyDescent="0.25">
      <c r="A185" s="1">
        <v>183</v>
      </c>
      <c r="B185" t="s">
        <v>199</v>
      </c>
      <c r="C185">
        <v>96</v>
      </c>
      <c r="D185">
        <v>1.647084</v>
      </c>
      <c r="E185">
        <f>MATCH(Table2[[#This Row],[Pipe_name]],'2043 pipes'!B:B,0)</f>
        <v>184</v>
      </c>
      <c r="F185">
        <f>VLOOKUP(Table2[[#This Row],[Original_Diameter]],[1]Pipes!$A:$B,2,FALSE)</f>
        <v>362.58707029616613</v>
      </c>
      <c r="G185">
        <f>Table2[[#This Row],[unit cost]]*Table2[[#This Row],[Length]]</f>
        <v>597.21136209169049</v>
      </c>
    </row>
    <row r="186" spans="1:7" hidden="1" x14ac:dyDescent="0.25">
      <c r="A186" s="1">
        <v>184</v>
      </c>
      <c r="B186" t="s">
        <v>200</v>
      </c>
      <c r="C186">
        <v>96</v>
      </c>
      <c r="D186">
        <v>59.371704000000001</v>
      </c>
      <c r="E186">
        <f>MATCH(Table2[[#This Row],[Pipe_name]],'2043 pipes'!B:B,0)</f>
        <v>185</v>
      </c>
      <c r="F186">
        <f>VLOOKUP(Table2[[#This Row],[Original_Diameter]],[1]Pipes!$A:$B,2,FALSE)</f>
        <v>362.58707029616613</v>
      </c>
      <c r="G186">
        <f>Table2[[#This Row],[unit cost]]*Table2[[#This Row],[Length]]</f>
        <v>21527.41221185117</v>
      </c>
    </row>
    <row r="187" spans="1:7" hidden="1" x14ac:dyDescent="0.25">
      <c r="A187" s="1">
        <v>185</v>
      </c>
      <c r="B187" t="s">
        <v>201</v>
      </c>
      <c r="C187">
        <v>96</v>
      </c>
      <c r="D187">
        <v>265.91256700000002</v>
      </c>
      <c r="E187">
        <f>MATCH(Table2[[#This Row],[Pipe_name]],'2043 pipes'!B:B,0)</f>
        <v>186</v>
      </c>
      <c r="F187">
        <f>VLOOKUP(Table2[[#This Row],[Original_Diameter]],[1]Pipes!$A:$B,2,FALSE)</f>
        <v>362.58707029616613</v>
      </c>
      <c r="G187">
        <f>Table2[[#This Row],[unit cost]]*Table2[[#This Row],[Length]]</f>
        <v>96416.458623462997</v>
      </c>
    </row>
    <row r="188" spans="1:7" hidden="1" x14ac:dyDescent="0.25">
      <c r="A188" s="1">
        <v>186</v>
      </c>
      <c r="B188" t="s">
        <v>202</v>
      </c>
      <c r="C188">
        <v>96</v>
      </c>
      <c r="D188">
        <v>5.6966479999999997</v>
      </c>
      <c r="E188">
        <f>MATCH(Table2[[#This Row],[Pipe_name]],'2043 pipes'!B:B,0)</f>
        <v>187</v>
      </c>
      <c r="F188">
        <f>VLOOKUP(Table2[[#This Row],[Original_Diameter]],[1]Pipes!$A:$B,2,FALSE)</f>
        <v>362.58707029616613</v>
      </c>
      <c r="G188">
        <f>Table2[[#This Row],[unit cost]]*Table2[[#This Row],[Length]]</f>
        <v>2065.5309088285139</v>
      </c>
    </row>
    <row r="189" spans="1:7" hidden="1" x14ac:dyDescent="0.25">
      <c r="A189" s="1">
        <v>187</v>
      </c>
      <c r="B189" t="s">
        <v>203</v>
      </c>
      <c r="C189">
        <v>96</v>
      </c>
      <c r="D189">
        <v>18.608585000000001</v>
      </c>
      <c r="E189">
        <f>MATCH(Table2[[#This Row],[Pipe_name]],'2043 pipes'!B:B,0)</f>
        <v>188</v>
      </c>
      <c r="F189">
        <f>VLOOKUP(Table2[[#This Row],[Original_Diameter]],[1]Pipes!$A:$B,2,FALSE)</f>
        <v>362.58707029616613</v>
      </c>
      <c r="G189">
        <f>Table2[[#This Row],[unit cost]]*Table2[[#This Row],[Length]]</f>
        <v>6747.2323175071833</v>
      </c>
    </row>
    <row r="190" spans="1:7" hidden="1" x14ac:dyDescent="0.25">
      <c r="A190" s="1">
        <v>188</v>
      </c>
      <c r="B190" t="s">
        <v>204</v>
      </c>
      <c r="C190">
        <v>96</v>
      </c>
      <c r="D190">
        <v>6.4359479999999998</v>
      </c>
      <c r="E190">
        <f>MATCH(Table2[[#This Row],[Pipe_name]],'2043 pipes'!B:B,0)</f>
        <v>189</v>
      </c>
      <c r="F190">
        <f>VLOOKUP(Table2[[#This Row],[Original_Diameter]],[1]Pipes!$A:$B,2,FALSE)</f>
        <v>362.58707029616613</v>
      </c>
      <c r="G190">
        <f>Table2[[#This Row],[unit cost]]*Table2[[#This Row],[Length]]</f>
        <v>2333.5915298984696</v>
      </c>
    </row>
    <row r="191" spans="1:7" hidden="1" x14ac:dyDescent="0.25">
      <c r="A191" s="1">
        <v>189</v>
      </c>
      <c r="B191" t="s">
        <v>205</v>
      </c>
      <c r="C191">
        <v>96</v>
      </c>
      <c r="D191">
        <v>169.723679</v>
      </c>
      <c r="E191">
        <f>MATCH(Table2[[#This Row],[Pipe_name]],'2043 pipes'!B:B,0)</f>
        <v>190</v>
      </c>
      <c r="F191">
        <f>VLOOKUP(Table2[[#This Row],[Original_Diameter]],[1]Pipes!$A:$B,2,FALSE)</f>
        <v>362.58707029616613</v>
      </c>
      <c r="G191">
        <f>Table2[[#This Row],[unit cost]]*Table2[[#This Row],[Length]]</f>
        <v>61539.611528496935</v>
      </c>
    </row>
    <row r="192" spans="1:7" hidden="1" x14ac:dyDescent="0.25">
      <c r="A192" s="1">
        <v>190</v>
      </c>
      <c r="B192" t="s">
        <v>206</v>
      </c>
      <c r="C192">
        <v>96</v>
      </c>
      <c r="D192">
        <v>88.698639</v>
      </c>
      <c r="E192">
        <f>MATCH(Table2[[#This Row],[Pipe_name]],'2043 pipes'!B:B,0)</f>
        <v>191</v>
      </c>
      <c r="F192">
        <f>VLOOKUP(Table2[[#This Row],[Original_Diameter]],[1]Pipes!$A:$B,2,FALSE)</f>
        <v>362.58707029616613</v>
      </c>
      <c r="G192">
        <f>Table2[[#This Row],[unit cost]]*Table2[[#This Row],[Length]]</f>
        <v>32160.979654267263</v>
      </c>
    </row>
    <row r="193" spans="1:7" hidden="1" x14ac:dyDescent="0.25">
      <c r="A193" s="1">
        <v>191</v>
      </c>
      <c r="B193" t="s">
        <v>207</v>
      </c>
      <c r="C193">
        <v>141</v>
      </c>
      <c r="D193">
        <v>2.2138080000000002</v>
      </c>
      <c r="E193">
        <f>MATCH(Table2[[#This Row],[Pipe_name]],'2043 pipes'!B:B,0)</f>
        <v>192</v>
      </c>
      <c r="F193">
        <f>VLOOKUP(Table2[[#This Row],[Original_Diameter]],[1]Pipes!$A:$B,2,FALSE)</f>
        <v>433.89080378537034</v>
      </c>
      <c r="G193">
        <f>Table2[[#This Row],[unit cost]]*Table2[[#This Row],[Length]]</f>
        <v>960.55093254648318</v>
      </c>
    </row>
    <row r="194" spans="1:7" hidden="1" x14ac:dyDescent="0.25">
      <c r="A194" s="1">
        <v>192</v>
      </c>
      <c r="B194" t="s">
        <v>208</v>
      </c>
      <c r="C194">
        <v>186</v>
      </c>
      <c r="D194">
        <v>9.8886380000000003</v>
      </c>
      <c r="E194">
        <f>MATCH(Table2[[#This Row],[Pipe_name]],'2043 pipes'!B:B,0)</f>
        <v>193</v>
      </c>
      <c r="F194">
        <f>VLOOKUP(Table2[[#This Row],[Original_Diameter]],[1]Pipes!$A:$B,2,FALSE)</f>
        <v>546.15625651305356</v>
      </c>
      <c r="G194">
        <f>Table2[[#This Row],[unit cost]]*Table2[[#This Row],[Length]]</f>
        <v>5400.741512092729</v>
      </c>
    </row>
    <row r="195" spans="1:7" hidden="1" x14ac:dyDescent="0.25">
      <c r="A195" s="1">
        <v>193</v>
      </c>
      <c r="B195" t="s">
        <v>209</v>
      </c>
      <c r="C195">
        <v>96</v>
      </c>
      <c r="D195">
        <v>3.1140629999999998</v>
      </c>
      <c r="E195">
        <f>MATCH(Table2[[#This Row],[Pipe_name]],'2043 pipes'!B:B,0)</f>
        <v>194</v>
      </c>
      <c r="F195">
        <f>VLOOKUP(Table2[[#This Row],[Original_Diameter]],[1]Pipes!$A:$B,2,FALSE)</f>
        <v>362.58707029616613</v>
      </c>
      <c r="G195">
        <f>Table2[[#This Row],[unit cost]]*Table2[[#This Row],[Length]]</f>
        <v>1129.1189798876899</v>
      </c>
    </row>
    <row r="196" spans="1:7" hidden="1" x14ac:dyDescent="0.25">
      <c r="A196" s="1">
        <v>194</v>
      </c>
      <c r="B196" t="s">
        <v>210</v>
      </c>
      <c r="C196">
        <v>50</v>
      </c>
      <c r="D196">
        <v>10.343946000000001</v>
      </c>
      <c r="E196">
        <f>MATCH(Table2[[#This Row],[Pipe_name]],'2043 pipes'!B:B,0)</f>
        <v>195</v>
      </c>
      <c r="F196">
        <f>VLOOKUP(Table2[[#This Row],[Original_Diameter]],[1]Pipes!$A:$B,2,FALSE)</f>
        <v>362.58707029616613</v>
      </c>
      <c r="G196">
        <f>Table2[[#This Row],[unit cost]]*Table2[[#This Row],[Length]]</f>
        <v>3750.5810754417466</v>
      </c>
    </row>
    <row r="197" spans="1:7" hidden="1" x14ac:dyDescent="0.25">
      <c r="A197" s="1">
        <v>195</v>
      </c>
      <c r="B197" t="s">
        <v>211</v>
      </c>
      <c r="C197">
        <v>96</v>
      </c>
      <c r="D197">
        <v>13.780590999999999</v>
      </c>
      <c r="E197">
        <f>MATCH(Table2[[#This Row],[Pipe_name]],'2043 pipes'!B:B,0)</f>
        <v>196</v>
      </c>
      <c r="F197">
        <f>VLOOKUP(Table2[[#This Row],[Original_Diameter]],[1]Pipes!$A:$B,2,FALSE)</f>
        <v>362.58707029616613</v>
      </c>
      <c r="G197">
        <f>Table2[[#This Row],[unit cost]]*Table2[[#This Row],[Length]]</f>
        <v>4996.6641176397143</v>
      </c>
    </row>
    <row r="198" spans="1:7" hidden="1" x14ac:dyDescent="0.25">
      <c r="A198" s="1">
        <v>196</v>
      </c>
      <c r="B198" t="s">
        <v>212</v>
      </c>
      <c r="C198">
        <v>141</v>
      </c>
      <c r="D198">
        <v>77.768242000000001</v>
      </c>
      <c r="E198">
        <f>MATCH(Table2[[#This Row],[Pipe_name]],'2043 pipes'!B:B,0)</f>
        <v>197</v>
      </c>
      <c r="F198">
        <f>VLOOKUP(Table2[[#This Row],[Original_Diameter]],[1]Pipes!$A:$B,2,FALSE)</f>
        <v>433.89080378537034</v>
      </c>
      <c r="G198">
        <f>Table2[[#This Row],[unit cost]]*Table2[[#This Row],[Length]]</f>
        <v>33742.925030355196</v>
      </c>
    </row>
    <row r="199" spans="1:7" hidden="1" x14ac:dyDescent="0.25">
      <c r="A199" s="1">
        <v>197</v>
      </c>
      <c r="B199" t="s">
        <v>213</v>
      </c>
      <c r="C199">
        <v>141</v>
      </c>
      <c r="D199">
        <v>17.607697999999999</v>
      </c>
      <c r="E199">
        <f>MATCH(Table2[[#This Row],[Pipe_name]],'2043 pipes'!B:B,0)</f>
        <v>198</v>
      </c>
      <c r="F199">
        <f>VLOOKUP(Table2[[#This Row],[Original_Diameter]],[1]Pipes!$A:$B,2,FALSE)</f>
        <v>433.89080378537034</v>
      </c>
      <c r="G199">
        <f>Table2[[#This Row],[unit cost]]*Table2[[#This Row],[Length]]</f>
        <v>7639.8182380300577</v>
      </c>
    </row>
    <row r="200" spans="1:7" hidden="1" x14ac:dyDescent="0.25">
      <c r="A200" s="1">
        <v>198</v>
      </c>
      <c r="B200" t="s">
        <v>214</v>
      </c>
      <c r="C200">
        <v>96</v>
      </c>
      <c r="D200">
        <v>15.820748999999999</v>
      </c>
      <c r="E200">
        <f>MATCH(Table2[[#This Row],[Pipe_name]],'2043 pipes'!B:B,0)</f>
        <v>199</v>
      </c>
      <c r="F200">
        <f>VLOOKUP(Table2[[#This Row],[Original_Diameter]],[1]Pipes!$A:$B,2,FALSE)</f>
        <v>362.58707029616613</v>
      </c>
      <c r="G200">
        <f>Table2[[#This Row],[unit cost]]*Table2[[#This Row],[Length]]</f>
        <v>5736.3990298009994</v>
      </c>
    </row>
    <row r="201" spans="1:7" hidden="1" x14ac:dyDescent="0.25">
      <c r="A201" s="1">
        <v>199</v>
      </c>
      <c r="B201" t="s">
        <v>215</v>
      </c>
      <c r="C201">
        <v>200</v>
      </c>
      <c r="D201">
        <v>14.627209000000001</v>
      </c>
      <c r="E201">
        <f>MATCH(Table2[[#This Row],[Pipe_name]],'2043 pipes'!B:B,0)</f>
        <v>200</v>
      </c>
      <c r="F201">
        <f>VLOOKUP(Table2[[#This Row],[Original_Diameter]],[1]Pipes!$A:$B,2,FALSE)</f>
        <v>546.15625651305356</v>
      </c>
      <c r="G201">
        <f>Table2[[#This Row],[unit cost]]*Table2[[#This Row],[Length]]</f>
        <v>7988.7417106740459</v>
      </c>
    </row>
    <row r="202" spans="1:7" hidden="1" x14ac:dyDescent="0.25">
      <c r="A202" s="1">
        <v>200</v>
      </c>
      <c r="B202" t="s">
        <v>216</v>
      </c>
      <c r="C202">
        <v>96</v>
      </c>
      <c r="D202">
        <v>2.9762409999999999</v>
      </c>
      <c r="E202">
        <f>MATCH(Table2[[#This Row],[Pipe_name]],'2043 pipes'!B:B,0)</f>
        <v>201</v>
      </c>
      <c r="F202">
        <f>VLOOKUP(Table2[[#This Row],[Original_Diameter]],[1]Pipes!$A:$B,2,FALSE)</f>
        <v>362.58707029616613</v>
      </c>
      <c r="G202">
        <f>Table2[[#This Row],[unit cost]]*Table2[[#This Row],[Length]]</f>
        <v>1079.1465046853318</v>
      </c>
    </row>
    <row r="203" spans="1:7" hidden="1" x14ac:dyDescent="0.25">
      <c r="A203" s="1">
        <v>201</v>
      </c>
      <c r="B203" t="s">
        <v>217</v>
      </c>
      <c r="C203">
        <v>50</v>
      </c>
      <c r="D203">
        <v>1.8843650000000001</v>
      </c>
      <c r="E203">
        <f>MATCH(Table2[[#This Row],[Pipe_name]],'2043 pipes'!B:B,0)</f>
        <v>202</v>
      </c>
      <c r="F203">
        <f>VLOOKUP(Table2[[#This Row],[Original_Diameter]],[1]Pipes!$A:$B,2,FALSE)</f>
        <v>362.58707029616613</v>
      </c>
      <c r="G203">
        <f>Table2[[#This Row],[unit cost]]*Table2[[#This Row],[Length]]</f>
        <v>683.24638471863511</v>
      </c>
    </row>
    <row r="204" spans="1:7" x14ac:dyDescent="0.25">
      <c r="A204" s="1">
        <v>202</v>
      </c>
      <c r="B204" t="s">
        <v>218</v>
      </c>
      <c r="C204">
        <v>96</v>
      </c>
      <c r="D204">
        <v>5.2997670000000001</v>
      </c>
      <c r="E204" t="e">
        <f>MATCH(Table2[[#This Row],[Pipe_name]],'2043 pipes'!B:B,0)</f>
        <v>#N/A</v>
      </c>
      <c r="F204">
        <f>VLOOKUP(Table2[[#This Row],[Original_Diameter]],[1]Pipes!$A:$B,2,FALSE)</f>
        <v>362.58707029616613</v>
      </c>
      <c r="G204">
        <f>Table2[[#This Row],[unit cost]]*Table2[[#This Row],[Length]]</f>
        <v>1921.6269897823015</v>
      </c>
    </row>
    <row r="205" spans="1:7" hidden="1" x14ac:dyDescent="0.25">
      <c r="A205" s="1">
        <v>203</v>
      </c>
      <c r="B205" t="s">
        <v>219</v>
      </c>
      <c r="C205">
        <v>101</v>
      </c>
      <c r="D205">
        <v>6.0571760000000001</v>
      </c>
      <c r="E205">
        <f>MATCH(Table2[[#This Row],[Pipe_name]],'2043 pipes'!B:B,0)</f>
        <v>203</v>
      </c>
      <c r="F205">
        <f>VLOOKUP(Table2[[#This Row],[Original_Diameter]],[1]Pipes!$A:$B,2,FALSE)</f>
        <v>362.58707029616613</v>
      </c>
      <c r="G205">
        <f>Table2[[#This Row],[unit cost]]*Table2[[#This Row],[Length]]</f>
        <v>2196.2537001082505</v>
      </c>
    </row>
    <row r="206" spans="1:7" hidden="1" x14ac:dyDescent="0.25">
      <c r="A206" s="1">
        <v>204</v>
      </c>
      <c r="B206" t="s">
        <v>220</v>
      </c>
      <c r="C206">
        <v>96</v>
      </c>
      <c r="D206">
        <v>3.2423299999999999</v>
      </c>
      <c r="E206">
        <f>MATCH(Table2[[#This Row],[Pipe_name]],'2043 pipes'!B:B,0)</f>
        <v>204</v>
      </c>
      <c r="F206">
        <f>VLOOKUP(Table2[[#This Row],[Original_Diameter]],[1]Pipes!$A:$B,2,FALSE)</f>
        <v>362.58707029616613</v>
      </c>
      <c r="G206">
        <f>Table2[[#This Row],[unit cost]]*Table2[[#This Row],[Length]]</f>
        <v>1175.6269356333682</v>
      </c>
    </row>
    <row r="207" spans="1:7" hidden="1" x14ac:dyDescent="0.25">
      <c r="A207" s="1">
        <v>205</v>
      </c>
      <c r="B207" t="s">
        <v>221</v>
      </c>
      <c r="C207">
        <v>143</v>
      </c>
      <c r="D207">
        <v>0.5</v>
      </c>
      <c r="E207">
        <f>MATCH(Table2[[#This Row],[Pipe_name]],'2043 pipes'!B:B,0)</f>
        <v>205</v>
      </c>
      <c r="F207">
        <f>VLOOKUP(Table2[[#This Row],[Original_Diameter]],[1]Pipes!$A:$B,2,FALSE)</f>
        <v>433.89080378537034</v>
      </c>
      <c r="G207">
        <f>Table2[[#This Row],[unit cost]]*Table2[[#This Row],[Length]]</f>
        <v>216.94540189268517</v>
      </c>
    </row>
    <row r="208" spans="1:7" hidden="1" x14ac:dyDescent="0.25">
      <c r="A208" s="1">
        <v>206</v>
      </c>
      <c r="B208" t="s">
        <v>222</v>
      </c>
      <c r="C208">
        <v>143</v>
      </c>
      <c r="D208">
        <v>237.08828700000001</v>
      </c>
      <c r="E208">
        <f>MATCH(Table2[[#This Row],[Pipe_name]],'2043 pipes'!B:B,0)</f>
        <v>206</v>
      </c>
      <c r="F208">
        <f>VLOOKUP(Table2[[#This Row],[Original_Diameter]],[1]Pipes!$A:$B,2,FALSE)</f>
        <v>433.89080378537034</v>
      </c>
      <c r="G208">
        <f>Table2[[#This Row],[unit cost]]*Table2[[#This Row],[Length]]</f>
        <v>102870.42741452657</v>
      </c>
    </row>
    <row r="209" spans="1:7" hidden="1" x14ac:dyDescent="0.25">
      <c r="A209" s="1">
        <v>207</v>
      </c>
      <c r="B209" t="s">
        <v>285</v>
      </c>
      <c r="C209">
        <v>143</v>
      </c>
      <c r="D209">
        <v>531.27282700000001</v>
      </c>
      <c r="E209">
        <f>MATCH(Table2[[#This Row],[Pipe_name]],'2043 pipes'!B:B,0)</f>
        <v>207</v>
      </c>
      <c r="F209">
        <f>VLOOKUP(Table2[[#This Row],[Original_Diameter]],[1]Pipes!$A:$B,2,FALSE)</f>
        <v>433.89080378537034</v>
      </c>
      <c r="G209">
        <f>Table2[[#This Row],[unit cost]]*Table2[[#This Row],[Length]]</f>
        <v>230514.39393635601</v>
      </c>
    </row>
    <row r="210" spans="1:7" hidden="1" x14ac:dyDescent="0.25">
      <c r="A210" s="1">
        <v>208</v>
      </c>
      <c r="B210" t="s">
        <v>223</v>
      </c>
      <c r="C210">
        <v>143</v>
      </c>
      <c r="D210">
        <v>21.585718</v>
      </c>
      <c r="E210">
        <f>MATCH(Table2[[#This Row],[Pipe_name]],'2043 pipes'!B:B,0)</f>
        <v>208</v>
      </c>
      <c r="F210">
        <f>VLOOKUP(Table2[[#This Row],[Original_Diameter]],[1]Pipes!$A:$B,2,FALSE)</f>
        <v>433.89080378537034</v>
      </c>
      <c r="G210">
        <f>Table2[[#This Row],[unit cost]]*Table2[[#This Row],[Length]]</f>
        <v>9365.8445333043364</v>
      </c>
    </row>
    <row r="211" spans="1:7" hidden="1" x14ac:dyDescent="0.25">
      <c r="A211" s="1">
        <v>209</v>
      </c>
      <c r="B211" t="s">
        <v>224</v>
      </c>
      <c r="C211">
        <v>200</v>
      </c>
      <c r="D211">
        <v>3.37114</v>
      </c>
      <c r="E211">
        <f>MATCH(Table2[[#This Row],[Pipe_name]],'2043 pipes'!B:B,0)</f>
        <v>209</v>
      </c>
      <c r="F211">
        <f>VLOOKUP(Table2[[#This Row],[Original_Diameter]],[1]Pipes!$A:$B,2,FALSE)</f>
        <v>546.15625651305356</v>
      </c>
      <c r="G211">
        <f>Table2[[#This Row],[unit cost]]*Table2[[#This Row],[Length]]</f>
        <v>1841.1692025814154</v>
      </c>
    </row>
    <row r="212" spans="1:7" hidden="1" x14ac:dyDescent="0.25">
      <c r="A212" s="1">
        <v>210</v>
      </c>
      <c r="B212" t="s">
        <v>225</v>
      </c>
      <c r="C212">
        <v>200</v>
      </c>
      <c r="D212">
        <v>133.029877</v>
      </c>
      <c r="E212">
        <f>MATCH(Table2[[#This Row],[Pipe_name]],'2043 pipes'!B:B,0)</f>
        <v>210</v>
      </c>
      <c r="F212">
        <f>VLOOKUP(Table2[[#This Row],[Original_Diameter]],[1]Pipes!$A:$B,2,FALSE)</f>
        <v>546.15625651305356</v>
      </c>
      <c r="G212">
        <f>Table2[[#This Row],[unit cost]]*Table2[[#This Row],[Length]]</f>
        <v>72655.099626711963</v>
      </c>
    </row>
    <row r="213" spans="1:7" hidden="1" x14ac:dyDescent="0.25">
      <c r="A213" s="1">
        <v>211</v>
      </c>
      <c r="B213" t="s">
        <v>226</v>
      </c>
      <c r="C213">
        <v>96</v>
      </c>
      <c r="D213">
        <v>32.550342999999998</v>
      </c>
      <c r="E213">
        <f>MATCH(Table2[[#This Row],[Pipe_name]],'2043 pipes'!B:B,0)</f>
        <v>211</v>
      </c>
      <c r="F213">
        <f>VLOOKUP(Table2[[#This Row],[Original_Diameter]],[1]Pipes!$A:$B,2,FALSE)</f>
        <v>362.58707029616613</v>
      </c>
      <c r="G213">
        <f>Table2[[#This Row],[unit cost]]*Table2[[#This Row],[Length]]</f>
        <v>11802.333505505318</v>
      </c>
    </row>
    <row r="214" spans="1:7" hidden="1" x14ac:dyDescent="0.25">
      <c r="A214" s="1">
        <v>212</v>
      </c>
      <c r="B214" t="s">
        <v>227</v>
      </c>
      <c r="C214">
        <v>96</v>
      </c>
      <c r="D214">
        <v>151.75245699999999</v>
      </c>
      <c r="E214">
        <f>MATCH(Table2[[#This Row],[Pipe_name]],'2043 pipes'!B:B,0)</f>
        <v>212</v>
      </c>
      <c r="F214">
        <f>VLOOKUP(Table2[[#This Row],[Original_Diameter]],[1]Pipes!$A:$B,2,FALSE)</f>
        <v>362.58707029616613</v>
      </c>
      <c r="G214">
        <f>Table2[[#This Row],[unit cost]]*Table2[[#This Row],[Length]]</f>
        <v>55023.478793874929</v>
      </c>
    </row>
    <row r="215" spans="1:7" hidden="1" x14ac:dyDescent="0.25">
      <c r="A215" s="1">
        <v>213</v>
      </c>
      <c r="B215" t="s">
        <v>228</v>
      </c>
      <c r="C215">
        <v>141</v>
      </c>
      <c r="D215">
        <v>104.470634</v>
      </c>
      <c r="E215">
        <f>MATCH(Table2[[#This Row],[Pipe_name]],'2043 pipes'!B:B,0)</f>
        <v>213</v>
      </c>
      <c r="F215">
        <f>VLOOKUP(Table2[[#This Row],[Original_Diameter]],[1]Pipes!$A:$B,2,FALSE)</f>
        <v>433.89080378537034</v>
      </c>
      <c r="G215">
        <f>Table2[[#This Row],[unit cost]]*Table2[[#This Row],[Length]]</f>
        <v>45328.847358227242</v>
      </c>
    </row>
    <row r="216" spans="1:7" hidden="1" x14ac:dyDescent="0.25">
      <c r="A216" s="1">
        <v>214</v>
      </c>
      <c r="B216" t="s">
        <v>229</v>
      </c>
      <c r="C216">
        <v>200</v>
      </c>
      <c r="D216">
        <v>19.450320999999999</v>
      </c>
      <c r="E216">
        <f>MATCH(Table2[[#This Row],[Pipe_name]],'2043 pipes'!B:B,0)</f>
        <v>214</v>
      </c>
      <c r="F216">
        <f>VLOOKUP(Table2[[#This Row],[Original_Diameter]],[1]Pipes!$A:$B,2,FALSE)</f>
        <v>546.15625651305356</v>
      </c>
      <c r="G216">
        <f>Table2[[#This Row],[unit cost]]*Table2[[#This Row],[Length]]</f>
        <v>10622.914505337232</v>
      </c>
    </row>
    <row r="217" spans="1:7" hidden="1" x14ac:dyDescent="0.25">
      <c r="A217" s="1">
        <v>215</v>
      </c>
      <c r="B217" t="s">
        <v>230</v>
      </c>
      <c r="C217">
        <v>96</v>
      </c>
      <c r="D217">
        <v>77.813652000000005</v>
      </c>
      <c r="E217">
        <f>MATCH(Table2[[#This Row],[Pipe_name]],'2043 pipes'!B:B,0)</f>
        <v>215</v>
      </c>
      <c r="F217">
        <f>VLOOKUP(Table2[[#This Row],[Original_Diameter]],[1]Pipes!$A:$B,2,FALSE)</f>
        <v>362.58707029616613</v>
      </c>
      <c r="G217">
        <f>Table2[[#This Row],[unit cost]]*Table2[[#This Row],[Length]]</f>
        <v>28214.224107725411</v>
      </c>
    </row>
    <row r="218" spans="1:7" hidden="1" x14ac:dyDescent="0.25">
      <c r="A218" s="1">
        <v>216</v>
      </c>
      <c r="B218" t="s">
        <v>231</v>
      </c>
      <c r="C218">
        <v>96</v>
      </c>
      <c r="D218">
        <v>5.7866929999999996</v>
      </c>
      <c r="E218">
        <f>MATCH(Table2[[#This Row],[Pipe_name]],'2043 pipes'!B:B,0)</f>
        <v>216</v>
      </c>
      <c r="F218">
        <f>VLOOKUP(Table2[[#This Row],[Original_Diameter]],[1]Pipes!$A:$B,2,FALSE)</f>
        <v>362.58707029616613</v>
      </c>
      <c r="G218">
        <f>Table2[[#This Row],[unit cost]]*Table2[[#This Row],[Length]]</f>
        <v>2098.1800615733323</v>
      </c>
    </row>
    <row r="219" spans="1:7" hidden="1" x14ac:dyDescent="0.25">
      <c r="A219" s="1">
        <v>217</v>
      </c>
      <c r="B219" t="s">
        <v>232</v>
      </c>
      <c r="C219">
        <v>96</v>
      </c>
      <c r="D219">
        <v>178.65176400000001</v>
      </c>
      <c r="E219">
        <f>MATCH(Table2[[#This Row],[Pipe_name]],'2043 pipes'!B:B,0)</f>
        <v>217</v>
      </c>
      <c r="F219">
        <f>VLOOKUP(Table2[[#This Row],[Original_Diameter]],[1]Pipes!$A:$B,2,FALSE)</f>
        <v>362.58707029616613</v>
      </c>
      <c r="G219">
        <f>Table2[[#This Row],[unit cost]]*Table2[[#This Row],[Length]]</f>
        <v>64776.819712002085</v>
      </c>
    </row>
    <row r="220" spans="1:7" hidden="1" x14ac:dyDescent="0.25">
      <c r="A220" s="1">
        <v>218</v>
      </c>
      <c r="B220" t="s">
        <v>233</v>
      </c>
      <c r="C220">
        <v>96</v>
      </c>
      <c r="D220">
        <v>6.0543009999999997</v>
      </c>
      <c r="E220">
        <f>MATCH(Table2[[#This Row],[Pipe_name]],'2043 pipes'!B:B,0)</f>
        <v>218</v>
      </c>
      <c r="F220">
        <f>VLOOKUP(Table2[[#This Row],[Original_Diameter]],[1]Pipes!$A:$B,2,FALSE)</f>
        <v>362.58707029616613</v>
      </c>
      <c r="G220">
        <f>Table2[[#This Row],[unit cost]]*Table2[[#This Row],[Length]]</f>
        <v>2195.2112622811487</v>
      </c>
    </row>
    <row r="221" spans="1:7" hidden="1" x14ac:dyDescent="0.25">
      <c r="A221" s="1">
        <v>219</v>
      </c>
      <c r="B221" t="s">
        <v>234</v>
      </c>
      <c r="C221">
        <v>96</v>
      </c>
      <c r="D221">
        <v>4.3333640000000004</v>
      </c>
      <c r="E221">
        <f>MATCH(Table2[[#This Row],[Pipe_name]],'2043 pipes'!B:B,0)</f>
        <v>219</v>
      </c>
      <c r="F221">
        <f>VLOOKUP(Table2[[#This Row],[Original_Diameter]],[1]Pipes!$A:$B,2,FALSE)</f>
        <v>362.58707029616613</v>
      </c>
      <c r="G221">
        <f>Table2[[#This Row],[unit cost]]*Table2[[#This Row],[Length]]</f>
        <v>1571.2217572868758</v>
      </c>
    </row>
    <row r="222" spans="1:7" hidden="1" x14ac:dyDescent="0.25">
      <c r="A222" s="1">
        <v>220</v>
      </c>
      <c r="B222" t="s">
        <v>235</v>
      </c>
      <c r="C222">
        <v>96</v>
      </c>
      <c r="D222">
        <v>56.578578999999998</v>
      </c>
      <c r="E222">
        <f>MATCH(Table2[[#This Row],[Pipe_name]],'2043 pipes'!B:B,0)</f>
        <v>220</v>
      </c>
      <c r="F222">
        <f>VLOOKUP(Table2[[#This Row],[Original_Diameter]],[1]Pipes!$A:$B,2,FALSE)</f>
        <v>362.58707029616613</v>
      </c>
      <c r="G222">
        <f>Table2[[#This Row],[unit cost]]*Table2[[#This Row],[Length]]</f>
        <v>20514.661201130188</v>
      </c>
    </row>
    <row r="223" spans="1:7" hidden="1" x14ac:dyDescent="0.25">
      <c r="A223" s="1">
        <v>221</v>
      </c>
      <c r="B223" t="s">
        <v>236</v>
      </c>
      <c r="C223">
        <v>96</v>
      </c>
      <c r="D223">
        <v>7.6275779999999997</v>
      </c>
      <c r="E223">
        <f>MATCH(Table2[[#This Row],[Pipe_name]],'2043 pipes'!B:B,0)</f>
        <v>221</v>
      </c>
      <c r="F223">
        <f>VLOOKUP(Table2[[#This Row],[Original_Diameter]],[1]Pipes!$A:$B,2,FALSE)</f>
        <v>362.58707029616613</v>
      </c>
      <c r="G223">
        <f>Table2[[#This Row],[unit cost]]*Table2[[#This Row],[Length]]</f>
        <v>2765.6611604754903</v>
      </c>
    </row>
    <row r="224" spans="1:7" hidden="1" x14ac:dyDescent="0.25">
      <c r="A224" s="1">
        <v>222</v>
      </c>
      <c r="B224" t="s">
        <v>237</v>
      </c>
      <c r="C224">
        <v>96</v>
      </c>
      <c r="D224">
        <v>183.88240099999999</v>
      </c>
      <c r="E224">
        <f>MATCH(Table2[[#This Row],[Pipe_name]],'2043 pipes'!B:B,0)</f>
        <v>222</v>
      </c>
      <c r="F224">
        <f>VLOOKUP(Table2[[#This Row],[Original_Diameter]],[1]Pipes!$A:$B,2,FALSE)</f>
        <v>362.58707029616613</v>
      </c>
      <c r="G224">
        <f>Table2[[#This Row],[unit cost]]*Table2[[#This Row],[Length]]</f>
        <v>66673.38105761481</v>
      </c>
    </row>
    <row r="225" spans="1:7" hidden="1" x14ac:dyDescent="0.25">
      <c r="A225" s="1">
        <v>223</v>
      </c>
      <c r="B225" t="s">
        <v>286</v>
      </c>
      <c r="C225">
        <v>96</v>
      </c>
      <c r="D225">
        <v>28.616304</v>
      </c>
      <c r="E225">
        <f>MATCH(Table2[[#This Row],[Pipe_name]],'2043 pipes'!B:B,0)</f>
        <v>223</v>
      </c>
      <c r="F225">
        <f>VLOOKUP(Table2[[#This Row],[Original_Diameter]],[1]Pipes!$A:$B,2,FALSE)</f>
        <v>362.58707029616613</v>
      </c>
      <c r="G225">
        <f>Table2[[#This Row],[unit cost]]*Table2[[#This Row],[Length]]</f>
        <v>10375.90183006446</v>
      </c>
    </row>
    <row r="226" spans="1:7" hidden="1" x14ac:dyDescent="0.25">
      <c r="A226" s="1">
        <v>224</v>
      </c>
      <c r="B226" t="s">
        <v>238</v>
      </c>
      <c r="C226">
        <v>96</v>
      </c>
      <c r="D226">
        <v>9.4125019999999999</v>
      </c>
      <c r="E226">
        <f>MATCH(Table2[[#This Row],[Pipe_name]],'2043 pipes'!B:B,0)</f>
        <v>224</v>
      </c>
      <c r="F226">
        <f>VLOOKUP(Table2[[#This Row],[Original_Diameter]],[1]Pipes!$A:$B,2,FALSE)</f>
        <v>362.58707029616613</v>
      </c>
      <c r="G226">
        <f>Table2[[#This Row],[unit cost]]*Table2[[#This Row],[Length]]</f>
        <v>3412.8515243368042</v>
      </c>
    </row>
    <row r="227" spans="1:7" hidden="1" x14ac:dyDescent="0.25">
      <c r="A227" s="1">
        <v>225</v>
      </c>
      <c r="B227" t="s">
        <v>239</v>
      </c>
      <c r="C227">
        <v>141</v>
      </c>
      <c r="D227">
        <v>120.852097</v>
      </c>
      <c r="E227">
        <f>MATCH(Table2[[#This Row],[Pipe_name]],'2043 pipes'!B:B,0)</f>
        <v>225</v>
      </c>
      <c r="F227">
        <f>VLOOKUP(Table2[[#This Row],[Original_Diameter]],[1]Pipes!$A:$B,2,FALSE)</f>
        <v>433.89080378537034</v>
      </c>
      <c r="G227">
        <f>Table2[[#This Row],[unit cost]]*Table2[[#This Row],[Length]]</f>
        <v>52436.613506477544</v>
      </c>
    </row>
    <row r="228" spans="1:7" hidden="1" x14ac:dyDescent="0.25">
      <c r="A228" s="1">
        <v>226</v>
      </c>
      <c r="B228" t="s">
        <v>240</v>
      </c>
      <c r="C228">
        <v>96</v>
      </c>
      <c r="D228">
        <v>4.6956889999999998</v>
      </c>
      <c r="E228">
        <f>MATCH(Table2[[#This Row],[Pipe_name]],'2043 pipes'!B:B,0)</f>
        <v>226</v>
      </c>
      <c r="F228">
        <f>VLOOKUP(Table2[[#This Row],[Original_Diameter]],[1]Pipes!$A:$B,2,FALSE)</f>
        <v>362.58707029616613</v>
      </c>
      <c r="G228">
        <f>Table2[[#This Row],[unit cost]]*Table2[[#This Row],[Length]]</f>
        <v>1702.5961175319339</v>
      </c>
    </row>
    <row r="229" spans="1:7" hidden="1" x14ac:dyDescent="0.25">
      <c r="A229" s="1">
        <v>227</v>
      </c>
      <c r="B229" t="s">
        <v>241</v>
      </c>
      <c r="C229">
        <v>96</v>
      </c>
      <c r="D229">
        <v>5.2222499999999998</v>
      </c>
      <c r="E229">
        <f>MATCH(Table2[[#This Row],[Pipe_name]],'2043 pipes'!B:B,0)</f>
        <v>227</v>
      </c>
      <c r="F229">
        <f>VLOOKUP(Table2[[#This Row],[Original_Diameter]],[1]Pipes!$A:$B,2,FALSE)</f>
        <v>362.58707029616613</v>
      </c>
      <c r="G229">
        <f>Table2[[#This Row],[unit cost]]*Table2[[#This Row],[Length]]</f>
        <v>1893.5203278541535</v>
      </c>
    </row>
    <row r="230" spans="1:7" hidden="1" x14ac:dyDescent="0.25">
      <c r="A230" s="1">
        <v>228</v>
      </c>
      <c r="B230" t="s">
        <v>242</v>
      </c>
      <c r="C230">
        <v>103</v>
      </c>
      <c r="D230">
        <v>135.89176900000001</v>
      </c>
      <c r="E230">
        <f>MATCH(Table2[[#This Row],[Pipe_name]],'2043 pipes'!B:B,0)</f>
        <v>228</v>
      </c>
      <c r="F230">
        <f>VLOOKUP(Table2[[#This Row],[Original_Diameter]],[1]Pipes!$A:$B,2,FALSE)</f>
        <v>362.58707029616613</v>
      </c>
      <c r="G230">
        <f>Table2[[#This Row],[unit cost]]*Table2[[#This Row],[Length]]</f>
        <v>49272.598399073373</v>
      </c>
    </row>
    <row r="231" spans="1:7" hidden="1" x14ac:dyDescent="0.25">
      <c r="A231" s="1">
        <v>229</v>
      </c>
      <c r="B231" t="s">
        <v>243</v>
      </c>
      <c r="C231">
        <v>96</v>
      </c>
      <c r="D231">
        <v>18.747032000000001</v>
      </c>
      <c r="E231">
        <f>MATCH(Table2[[#This Row],[Pipe_name]],'2043 pipes'!B:B,0)</f>
        <v>229</v>
      </c>
      <c r="F231">
        <f>VLOOKUP(Table2[[#This Row],[Original_Diameter]],[1]Pipes!$A:$B,2,FALSE)</f>
        <v>362.58707029616613</v>
      </c>
      <c r="G231">
        <f>Table2[[#This Row],[unit cost]]*Table2[[#This Row],[Length]]</f>
        <v>6797.4314096284761</v>
      </c>
    </row>
    <row r="232" spans="1:7" hidden="1" x14ac:dyDescent="0.25">
      <c r="A232" s="1">
        <v>230</v>
      </c>
      <c r="B232" t="s">
        <v>244</v>
      </c>
      <c r="C232">
        <v>96</v>
      </c>
      <c r="D232">
        <v>152.29994199999999</v>
      </c>
      <c r="E232">
        <f>MATCH(Table2[[#This Row],[Pipe_name]],'2043 pipes'!B:B,0)</f>
        <v>230</v>
      </c>
      <c r="F232">
        <f>VLOOKUP(Table2[[#This Row],[Original_Diameter]],[1]Pipes!$A:$B,2,FALSE)</f>
        <v>362.58707029616613</v>
      </c>
      <c r="G232">
        <f>Table2[[#This Row],[unit cost]]*Table2[[#This Row],[Length]]</f>
        <v>55221.98977605602</v>
      </c>
    </row>
    <row r="233" spans="1:7" hidden="1" x14ac:dyDescent="0.25">
      <c r="A233" s="1">
        <v>231</v>
      </c>
      <c r="B233" t="s">
        <v>245</v>
      </c>
      <c r="C233">
        <v>96</v>
      </c>
      <c r="D233">
        <v>31.321936000000001</v>
      </c>
      <c r="E233">
        <f>MATCH(Table2[[#This Row],[Pipe_name]],'2043 pipes'!B:B,0)</f>
        <v>231</v>
      </c>
      <c r="F233">
        <f>VLOOKUP(Table2[[#This Row],[Original_Diameter]],[1]Pipes!$A:$B,2,FALSE)</f>
        <v>362.58707029616613</v>
      </c>
      <c r="G233">
        <f>Table2[[#This Row],[unit cost]]*Table2[[#This Row],[Length]]</f>
        <v>11356.929010244017</v>
      </c>
    </row>
    <row r="234" spans="1:7" hidden="1" x14ac:dyDescent="0.25">
      <c r="A234" s="1">
        <v>232</v>
      </c>
      <c r="B234" t="s">
        <v>246</v>
      </c>
      <c r="C234">
        <v>101</v>
      </c>
      <c r="D234">
        <v>13.222408</v>
      </c>
      <c r="E234">
        <f>MATCH(Table2[[#This Row],[Pipe_name]],'2043 pipes'!B:B,0)</f>
        <v>232</v>
      </c>
      <c r="F234">
        <f>VLOOKUP(Table2[[#This Row],[Original_Diameter]],[1]Pipes!$A:$B,2,FALSE)</f>
        <v>362.58707029616613</v>
      </c>
      <c r="G234">
        <f>Table2[[#This Row],[unit cost]]*Table2[[#This Row],[Length]]</f>
        <v>4794.2741789805896</v>
      </c>
    </row>
    <row r="235" spans="1:7" hidden="1" x14ac:dyDescent="0.25">
      <c r="A235" s="1">
        <v>233</v>
      </c>
      <c r="B235" t="s">
        <v>247</v>
      </c>
      <c r="C235">
        <v>101</v>
      </c>
      <c r="D235">
        <v>2.447422</v>
      </c>
      <c r="E235">
        <f>MATCH(Table2[[#This Row],[Pipe_name]],'2043 pipes'!B:B,0)</f>
        <v>233</v>
      </c>
      <c r="F235">
        <f>VLOOKUP(Table2[[#This Row],[Original_Diameter]],[1]Pipes!$A:$B,2,FALSE)</f>
        <v>362.58707029616613</v>
      </c>
      <c r="G235">
        <f>Table2[[#This Row],[unit cost]]*Table2[[#This Row],[Length]]</f>
        <v>887.40357275838346</v>
      </c>
    </row>
    <row r="236" spans="1:7" hidden="1" x14ac:dyDescent="0.25">
      <c r="A236" s="1">
        <v>234</v>
      </c>
      <c r="B236" t="s">
        <v>248</v>
      </c>
      <c r="C236">
        <v>143</v>
      </c>
      <c r="D236">
        <v>45.584454000000001</v>
      </c>
      <c r="E236">
        <f>MATCH(Table2[[#This Row],[Pipe_name]],'2043 pipes'!B:B,0)</f>
        <v>234</v>
      </c>
      <c r="F236">
        <f>VLOOKUP(Table2[[#This Row],[Original_Diameter]],[1]Pipes!$A:$B,2,FALSE)</f>
        <v>433.89080378537034</v>
      </c>
      <c r="G236">
        <f>Table2[[#This Row],[unit cost]]*Table2[[#This Row],[Length]]</f>
        <v>19778.675386177241</v>
      </c>
    </row>
    <row r="237" spans="1:7" hidden="1" x14ac:dyDescent="0.25">
      <c r="A237" s="1">
        <v>235</v>
      </c>
      <c r="B237" t="s">
        <v>249</v>
      </c>
      <c r="C237">
        <v>32</v>
      </c>
      <c r="D237">
        <v>1.3970180000000001</v>
      </c>
      <c r="E237">
        <f>MATCH(Table2[[#This Row],[Pipe_name]],'2043 pipes'!B:B,0)</f>
        <v>235</v>
      </c>
      <c r="F237">
        <f>VLOOKUP(Table2[[#This Row],[Original_Diameter]],[1]Pipes!$A:$B,2,FALSE)</f>
        <v>362.58707029616613</v>
      </c>
      <c r="G237">
        <f>Table2[[#This Row],[unit cost]]*Table2[[#This Row],[Length]]</f>
        <v>506.54066377100946</v>
      </c>
    </row>
    <row r="238" spans="1:7" hidden="1" x14ac:dyDescent="0.25">
      <c r="A238" s="1">
        <v>236</v>
      </c>
      <c r="B238" t="s">
        <v>250</v>
      </c>
      <c r="C238">
        <v>32</v>
      </c>
      <c r="D238">
        <v>6.0119499999999997</v>
      </c>
      <c r="E238">
        <f>MATCH(Table2[[#This Row],[Pipe_name]],'2043 pipes'!B:B,0)</f>
        <v>236</v>
      </c>
      <c r="F238">
        <f>VLOOKUP(Table2[[#This Row],[Original_Diameter]],[1]Pipes!$A:$B,2,FALSE)</f>
        <v>362.58707029616613</v>
      </c>
      <c r="G238">
        <f>Table2[[#This Row],[unit cost]]*Table2[[#This Row],[Length]]</f>
        <v>2179.8553372670358</v>
      </c>
    </row>
    <row r="239" spans="1:7" hidden="1" x14ac:dyDescent="0.25">
      <c r="A239" s="1">
        <v>237</v>
      </c>
      <c r="B239" t="s">
        <v>287</v>
      </c>
      <c r="C239">
        <v>101</v>
      </c>
      <c r="D239">
        <v>52.372627000000001</v>
      </c>
      <c r="E239">
        <f>MATCH(Table2[[#This Row],[Pipe_name]],'2043 pipes'!B:B,0)</f>
        <v>237</v>
      </c>
      <c r="F239">
        <f>VLOOKUP(Table2[[#This Row],[Original_Diameter]],[1]Pipes!$A:$B,2,FALSE)</f>
        <v>362.58707029616613</v>
      </c>
      <c r="G239">
        <f>Table2[[#This Row],[unit cost]]*Table2[[#This Row],[Length]]</f>
        <v>18989.637387643888</v>
      </c>
    </row>
    <row r="240" spans="1:7" hidden="1" x14ac:dyDescent="0.25">
      <c r="A240" s="1">
        <v>238</v>
      </c>
      <c r="B240" t="s">
        <v>251</v>
      </c>
      <c r="C240">
        <v>158</v>
      </c>
      <c r="D240">
        <v>1.3417950000000001</v>
      </c>
      <c r="E240">
        <f>MATCH(Table2[[#This Row],[Pipe_name]],'2043 pipes'!B:B,0)</f>
        <v>238</v>
      </c>
      <c r="F240">
        <f>VLOOKUP(Table2[[#This Row],[Original_Diameter]],[1]Pipes!$A:$B,2,FALSE)</f>
        <v>433.89080378537034</v>
      </c>
      <c r="G240">
        <f>Table2[[#This Row],[unit cost]]*Table2[[#This Row],[Length]]</f>
        <v>582.19251106519107</v>
      </c>
    </row>
    <row r="241" spans="1:7" hidden="1" x14ac:dyDescent="0.25">
      <c r="A241" s="1">
        <v>239</v>
      </c>
      <c r="B241" t="s">
        <v>252</v>
      </c>
      <c r="C241">
        <v>143</v>
      </c>
      <c r="D241">
        <v>28.180826</v>
      </c>
      <c r="E241">
        <f>MATCH(Table2[[#This Row],[Pipe_name]],'2043 pipes'!B:B,0)</f>
        <v>239</v>
      </c>
      <c r="F241">
        <f>VLOOKUP(Table2[[#This Row],[Original_Diameter]],[1]Pipes!$A:$B,2,FALSE)</f>
        <v>433.89080378537034</v>
      </c>
      <c r="G241">
        <f>Table2[[#This Row],[unit cost]]*Table2[[#This Row],[Length]]</f>
        <v>12227.401244475663</v>
      </c>
    </row>
    <row r="242" spans="1:7" hidden="1" x14ac:dyDescent="0.25">
      <c r="A242" s="1">
        <v>240</v>
      </c>
      <c r="B242" t="s">
        <v>253</v>
      </c>
      <c r="C242">
        <v>158</v>
      </c>
      <c r="D242">
        <v>1.338984</v>
      </c>
      <c r="E242">
        <f>MATCH(Table2[[#This Row],[Pipe_name]],'2043 pipes'!B:B,0)</f>
        <v>240</v>
      </c>
      <c r="F242">
        <f>VLOOKUP(Table2[[#This Row],[Original_Diameter]],[1]Pipes!$A:$B,2,FALSE)</f>
        <v>433.89080378537034</v>
      </c>
      <c r="G242">
        <f>Table2[[#This Row],[unit cost]]*Table2[[#This Row],[Length]]</f>
        <v>580.9728440157503</v>
      </c>
    </row>
    <row r="243" spans="1:7" hidden="1" x14ac:dyDescent="0.25">
      <c r="A243" s="1">
        <v>241</v>
      </c>
      <c r="B243" t="s">
        <v>254</v>
      </c>
      <c r="C243">
        <v>96</v>
      </c>
      <c r="D243">
        <v>11.546052</v>
      </c>
      <c r="E243">
        <f>MATCH(Table2[[#This Row],[Pipe_name]],'2043 pipes'!B:B,0)</f>
        <v>241</v>
      </c>
      <c r="F243">
        <f>VLOOKUP(Table2[[#This Row],[Original_Diameter]],[1]Pipes!$A:$B,2,FALSE)</f>
        <v>362.58707029616613</v>
      </c>
      <c r="G243">
        <f>Table2[[#This Row],[unit cost]]*Table2[[#This Row],[Length]]</f>
        <v>4186.4491681671898</v>
      </c>
    </row>
    <row r="244" spans="1:7" hidden="1" x14ac:dyDescent="0.25">
      <c r="A244" s="1">
        <v>242</v>
      </c>
      <c r="B244" t="s">
        <v>255</v>
      </c>
      <c r="C244">
        <v>158</v>
      </c>
      <c r="D244">
        <v>12.633649999999999</v>
      </c>
      <c r="E244">
        <f>MATCH(Table2[[#This Row],[Pipe_name]],'2043 pipes'!B:B,0)</f>
        <v>242</v>
      </c>
      <c r="F244">
        <f>VLOOKUP(Table2[[#This Row],[Original_Diameter]],[1]Pipes!$A:$B,2,FALSE)</f>
        <v>433.89080378537034</v>
      </c>
      <c r="G244">
        <f>Table2[[#This Row],[unit cost]]*Table2[[#This Row],[Length]]</f>
        <v>5481.6245532430439</v>
      </c>
    </row>
    <row r="245" spans="1:7" hidden="1" x14ac:dyDescent="0.25">
      <c r="A245" s="1">
        <v>243</v>
      </c>
      <c r="B245" t="s">
        <v>256</v>
      </c>
      <c r="C245">
        <v>158</v>
      </c>
      <c r="D245">
        <v>18.525658</v>
      </c>
      <c r="E245">
        <f>MATCH(Table2[[#This Row],[Pipe_name]],'2043 pipes'!B:B,0)</f>
        <v>243</v>
      </c>
      <c r="F245">
        <f>VLOOKUP(Table2[[#This Row],[Original_Diameter]],[1]Pipes!$A:$B,2,FALSE)</f>
        <v>433.89080378537034</v>
      </c>
      <c r="G245">
        <f>Table2[[#This Row],[unit cost]]*Table2[[#This Row],[Length]]</f>
        <v>8038.112640272876</v>
      </c>
    </row>
    <row r="246" spans="1:7" hidden="1" x14ac:dyDescent="0.25">
      <c r="A246" s="1">
        <v>244</v>
      </c>
      <c r="B246" t="s">
        <v>257</v>
      </c>
      <c r="C246">
        <v>101</v>
      </c>
      <c r="D246">
        <v>56.233265000000003</v>
      </c>
      <c r="E246">
        <f>MATCH(Table2[[#This Row],[Pipe_name]],'2043 pipes'!B:B,0)</f>
        <v>244</v>
      </c>
      <c r="F246">
        <f>VLOOKUP(Table2[[#This Row],[Original_Diameter]],[1]Pipes!$A:$B,2,FALSE)</f>
        <v>362.58707029616613</v>
      </c>
      <c r="G246">
        <f>Table2[[#This Row],[unit cost]]*Table2[[#This Row],[Length]]</f>
        <v>20389.45480953794</v>
      </c>
    </row>
    <row r="247" spans="1:7" hidden="1" x14ac:dyDescent="0.25">
      <c r="A247" s="1">
        <v>245</v>
      </c>
      <c r="B247" t="s">
        <v>258</v>
      </c>
      <c r="C247">
        <v>101</v>
      </c>
      <c r="D247">
        <v>107.44064299999999</v>
      </c>
      <c r="E247">
        <f>MATCH(Table2[[#This Row],[Pipe_name]],'2043 pipes'!B:B,0)</f>
        <v>245</v>
      </c>
      <c r="F247">
        <f>VLOOKUP(Table2[[#This Row],[Original_Diameter]],[1]Pipes!$A:$B,2,FALSE)</f>
        <v>362.58707029616613</v>
      </c>
      <c r="G247">
        <f>Table2[[#This Row],[unit cost]]*Table2[[#This Row],[Length]]</f>
        <v>38956.58797610629</v>
      </c>
    </row>
    <row r="248" spans="1:7" hidden="1" x14ac:dyDescent="0.25">
      <c r="A248" s="1">
        <v>246</v>
      </c>
      <c r="B248" t="s">
        <v>259</v>
      </c>
      <c r="C248">
        <v>143</v>
      </c>
      <c r="D248">
        <v>80.059708000000001</v>
      </c>
      <c r="E248">
        <f>MATCH(Table2[[#This Row],[Pipe_name]],'2043 pipes'!B:B,0)</f>
        <v>246</v>
      </c>
      <c r="F248">
        <f>VLOOKUP(Table2[[#This Row],[Original_Diameter]],[1]Pipes!$A:$B,2,FALSE)</f>
        <v>433.89080378537034</v>
      </c>
      <c r="G248">
        <f>Table2[[#This Row],[unit cost]]*Table2[[#This Row],[Length]]</f>
        <v>34737.171054942046</v>
      </c>
    </row>
    <row r="249" spans="1:7" hidden="1" x14ac:dyDescent="0.25">
      <c r="A249" s="1">
        <v>247</v>
      </c>
      <c r="B249" t="s">
        <v>260</v>
      </c>
      <c r="C249">
        <v>143</v>
      </c>
      <c r="D249">
        <v>51.326003999999998</v>
      </c>
      <c r="E249">
        <f>MATCH(Table2[[#This Row],[Pipe_name]],'2043 pipes'!B:B,0)</f>
        <v>247</v>
      </c>
      <c r="F249">
        <f>VLOOKUP(Table2[[#This Row],[Original_Diameter]],[1]Pipes!$A:$B,2,FALSE)</f>
        <v>433.89080378537034</v>
      </c>
      <c r="G249">
        <f>Table2[[#This Row],[unit cost]]*Table2[[#This Row],[Length]]</f>
        <v>22269.881130651131</v>
      </c>
    </row>
    <row r="250" spans="1:7" hidden="1" x14ac:dyDescent="0.25">
      <c r="A250" s="1">
        <v>248</v>
      </c>
      <c r="B250" t="s">
        <v>261</v>
      </c>
      <c r="C250">
        <v>103</v>
      </c>
      <c r="D250">
        <v>5.0134449999999999</v>
      </c>
      <c r="E250">
        <f>MATCH(Table2[[#This Row],[Pipe_name]],'2043 pipes'!B:B,0)</f>
        <v>248</v>
      </c>
      <c r="F250">
        <f>VLOOKUP(Table2[[#This Row],[Original_Diameter]],[1]Pipes!$A:$B,2,FALSE)</f>
        <v>362.58707029616613</v>
      </c>
      <c r="G250">
        <f>Table2[[#This Row],[unit cost]]*Table2[[#This Row],[Length]]</f>
        <v>1817.8103346409625</v>
      </c>
    </row>
    <row r="251" spans="1:7" x14ac:dyDescent="0.25">
      <c r="A251" s="1">
        <v>249</v>
      </c>
      <c r="B251" t="s">
        <v>262</v>
      </c>
      <c r="C251">
        <v>96</v>
      </c>
      <c r="D251">
        <v>347.69885299999999</v>
      </c>
      <c r="E251" t="e">
        <f>MATCH(Table2[[#This Row],[Pipe_name]],'2043 pipes'!B:B,0)</f>
        <v>#N/A</v>
      </c>
      <c r="F251">
        <f>VLOOKUP(Table2[[#This Row],[Original_Diameter]],[1]Pipes!$A:$B,2,FALSE)</f>
        <v>362.58707029616613</v>
      </c>
      <c r="G251">
        <f>Table2[[#This Row],[unit cost]]*Table2[[#This Row],[Length]]</f>
        <v>126071.10845460733</v>
      </c>
    </row>
    <row r="252" spans="1:7" hidden="1" x14ac:dyDescent="0.25">
      <c r="A252" s="1">
        <v>250</v>
      </c>
      <c r="B252" t="s">
        <v>263</v>
      </c>
      <c r="C252">
        <v>141</v>
      </c>
      <c r="D252">
        <v>29.650137000000001</v>
      </c>
      <c r="E252">
        <f>MATCH(Table2[[#This Row],[Pipe_name]],'2043 pipes'!B:B,0)</f>
        <v>250</v>
      </c>
      <c r="F252">
        <f>VLOOKUP(Table2[[#This Row],[Original_Diameter]],[1]Pipes!$A:$B,2,FALSE)</f>
        <v>433.89080378537034</v>
      </c>
      <c r="G252">
        <f>Table2[[#This Row],[unit cost]]*Table2[[#This Row],[Length]]</f>
        <v>12864.921775276349</v>
      </c>
    </row>
    <row r="253" spans="1:7" hidden="1" x14ac:dyDescent="0.25">
      <c r="A253" s="1">
        <v>251</v>
      </c>
      <c r="B253" t="s">
        <v>264</v>
      </c>
      <c r="C253">
        <v>158</v>
      </c>
      <c r="D253">
        <v>1.7149490000000001</v>
      </c>
      <c r="E253">
        <f>MATCH(Table2[[#This Row],[Pipe_name]],'2043 pipes'!B:B,0)</f>
        <v>251</v>
      </c>
      <c r="F253">
        <f>VLOOKUP(Table2[[#This Row],[Original_Diameter]],[1]Pipes!$A:$B,2,FALSE)</f>
        <v>433.89080378537034</v>
      </c>
      <c r="G253">
        <f>Table2[[#This Row],[unit cost]]*Table2[[#This Row],[Length]]</f>
        <v>744.10060006091715</v>
      </c>
    </row>
    <row r="254" spans="1:7" hidden="1" x14ac:dyDescent="0.25">
      <c r="A254" s="1">
        <v>252</v>
      </c>
      <c r="B254" t="s">
        <v>265</v>
      </c>
      <c r="C254">
        <v>141</v>
      </c>
      <c r="D254">
        <v>2.9948290000000002</v>
      </c>
      <c r="E254">
        <f>MATCH(Table2[[#This Row],[Pipe_name]],'2043 pipes'!B:B,0)</f>
        <v>252</v>
      </c>
      <c r="F254">
        <f>VLOOKUP(Table2[[#This Row],[Original_Diameter]],[1]Pipes!$A:$B,2,FALSE)</f>
        <v>433.89080378537034</v>
      </c>
      <c r="G254">
        <f>Table2[[#This Row],[unit cost]]*Table2[[#This Row],[Length]]</f>
        <v>1299.4287620097371</v>
      </c>
    </row>
    <row r="255" spans="1:7" hidden="1" x14ac:dyDescent="0.25">
      <c r="A255" s="1">
        <v>253</v>
      </c>
      <c r="B255" t="s">
        <v>266</v>
      </c>
      <c r="C255">
        <v>101</v>
      </c>
      <c r="D255">
        <v>152.173126</v>
      </c>
      <c r="E255">
        <f>MATCH(Table2[[#This Row],[Pipe_name]],'2043 pipes'!B:B,0)</f>
        <v>253</v>
      </c>
      <c r="F255">
        <f>VLOOKUP(Table2[[#This Row],[Original_Diameter]],[1]Pipes!$A:$B,2,FALSE)</f>
        <v>362.58707029616613</v>
      </c>
      <c r="G255">
        <f>Table2[[#This Row],[unit cost]]*Table2[[#This Row],[Length]]</f>
        <v>55176.007934149347</v>
      </c>
    </row>
    <row r="256" spans="1:7" hidden="1" x14ac:dyDescent="0.25">
      <c r="A256" s="1">
        <v>254</v>
      </c>
      <c r="B256" t="s">
        <v>267</v>
      </c>
      <c r="C256">
        <v>103</v>
      </c>
      <c r="D256">
        <v>77.749145999999996</v>
      </c>
      <c r="E256">
        <f>MATCH(Table2[[#This Row],[Pipe_name]],'2043 pipes'!B:B,0)</f>
        <v>254</v>
      </c>
      <c r="F256">
        <f>VLOOKUP(Table2[[#This Row],[Original_Diameter]],[1]Pipes!$A:$B,2,FALSE)</f>
        <v>362.58707029616613</v>
      </c>
      <c r="G256">
        <f>Table2[[#This Row],[unit cost]]*Table2[[#This Row],[Length]]</f>
        <v>28190.835066168882</v>
      </c>
    </row>
    <row r="257" spans="1:7" hidden="1" x14ac:dyDescent="0.25">
      <c r="A257" s="1">
        <v>255</v>
      </c>
      <c r="B257" t="s">
        <v>268</v>
      </c>
      <c r="C257">
        <v>103</v>
      </c>
      <c r="D257">
        <v>11.192435</v>
      </c>
      <c r="E257">
        <f>MATCH(Table2[[#This Row],[Pipe_name]],'2043 pipes'!B:B,0)</f>
        <v>255</v>
      </c>
      <c r="F257">
        <f>VLOOKUP(Table2[[#This Row],[Original_Diameter]],[1]Pipes!$A:$B,2,FALSE)</f>
        <v>362.58707029616613</v>
      </c>
      <c r="G257">
        <f>Table2[[#This Row],[unit cost]]*Table2[[#This Row],[Length]]</f>
        <v>4058.23221613027</v>
      </c>
    </row>
    <row r="258" spans="1:7" hidden="1" x14ac:dyDescent="0.25">
      <c r="A258" s="1">
        <v>256</v>
      </c>
      <c r="B258" t="s">
        <v>269</v>
      </c>
      <c r="C258">
        <v>101</v>
      </c>
      <c r="D258">
        <v>6.8283459999999998</v>
      </c>
      <c r="E258">
        <f>MATCH(Table2[[#This Row],[Pipe_name]],'2043 pipes'!B:B,0)</f>
        <v>256</v>
      </c>
      <c r="F258">
        <f>VLOOKUP(Table2[[#This Row],[Original_Diameter]],[1]Pipes!$A:$B,2,FALSE)</f>
        <v>362.58707029616613</v>
      </c>
      <c r="G258">
        <f>Table2[[#This Row],[unit cost]]*Table2[[#This Row],[Length]]</f>
        <v>2475.8699711085446</v>
      </c>
    </row>
    <row r="259" spans="1:7" hidden="1" x14ac:dyDescent="0.25">
      <c r="A259" s="1">
        <v>257</v>
      </c>
      <c r="B259" t="s">
        <v>270</v>
      </c>
      <c r="C259">
        <v>63</v>
      </c>
      <c r="D259">
        <v>1.2608189999999999</v>
      </c>
      <c r="E259">
        <f>MATCH(Table2[[#This Row],[Pipe_name]],'2043 pipes'!B:B,0)</f>
        <v>257</v>
      </c>
      <c r="F259">
        <f>VLOOKUP(Table2[[#This Row],[Original_Diameter]],[1]Pipes!$A:$B,2,FALSE)</f>
        <v>362.58707029616613</v>
      </c>
      <c r="G259">
        <f>Table2[[#This Row],[unit cost]]*Table2[[#This Row],[Length]]</f>
        <v>457.15666738374188</v>
      </c>
    </row>
    <row r="260" spans="1:7" hidden="1" x14ac:dyDescent="0.25">
      <c r="A260" s="1">
        <v>258</v>
      </c>
      <c r="B260" t="s">
        <v>271</v>
      </c>
      <c r="C260">
        <v>63</v>
      </c>
      <c r="D260">
        <v>77.493949999999998</v>
      </c>
      <c r="E260">
        <f>MATCH(Table2[[#This Row],[Pipe_name]],'2043 pipes'!B:B,0)</f>
        <v>258</v>
      </c>
      <c r="F260">
        <f>VLOOKUP(Table2[[#This Row],[Original_Diameter]],[1]Pipes!$A:$B,2,FALSE)</f>
        <v>362.58707029616613</v>
      </c>
      <c r="G260">
        <f>Table2[[#This Row],[unit cost]]*Table2[[#This Row],[Length]]</f>
        <v>28098.304296177583</v>
      </c>
    </row>
    <row r="261" spans="1:7" hidden="1" x14ac:dyDescent="0.25">
      <c r="A261" s="1">
        <v>259</v>
      </c>
      <c r="B261" t="s">
        <v>272</v>
      </c>
      <c r="C261">
        <v>141</v>
      </c>
      <c r="D261">
        <v>9.5805980000000002</v>
      </c>
      <c r="E261">
        <f>MATCH(Table2[[#This Row],[Pipe_name]],'2043 pipes'!B:B,0)</f>
        <v>259</v>
      </c>
      <c r="F261">
        <f>VLOOKUP(Table2[[#This Row],[Original_Diameter]],[1]Pipes!$A:$B,2,FALSE)</f>
        <v>433.89080378537034</v>
      </c>
      <c r="G261">
        <f>Table2[[#This Row],[unit cost]]*Table2[[#This Row],[Length]]</f>
        <v>4156.9333669645112</v>
      </c>
    </row>
    <row r="262" spans="1:7" hidden="1" x14ac:dyDescent="0.25">
      <c r="A262" s="1">
        <v>260</v>
      </c>
      <c r="B262" t="s">
        <v>288</v>
      </c>
      <c r="C262">
        <v>235</v>
      </c>
      <c r="D262">
        <v>66.746032999999997</v>
      </c>
      <c r="E262">
        <f>MATCH(Table2[[#This Row],[Pipe_name]],'2043 pipes'!B:B,0)</f>
        <v>260</v>
      </c>
      <c r="F262">
        <f>VLOOKUP(Table2[[#This Row],[Original_Diameter]],[1]Pipes!$A:$B,2,FALSE)</f>
        <v>546.15625651305356</v>
      </c>
      <c r="G262">
        <f>Table2[[#This Row],[unit cost]]*Table2[[#This Row],[Length]]</f>
        <v>36453.763520376735</v>
      </c>
    </row>
    <row r="263" spans="1:7" hidden="1" x14ac:dyDescent="0.25">
      <c r="A263" s="1">
        <v>261</v>
      </c>
      <c r="B263" t="s">
        <v>289</v>
      </c>
      <c r="C263">
        <v>186</v>
      </c>
      <c r="D263">
        <v>14.871316999999999</v>
      </c>
      <c r="E263">
        <f>MATCH(Table2[[#This Row],[Pipe_name]],'2043 pipes'!B:B,0)</f>
        <v>261</v>
      </c>
      <c r="F263">
        <f>VLOOKUP(Table2[[#This Row],[Original_Diameter]],[1]Pipes!$A:$B,2,FALSE)</f>
        <v>546.15625651305356</v>
      </c>
      <c r="G263">
        <f>Table2[[#This Row],[unit cost]]*Table2[[#This Row],[Length]]</f>
        <v>8122.0628221389343</v>
      </c>
    </row>
    <row r="264" spans="1:7" hidden="1" x14ac:dyDescent="0.25">
      <c r="A264" s="1">
        <v>262</v>
      </c>
      <c r="B264" t="s">
        <v>290</v>
      </c>
      <c r="C264">
        <v>235</v>
      </c>
      <c r="D264">
        <v>20.254999000000002</v>
      </c>
      <c r="E264">
        <f>MATCH(Table2[[#This Row],[Pipe_name]],'2043 pipes'!B:B,0)</f>
        <v>262</v>
      </c>
      <c r="F264">
        <f>VLOOKUP(Table2[[#This Row],[Original_Diameter]],[1]Pipes!$A:$B,2,FALSE)</f>
        <v>546.15625651305356</v>
      </c>
      <c r="G264">
        <f>Table2[[#This Row],[unit cost]]*Table2[[#This Row],[Length]]</f>
        <v>11062.394429515643</v>
      </c>
    </row>
    <row r="265" spans="1:7" hidden="1" x14ac:dyDescent="0.25">
      <c r="A265" s="1">
        <v>263</v>
      </c>
      <c r="B265" t="s">
        <v>291</v>
      </c>
      <c r="C265">
        <v>96</v>
      </c>
      <c r="D265">
        <v>115.147903</v>
      </c>
      <c r="E265">
        <f>MATCH(Table2[[#This Row],[Pipe_name]],'2043 pipes'!B:B,0)</f>
        <v>263</v>
      </c>
      <c r="F265">
        <f>VLOOKUP(Table2[[#This Row],[Original_Diameter]],[1]Pipes!$A:$B,2,FALSE)</f>
        <v>362.58707029616613</v>
      </c>
      <c r="G265">
        <f>Table2[[#This Row],[unit cost]]*Table2[[#This Row],[Length]]</f>
        <v>41751.140799517118</v>
      </c>
    </row>
    <row r="266" spans="1:7" hidden="1" x14ac:dyDescent="0.25">
      <c r="A266" s="1">
        <v>264</v>
      </c>
      <c r="B266" t="s">
        <v>292</v>
      </c>
      <c r="C266">
        <v>96</v>
      </c>
      <c r="D266">
        <v>16.094477000000001</v>
      </c>
      <c r="E266">
        <f>MATCH(Table2[[#This Row],[Pipe_name]],'2043 pipes'!B:B,0)</f>
        <v>264</v>
      </c>
      <c r="F266">
        <f>VLOOKUP(Table2[[#This Row],[Original_Diameter]],[1]Pipes!$A:$B,2,FALSE)</f>
        <v>362.58707029616613</v>
      </c>
      <c r="G266">
        <f>Table2[[#This Row],[unit cost]]*Table2[[#This Row],[Length]]</f>
        <v>5835.6492633790294</v>
      </c>
    </row>
    <row r="267" spans="1:7" hidden="1" x14ac:dyDescent="0.25">
      <c r="A267" s="1">
        <v>265</v>
      </c>
      <c r="B267" t="s">
        <v>293</v>
      </c>
      <c r="C267">
        <v>96</v>
      </c>
      <c r="D267">
        <v>51.294006000000003</v>
      </c>
      <c r="E267">
        <f>MATCH(Table2[[#This Row],[Pipe_name]],'2043 pipes'!B:B,0)</f>
        <v>265</v>
      </c>
      <c r="F267">
        <f>VLOOKUP(Table2[[#This Row],[Original_Diameter]],[1]Pipes!$A:$B,2,FALSE)</f>
        <v>362.58707029616613</v>
      </c>
      <c r="G267">
        <f>Table2[[#This Row],[unit cost]]*Table2[[#This Row],[Length]]</f>
        <v>18598.54335929397</v>
      </c>
    </row>
    <row r="268" spans="1:7" hidden="1" x14ac:dyDescent="0.25">
      <c r="A268" s="1">
        <v>266</v>
      </c>
      <c r="B268" t="s">
        <v>294</v>
      </c>
      <c r="C268">
        <v>200</v>
      </c>
      <c r="D268">
        <v>135.68473800000001</v>
      </c>
      <c r="E268">
        <f>MATCH(Table2[[#This Row],[Pipe_name]],'2043 pipes'!B:B,0)</f>
        <v>266</v>
      </c>
      <c r="F268">
        <f>VLOOKUP(Table2[[#This Row],[Original_Diameter]],[1]Pipes!$A:$B,2,FALSE)</f>
        <v>546.15625651305356</v>
      </c>
      <c r="G268">
        <f>Table2[[#This Row],[unit cost]]*Table2[[#This Row],[Length]]</f>
        <v>74105.068572034477</v>
      </c>
    </row>
    <row r="269" spans="1:7" hidden="1" x14ac:dyDescent="0.25">
      <c r="A269" s="1">
        <v>267</v>
      </c>
      <c r="B269" t="s">
        <v>295</v>
      </c>
      <c r="C269">
        <v>101</v>
      </c>
      <c r="D269">
        <v>139.79331999999999</v>
      </c>
      <c r="E269">
        <f>MATCH(Table2[[#This Row],[Pipe_name]],'2043 pipes'!B:B,0)</f>
        <v>267</v>
      </c>
      <c r="F269">
        <f>VLOOKUP(Table2[[#This Row],[Original_Diameter]],[1]Pipes!$A:$B,2,FALSE)</f>
        <v>362.58707029616613</v>
      </c>
      <c r="G269">
        <f>Table2[[#This Row],[unit cost]]*Table2[[#This Row],[Length]]</f>
        <v>50687.250345774446</v>
      </c>
    </row>
    <row r="270" spans="1:7" hidden="1" x14ac:dyDescent="0.25">
      <c r="A270" s="1">
        <v>268</v>
      </c>
      <c r="B270" t="s">
        <v>296</v>
      </c>
      <c r="C270">
        <v>143</v>
      </c>
      <c r="D270">
        <v>250.00984199999999</v>
      </c>
      <c r="E270">
        <f>MATCH(Table2[[#This Row],[Pipe_name]],'2043 pipes'!B:B,0)</f>
        <v>268</v>
      </c>
      <c r="F270">
        <f>VLOOKUP(Table2[[#This Row],[Original_Diameter]],[1]Pipes!$A:$B,2,FALSE)</f>
        <v>433.89080378537034</v>
      </c>
      <c r="G270">
        <f>Table2[[#This Row],[unit cost]]*Table2[[#This Row],[Length]]</f>
        <v>108476.97129963344</v>
      </c>
    </row>
    <row r="271" spans="1:7" hidden="1" x14ac:dyDescent="0.25">
      <c r="A271" s="1">
        <v>269</v>
      </c>
      <c r="B271" t="s">
        <v>273</v>
      </c>
      <c r="C271">
        <v>186</v>
      </c>
      <c r="D271">
        <v>248.50402800000001</v>
      </c>
      <c r="E271">
        <f>MATCH(Table2[[#This Row],[Pipe_name]],'2043 pipes'!B:B,0)</f>
        <v>269</v>
      </c>
      <c r="F271">
        <f>VLOOKUP(Table2[[#This Row],[Original_Diameter]],[1]Pipes!$A:$B,2,FALSE)</f>
        <v>546.15625651305356</v>
      </c>
      <c r="G271">
        <f>Table2[[#This Row],[unit cost]]*Table2[[#This Row],[Length]]</f>
        <v>135722.02966089506</v>
      </c>
    </row>
    <row r="272" spans="1:7" hidden="1" x14ac:dyDescent="0.25">
      <c r="A272" s="1">
        <v>270</v>
      </c>
      <c r="B272" t="s">
        <v>274</v>
      </c>
      <c r="C272">
        <v>141</v>
      </c>
      <c r="D272">
        <v>290.42849699999999</v>
      </c>
      <c r="E272">
        <f>MATCH(Table2[[#This Row],[Pipe_name]],'2043 pipes'!B:B,0)</f>
        <v>270</v>
      </c>
      <c r="F272">
        <f>VLOOKUP(Table2[[#This Row],[Original_Diameter]],[1]Pipes!$A:$B,2,FALSE)</f>
        <v>433.89080378537034</v>
      </c>
      <c r="G272">
        <f>Table2[[#This Row],[unit cost]]*Table2[[#This Row],[Length]]</f>
        <v>126014.25400550701</v>
      </c>
    </row>
    <row r="273" spans="1:7" x14ac:dyDescent="0.25">
      <c r="A273" s="1">
        <v>271</v>
      </c>
      <c r="B273" t="s">
        <v>275</v>
      </c>
      <c r="C273">
        <v>96</v>
      </c>
      <c r="D273">
        <v>14.885287999999999</v>
      </c>
      <c r="E273" t="e">
        <f>MATCH(Table2[[#This Row],[Pipe_name]],'2043 pipes'!B:B,0)</f>
        <v>#N/A</v>
      </c>
      <c r="F273">
        <f>VLOOKUP(Table2[[#This Row],[Original_Diameter]],[1]Pipes!$A:$B,2,FALSE)</f>
        <v>362.58707029616613</v>
      </c>
      <c r="G273">
        <f>Table2[[#This Row],[unit cost]]*Table2[[#This Row],[Length]]</f>
        <v>5397.2129664346776</v>
      </c>
    </row>
    <row r="274" spans="1:7" hidden="1" x14ac:dyDescent="0.25">
      <c r="A274" s="1">
        <v>272</v>
      </c>
      <c r="B274" t="s">
        <v>297</v>
      </c>
      <c r="C274">
        <v>96</v>
      </c>
      <c r="D274">
        <v>181.532715</v>
      </c>
      <c r="E274">
        <f>MATCH(Table2[[#This Row],[Pipe_name]],'2043 pipes'!B:B,0)</f>
        <v>271</v>
      </c>
      <c r="F274">
        <f>VLOOKUP(Table2[[#This Row],[Original_Diameter]],[1]Pipes!$A:$B,2,FALSE)</f>
        <v>362.58707029616613</v>
      </c>
      <c r="G274">
        <f>Table2[[#This Row],[unit cost]]*Table2[[#This Row],[Length]]</f>
        <v>65821.415294758888</v>
      </c>
    </row>
    <row r="275" spans="1:7" hidden="1" x14ac:dyDescent="0.25">
      <c r="A275" s="1">
        <v>273</v>
      </c>
      <c r="B275" t="s">
        <v>298</v>
      </c>
      <c r="C275">
        <v>96</v>
      </c>
      <c r="D275">
        <v>5.1496519999999997</v>
      </c>
      <c r="E275">
        <f>MATCH(Table2[[#This Row],[Pipe_name]],'2043 pipes'!B:B,0)</f>
        <v>272</v>
      </c>
      <c r="F275">
        <f>VLOOKUP(Table2[[#This Row],[Original_Diameter]],[1]Pipes!$A:$B,2,FALSE)</f>
        <v>362.58707029616613</v>
      </c>
      <c r="G275">
        <f>Table2[[#This Row],[unit cost]]*Table2[[#This Row],[Length]]</f>
        <v>1867.1972317247923</v>
      </c>
    </row>
    <row r="276" spans="1:7" x14ac:dyDescent="0.25">
      <c r="A276" s="1">
        <v>274</v>
      </c>
      <c r="B276" t="s">
        <v>276</v>
      </c>
      <c r="C276">
        <v>141</v>
      </c>
      <c r="D276">
        <v>4.2338630000000004</v>
      </c>
      <c r="E276" t="e">
        <f>MATCH(Table2[[#This Row],[Pipe_name]],'2043 pipes'!B:B,0)</f>
        <v>#N/A</v>
      </c>
      <c r="F276">
        <f>VLOOKUP(Table2[[#This Row],[Original_Diameter]],[1]Pipes!$A:$B,2,FALSE)</f>
        <v>433.89080378537034</v>
      </c>
      <c r="G276">
        <f>Table2[[#This Row],[unit cost]]*Table2[[#This Row],[Length]]</f>
        <v>1837.0342201871397</v>
      </c>
    </row>
    <row r="277" spans="1:7" x14ac:dyDescent="0.25">
      <c r="A277" s="1">
        <v>275</v>
      </c>
      <c r="B277" t="s">
        <v>277</v>
      </c>
      <c r="C277">
        <v>186</v>
      </c>
      <c r="D277">
        <v>3.9673919999999998</v>
      </c>
      <c r="E277" t="e">
        <f>MATCH(Table2[[#This Row],[Pipe_name]],'2043 pipes'!B:B,0)</f>
        <v>#N/A</v>
      </c>
      <c r="F277">
        <f>VLOOKUP(Table2[[#This Row],[Original_Diameter]],[1]Pipes!$A:$B,2,FALSE)</f>
        <v>546.15625651305356</v>
      </c>
      <c r="G277">
        <f>Table2[[#This Row],[unit cost]]*Table2[[#This Row],[Length]]</f>
        <v>2166.8159628398366</v>
      </c>
    </row>
    <row r="278" spans="1:7" x14ac:dyDescent="0.25">
      <c r="A278" s="1">
        <v>276</v>
      </c>
      <c r="B278" t="s">
        <v>278</v>
      </c>
      <c r="C278">
        <v>141</v>
      </c>
      <c r="D278">
        <v>11.80372</v>
      </c>
      <c r="E278" t="e">
        <f>MATCH(Table2[[#This Row],[Pipe_name]],'2043 pipes'!B:B,0)</f>
        <v>#N/A</v>
      </c>
      <c r="F278">
        <f>VLOOKUP(Table2[[#This Row],[Original_Diameter]],[1]Pipes!$A:$B,2,FALSE)</f>
        <v>433.89080378537034</v>
      </c>
      <c r="G278">
        <f>Table2[[#This Row],[unit cost]]*Table2[[#This Row],[Length]]</f>
        <v>5121.5255584574516</v>
      </c>
    </row>
    <row r="279" spans="1:7" hidden="1" x14ac:dyDescent="0.25">
      <c r="A279" s="1">
        <v>277</v>
      </c>
      <c r="B279" t="s">
        <v>279</v>
      </c>
      <c r="C279">
        <v>96</v>
      </c>
      <c r="D279">
        <v>9.9129260000000006</v>
      </c>
      <c r="E279">
        <f>MATCH(Table2[[#This Row],[Pipe_name]],'2043 pipes'!B:B,0)</f>
        <v>276</v>
      </c>
      <c r="F279">
        <f>VLOOKUP(Table2[[#This Row],[Original_Diameter]],[1]Pipes!$A:$B,2,FALSE)</f>
        <v>362.58707029616613</v>
      </c>
      <c r="G279">
        <f>Table2[[#This Row],[unit cost]]*Table2[[#This Row],[Length]]</f>
        <v>3594.2987964026934</v>
      </c>
    </row>
    <row r="280" spans="1:7" hidden="1" x14ac:dyDescent="0.25">
      <c r="A280" s="1">
        <v>278</v>
      </c>
      <c r="B280" t="s">
        <v>299</v>
      </c>
      <c r="C280">
        <v>186</v>
      </c>
      <c r="D280">
        <v>10.240313</v>
      </c>
      <c r="E280">
        <f>MATCH(Table2[[#This Row],[Pipe_name]],'2043 pipes'!B:B,0)</f>
        <v>296</v>
      </c>
      <c r="F280">
        <f>VLOOKUP(Table2[[#This Row],[Original_Diameter]],[1]Pipes!$A:$B,2,FALSE)</f>
        <v>546.15625651305356</v>
      </c>
      <c r="G280">
        <f>Table2[[#This Row],[unit cost]]*Table2[[#This Row],[Length]]</f>
        <v>5592.8110136019577</v>
      </c>
    </row>
    <row r="281" spans="1:7" x14ac:dyDescent="0.25">
      <c r="A281" s="10" t="s">
        <v>334</v>
      </c>
      <c r="G281">
        <f>SUBTOTAL(109,Table2[total cost])</f>
        <v>199482.87175900451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F173-95A1-4134-8BF0-4380ACBB530E}">
  <dimension ref="A1:Z304"/>
  <sheetViews>
    <sheetView tabSelected="1" topLeftCell="A277" workbookViewId="0">
      <selection activeCell="K310" sqref="K310"/>
    </sheetView>
  </sheetViews>
  <sheetFormatPr defaultRowHeight="15" x14ac:dyDescent="0.25"/>
  <cols>
    <col min="1" max="1" width="11" customWidth="1"/>
    <col min="2" max="2" width="19.5703125" bestFit="1" customWidth="1"/>
    <col min="3" max="3" width="22.140625" bestFit="1" customWidth="1"/>
    <col min="4" max="4" width="11.5703125" bestFit="1" customWidth="1"/>
    <col min="5" max="6" width="11.5703125" customWidth="1"/>
    <col min="10" max="10" width="12.5703125" style="2" bestFit="1" customWidth="1"/>
    <col min="11" max="11" width="12.5703125" style="2" customWidth="1"/>
    <col min="12" max="13" width="12.5703125" bestFit="1" customWidth="1"/>
    <col min="14" max="18" width="16.7109375" customWidth="1"/>
    <col min="19" max="19" width="13.5703125" customWidth="1"/>
    <col min="20" max="20" width="15.7109375" customWidth="1"/>
    <col min="21" max="21" width="14.28515625" bestFit="1" customWidth="1"/>
    <col min="22" max="22" width="21" customWidth="1"/>
    <col min="24" max="24" width="14.140625" customWidth="1"/>
    <col min="25" max="25" width="14.28515625" bestFit="1" customWidth="1"/>
  </cols>
  <sheetData>
    <row r="1" spans="1:26" x14ac:dyDescent="0.25">
      <c r="A1" t="s">
        <v>11</v>
      </c>
      <c r="B1" s="3" t="s">
        <v>280</v>
      </c>
      <c r="C1" s="3" t="s">
        <v>326</v>
      </c>
      <c r="D1" s="3" t="s">
        <v>328</v>
      </c>
      <c r="E1" s="4" t="s">
        <v>327</v>
      </c>
      <c r="F1" s="4" t="s">
        <v>370</v>
      </c>
      <c r="G1" s="4" t="s">
        <v>329</v>
      </c>
      <c r="H1" s="4" t="s">
        <v>332</v>
      </c>
      <c r="I1" s="4" t="s">
        <v>333</v>
      </c>
      <c r="J1" s="6" t="s">
        <v>363</v>
      </c>
      <c r="K1" s="6" t="s">
        <v>364</v>
      </c>
      <c r="L1" s="4" t="s">
        <v>374</v>
      </c>
      <c r="M1" s="10" t="s">
        <v>354</v>
      </c>
      <c r="N1" s="10" t="s">
        <v>362</v>
      </c>
      <c r="O1" s="10" t="s">
        <v>365</v>
      </c>
      <c r="P1" s="10" t="s">
        <v>366</v>
      </c>
      <c r="Q1" s="10" t="s">
        <v>372</v>
      </c>
      <c r="R1" s="10" t="s">
        <v>373</v>
      </c>
      <c r="X1" t="s">
        <v>335</v>
      </c>
    </row>
    <row r="2" spans="1:26" x14ac:dyDescent="0.25">
      <c r="A2" s="1">
        <v>0</v>
      </c>
      <c r="B2" t="s">
        <v>282</v>
      </c>
      <c r="C2">
        <v>200</v>
      </c>
      <c r="D2">
        <v>22.525019</v>
      </c>
      <c r="E2">
        <f>VLOOKUP(Table3[[#This Row],[Pipe_name]],Table2[[Pipe_name]:[Original_Diameter]],2,FALSE)</f>
        <v>200</v>
      </c>
      <c r="F2">
        <f>VLOOKUP(Table3[[#This Row],[Pipe_name]],Table2[[Pipe_name]:[Length]],3,FALSE)</f>
        <v>22.525019</v>
      </c>
      <c r="G2" t="s">
        <v>331</v>
      </c>
      <c r="H2" t="str">
        <f>IF(Table3[[#This Row],[2043 Diameter]]=Table3[[#This Row],[2022 Diameter]],"No","Yes")</f>
        <v>No</v>
      </c>
      <c r="I2" t="str">
        <f>IF(Table3[[#This Row],[2043 Length]]=Table3[[#This Row],[2022 length]],"No","Yes")</f>
        <v>No</v>
      </c>
      <c r="J2" s="8">
        <f>VLOOKUP(Table3[[#This Row],[2043 Diameter]],[1]Pipes!$A:$B,2,FALSE)</f>
        <v>546.15625651305356</v>
      </c>
      <c r="K2" s="8">
        <f>VLOOKUP(Table3[[#This Row],[2022 Diameter]],[1]Pipes!$A:$B,2,FALSE)</f>
        <v>546.15625651305356</v>
      </c>
      <c r="L2" s="8">
        <f>IF(OR(IFERROR(Table3[[#This Row],[Diameter Change?]]="Yes","Yes"),Table3[[#This Row],[Pipe Added?]]="Yes"),Table3[[#This Row],[2043 Pipeline unit cost]]*Table3[[#This Row],[2043 Length]],0)</f>
        <v>0</v>
      </c>
      <c r="M2" s="2">
        <f>VLOOKUP(Table3[[#This Row],[Pipe_name]],[2]!Table1[[id3]:[Cost]],8,FALSE)</f>
        <v>0</v>
      </c>
      <c r="N2" s="2">
        <f>IFERROR(Table3[[#This Row],[2022 length]]*Table3[[#This Row],[2022 Pipeline unit cost]],0)</f>
        <v>12302.180054925406</v>
      </c>
      <c r="O2" s="2">
        <f>Table3[[#This Row],[2043 Length]]*Table3[[#This Row],[2043 Pipeline unit cost]]</f>
        <v>12302.180054925406</v>
      </c>
      <c r="P2" s="2">
        <f>MATCH(Table3[[#This Row],[Pipe_name]],'2022 pipes'!B:B,0)</f>
        <v>2</v>
      </c>
      <c r="Q2" s="2">
        <f>Table3[[#This Row],[2043 pipes]]-Table3[[#This Row],[Master Plan CAPEX Cost]]</f>
        <v>12302.180054925406</v>
      </c>
      <c r="R2" s="7">
        <f>Table3[[#This Row],[asdfa]]-Table3[[#This Row],[2022 total cost]]</f>
        <v>0</v>
      </c>
      <c r="U2" s="8">
        <f>SUBTOTAL(9,Table3[Master Plan CAPEX Cost])</f>
        <v>1611642.7959814048</v>
      </c>
      <c r="X2" s="13" t="s">
        <v>336</v>
      </c>
      <c r="Y2" s="13" t="s">
        <v>337</v>
      </c>
      <c r="Z2" s="13" t="s">
        <v>338</v>
      </c>
    </row>
    <row r="3" spans="1:26" x14ac:dyDescent="0.25">
      <c r="A3" s="1">
        <v>1</v>
      </c>
      <c r="B3" t="s">
        <v>19</v>
      </c>
      <c r="C3">
        <v>96</v>
      </c>
      <c r="D3">
        <v>45.686810000000001</v>
      </c>
      <c r="E3">
        <f>VLOOKUP(Table3[[#This Row],[Pipe_name]],Table2[[Pipe_name]:[Original_Diameter]],2,FALSE)</f>
        <v>96</v>
      </c>
      <c r="F3">
        <f>VLOOKUP(Table3[[#This Row],[Pipe_name]],Table2[[Pipe_name]:[Length]],3,FALSE)</f>
        <v>45.686810000000001</v>
      </c>
      <c r="G3" t="s">
        <v>331</v>
      </c>
      <c r="H3" t="str">
        <f>IF(Table3[[#This Row],[2043 Diameter]]=Table3[[#This Row],[2022 Diameter]],"No","Yes")</f>
        <v>No</v>
      </c>
      <c r="I3" t="str">
        <f>IF(Table3[[#This Row],[2043 Length]]=Table3[[#This Row],[2022 length]],"No","Yes")</f>
        <v>No</v>
      </c>
      <c r="J3" s="8">
        <f>VLOOKUP(Table3[[#This Row],[2043 Diameter]],[1]Pipes!$A:$B,2,FALSE)</f>
        <v>362.58707029616613</v>
      </c>
      <c r="K3" s="8">
        <f>VLOOKUP(Table3[[#This Row],[2022 Diameter]],[1]Pipes!$A:$B,2,FALSE)</f>
        <v>362.58707029616613</v>
      </c>
      <c r="L3" s="8">
        <f>IF(OR(IFERROR(Table3[[#This Row],[Diameter Change?]]="Yes","Yes"),Table3[[#This Row],[Pipe Added?]]="Yes"),Table3[[#This Row],[2043 Pipeline unit cost]]*Table3[[#This Row],[2043 Length]],0)</f>
        <v>0</v>
      </c>
      <c r="M3" s="2">
        <f>VLOOKUP(Table3[[#This Row],[Pipe_name]],[2]!Table1[[id3]:[Cost]],8,FALSE)</f>
        <v>0</v>
      </c>
      <c r="N3" s="2">
        <f>IFERROR(Table3[[#This Row],[2022 length]]*Table3[[#This Row],[2022 Pipeline unit cost]],0)</f>
        <v>16565.446589077586</v>
      </c>
      <c r="O3" s="2">
        <f>Table3[[#This Row],[2043 Length]]*Table3[[#This Row],[2043 Pipeline unit cost]]</f>
        <v>16565.446589077586</v>
      </c>
      <c r="P3" s="2">
        <f>MATCH(Table3[[#This Row],[Pipe_name]],'2022 pipes'!B:B,0)</f>
        <v>3</v>
      </c>
      <c r="Q3" s="2">
        <f>Table3[[#This Row],[2043 pipes]]-Table3[[#This Row],[Master Plan CAPEX Cost]]</f>
        <v>16565.446589077586</v>
      </c>
      <c r="R3" s="7">
        <f>Table3[[#This Row],[asdfa]]-Table3[[#This Row],[2022 total cost]]</f>
        <v>0</v>
      </c>
      <c r="X3" t="s">
        <v>339</v>
      </c>
      <c r="Y3" s="14">
        <v>0.04</v>
      </c>
    </row>
    <row r="4" spans="1:26" x14ac:dyDescent="0.25">
      <c r="A4" s="1">
        <v>2</v>
      </c>
      <c r="B4" t="s">
        <v>20</v>
      </c>
      <c r="C4">
        <v>96</v>
      </c>
      <c r="D4">
        <v>4.3570209999999996</v>
      </c>
      <c r="E4">
        <f>VLOOKUP(Table3[[#This Row],[Pipe_name]],Table2[[Pipe_name]:[Original_Diameter]],2,FALSE)</f>
        <v>96</v>
      </c>
      <c r="F4">
        <f>VLOOKUP(Table3[[#This Row],[Pipe_name]],Table2[[Pipe_name]:[Length]],3,FALSE)</f>
        <v>4.3570209999999996</v>
      </c>
      <c r="G4" t="s">
        <v>331</v>
      </c>
      <c r="H4" t="str">
        <f>IF(Table3[[#This Row],[2043 Diameter]]=Table3[[#This Row],[2022 Diameter]],"No","Yes")</f>
        <v>No</v>
      </c>
      <c r="I4" t="str">
        <f>IF(Table3[[#This Row],[2043 Length]]=Table3[[#This Row],[2022 length]],"No","Yes")</f>
        <v>No</v>
      </c>
      <c r="J4" s="8">
        <f>VLOOKUP(Table3[[#This Row],[2043 Diameter]],[1]Pipes!$A:$B,2,FALSE)</f>
        <v>362.58707029616613</v>
      </c>
      <c r="K4" s="8">
        <f>VLOOKUP(Table3[[#This Row],[2022 Diameter]],[1]Pipes!$A:$B,2,FALSE)</f>
        <v>362.58707029616613</v>
      </c>
      <c r="L4" s="8">
        <f>IF(OR(IFERROR(Table3[[#This Row],[Diameter Change?]]="Yes","Yes"),Table3[[#This Row],[Pipe Added?]]="Yes"),Table3[[#This Row],[2043 Pipeline unit cost]]*Table3[[#This Row],[2043 Length]],0)</f>
        <v>0</v>
      </c>
      <c r="M4" s="2">
        <f>VLOOKUP(Table3[[#This Row],[Pipe_name]],[2]!Table1[[id3]:[Cost]],8,FALSE)</f>
        <v>0</v>
      </c>
      <c r="N4" s="2">
        <f>IFERROR(Table3[[#This Row],[2022 length]]*Table3[[#This Row],[2022 Pipeline unit cost]],0)</f>
        <v>1579.7994796088719</v>
      </c>
      <c r="O4" s="2">
        <f>Table3[[#This Row],[2043 Length]]*Table3[[#This Row],[2043 Pipeline unit cost]]</f>
        <v>1579.7994796088719</v>
      </c>
      <c r="P4" s="2">
        <f>MATCH(Table3[[#This Row],[Pipe_name]],'2022 pipes'!B:B,0)</f>
        <v>4</v>
      </c>
      <c r="Q4" s="2">
        <f>Table3[[#This Row],[2043 pipes]]-Table3[[#This Row],[Master Plan CAPEX Cost]]</f>
        <v>1579.7994796088719</v>
      </c>
      <c r="R4" s="7">
        <f>Table3[[#This Row],[asdfa]]-Table3[[#This Row],[2022 total cost]]</f>
        <v>0</v>
      </c>
      <c r="U4" s="12">
        <f>PMT(Y3,Y4,-U2)</f>
        <v>103164.41868141934</v>
      </c>
      <c r="X4" t="s">
        <v>340</v>
      </c>
      <c r="Y4" s="15">
        <v>25</v>
      </c>
      <c r="Z4" t="s">
        <v>341</v>
      </c>
    </row>
    <row r="5" spans="1:26" x14ac:dyDescent="0.25">
      <c r="A5" s="1">
        <v>3</v>
      </c>
      <c r="B5" t="s">
        <v>21</v>
      </c>
      <c r="C5">
        <v>96</v>
      </c>
      <c r="D5">
        <v>136.42901599999999</v>
      </c>
      <c r="E5">
        <f>VLOOKUP(Table3[[#This Row],[Pipe_name]],Table2[[Pipe_name]:[Original_Diameter]],2,FALSE)</f>
        <v>96</v>
      </c>
      <c r="F5">
        <f>VLOOKUP(Table3[[#This Row],[Pipe_name]],Table2[[Pipe_name]:[Length]],3,FALSE)</f>
        <v>136.42901599999999</v>
      </c>
      <c r="G5" t="s">
        <v>331</v>
      </c>
      <c r="H5" t="str">
        <f>IF(Table3[[#This Row],[2043 Diameter]]=Table3[[#This Row],[2022 Diameter]],"No","Yes")</f>
        <v>No</v>
      </c>
      <c r="I5" t="str">
        <f>IF(Table3[[#This Row],[2043 Length]]=Table3[[#This Row],[2022 length]],"No","Yes")</f>
        <v>No</v>
      </c>
      <c r="J5" s="8">
        <f>VLOOKUP(Table3[[#This Row],[2043 Diameter]],[1]Pipes!$A:$B,2,FALSE)</f>
        <v>362.58707029616613</v>
      </c>
      <c r="K5" s="8">
        <f>VLOOKUP(Table3[[#This Row],[2022 Diameter]],[1]Pipes!$A:$B,2,FALSE)</f>
        <v>362.58707029616613</v>
      </c>
      <c r="L5" s="8">
        <f>IF(OR(IFERROR(Table3[[#This Row],[Diameter Change?]]="Yes","Yes"),Table3[[#This Row],[Pipe Added?]]="Yes"),Table3[[#This Row],[2043 Pipeline unit cost]]*Table3[[#This Row],[2043 Length]],0)</f>
        <v>0</v>
      </c>
      <c r="M5" s="2">
        <f>VLOOKUP(Table3[[#This Row],[Pipe_name]],[2]!Table1[[id3]:[Cost]],8,FALSE)</f>
        <v>0</v>
      </c>
      <c r="N5" s="2">
        <f>IFERROR(Table3[[#This Row],[2022 length]]*Table3[[#This Row],[2022 Pipeline unit cost]],0)</f>
        <v>49467.397214828772</v>
      </c>
      <c r="O5" s="2">
        <f>Table3[[#This Row],[2043 Length]]*Table3[[#This Row],[2043 Pipeline unit cost]]</f>
        <v>49467.397214828772</v>
      </c>
      <c r="P5" s="2">
        <f>MATCH(Table3[[#This Row],[Pipe_name]],'2022 pipes'!B:B,0)</f>
        <v>5</v>
      </c>
      <c r="Q5" s="2">
        <f>Table3[[#This Row],[2043 pipes]]-Table3[[#This Row],[Master Plan CAPEX Cost]]</f>
        <v>49467.397214828772</v>
      </c>
      <c r="R5" s="7">
        <f>Table3[[#This Row],[asdfa]]-Table3[[#This Row],[2022 total cost]]</f>
        <v>0</v>
      </c>
      <c r="X5" t="s">
        <v>342</v>
      </c>
      <c r="Y5" s="2">
        <v>0.7</v>
      </c>
      <c r="Z5" t="s">
        <v>343</v>
      </c>
    </row>
    <row r="6" spans="1:26" x14ac:dyDescent="0.25">
      <c r="A6" s="1">
        <v>4</v>
      </c>
      <c r="B6" t="s">
        <v>22</v>
      </c>
      <c r="C6">
        <v>96</v>
      </c>
      <c r="D6">
        <v>62.614094000000001</v>
      </c>
      <c r="E6">
        <f>VLOOKUP(Table3[[#This Row],[Pipe_name]],Table2[[Pipe_name]:[Original_Diameter]],2,FALSE)</f>
        <v>96</v>
      </c>
      <c r="F6">
        <f>VLOOKUP(Table3[[#This Row],[Pipe_name]],Table2[[Pipe_name]:[Length]],3,FALSE)</f>
        <v>62.614094000000001</v>
      </c>
      <c r="G6" t="s">
        <v>331</v>
      </c>
      <c r="H6" t="str">
        <f>IF(Table3[[#This Row],[2043 Diameter]]=Table3[[#This Row],[2022 Diameter]],"No","Yes")</f>
        <v>No</v>
      </c>
      <c r="I6" t="str">
        <f>IF(Table3[[#This Row],[2043 Length]]=Table3[[#This Row],[2022 length]],"No","Yes")</f>
        <v>No</v>
      </c>
      <c r="J6" s="8">
        <f>VLOOKUP(Table3[[#This Row],[2043 Diameter]],[1]Pipes!$A:$B,2,FALSE)</f>
        <v>362.58707029616613</v>
      </c>
      <c r="K6" s="8">
        <f>VLOOKUP(Table3[[#This Row],[2022 Diameter]],[1]Pipes!$A:$B,2,FALSE)</f>
        <v>362.58707029616613</v>
      </c>
      <c r="L6" s="8">
        <f>IF(OR(IFERROR(Table3[[#This Row],[Diameter Change?]]="Yes","Yes"),Table3[[#This Row],[Pipe Added?]]="Yes"),Table3[[#This Row],[2043 Pipeline unit cost]]*Table3[[#This Row],[2043 Length]],0)</f>
        <v>0</v>
      </c>
      <c r="M6" s="2">
        <f>VLOOKUP(Table3[[#This Row],[Pipe_name]],[2]!Table1[[id3]:[Cost]],8,FALSE)</f>
        <v>0</v>
      </c>
      <c r="N6" s="2">
        <f>IFERROR(Table3[[#This Row],[2022 length]]*Table3[[#This Row],[2022 Pipeline unit cost]],0)</f>
        <v>22703.060902708756</v>
      </c>
      <c r="O6" s="2">
        <f>Table3[[#This Row],[2043 Length]]*Table3[[#This Row],[2043 Pipeline unit cost]]</f>
        <v>22703.060902708756</v>
      </c>
      <c r="P6" s="2">
        <f>MATCH(Table3[[#This Row],[Pipe_name]],'2022 pipes'!B:B,0)</f>
        <v>6</v>
      </c>
      <c r="Q6" s="2">
        <f>Table3[[#This Row],[2043 pipes]]-Table3[[#This Row],[Master Plan CAPEX Cost]]</f>
        <v>22703.060902708756</v>
      </c>
      <c r="R6" s="7">
        <f>Table3[[#This Row],[asdfa]]-Table3[[#This Row],[2022 total cost]]</f>
        <v>0</v>
      </c>
      <c r="U6" s="12" t="s">
        <v>352</v>
      </c>
      <c r="V6" t="s">
        <v>353</v>
      </c>
    </row>
    <row r="7" spans="1:26" x14ac:dyDescent="0.25">
      <c r="A7" s="1">
        <v>5</v>
      </c>
      <c r="B7" t="s">
        <v>23</v>
      </c>
      <c r="C7">
        <v>96</v>
      </c>
      <c r="D7">
        <v>2.5171839999999999</v>
      </c>
      <c r="E7">
        <f>VLOOKUP(Table3[[#This Row],[Pipe_name]],Table2[[Pipe_name]:[Original_Diameter]],2,FALSE)</f>
        <v>96</v>
      </c>
      <c r="F7">
        <f>VLOOKUP(Table3[[#This Row],[Pipe_name]],Table2[[Pipe_name]:[Length]],3,FALSE)</f>
        <v>2.5171839999999999</v>
      </c>
      <c r="G7" t="s">
        <v>331</v>
      </c>
      <c r="H7" t="str">
        <f>IF(Table3[[#This Row],[2043 Diameter]]=Table3[[#This Row],[2022 Diameter]],"No","Yes")</f>
        <v>No</v>
      </c>
      <c r="I7" t="str">
        <f>IF(Table3[[#This Row],[2043 Length]]=Table3[[#This Row],[2022 length]],"No","Yes")</f>
        <v>No</v>
      </c>
      <c r="J7" s="8">
        <f>VLOOKUP(Table3[[#This Row],[2043 Diameter]],[1]Pipes!$A:$B,2,FALSE)</f>
        <v>362.58707029616613</v>
      </c>
      <c r="K7" s="8">
        <f>VLOOKUP(Table3[[#This Row],[2022 Diameter]],[1]Pipes!$A:$B,2,FALSE)</f>
        <v>362.58707029616613</v>
      </c>
      <c r="L7" s="8">
        <f>IF(OR(IFERROR(Table3[[#This Row],[Diameter Change?]]="Yes","Yes"),Table3[[#This Row],[Pipe Added?]]="Yes"),Table3[[#This Row],[2043 Pipeline unit cost]]*Table3[[#This Row],[2043 Length]],0)</f>
        <v>0</v>
      </c>
      <c r="M7" s="2">
        <f>VLOOKUP(Table3[[#This Row],[Pipe_name]],[2]!Table1[[id3]:[Cost]],8,FALSE)</f>
        <v>0</v>
      </c>
      <c r="N7" s="2">
        <f>IFERROR(Table3[[#This Row],[2022 length]]*Table3[[#This Row],[2022 Pipeline unit cost]],0)</f>
        <v>912.69837195638456</v>
      </c>
      <c r="O7" s="2">
        <f>Table3[[#This Row],[2043 Length]]*Table3[[#This Row],[2043 Pipeline unit cost]]</f>
        <v>912.69837195638456</v>
      </c>
      <c r="P7" s="2">
        <f>MATCH(Table3[[#This Row],[Pipe_name]],'2022 pipes'!B:B,0)</f>
        <v>7</v>
      </c>
      <c r="Q7" s="2">
        <f>Table3[[#This Row],[2043 pipes]]-Table3[[#This Row],[Master Plan CAPEX Cost]]</f>
        <v>912.69837195638456</v>
      </c>
      <c r="R7" s="7">
        <f>Table3[[#This Row],[asdfa]]-Table3[[#This Row],[2022 total cost]]</f>
        <v>0</v>
      </c>
      <c r="S7" t="s">
        <v>344</v>
      </c>
      <c r="U7" s="12">
        <f>U2*((Y3*(1+Y3)^Y4)/((1+Y3)^Y4-1))</f>
        <v>103164.41868141929</v>
      </c>
    </row>
    <row r="8" spans="1:26" x14ac:dyDescent="0.25">
      <c r="A8" s="1">
        <v>6</v>
      </c>
      <c r="B8" t="s">
        <v>24</v>
      </c>
      <c r="C8">
        <v>96</v>
      </c>
      <c r="D8">
        <v>225.24456799999999</v>
      </c>
      <c r="E8">
        <f>VLOOKUP(Table3[[#This Row],[Pipe_name]],Table2[[Pipe_name]:[Original_Diameter]],2,FALSE)</f>
        <v>96</v>
      </c>
      <c r="F8">
        <f>VLOOKUP(Table3[[#This Row],[Pipe_name]],Table2[[Pipe_name]:[Length]],3,FALSE)</f>
        <v>225.24456799999999</v>
      </c>
      <c r="G8" t="s">
        <v>331</v>
      </c>
      <c r="H8" t="str">
        <f>IF(Table3[[#This Row],[2043 Diameter]]=Table3[[#This Row],[2022 Diameter]],"No","Yes")</f>
        <v>No</v>
      </c>
      <c r="I8" t="str">
        <f>IF(Table3[[#This Row],[2043 Length]]=Table3[[#This Row],[2022 length]],"No","Yes")</f>
        <v>No</v>
      </c>
      <c r="J8" s="8">
        <f>VLOOKUP(Table3[[#This Row],[2043 Diameter]],[1]Pipes!$A:$B,2,FALSE)</f>
        <v>362.58707029616613</v>
      </c>
      <c r="K8" s="8">
        <f>VLOOKUP(Table3[[#This Row],[2022 Diameter]],[1]Pipes!$A:$B,2,FALSE)</f>
        <v>362.58707029616613</v>
      </c>
      <c r="L8" s="8">
        <f>IF(OR(IFERROR(Table3[[#This Row],[Diameter Change?]]="Yes","Yes"),Table3[[#This Row],[Pipe Added?]]="Yes"),Table3[[#This Row],[2043 Pipeline unit cost]]*Table3[[#This Row],[2043 Length]],0)</f>
        <v>0</v>
      </c>
      <c r="M8" s="2">
        <f>VLOOKUP(Table3[[#This Row],[Pipe_name]],[2]!Table1[[id3]:[Cost]],8,FALSE)</f>
        <v>0</v>
      </c>
      <c r="N8" s="2">
        <f>IFERROR(Table3[[#This Row],[2022 length]]*Table3[[#This Row],[2022 Pipeline unit cost]],0)</f>
        <v>81670.768011245571</v>
      </c>
      <c r="O8" s="2">
        <f>Table3[[#This Row],[2043 Length]]*Table3[[#This Row],[2043 Pipeline unit cost]]</f>
        <v>81670.768011245571</v>
      </c>
      <c r="P8" s="2">
        <f>MATCH(Table3[[#This Row],[Pipe_name]],'2022 pipes'!B:B,0)</f>
        <v>8</v>
      </c>
      <c r="Q8" s="2">
        <f>Table3[[#This Row],[2043 pipes]]-Table3[[#This Row],[Master Plan CAPEX Cost]]</f>
        <v>81670.768011245571</v>
      </c>
      <c r="R8" s="7">
        <f>Table3[[#This Row],[asdfa]]-Table3[[#This Row],[2022 total cost]]</f>
        <v>0</v>
      </c>
      <c r="S8" t="s">
        <v>345</v>
      </c>
      <c r="T8" t="s">
        <v>346</v>
      </c>
      <c r="U8" s="11">
        <f>(0.005*U2)</f>
        <v>8058.2139799070246</v>
      </c>
    </row>
    <row r="9" spans="1:26" x14ac:dyDescent="0.25">
      <c r="A9" s="1">
        <v>7</v>
      </c>
      <c r="B9" t="s">
        <v>25</v>
      </c>
      <c r="C9">
        <v>96</v>
      </c>
      <c r="D9">
        <v>19.968046000000001</v>
      </c>
      <c r="E9">
        <f>VLOOKUP(Table3[[#This Row],[Pipe_name]],Table2[[Pipe_name]:[Original_Diameter]],2,FALSE)</f>
        <v>96</v>
      </c>
      <c r="F9">
        <f>VLOOKUP(Table3[[#This Row],[Pipe_name]],Table2[[Pipe_name]:[Length]],3,FALSE)</f>
        <v>19.968046000000001</v>
      </c>
      <c r="G9" t="s">
        <v>331</v>
      </c>
      <c r="H9" t="str">
        <f>IF(Table3[[#This Row],[2043 Diameter]]=Table3[[#This Row],[2022 Diameter]],"No","Yes")</f>
        <v>No</v>
      </c>
      <c r="I9" t="str">
        <f>IF(Table3[[#This Row],[2043 Length]]=Table3[[#This Row],[2022 length]],"No","Yes")</f>
        <v>No</v>
      </c>
      <c r="J9" s="8">
        <f>VLOOKUP(Table3[[#This Row],[2043 Diameter]],[1]Pipes!$A:$B,2,FALSE)</f>
        <v>362.58707029616613</v>
      </c>
      <c r="K9" s="8">
        <f>VLOOKUP(Table3[[#This Row],[2022 Diameter]],[1]Pipes!$A:$B,2,FALSE)</f>
        <v>362.58707029616613</v>
      </c>
      <c r="L9" s="8">
        <f>IF(OR(IFERROR(Table3[[#This Row],[Diameter Change?]]="Yes","Yes"),Table3[[#This Row],[Pipe Added?]]="Yes"),Table3[[#This Row],[2043 Pipeline unit cost]]*Table3[[#This Row],[2043 Length]],0)</f>
        <v>0</v>
      </c>
      <c r="M9" s="2">
        <f>VLOOKUP(Table3[[#This Row],[Pipe_name]],[2]!Table1[[id3]:[Cost]],8,FALSE)</f>
        <v>0</v>
      </c>
      <c r="N9" s="2">
        <f>IFERROR(Table3[[#This Row],[2022 length]]*Table3[[#This Row],[2022 Pipeline unit cost]],0)</f>
        <v>7240.1552986790794</v>
      </c>
      <c r="O9" s="2">
        <f>Table3[[#This Row],[2043 Length]]*Table3[[#This Row],[2043 Pipeline unit cost]]</f>
        <v>7240.1552986790794</v>
      </c>
      <c r="P9" s="2">
        <f>MATCH(Table3[[#This Row],[Pipe_name]],'2022 pipes'!B:B,0)</f>
        <v>9</v>
      </c>
      <c r="Q9" s="2">
        <f>Table3[[#This Row],[2043 pipes]]-Table3[[#This Row],[Master Plan CAPEX Cost]]</f>
        <v>7240.1552986790794</v>
      </c>
      <c r="R9" s="7">
        <f>Table3[[#This Row],[asdfa]]-Table3[[#This Row],[2022 total cost]]</f>
        <v>0</v>
      </c>
      <c r="T9" t="s">
        <v>347</v>
      </c>
      <c r="U9" s="11">
        <f>0.008*593465.076695885</f>
        <v>4747.7206135670804</v>
      </c>
    </row>
    <row r="10" spans="1:26" x14ac:dyDescent="0.25">
      <c r="A10" s="1">
        <v>8</v>
      </c>
      <c r="B10" t="s">
        <v>26</v>
      </c>
      <c r="C10">
        <v>96</v>
      </c>
      <c r="D10">
        <v>85.971267999999995</v>
      </c>
      <c r="E10">
        <f>VLOOKUP(Table3[[#This Row],[Pipe_name]],Table2[[Pipe_name]:[Original_Diameter]],2,FALSE)</f>
        <v>96</v>
      </c>
      <c r="F10">
        <f>VLOOKUP(Table3[[#This Row],[Pipe_name]],Table2[[Pipe_name]:[Length]],3,FALSE)</f>
        <v>85.971267999999995</v>
      </c>
      <c r="G10" t="s">
        <v>331</v>
      </c>
      <c r="H10" t="str">
        <f>IF(Table3[[#This Row],[2043 Diameter]]=Table3[[#This Row],[2022 Diameter]],"No","Yes")</f>
        <v>No</v>
      </c>
      <c r="I10" t="str">
        <f>IF(Table3[[#This Row],[2043 Length]]=Table3[[#This Row],[2022 length]],"No","Yes")</f>
        <v>No</v>
      </c>
      <c r="J10" s="8">
        <f>VLOOKUP(Table3[[#This Row],[2043 Diameter]],[1]Pipes!$A:$B,2,FALSE)</f>
        <v>362.58707029616613</v>
      </c>
      <c r="K10" s="8">
        <f>VLOOKUP(Table3[[#This Row],[2022 Diameter]],[1]Pipes!$A:$B,2,FALSE)</f>
        <v>362.58707029616613</v>
      </c>
      <c r="L10" s="8">
        <f>IF(OR(IFERROR(Table3[[#This Row],[Diameter Change?]]="Yes","Yes"),Table3[[#This Row],[Pipe Added?]]="Yes"),Table3[[#This Row],[2043 Pipeline unit cost]]*Table3[[#This Row],[2043 Length]],0)</f>
        <v>0</v>
      </c>
      <c r="M10" s="2">
        <f>VLOOKUP(Table3[[#This Row],[Pipe_name]],[2]!Table1[[id3]:[Cost]],8,FALSE)</f>
        <v>0</v>
      </c>
      <c r="N10" s="2">
        <f>IFERROR(Table3[[#This Row],[2022 length]]*Table3[[#This Row],[2022 Pipeline unit cost]],0)</f>
        <v>31172.070193766536</v>
      </c>
      <c r="O10" s="2">
        <f>Table3[[#This Row],[2043 Length]]*Table3[[#This Row],[2043 Pipeline unit cost]]</f>
        <v>31172.070193766536</v>
      </c>
      <c r="P10" s="2">
        <f>MATCH(Table3[[#This Row],[Pipe_name]],'2022 pipes'!B:B,0)</f>
        <v>10</v>
      </c>
      <c r="Q10" s="2">
        <f>Table3[[#This Row],[2043 pipes]]-Table3[[#This Row],[Master Plan CAPEX Cost]]</f>
        <v>31172.070193766536</v>
      </c>
      <c r="R10" s="7">
        <f>Table3[[#This Row],[asdfa]]-Table3[[#This Row],[2022 total cost]]</f>
        <v>0</v>
      </c>
      <c r="T10" t="s">
        <v>348</v>
      </c>
      <c r="U10" t="s">
        <v>349</v>
      </c>
    </row>
    <row r="11" spans="1:26" x14ac:dyDescent="0.25">
      <c r="A11" s="1">
        <v>9</v>
      </c>
      <c r="B11" t="s">
        <v>27</v>
      </c>
      <c r="C11">
        <v>96</v>
      </c>
      <c r="D11">
        <v>7.735258</v>
      </c>
      <c r="E11">
        <f>VLOOKUP(Table3[[#This Row],[Pipe_name]],Table2[[Pipe_name]:[Original_Diameter]],2,FALSE)</f>
        <v>96</v>
      </c>
      <c r="F11">
        <f>VLOOKUP(Table3[[#This Row],[Pipe_name]],Table2[[Pipe_name]:[Length]],3,FALSE)</f>
        <v>7.735258</v>
      </c>
      <c r="G11" t="s">
        <v>331</v>
      </c>
      <c r="H11" t="str">
        <f>IF(Table3[[#This Row],[2043 Diameter]]=Table3[[#This Row],[2022 Diameter]],"No","Yes")</f>
        <v>No</v>
      </c>
      <c r="I11" t="str">
        <f>IF(Table3[[#This Row],[2043 Length]]=Table3[[#This Row],[2022 length]],"No","Yes")</f>
        <v>No</v>
      </c>
      <c r="J11" s="8">
        <f>VLOOKUP(Table3[[#This Row],[2043 Diameter]],[1]Pipes!$A:$B,2,FALSE)</f>
        <v>362.58707029616613</v>
      </c>
      <c r="K11" s="8">
        <f>VLOOKUP(Table3[[#This Row],[2022 Diameter]],[1]Pipes!$A:$B,2,FALSE)</f>
        <v>362.58707029616613</v>
      </c>
      <c r="L11" s="8">
        <f>IF(OR(IFERROR(Table3[[#This Row],[Diameter Change?]]="Yes","Yes"),Table3[[#This Row],[Pipe Added?]]="Yes"),Table3[[#This Row],[2043 Pipeline unit cost]]*Table3[[#This Row],[2043 Length]],0)</f>
        <v>0</v>
      </c>
      <c r="M11" s="2">
        <f>VLOOKUP(Table3[[#This Row],[Pipe_name]],[2]!Table1[[id3]:[Cost]],8,FALSE)</f>
        <v>0</v>
      </c>
      <c r="N11" s="2">
        <f>IFERROR(Table3[[#This Row],[2022 length]]*Table3[[#This Row],[2022 Pipeline unit cost]],0)</f>
        <v>2804.7045362049817</v>
      </c>
      <c r="O11" s="2">
        <f>Table3[[#This Row],[2043 Length]]*Table3[[#This Row],[2043 Pipeline unit cost]]</f>
        <v>2804.7045362049817</v>
      </c>
      <c r="P11" s="2">
        <f>MATCH(Table3[[#This Row],[Pipe_name]],'2022 pipes'!B:B,0)</f>
        <v>11</v>
      </c>
      <c r="Q11" s="2">
        <f>Table3[[#This Row],[2043 pipes]]-Table3[[#This Row],[Master Plan CAPEX Cost]]</f>
        <v>2804.7045362049817</v>
      </c>
      <c r="R11" s="7">
        <f>Table3[[#This Row],[asdfa]]-Table3[[#This Row],[2022 total cost]]</f>
        <v>0</v>
      </c>
      <c r="T11" t="s">
        <v>350</v>
      </c>
      <c r="U11" s="2">
        <f>Y11*0.02</f>
        <v>41300</v>
      </c>
      <c r="X11" t="s">
        <v>359</v>
      </c>
      <c r="Y11" s="2">
        <v>2065000</v>
      </c>
    </row>
    <row r="12" spans="1:26" x14ac:dyDescent="0.25">
      <c r="A12" s="1">
        <v>10</v>
      </c>
      <c r="B12" t="s">
        <v>28</v>
      </c>
      <c r="C12">
        <v>96</v>
      </c>
      <c r="D12">
        <v>145.036957</v>
      </c>
      <c r="E12">
        <f>VLOOKUP(Table3[[#This Row],[Pipe_name]],Table2[[Pipe_name]:[Original_Diameter]],2,FALSE)</f>
        <v>96</v>
      </c>
      <c r="F12">
        <f>VLOOKUP(Table3[[#This Row],[Pipe_name]],Table2[[Pipe_name]:[Length]],3,FALSE)</f>
        <v>145.036957</v>
      </c>
      <c r="G12" t="s">
        <v>331</v>
      </c>
      <c r="H12" t="str">
        <f>IF(Table3[[#This Row],[2043 Diameter]]=Table3[[#This Row],[2022 Diameter]],"No","Yes")</f>
        <v>No</v>
      </c>
      <c r="I12" t="str">
        <f>IF(Table3[[#This Row],[2043 Length]]=Table3[[#This Row],[2022 length]],"No","Yes")</f>
        <v>No</v>
      </c>
      <c r="J12" s="8">
        <f>VLOOKUP(Table3[[#This Row],[2043 Diameter]],[1]Pipes!$A:$B,2,FALSE)</f>
        <v>362.58707029616613</v>
      </c>
      <c r="K12" s="8">
        <f>VLOOKUP(Table3[[#This Row],[2022 Diameter]],[1]Pipes!$A:$B,2,FALSE)</f>
        <v>362.58707029616613</v>
      </c>
      <c r="L12" s="8">
        <f>IF(OR(IFERROR(Table3[[#This Row],[Diameter Change?]]="Yes","Yes"),Table3[[#This Row],[Pipe Added?]]="Yes"),Table3[[#This Row],[2043 Pipeline unit cost]]*Table3[[#This Row],[2043 Length]],0)</f>
        <v>0</v>
      </c>
      <c r="M12" s="2">
        <f>VLOOKUP(Table3[[#This Row],[Pipe_name]],[2]!Table1[[id3]:[Cost]],8,FALSE)</f>
        <v>0</v>
      </c>
      <c r="N12" s="2">
        <f>IFERROR(Table3[[#This Row],[2022 length]]*Table3[[#This Row],[2022 Pipeline unit cost]],0)</f>
        <v>52588.525323301023</v>
      </c>
      <c r="O12" s="2">
        <f>Table3[[#This Row],[2043 Length]]*Table3[[#This Row],[2043 Pipeline unit cost]]</f>
        <v>52588.525323301023</v>
      </c>
      <c r="P12" s="2">
        <f>MATCH(Table3[[#This Row],[Pipe_name]],'2022 pipes'!B:B,0)</f>
        <v>12</v>
      </c>
      <c r="Q12" s="2">
        <f>Table3[[#This Row],[2043 pipes]]-Table3[[#This Row],[Master Plan CAPEX Cost]]</f>
        <v>52588.525323301023</v>
      </c>
      <c r="R12" s="7">
        <f>Table3[[#This Row],[asdfa]]-Table3[[#This Row],[2022 total cost]]</f>
        <v>0</v>
      </c>
      <c r="T12" t="s">
        <v>334</v>
      </c>
      <c r="U12" s="11">
        <f>SUM(U8:U11)</f>
        <v>54105.934593474107</v>
      </c>
      <c r="Y12" s="2">
        <v>1065000</v>
      </c>
    </row>
    <row r="13" spans="1:26" x14ac:dyDescent="0.25">
      <c r="A13" s="1">
        <v>11</v>
      </c>
      <c r="B13" t="s">
        <v>29</v>
      </c>
      <c r="C13">
        <v>96</v>
      </c>
      <c r="D13">
        <v>52.606304000000002</v>
      </c>
      <c r="E13">
        <f>VLOOKUP(Table3[[#This Row],[Pipe_name]],Table2[[Pipe_name]:[Original_Diameter]],2,FALSE)</f>
        <v>96</v>
      </c>
      <c r="F13">
        <f>VLOOKUP(Table3[[#This Row],[Pipe_name]],Table2[[Pipe_name]:[Length]],3,FALSE)</f>
        <v>52.606304000000002</v>
      </c>
      <c r="G13" t="s">
        <v>331</v>
      </c>
      <c r="H13" t="str">
        <f>IF(Table3[[#This Row],[2043 Diameter]]=Table3[[#This Row],[2022 Diameter]],"No","Yes")</f>
        <v>No</v>
      </c>
      <c r="I13" t="str">
        <f>IF(Table3[[#This Row],[2043 Length]]=Table3[[#This Row],[2022 length]],"No","Yes")</f>
        <v>No</v>
      </c>
      <c r="J13" s="8">
        <f>VLOOKUP(Table3[[#This Row],[2043 Diameter]],[1]Pipes!$A:$B,2,FALSE)</f>
        <v>362.58707029616613</v>
      </c>
      <c r="K13" s="8">
        <f>VLOOKUP(Table3[[#This Row],[2022 Diameter]],[1]Pipes!$A:$B,2,FALSE)</f>
        <v>362.58707029616613</v>
      </c>
      <c r="L13" s="8">
        <f>IF(OR(IFERROR(Table3[[#This Row],[Diameter Change?]]="Yes","Yes"),Table3[[#This Row],[Pipe Added?]]="Yes"),Table3[[#This Row],[2043 Pipeline unit cost]]*Table3[[#This Row],[2043 Length]],0)</f>
        <v>0</v>
      </c>
      <c r="M13" s="2">
        <f>VLOOKUP(Table3[[#This Row],[Pipe_name]],[2]!Table1[[id3]:[Cost]],8,FALSE)</f>
        <v>0</v>
      </c>
      <c r="N13" s="2">
        <f>IFERROR(Table3[[#This Row],[2022 length]]*Table3[[#This Row],[2022 Pipeline unit cost]],0)</f>
        <v>19074.365646469487</v>
      </c>
      <c r="O13" s="2">
        <f>Table3[[#This Row],[2043 Length]]*Table3[[#This Row],[2043 Pipeline unit cost]]</f>
        <v>19074.365646469487</v>
      </c>
      <c r="P13" s="2">
        <f>MATCH(Table3[[#This Row],[Pipe_name]],'2022 pipes'!B:B,0)</f>
        <v>13</v>
      </c>
      <c r="Q13" s="2">
        <f>Table3[[#This Row],[2043 pipes]]-Table3[[#This Row],[Master Plan CAPEX Cost]]</f>
        <v>19074.365646469487</v>
      </c>
      <c r="R13" s="7">
        <f>Table3[[#This Row],[asdfa]]-Table3[[#This Row],[2022 total cost]]</f>
        <v>0</v>
      </c>
    </row>
    <row r="14" spans="1:26" x14ac:dyDescent="0.25">
      <c r="A14" s="1">
        <v>12</v>
      </c>
      <c r="B14" t="s">
        <v>30</v>
      </c>
      <c r="C14">
        <v>200</v>
      </c>
      <c r="D14">
        <v>24.994415</v>
      </c>
      <c r="E14">
        <f>VLOOKUP(Table3[[#This Row],[Pipe_name]],Table2[[Pipe_name]:[Original_Diameter]],2,FALSE)</f>
        <v>200</v>
      </c>
      <c r="F14">
        <f>VLOOKUP(Table3[[#This Row],[Pipe_name]],Table2[[Pipe_name]:[Length]],3,FALSE)</f>
        <v>24.994415</v>
      </c>
      <c r="G14" t="s">
        <v>331</v>
      </c>
      <c r="H14" t="str">
        <f>IF(Table3[[#This Row],[2043 Diameter]]=Table3[[#This Row],[2022 Diameter]],"No","Yes")</f>
        <v>No</v>
      </c>
      <c r="I14" t="str">
        <f>IF(Table3[[#This Row],[2043 Length]]=Table3[[#This Row],[2022 length]],"No","Yes")</f>
        <v>No</v>
      </c>
      <c r="J14" s="8">
        <f>VLOOKUP(Table3[[#This Row],[2043 Diameter]],[1]Pipes!$A:$B,2,FALSE)</f>
        <v>546.15625651305356</v>
      </c>
      <c r="K14" s="8">
        <f>VLOOKUP(Table3[[#This Row],[2022 Diameter]],[1]Pipes!$A:$B,2,FALSE)</f>
        <v>546.15625651305356</v>
      </c>
      <c r="L14" s="8">
        <f>IF(OR(IFERROR(Table3[[#This Row],[Diameter Change?]]="Yes","Yes"),Table3[[#This Row],[Pipe Added?]]="Yes"),Table3[[#This Row],[2043 Pipeline unit cost]]*Table3[[#This Row],[2043 Length]],0)</f>
        <v>0</v>
      </c>
      <c r="M14" s="2">
        <f>VLOOKUP(Table3[[#This Row],[Pipe_name]],[2]!Table1[[id3]:[Cost]],8,FALSE)</f>
        <v>0</v>
      </c>
      <c r="N14" s="2">
        <f>IFERROR(Table3[[#This Row],[2022 length]]*Table3[[#This Row],[2022 Pipeline unit cost]],0)</f>
        <v>13650.856130133714</v>
      </c>
      <c r="O14" s="2">
        <f>Table3[[#This Row],[2043 Length]]*Table3[[#This Row],[2043 Pipeline unit cost]]</f>
        <v>13650.856130133714</v>
      </c>
      <c r="P14" s="2">
        <f>MATCH(Table3[[#This Row],[Pipe_name]],'2022 pipes'!B:B,0)</f>
        <v>14</v>
      </c>
      <c r="Q14" s="2">
        <f>Table3[[#This Row],[2043 pipes]]-Table3[[#This Row],[Master Plan CAPEX Cost]]</f>
        <v>13650.856130133714</v>
      </c>
      <c r="R14" s="7">
        <f>Table3[[#This Row],[asdfa]]-Table3[[#This Row],[2022 total cost]]</f>
        <v>0</v>
      </c>
      <c r="S14" t="s">
        <v>351</v>
      </c>
      <c r="U14">
        <v>70356.679999999993</v>
      </c>
    </row>
    <row r="15" spans="1:26" x14ac:dyDescent="0.25">
      <c r="A15" s="1">
        <v>13</v>
      </c>
      <c r="B15" t="s">
        <v>31</v>
      </c>
      <c r="C15">
        <v>225</v>
      </c>
      <c r="D15">
        <v>30.108805</v>
      </c>
      <c r="E15">
        <f>VLOOKUP(Table3[[#This Row],[Pipe_name]],Table2[[Pipe_name]:[Original_Diameter]],2,FALSE)</f>
        <v>143</v>
      </c>
      <c r="F15">
        <f>VLOOKUP(Table3[[#This Row],[Pipe_name]],Table2[[Pipe_name]:[Length]],3,FALSE)</f>
        <v>30.108805</v>
      </c>
      <c r="G15" t="s">
        <v>331</v>
      </c>
      <c r="H15" t="str">
        <f>IF(Table3[[#This Row],[2043 Diameter]]=Table3[[#This Row],[2022 Diameter]],"No","Yes")</f>
        <v>Yes</v>
      </c>
      <c r="I15" t="str">
        <f>IF(Table3[[#This Row],[2043 Length]]=Table3[[#This Row],[2022 length]],"No","Yes")</f>
        <v>No</v>
      </c>
      <c r="J15" s="8">
        <f>VLOOKUP(Table3[[#This Row],[2043 Diameter]],[1]Pipes!$A:$B,2,FALSE)</f>
        <v>546.15625651305356</v>
      </c>
      <c r="K15" s="8">
        <f>VLOOKUP(Table3[[#This Row],[2022 Diameter]],[1]Pipes!$A:$B,2,FALSE)</f>
        <v>433.89080378537034</v>
      </c>
      <c r="L15" s="8">
        <f>IF(OR(IFERROR(Table3[[#This Row],[Diameter Change?]]="Yes","Yes"),Table3[[#This Row],[Pipe Added?]]="Yes"),Table3[[#This Row],[2043 Pipeline unit cost]]*Table3[[#This Row],[2043 Length]],0)</f>
        <v>16444.112226881509</v>
      </c>
      <c r="M15" s="2">
        <f>VLOOKUP(Table3[[#This Row],[Pipe_name]],[2]!Table1[[id3]:[Cost]],8,FALSE)</f>
        <v>16444.21872735153</v>
      </c>
      <c r="N15" s="2">
        <f>IFERROR(Table3[[#This Row],[2022 length]]*Table3[[#This Row],[2022 Pipeline unit cost]],0)</f>
        <v>13063.933602466977</v>
      </c>
      <c r="O15" s="2">
        <f>Table3[[#This Row],[2043 Length]]*Table3[[#This Row],[2043 Pipeline unit cost]]</f>
        <v>16444.112226881509</v>
      </c>
      <c r="P15" s="2">
        <f>MATCH(Table3[[#This Row],[Pipe_name]],'2022 pipes'!B:B,0)</f>
        <v>15</v>
      </c>
      <c r="Q15" s="2">
        <f>Table3[[#This Row],[2043 pipes]]-Table3[[#This Row],[Master Plan CAPEX Cost]]</f>
        <v>0</v>
      </c>
      <c r="R15" s="7">
        <f>Table3[[#This Row],[asdfa]]-Table3[[#This Row],[2022 total cost]]</f>
        <v>-13063.933602466977</v>
      </c>
    </row>
    <row r="16" spans="1:26" x14ac:dyDescent="0.25">
      <c r="A16" s="1">
        <v>14</v>
      </c>
      <c r="B16" t="s">
        <v>32</v>
      </c>
      <c r="C16">
        <v>143</v>
      </c>
      <c r="D16">
        <v>8.3825459999999996</v>
      </c>
      <c r="E16">
        <f>VLOOKUP(Table3[[#This Row],[Pipe_name]],Table2[[Pipe_name]:[Original_Diameter]],2,FALSE)</f>
        <v>143</v>
      </c>
      <c r="F16">
        <f>VLOOKUP(Table3[[#This Row],[Pipe_name]],Table2[[Pipe_name]:[Length]],3,FALSE)</f>
        <v>8.3825459999999996</v>
      </c>
      <c r="G16" t="s">
        <v>331</v>
      </c>
      <c r="H16" t="str">
        <f>IF(Table3[[#This Row],[2043 Diameter]]=Table3[[#This Row],[2022 Diameter]],"No","Yes")</f>
        <v>No</v>
      </c>
      <c r="I16" t="str">
        <f>IF(Table3[[#This Row],[2043 Length]]=Table3[[#This Row],[2022 length]],"No","Yes")</f>
        <v>No</v>
      </c>
      <c r="J16" s="8">
        <f>VLOOKUP(Table3[[#This Row],[2043 Diameter]],[1]Pipes!$A:$B,2,FALSE)</f>
        <v>433.89080378537034</v>
      </c>
      <c r="K16" s="8">
        <f>VLOOKUP(Table3[[#This Row],[2022 Diameter]],[1]Pipes!$A:$B,2,FALSE)</f>
        <v>433.89080378537034</v>
      </c>
      <c r="L16" s="8">
        <f>IF(OR(IFERROR(Table3[[#This Row],[Diameter Change?]]="Yes","Yes"),Table3[[#This Row],[Pipe Added?]]="Yes"),Table3[[#This Row],[2043 Pipeline unit cost]]*Table3[[#This Row],[2043 Length]],0)</f>
        <v>0</v>
      </c>
      <c r="M16" s="2">
        <f>VLOOKUP(Table3[[#This Row],[Pipe_name]],[2]!Table1[[id3]:[Cost]],8,FALSE)</f>
        <v>0</v>
      </c>
      <c r="N16" s="2">
        <f>IFERROR(Table3[[#This Row],[2022 length]]*Table3[[#This Row],[2022 Pipeline unit cost]],0)</f>
        <v>3637.1096217078407</v>
      </c>
      <c r="O16" s="2">
        <f>Table3[[#This Row],[2043 Length]]*Table3[[#This Row],[2043 Pipeline unit cost]]</f>
        <v>3637.1096217078407</v>
      </c>
      <c r="P16" s="2">
        <f>MATCH(Table3[[#This Row],[Pipe_name]],'2022 pipes'!B:B,0)</f>
        <v>16</v>
      </c>
      <c r="Q16" s="2">
        <f>Table3[[#This Row],[2043 pipes]]-Table3[[#This Row],[Master Plan CAPEX Cost]]</f>
        <v>3637.1096217078407</v>
      </c>
      <c r="R16" s="7">
        <f>Table3[[#This Row],[asdfa]]-Table3[[#This Row],[2022 total cost]]</f>
        <v>0</v>
      </c>
      <c r="T16" t="s">
        <v>361</v>
      </c>
      <c r="U16" s="12">
        <f>SUM(U7,U14,U8)</f>
        <v>181579.31266132629</v>
      </c>
    </row>
    <row r="17" spans="1:25" x14ac:dyDescent="0.25">
      <c r="A17" s="1">
        <v>15</v>
      </c>
      <c r="B17" t="s">
        <v>33</v>
      </c>
      <c r="C17">
        <v>158</v>
      </c>
      <c r="D17">
        <v>13.110904</v>
      </c>
      <c r="E17">
        <f>VLOOKUP(Table3[[#This Row],[Pipe_name]],Table2[[Pipe_name]:[Original_Diameter]],2,FALSE)</f>
        <v>158</v>
      </c>
      <c r="F17">
        <f>VLOOKUP(Table3[[#This Row],[Pipe_name]],Table2[[Pipe_name]:[Length]],3,FALSE)</f>
        <v>13.110904</v>
      </c>
      <c r="G17" t="s">
        <v>331</v>
      </c>
      <c r="H17" t="str">
        <f>IF(Table3[[#This Row],[2043 Diameter]]=Table3[[#This Row],[2022 Diameter]],"No","Yes")</f>
        <v>No</v>
      </c>
      <c r="I17" t="str">
        <f>IF(Table3[[#This Row],[2043 Length]]=Table3[[#This Row],[2022 length]],"No","Yes")</f>
        <v>No</v>
      </c>
      <c r="J17" s="8">
        <f>VLOOKUP(Table3[[#This Row],[2043 Diameter]],[1]Pipes!$A:$B,2,FALSE)</f>
        <v>433.89080378537034</v>
      </c>
      <c r="K17" s="8">
        <f>VLOOKUP(Table3[[#This Row],[2022 Diameter]],[1]Pipes!$A:$B,2,FALSE)</f>
        <v>433.89080378537034</v>
      </c>
      <c r="L17" s="8">
        <f>IF(OR(IFERROR(Table3[[#This Row],[Diameter Change?]]="Yes","Yes"),Table3[[#This Row],[Pipe Added?]]="Yes"),Table3[[#This Row],[2043 Pipeline unit cost]]*Table3[[#This Row],[2043 Length]],0)</f>
        <v>0</v>
      </c>
      <c r="M17" s="2">
        <f>VLOOKUP(Table3[[#This Row],[Pipe_name]],[2]!Table1[[id3]:[Cost]],8,FALSE)</f>
        <v>0</v>
      </c>
      <c r="N17" s="2">
        <f>IFERROR(Table3[[#This Row],[2022 length]]*Table3[[#This Row],[2022 Pipeline unit cost]],0)</f>
        <v>5688.7006749128268</v>
      </c>
      <c r="O17" s="2">
        <f>Table3[[#This Row],[2043 Length]]*Table3[[#This Row],[2043 Pipeline unit cost]]</f>
        <v>5688.7006749128268</v>
      </c>
      <c r="P17" s="2">
        <f>MATCH(Table3[[#This Row],[Pipe_name]],'2022 pipes'!B:B,0)</f>
        <v>17</v>
      </c>
      <c r="Q17" s="2">
        <f>Table3[[#This Row],[2043 pipes]]-Table3[[#This Row],[Master Plan CAPEX Cost]]</f>
        <v>5688.7006749128268</v>
      </c>
      <c r="R17" s="7">
        <f>Table3[[#This Row],[asdfa]]-Table3[[#This Row],[2022 total cost]]</f>
        <v>0</v>
      </c>
      <c r="Y17" s="11"/>
    </row>
    <row r="18" spans="1:25" x14ac:dyDescent="0.25">
      <c r="A18" s="1">
        <v>16</v>
      </c>
      <c r="B18" t="s">
        <v>34</v>
      </c>
      <c r="C18">
        <v>96</v>
      </c>
      <c r="D18">
        <v>3.4892300000000001</v>
      </c>
      <c r="E18">
        <f>VLOOKUP(Table3[[#This Row],[Pipe_name]],Table2[[Pipe_name]:[Original_Diameter]],2,FALSE)</f>
        <v>96</v>
      </c>
      <c r="F18">
        <f>VLOOKUP(Table3[[#This Row],[Pipe_name]],Table2[[Pipe_name]:[Length]],3,FALSE)</f>
        <v>3.4892300000000001</v>
      </c>
      <c r="G18" t="s">
        <v>331</v>
      </c>
      <c r="H18" t="str">
        <f>IF(Table3[[#This Row],[2043 Diameter]]=Table3[[#This Row],[2022 Diameter]],"No","Yes")</f>
        <v>No</v>
      </c>
      <c r="I18" t="str">
        <f>IF(Table3[[#This Row],[2043 Length]]=Table3[[#This Row],[2022 length]],"No","Yes")</f>
        <v>No</v>
      </c>
      <c r="J18" s="8">
        <f>VLOOKUP(Table3[[#This Row],[2043 Diameter]],[1]Pipes!$A:$B,2,FALSE)</f>
        <v>362.58707029616613</v>
      </c>
      <c r="K18" s="8">
        <f>VLOOKUP(Table3[[#This Row],[2022 Diameter]],[1]Pipes!$A:$B,2,FALSE)</f>
        <v>362.58707029616613</v>
      </c>
      <c r="L18" s="8">
        <f>IF(OR(IFERROR(Table3[[#This Row],[Diameter Change?]]="Yes","Yes"),Table3[[#This Row],[Pipe Added?]]="Yes"),Table3[[#This Row],[2043 Pipeline unit cost]]*Table3[[#This Row],[2043 Length]],0)</f>
        <v>0</v>
      </c>
      <c r="M18" s="2">
        <f>VLOOKUP(Table3[[#This Row],[Pipe_name]],[2]!Table1[[id3]:[Cost]],8,FALSE)</f>
        <v>0</v>
      </c>
      <c r="N18" s="2">
        <f>IFERROR(Table3[[#This Row],[2022 length]]*Table3[[#This Row],[2022 Pipeline unit cost]],0)</f>
        <v>1265.1496832894918</v>
      </c>
      <c r="O18" s="2">
        <f>Table3[[#This Row],[2043 Length]]*Table3[[#This Row],[2043 Pipeline unit cost]]</f>
        <v>1265.1496832894918</v>
      </c>
      <c r="P18" s="2">
        <f>MATCH(Table3[[#This Row],[Pipe_name]],'2022 pipes'!B:B,0)</f>
        <v>18</v>
      </c>
      <c r="Q18" s="2">
        <f>Table3[[#This Row],[2043 pipes]]-Table3[[#This Row],[Master Plan CAPEX Cost]]</f>
        <v>1265.1496832894918</v>
      </c>
      <c r="R18" s="7">
        <f>Table3[[#This Row],[asdfa]]-Table3[[#This Row],[2022 total cost]]</f>
        <v>0</v>
      </c>
      <c r="T18" t="s">
        <v>360</v>
      </c>
      <c r="U18" s="11">
        <f>SUM(U14,U12,U7)</f>
        <v>227627.03327489342</v>
      </c>
    </row>
    <row r="19" spans="1:25" x14ac:dyDescent="0.25">
      <c r="A19" s="1">
        <v>17</v>
      </c>
      <c r="B19" t="s">
        <v>35</v>
      </c>
      <c r="C19">
        <v>96</v>
      </c>
      <c r="D19">
        <v>17.124673999999999</v>
      </c>
      <c r="E19">
        <f>VLOOKUP(Table3[[#This Row],[Pipe_name]],Table2[[Pipe_name]:[Original_Diameter]],2,FALSE)</f>
        <v>96</v>
      </c>
      <c r="F19">
        <f>VLOOKUP(Table3[[#This Row],[Pipe_name]],Table2[[Pipe_name]:[Length]],3,FALSE)</f>
        <v>17.124673999999999</v>
      </c>
      <c r="G19" t="s">
        <v>331</v>
      </c>
      <c r="H19" t="str">
        <f>IF(Table3[[#This Row],[2043 Diameter]]=Table3[[#This Row],[2022 Diameter]],"No","Yes")</f>
        <v>No</v>
      </c>
      <c r="I19" t="str">
        <f>IF(Table3[[#This Row],[2043 Length]]=Table3[[#This Row],[2022 length]],"No","Yes")</f>
        <v>No</v>
      </c>
      <c r="J19" s="8">
        <f>VLOOKUP(Table3[[#This Row],[2043 Diameter]],[1]Pipes!$A:$B,2,FALSE)</f>
        <v>362.58707029616613</v>
      </c>
      <c r="K19" s="8">
        <f>VLOOKUP(Table3[[#This Row],[2022 Diameter]],[1]Pipes!$A:$B,2,FALSE)</f>
        <v>362.58707029616613</v>
      </c>
      <c r="L19" s="8">
        <f>IF(OR(IFERROR(Table3[[#This Row],[Diameter Change?]]="Yes","Yes"),Table3[[#This Row],[Pipe Added?]]="Yes"),Table3[[#This Row],[2043 Pipeline unit cost]]*Table3[[#This Row],[2043 Length]],0)</f>
        <v>0</v>
      </c>
      <c r="M19" s="2">
        <f>VLOOKUP(Table3[[#This Row],[Pipe_name]],[2]!Table1[[id3]:[Cost]],8,FALSE)</f>
        <v>0</v>
      </c>
      <c r="N19" s="2">
        <f>IFERROR(Table3[[#This Row],[2022 length]]*Table3[[#This Row],[2022 Pipeline unit cost]],0)</f>
        <v>6209.1853754369276</v>
      </c>
      <c r="O19" s="2">
        <f>Table3[[#This Row],[2043 Length]]*Table3[[#This Row],[2043 Pipeline unit cost]]</f>
        <v>6209.1853754369276</v>
      </c>
      <c r="P19" s="2">
        <f>MATCH(Table3[[#This Row],[Pipe_name]],'2022 pipes'!B:B,0)</f>
        <v>19</v>
      </c>
      <c r="Q19" s="2">
        <f>Table3[[#This Row],[2043 pipes]]-Table3[[#This Row],[Master Plan CAPEX Cost]]</f>
        <v>6209.1853754369276</v>
      </c>
      <c r="R19" s="7">
        <f>Table3[[#This Row],[asdfa]]-Table3[[#This Row],[2022 total cost]]</f>
        <v>0</v>
      </c>
    </row>
    <row r="20" spans="1:25" x14ac:dyDescent="0.25">
      <c r="A20" s="1">
        <v>18</v>
      </c>
      <c r="B20" t="s">
        <v>36</v>
      </c>
      <c r="C20">
        <v>200</v>
      </c>
      <c r="D20">
        <v>13.671875</v>
      </c>
      <c r="E20">
        <f>VLOOKUP(Table3[[#This Row],[Pipe_name]],Table2[[Pipe_name]:[Original_Diameter]],2,FALSE)</f>
        <v>200</v>
      </c>
      <c r="F20">
        <f>VLOOKUP(Table3[[#This Row],[Pipe_name]],Table2[[Pipe_name]:[Length]],3,FALSE)</f>
        <v>13.671875</v>
      </c>
      <c r="G20" t="s">
        <v>331</v>
      </c>
      <c r="H20" t="str">
        <f>IF(Table3[[#This Row],[2043 Diameter]]=Table3[[#This Row],[2022 Diameter]],"No","Yes")</f>
        <v>No</v>
      </c>
      <c r="I20" t="str">
        <f>IF(Table3[[#This Row],[2043 Length]]=Table3[[#This Row],[2022 length]],"No","Yes")</f>
        <v>No</v>
      </c>
      <c r="J20" s="8">
        <f>VLOOKUP(Table3[[#This Row],[2043 Diameter]],[1]Pipes!$A:$B,2,FALSE)</f>
        <v>546.15625651305356</v>
      </c>
      <c r="K20" s="8">
        <f>VLOOKUP(Table3[[#This Row],[2022 Diameter]],[1]Pipes!$A:$B,2,FALSE)</f>
        <v>546.15625651305356</v>
      </c>
      <c r="L20" s="8">
        <f>IF(OR(IFERROR(Table3[[#This Row],[Diameter Change?]]="Yes","Yes"),Table3[[#This Row],[Pipe Added?]]="Yes"),Table3[[#This Row],[2043 Pipeline unit cost]]*Table3[[#This Row],[2043 Length]],0)</f>
        <v>0</v>
      </c>
      <c r="M20" s="2">
        <f>VLOOKUP(Table3[[#This Row],[Pipe_name]],[2]!Table1[[id3]:[Cost]],8,FALSE)</f>
        <v>0</v>
      </c>
      <c r="N20" s="2">
        <f>IFERROR(Table3[[#This Row],[2022 length]]*Table3[[#This Row],[2022 Pipeline unit cost]],0)</f>
        <v>7466.980069514404</v>
      </c>
      <c r="O20" s="2">
        <f>Table3[[#This Row],[2043 Length]]*Table3[[#This Row],[2043 Pipeline unit cost]]</f>
        <v>7466.980069514404</v>
      </c>
      <c r="P20" s="2">
        <f>MATCH(Table3[[#This Row],[Pipe_name]],'2022 pipes'!B:B,0)</f>
        <v>20</v>
      </c>
      <c r="Q20" s="2">
        <f>Table3[[#This Row],[2043 pipes]]-Table3[[#This Row],[Master Plan CAPEX Cost]]</f>
        <v>7466.980069514404</v>
      </c>
      <c r="R20" s="7">
        <f>Table3[[#This Row],[asdfa]]-Table3[[#This Row],[2022 total cost]]</f>
        <v>0</v>
      </c>
    </row>
    <row r="21" spans="1:25" x14ac:dyDescent="0.25">
      <c r="A21" s="1">
        <v>19</v>
      </c>
      <c r="B21" t="s">
        <v>37</v>
      </c>
      <c r="C21">
        <v>141</v>
      </c>
      <c r="D21">
        <v>5.2727279999999999</v>
      </c>
      <c r="E21">
        <f>VLOOKUP(Table3[[#This Row],[Pipe_name]],Table2[[Pipe_name]:[Original_Diameter]],2,FALSE)</f>
        <v>141</v>
      </c>
      <c r="F21">
        <f>VLOOKUP(Table3[[#This Row],[Pipe_name]],Table2[[Pipe_name]:[Length]],3,FALSE)</f>
        <v>5.2727279999999999</v>
      </c>
      <c r="G21" t="s">
        <v>331</v>
      </c>
      <c r="H21" t="str">
        <f>IF(Table3[[#This Row],[2043 Diameter]]=Table3[[#This Row],[2022 Diameter]],"No","Yes")</f>
        <v>No</v>
      </c>
      <c r="I21" t="str">
        <f>IF(Table3[[#This Row],[2043 Length]]=Table3[[#This Row],[2022 length]],"No","Yes")</f>
        <v>No</v>
      </c>
      <c r="J21" s="8">
        <f>VLOOKUP(Table3[[#This Row],[2043 Diameter]],[1]Pipes!$A:$B,2,FALSE)</f>
        <v>433.89080378537034</v>
      </c>
      <c r="K21" s="8">
        <f>VLOOKUP(Table3[[#This Row],[2022 Diameter]],[1]Pipes!$A:$B,2,FALSE)</f>
        <v>433.89080378537034</v>
      </c>
      <c r="L21" s="8">
        <f>IF(OR(IFERROR(Table3[[#This Row],[Diameter Change?]]="Yes","Yes"),Table3[[#This Row],[Pipe Added?]]="Yes"),Table3[[#This Row],[2043 Pipeline unit cost]]*Table3[[#This Row],[2043 Length]],0)</f>
        <v>0</v>
      </c>
      <c r="M21" s="2">
        <f>VLOOKUP(Table3[[#This Row],[Pipe_name]],[2]!Table1[[id3]:[Cost]],8,FALSE)</f>
        <v>0</v>
      </c>
      <c r="N21" s="2">
        <f>IFERROR(Table3[[#This Row],[2022 length]]*Table3[[#This Row],[2022 Pipeline unit cost]],0)</f>
        <v>2287.788190061628</v>
      </c>
      <c r="O21" s="2">
        <f>Table3[[#This Row],[2043 Length]]*Table3[[#This Row],[2043 Pipeline unit cost]]</f>
        <v>2287.788190061628</v>
      </c>
      <c r="P21" s="2">
        <f>MATCH(Table3[[#This Row],[Pipe_name]],'2022 pipes'!B:B,0)</f>
        <v>21</v>
      </c>
      <c r="Q21" s="2">
        <f>Table3[[#This Row],[2043 pipes]]-Table3[[#This Row],[Master Plan CAPEX Cost]]</f>
        <v>2287.788190061628</v>
      </c>
      <c r="R21" s="7">
        <f>Table3[[#This Row],[asdfa]]-Table3[[#This Row],[2022 total cost]]</f>
        <v>0</v>
      </c>
    </row>
    <row r="22" spans="1:25" x14ac:dyDescent="0.25">
      <c r="A22" s="1">
        <v>20</v>
      </c>
      <c r="B22" t="s">
        <v>38</v>
      </c>
      <c r="C22">
        <v>200</v>
      </c>
      <c r="D22">
        <v>181.64756800000001</v>
      </c>
      <c r="E22">
        <f>VLOOKUP(Table3[[#This Row],[Pipe_name]],Table2[[Pipe_name]:[Original_Diameter]],2,FALSE)</f>
        <v>200</v>
      </c>
      <c r="F22">
        <f>VLOOKUP(Table3[[#This Row],[Pipe_name]],Table2[[Pipe_name]:[Length]],3,FALSE)</f>
        <v>181.64756800000001</v>
      </c>
      <c r="G22" t="s">
        <v>331</v>
      </c>
      <c r="H22" t="str">
        <f>IF(Table3[[#This Row],[2043 Diameter]]=Table3[[#This Row],[2022 Diameter]],"No","Yes")</f>
        <v>No</v>
      </c>
      <c r="I22" t="str">
        <f>IF(Table3[[#This Row],[2043 Length]]=Table3[[#This Row],[2022 length]],"No","Yes")</f>
        <v>No</v>
      </c>
      <c r="J22" s="8">
        <f>VLOOKUP(Table3[[#This Row],[2043 Diameter]],[1]Pipes!$A:$B,2,FALSE)</f>
        <v>546.15625651305356</v>
      </c>
      <c r="K22" s="8">
        <f>VLOOKUP(Table3[[#This Row],[2022 Diameter]],[1]Pipes!$A:$B,2,FALSE)</f>
        <v>546.15625651305356</v>
      </c>
      <c r="L22" s="8">
        <f>IF(OR(IFERROR(Table3[[#This Row],[Diameter Change?]]="Yes","Yes"),Table3[[#This Row],[Pipe Added?]]="Yes"),Table3[[#This Row],[2043 Pipeline unit cost]]*Table3[[#This Row],[2043 Length]],0)</f>
        <v>0</v>
      </c>
      <c r="M22" s="2">
        <f>VLOOKUP(Table3[[#This Row],[Pipe_name]],[2]!Table1[[id3]:[Cost]],8,FALSE)</f>
        <v>0</v>
      </c>
      <c r="N22" s="2">
        <f>IFERROR(Table3[[#This Row],[2022 length]]*Table3[[#This Row],[2022 Pipeline unit cost]],0)</f>
        <v>99207.955743580344</v>
      </c>
      <c r="O22" s="2">
        <f>Table3[[#This Row],[2043 Length]]*Table3[[#This Row],[2043 Pipeline unit cost]]</f>
        <v>99207.955743580344</v>
      </c>
      <c r="P22" s="2">
        <f>MATCH(Table3[[#This Row],[Pipe_name]],'2022 pipes'!B:B,0)</f>
        <v>22</v>
      </c>
      <c r="Q22" s="2">
        <f>Table3[[#This Row],[2043 pipes]]-Table3[[#This Row],[Master Plan CAPEX Cost]]</f>
        <v>99207.955743580344</v>
      </c>
      <c r="R22" s="7">
        <f>Table3[[#This Row],[asdfa]]-Table3[[#This Row],[2022 total cost]]</f>
        <v>0</v>
      </c>
    </row>
    <row r="23" spans="1:25" x14ac:dyDescent="0.25">
      <c r="A23" s="1">
        <v>21</v>
      </c>
      <c r="B23" t="s">
        <v>39</v>
      </c>
      <c r="C23">
        <v>96</v>
      </c>
      <c r="D23">
        <v>3.47323</v>
      </c>
      <c r="E23">
        <f>VLOOKUP(Table3[[#This Row],[Pipe_name]],Table2[[Pipe_name]:[Original_Diameter]],2,FALSE)</f>
        <v>96</v>
      </c>
      <c r="F23">
        <f>VLOOKUP(Table3[[#This Row],[Pipe_name]],Table2[[Pipe_name]:[Length]],3,FALSE)</f>
        <v>3.47323</v>
      </c>
      <c r="G23" t="s">
        <v>331</v>
      </c>
      <c r="H23" t="str">
        <f>IF(Table3[[#This Row],[2043 Diameter]]=Table3[[#This Row],[2022 Diameter]],"No","Yes")</f>
        <v>No</v>
      </c>
      <c r="I23" t="str">
        <f>IF(Table3[[#This Row],[2043 Length]]=Table3[[#This Row],[2022 length]],"No","Yes")</f>
        <v>No</v>
      </c>
      <c r="J23" s="8">
        <f>VLOOKUP(Table3[[#This Row],[2043 Diameter]],[1]Pipes!$A:$B,2,FALSE)</f>
        <v>362.58707029616613</v>
      </c>
      <c r="K23" s="8">
        <f>VLOOKUP(Table3[[#This Row],[2022 Diameter]],[1]Pipes!$A:$B,2,FALSE)</f>
        <v>362.58707029616613</v>
      </c>
      <c r="L23" s="8">
        <f>IF(OR(IFERROR(Table3[[#This Row],[Diameter Change?]]="Yes","Yes"),Table3[[#This Row],[Pipe Added?]]="Yes"),Table3[[#This Row],[2043 Pipeline unit cost]]*Table3[[#This Row],[2043 Length]],0)</f>
        <v>0</v>
      </c>
      <c r="M23" s="2">
        <f>VLOOKUP(Table3[[#This Row],[Pipe_name]],[2]!Table1[[id3]:[Cost]],8,FALSE)</f>
        <v>0</v>
      </c>
      <c r="N23" s="2">
        <f>IFERROR(Table3[[#This Row],[2022 length]]*Table3[[#This Row],[2022 Pipeline unit cost]],0)</f>
        <v>1259.3482901647531</v>
      </c>
      <c r="O23" s="2">
        <f>Table3[[#This Row],[2043 Length]]*Table3[[#This Row],[2043 Pipeline unit cost]]</f>
        <v>1259.3482901647531</v>
      </c>
      <c r="P23" s="2">
        <f>MATCH(Table3[[#This Row],[Pipe_name]],'2022 pipes'!B:B,0)</f>
        <v>23</v>
      </c>
      <c r="Q23" s="2">
        <f>Table3[[#This Row],[2043 pipes]]-Table3[[#This Row],[Master Plan CAPEX Cost]]</f>
        <v>1259.3482901647531</v>
      </c>
      <c r="R23" s="7">
        <f>Table3[[#This Row],[asdfa]]-Table3[[#This Row],[2022 total cost]]</f>
        <v>0</v>
      </c>
    </row>
    <row r="24" spans="1:25" x14ac:dyDescent="0.25">
      <c r="A24" s="1">
        <v>22</v>
      </c>
      <c r="B24" t="s">
        <v>40</v>
      </c>
      <c r="C24">
        <v>96</v>
      </c>
      <c r="D24">
        <v>49.140082999999997</v>
      </c>
      <c r="E24">
        <f>VLOOKUP(Table3[[#This Row],[Pipe_name]],Table2[[Pipe_name]:[Original_Diameter]],2,FALSE)</f>
        <v>96</v>
      </c>
      <c r="F24">
        <f>VLOOKUP(Table3[[#This Row],[Pipe_name]],Table2[[Pipe_name]:[Length]],3,FALSE)</f>
        <v>49.140082999999997</v>
      </c>
      <c r="G24" t="s">
        <v>331</v>
      </c>
      <c r="H24" t="str">
        <f>IF(Table3[[#This Row],[2043 Diameter]]=Table3[[#This Row],[2022 Diameter]],"No","Yes")</f>
        <v>No</v>
      </c>
      <c r="I24" t="str">
        <f>IF(Table3[[#This Row],[2043 Length]]=Table3[[#This Row],[2022 length]],"No","Yes")</f>
        <v>No</v>
      </c>
      <c r="J24" s="8">
        <f>VLOOKUP(Table3[[#This Row],[2043 Diameter]],[1]Pipes!$A:$B,2,FALSE)</f>
        <v>362.58707029616613</v>
      </c>
      <c r="K24" s="8">
        <f>VLOOKUP(Table3[[#This Row],[2022 Diameter]],[1]Pipes!$A:$B,2,FALSE)</f>
        <v>362.58707029616613</v>
      </c>
      <c r="L24" s="8">
        <f>IF(OR(IFERROR(Table3[[#This Row],[Diameter Change?]]="Yes","Yes"),Table3[[#This Row],[Pipe Added?]]="Yes"),Table3[[#This Row],[2043 Pipeline unit cost]]*Table3[[#This Row],[2043 Length]],0)</f>
        <v>0</v>
      </c>
      <c r="M24" s="2">
        <f>VLOOKUP(Table3[[#This Row],[Pipe_name]],[2]!Table1[[id3]:[Cost]],8,FALSE)</f>
        <v>0</v>
      </c>
      <c r="N24" s="2">
        <f>IFERROR(Table3[[#This Row],[2022 length]]*Table3[[#This Row],[2022 Pipeline unit cost]],0)</f>
        <v>17817.558729080436</v>
      </c>
      <c r="O24" s="2">
        <f>Table3[[#This Row],[2043 Length]]*Table3[[#This Row],[2043 Pipeline unit cost]]</f>
        <v>17817.558729080436</v>
      </c>
      <c r="P24" s="2">
        <f>MATCH(Table3[[#This Row],[Pipe_name]],'2022 pipes'!B:B,0)</f>
        <v>24</v>
      </c>
      <c r="Q24" s="2">
        <f>Table3[[#This Row],[2043 pipes]]-Table3[[#This Row],[Master Plan CAPEX Cost]]</f>
        <v>17817.558729080436</v>
      </c>
      <c r="R24" s="7">
        <f>Table3[[#This Row],[asdfa]]-Table3[[#This Row],[2022 total cost]]</f>
        <v>0</v>
      </c>
      <c r="V24" t="s">
        <v>31</v>
      </c>
      <c r="W24">
        <f>VLOOKUP(V24,Table3[[Pipe_name]:[Check DL Cost]],11,FALSE)</f>
        <v>16444.112226881509</v>
      </c>
    </row>
    <row r="25" spans="1:25" x14ac:dyDescent="0.25">
      <c r="A25" s="1">
        <v>23</v>
      </c>
      <c r="B25" t="s">
        <v>41</v>
      </c>
      <c r="C25">
        <v>96</v>
      </c>
      <c r="D25">
        <v>3.7690610000000002</v>
      </c>
      <c r="E25">
        <f>VLOOKUP(Table3[[#This Row],[Pipe_name]],Table2[[Pipe_name]:[Original_Diameter]],2,FALSE)</f>
        <v>96</v>
      </c>
      <c r="F25">
        <f>VLOOKUP(Table3[[#This Row],[Pipe_name]],Table2[[Pipe_name]:[Length]],3,FALSE)</f>
        <v>3.7690610000000002</v>
      </c>
      <c r="G25" t="s">
        <v>331</v>
      </c>
      <c r="H25" t="str">
        <f>IF(Table3[[#This Row],[2043 Diameter]]=Table3[[#This Row],[2022 Diameter]],"No","Yes")</f>
        <v>No</v>
      </c>
      <c r="I25" t="str">
        <f>IF(Table3[[#This Row],[2043 Length]]=Table3[[#This Row],[2022 length]],"No","Yes")</f>
        <v>No</v>
      </c>
      <c r="J25" s="8">
        <f>VLOOKUP(Table3[[#This Row],[2043 Diameter]],[1]Pipes!$A:$B,2,FALSE)</f>
        <v>362.58707029616613</v>
      </c>
      <c r="K25" s="8">
        <f>VLOOKUP(Table3[[#This Row],[2022 Diameter]],[1]Pipes!$A:$B,2,FALSE)</f>
        <v>362.58707029616613</v>
      </c>
      <c r="L25" s="8">
        <f>IF(OR(IFERROR(Table3[[#This Row],[Diameter Change?]]="Yes","Yes"),Table3[[#This Row],[Pipe Added?]]="Yes"),Table3[[#This Row],[2043 Pipeline unit cost]]*Table3[[#This Row],[2043 Length]],0)</f>
        <v>0</v>
      </c>
      <c r="M25" s="2">
        <f>VLOOKUP(Table3[[#This Row],[Pipe_name]],[2]!Table1[[id3]:[Cost]],8,FALSE)</f>
        <v>0</v>
      </c>
      <c r="N25" s="2">
        <f>IFERROR(Table3[[#This Row],[2022 length]]*Table3[[#This Row],[2022 Pipeline unit cost]],0)</f>
        <v>1366.6127857575384</v>
      </c>
      <c r="O25" s="2">
        <f>Table3[[#This Row],[2043 Length]]*Table3[[#This Row],[2043 Pipeline unit cost]]</f>
        <v>1366.6127857575384</v>
      </c>
      <c r="P25" s="2">
        <f>MATCH(Table3[[#This Row],[Pipe_name]],'2022 pipes'!B:B,0)</f>
        <v>25</v>
      </c>
      <c r="Q25" s="2">
        <f>Table3[[#This Row],[2043 pipes]]-Table3[[#This Row],[Master Plan CAPEX Cost]]</f>
        <v>1366.6127857575384</v>
      </c>
      <c r="R25" s="7">
        <f>Table3[[#This Row],[asdfa]]-Table3[[#This Row],[2022 total cost]]</f>
        <v>0</v>
      </c>
      <c r="V25" t="s">
        <v>300</v>
      </c>
      <c r="W25">
        <f>VLOOKUP(V25,Table3[[Pipe_name]:[Check DL Cost]],11,FALSE)</f>
        <v>42628.105853108747</v>
      </c>
    </row>
    <row r="26" spans="1:25" x14ac:dyDescent="0.25">
      <c r="A26" s="1">
        <v>24</v>
      </c>
      <c r="B26" t="s">
        <v>42</v>
      </c>
      <c r="C26">
        <v>96</v>
      </c>
      <c r="D26">
        <v>5.1636509999999998</v>
      </c>
      <c r="E26">
        <f>VLOOKUP(Table3[[#This Row],[Pipe_name]],Table2[[Pipe_name]:[Original_Diameter]],2,FALSE)</f>
        <v>96</v>
      </c>
      <c r="F26">
        <f>VLOOKUP(Table3[[#This Row],[Pipe_name]],Table2[[Pipe_name]:[Length]],3,FALSE)</f>
        <v>5.1636509999999998</v>
      </c>
      <c r="G26" t="s">
        <v>331</v>
      </c>
      <c r="H26" t="str">
        <f>IF(Table3[[#This Row],[2043 Diameter]]=Table3[[#This Row],[2022 Diameter]],"No","Yes")</f>
        <v>No</v>
      </c>
      <c r="I26" t="str">
        <f>IF(Table3[[#This Row],[2043 Length]]=Table3[[#This Row],[2022 length]],"No","Yes")</f>
        <v>No</v>
      </c>
      <c r="J26" s="8">
        <f>VLOOKUP(Table3[[#This Row],[2043 Diameter]],[1]Pipes!$A:$B,2,FALSE)</f>
        <v>362.58707029616613</v>
      </c>
      <c r="K26" s="8">
        <f>VLOOKUP(Table3[[#This Row],[2022 Diameter]],[1]Pipes!$A:$B,2,FALSE)</f>
        <v>362.58707029616613</v>
      </c>
      <c r="L26" s="8">
        <f>IF(OR(IFERROR(Table3[[#This Row],[Diameter Change?]]="Yes","Yes"),Table3[[#This Row],[Pipe Added?]]="Yes"),Table3[[#This Row],[2043 Pipeline unit cost]]*Table3[[#This Row],[2043 Length]],0)</f>
        <v>0</v>
      </c>
      <c r="M26" s="2">
        <f>VLOOKUP(Table3[[#This Row],[Pipe_name]],[2]!Table1[[id3]:[Cost]],8,FALSE)</f>
        <v>0</v>
      </c>
      <c r="N26" s="2">
        <f>IFERROR(Table3[[#This Row],[2022 length]]*Table3[[#This Row],[2022 Pipeline unit cost]],0)</f>
        <v>1872.2730881218686</v>
      </c>
      <c r="O26" s="2">
        <f>Table3[[#This Row],[2043 Length]]*Table3[[#This Row],[2043 Pipeline unit cost]]</f>
        <v>1872.2730881218686</v>
      </c>
      <c r="P26" s="2">
        <f>MATCH(Table3[[#This Row],[Pipe_name]],'2022 pipes'!B:B,0)</f>
        <v>26</v>
      </c>
      <c r="Q26" s="2">
        <f>Table3[[#This Row],[2043 pipes]]-Table3[[#This Row],[Master Plan CAPEX Cost]]</f>
        <v>1872.2730881218686</v>
      </c>
      <c r="R26" s="7">
        <f>Table3[[#This Row],[asdfa]]-Table3[[#This Row],[2022 total cost]]</f>
        <v>0</v>
      </c>
      <c r="V26" t="s">
        <v>71</v>
      </c>
      <c r="W26">
        <f>VLOOKUP(V26,Table3[[Pipe_name]:[Check DL Cost]],11,FALSE)</f>
        <v>37063.203248230922</v>
      </c>
    </row>
    <row r="27" spans="1:25" x14ac:dyDescent="0.25">
      <c r="A27" s="1">
        <v>25</v>
      </c>
      <c r="B27" t="s">
        <v>43</v>
      </c>
      <c r="C27">
        <v>101</v>
      </c>
      <c r="D27">
        <v>3.301901</v>
      </c>
      <c r="E27">
        <f>VLOOKUP(Table3[[#This Row],[Pipe_name]],Table2[[Pipe_name]:[Original_Diameter]],2,FALSE)</f>
        <v>101</v>
      </c>
      <c r="F27">
        <f>VLOOKUP(Table3[[#This Row],[Pipe_name]],Table2[[Pipe_name]:[Length]],3,FALSE)</f>
        <v>3.301901</v>
      </c>
      <c r="G27" t="s">
        <v>331</v>
      </c>
      <c r="H27" t="str">
        <f>IF(Table3[[#This Row],[2043 Diameter]]=Table3[[#This Row],[2022 Diameter]],"No","Yes")</f>
        <v>No</v>
      </c>
      <c r="I27" t="str">
        <f>IF(Table3[[#This Row],[2043 Length]]=Table3[[#This Row],[2022 length]],"No","Yes")</f>
        <v>No</v>
      </c>
      <c r="J27" s="8">
        <f>VLOOKUP(Table3[[#This Row],[2043 Diameter]],[1]Pipes!$A:$B,2,FALSE)</f>
        <v>362.58707029616613</v>
      </c>
      <c r="K27" s="8">
        <f>VLOOKUP(Table3[[#This Row],[2022 Diameter]],[1]Pipes!$A:$B,2,FALSE)</f>
        <v>362.58707029616613</v>
      </c>
      <c r="L27" s="8">
        <f>IF(OR(IFERROR(Table3[[#This Row],[Diameter Change?]]="Yes","Yes"),Table3[[#This Row],[Pipe Added?]]="Yes"),Table3[[#This Row],[2043 Pipeline unit cost]]*Table3[[#This Row],[2043 Length]],0)</f>
        <v>0</v>
      </c>
      <c r="M27" s="2">
        <f>VLOOKUP(Table3[[#This Row],[Pipe_name]],[2]!Table1[[id3]:[Cost]],8,FALSE)</f>
        <v>0</v>
      </c>
      <c r="N27" s="2">
        <f>IFERROR(Table3[[#This Row],[2022 length]]*Table3[[#This Row],[2022 Pipeline unit cost]],0)</f>
        <v>1197.2266099979813</v>
      </c>
      <c r="O27" s="2">
        <f>Table3[[#This Row],[2043 Length]]*Table3[[#This Row],[2043 Pipeline unit cost]]</f>
        <v>1197.2266099979813</v>
      </c>
      <c r="P27" s="2">
        <f>MATCH(Table3[[#This Row],[Pipe_name]],'2022 pipes'!B:B,0)</f>
        <v>27</v>
      </c>
      <c r="Q27" s="2">
        <f>Table3[[#This Row],[2043 pipes]]-Table3[[#This Row],[Master Plan CAPEX Cost]]</f>
        <v>1197.2266099979813</v>
      </c>
      <c r="R27" s="7">
        <f>Table3[[#This Row],[asdfa]]-Table3[[#This Row],[2022 total cost]]</f>
        <v>0</v>
      </c>
      <c r="V27" t="s">
        <v>77</v>
      </c>
      <c r="W27">
        <f>VLOOKUP(V27,Table3[[Pipe_name]:[Check DL Cost]],11,FALSE)</f>
        <v>14511.266327394327</v>
      </c>
    </row>
    <row r="28" spans="1:25" x14ac:dyDescent="0.25">
      <c r="A28" s="1">
        <v>26</v>
      </c>
      <c r="B28" t="s">
        <v>44</v>
      </c>
      <c r="C28">
        <v>101</v>
      </c>
      <c r="D28">
        <v>6.4877750000000001</v>
      </c>
      <c r="E28">
        <f>VLOOKUP(Table3[[#This Row],[Pipe_name]],Table2[[Pipe_name]:[Original_Diameter]],2,FALSE)</f>
        <v>101</v>
      </c>
      <c r="F28">
        <f>VLOOKUP(Table3[[#This Row],[Pipe_name]],Table2[[Pipe_name]:[Length]],3,FALSE)</f>
        <v>6.4877750000000001</v>
      </c>
      <c r="G28" t="s">
        <v>331</v>
      </c>
      <c r="H28" t="str">
        <f>IF(Table3[[#This Row],[2043 Diameter]]=Table3[[#This Row],[2022 Diameter]],"No","Yes")</f>
        <v>No</v>
      </c>
      <c r="I28" t="str">
        <f>IF(Table3[[#This Row],[2043 Length]]=Table3[[#This Row],[2022 length]],"No","Yes")</f>
        <v>No</v>
      </c>
      <c r="J28" s="8">
        <f>VLOOKUP(Table3[[#This Row],[2043 Diameter]],[1]Pipes!$A:$B,2,FALSE)</f>
        <v>362.58707029616613</v>
      </c>
      <c r="K28" s="8">
        <f>VLOOKUP(Table3[[#This Row],[2022 Diameter]],[1]Pipes!$A:$B,2,FALSE)</f>
        <v>362.58707029616613</v>
      </c>
      <c r="L28" s="8">
        <f>IF(OR(IFERROR(Table3[[#This Row],[Diameter Change?]]="Yes","Yes"),Table3[[#This Row],[Pipe Added?]]="Yes"),Table3[[#This Row],[2043 Pipeline unit cost]]*Table3[[#This Row],[2043 Length]],0)</f>
        <v>0</v>
      </c>
      <c r="M28" s="2">
        <f>VLOOKUP(Table3[[#This Row],[Pipe_name]],[2]!Table1[[id3]:[Cost]],8,FALSE)</f>
        <v>0</v>
      </c>
      <c r="N28" s="2">
        <f>IFERROR(Table3[[#This Row],[2022 length]]*Table3[[#This Row],[2022 Pipeline unit cost]],0)</f>
        <v>2352.3833299907092</v>
      </c>
      <c r="O28" s="2">
        <f>Table3[[#This Row],[2043 Length]]*Table3[[#This Row],[2043 Pipeline unit cost]]</f>
        <v>2352.3833299907092</v>
      </c>
      <c r="P28" s="2">
        <f>MATCH(Table3[[#This Row],[Pipe_name]],'2022 pipes'!B:B,0)</f>
        <v>28</v>
      </c>
      <c r="Q28" s="2">
        <f>Table3[[#This Row],[2043 pipes]]-Table3[[#This Row],[Master Plan CAPEX Cost]]</f>
        <v>2352.3833299907092</v>
      </c>
      <c r="R28" s="7">
        <f>Table3[[#This Row],[asdfa]]-Table3[[#This Row],[2022 total cost]]</f>
        <v>0</v>
      </c>
      <c r="V28" t="s">
        <v>91</v>
      </c>
      <c r="W28">
        <f>VLOOKUP(V28,Table3[[Pipe_name]:[Check DL Cost]],11,FALSE)</f>
        <v>2002.6042307500593</v>
      </c>
    </row>
    <row r="29" spans="1:25" x14ac:dyDescent="0.25">
      <c r="A29" s="1">
        <v>27</v>
      </c>
      <c r="B29" t="s">
        <v>45</v>
      </c>
      <c r="C29">
        <v>96</v>
      </c>
      <c r="D29">
        <v>23.950811000000002</v>
      </c>
      <c r="E29">
        <f>VLOOKUP(Table3[[#This Row],[Pipe_name]],Table2[[Pipe_name]:[Original_Diameter]],2,FALSE)</f>
        <v>96</v>
      </c>
      <c r="F29">
        <f>VLOOKUP(Table3[[#This Row],[Pipe_name]],Table2[[Pipe_name]:[Length]],3,FALSE)</f>
        <v>23.950811000000002</v>
      </c>
      <c r="G29" t="s">
        <v>331</v>
      </c>
      <c r="H29" t="str">
        <f>IF(Table3[[#This Row],[2043 Diameter]]=Table3[[#This Row],[2022 Diameter]],"No","Yes")</f>
        <v>No</v>
      </c>
      <c r="I29" t="str">
        <f>IF(Table3[[#This Row],[2043 Length]]=Table3[[#This Row],[2022 length]],"No","Yes")</f>
        <v>No</v>
      </c>
      <c r="J29" s="8">
        <f>VLOOKUP(Table3[[#This Row],[2043 Diameter]],[1]Pipes!$A:$B,2,FALSE)</f>
        <v>362.58707029616613</v>
      </c>
      <c r="K29" s="8">
        <f>VLOOKUP(Table3[[#This Row],[2022 Diameter]],[1]Pipes!$A:$B,2,FALSE)</f>
        <v>362.58707029616613</v>
      </c>
      <c r="L29" s="8">
        <f>IF(OR(IFERROR(Table3[[#This Row],[Diameter Change?]]="Yes","Yes"),Table3[[#This Row],[Pipe Added?]]="Yes"),Table3[[#This Row],[2043 Pipeline unit cost]]*Table3[[#This Row],[2043 Length]],0)</f>
        <v>0</v>
      </c>
      <c r="M29" s="2">
        <f>VLOOKUP(Table3[[#This Row],[Pipe_name]],[2]!Table1[[id3]:[Cost]],8,FALSE)</f>
        <v>0</v>
      </c>
      <c r="N29" s="2">
        <f>IFERROR(Table3[[#This Row],[2022 length]]*Table3[[#This Row],[2022 Pipeline unit cost]],0)</f>
        <v>8684.2543917071889</v>
      </c>
      <c r="O29" s="2">
        <f>Table3[[#This Row],[2043 Length]]*Table3[[#This Row],[2043 Pipeline unit cost]]</f>
        <v>8684.2543917071889</v>
      </c>
      <c r="P29" s="2">
        <f>MATCH(Table3[[#This Row],[Pipe_name]],'2022 pipes'!B:B,0)</f>
        <v>29</v>
      </c>
      <c r="Q29" s="2">
        <f>Table3[[#This Row],[2043 pipes]]-Table3[[#This Row],[Master Plan CAPEX Cost]]</f>
        <v>8684.2543917071889</v>
      </c>
      <c r="R29" s="7">
        <f>Table3[[#This Row],[asdfa]]-Table3[[#This Row],[2022 total cost]]</f>
        <v>0</v>
      </c>
      <c r="V29" t="s">
        <v>301</v>
      </c>
      <c r="W29">
        <f>VLOOKUP(V29,Table3[[Pipe_name]:[Check DL Cost]],11,FALSE)</f>
        <v>3809.0184568058148</v>
      </c>
    </row>
    <row r="30" spans="1:25" x14ac:dyDescent="0.25">
      <c r="A30" s="1">
        <v>28</v>
      </c>
      <c r="B30" t="s">
        <v>283</v>
      </c>
      <c r="C30">
        <v>96</v>
      </c>
      <c r="D30">
        <v>23.552605</v>
      </c>
      <c r="E30">
        <f>VLOOKUP(Table3[[#This Row],[Pipe_name]],Table2[[Pipe_name]:[Original_Diameter]],2,FALSE)</f>
        <v>96</v>
      </c>
      <c r="F30">
        <f>VLOOKUP(Table3[[#This Row],[Pipe_name]],Table2[[Pipe_name]:[Length]],3,FALSE)</f>
        <v>23.552605</v>
      </c>
      <c r="G30" t="s">
        <v>331</v>
      </c>
      <c r="H30" t="str">
        <f>IF(Table3[[#This Row],[2043 Diameter]]=Table3[[#This Row],[2022 Diameter]],"No","Yes")</f>
        <v>No</v>
      </c>
      <c r="I30" t="str">
        <f>IF(Table3[[#This Row],[2043 Length]]=Table3[[#This Row],[2022 length]],"No","Yes")</f>
        <v>No</v>
      </c>
      <c r="J30" s="8">
        <f>VLOOKUP(Table3[[#This Row],[2043 Diameter]],[1]Pipes!$A:$B,2,FALSE)</f>
        <v>362.58707029616613</v>
      </c>
      <c r="K30" s="8">
        <f>VLOOKUP(Table3[[#This Row],[2022 Diameter]],[1]Pipes!$A:$B,2,FALSE)</f>
        <v>362.58707029616613</v>
      </c>
      <c r="L30" s="8">
        <f>IF(OR(IFERROR(Table3[[#This Row],[Diameter Change?]]="Yes","Yes"),Table3[[#This Row],[Pipe Added?]]="Yes"),Table3[[#This Row],[2043 Pipeline unit cost]]*Table3[[#This Row],[2043 Length]],0)</f>
        <v>0</v>
      </c>
      <c r="M30" s="2">
        <f>VLOOKUP(Table3[[#This Row],[Pipe_name]],[2]!Table1[[id3]:[Cost]],8,FALSE)</f>
        <v>0</v>
      </c>
      <c r="N30" s="2">
        <f>IFERROR(Table3[[#This Row],[2022 length]]*Table3[[#This Row],[2022 Pipeline unit cost]],0)</f>
        <v>8539.8700447928331</v>
      </c>
      <c r="O30" s="2">
        <f>Table3[[#This Row],[2043 Length]]*Table3[[#This Row],[2043 Pipeline unit cost]]</f>
        <v>8539.8700447928331</v>
      </c>
      <c r="P30" s="2">
        <f>MATCH(Table3[[#This Row],[Pipe_name]],'2022 pipes'!B:B,0)</f>
        <v>30</v>
      </c>
      <c r="Q30" s="2">
        <f>Table3[[#This Row],[2043 pipes]]-Table3[[#This Row],[Master Plan CAPEX Cost]]</f>
        <v>8539.8700447928331</v>
      </c>
      <c r="R30" s="7">
        <f>Table3[[#This Row],[asdfa]]-Table3[[#This Row],[2022 total cost]]</f>
        <v>0</v>
      </c>
      <c r="V30" t="s">
        <v>108</v>
      </c>
      <c r="W30">
        <f>VLOOKUP(V30,Table3[[Pipe_name]:[Check DL Cost]],11,FALSE)</f>
        <v>157635.98308944333</v>
      </c>
    </row>
    <row r="31" spans="1:25" x14ac:dyDescent="0.25">
      <c r="A31" s="1">
        <v>29</v>
      </c>
      <c r="B31" t="s">
        <v>46</v>
      </c>
      <c r="C31">
        <v>96</v>
      </c>
      <c r="D31">
        <v>119.417725</v>
      </c>
      <c r="E31">
        <f>VLOOKUP(Table3[[#This Row],[Pipe_name]],Table2[[Pipe_name]:[Original_Diameter]],2,FALSE)</f>
        <v>96</v>
      </c>
      <c r="F31">
        <f>VLOOKUP(Table3[[#This Row],[Pipe_name]],Table2[[Pipe_name]:[Length]],3,FALSE)</f>
        <v>119.417725</v>
      </c>
      <c r="G31" t="s">
        <v>331</v>
      </c>
      <c r="H31" t="str">
        <f>IF(Table3[[#This Row],[2043 Diameter]]=Table3[[#This Row],[2022 Diameter]],"No","Yes")</f>
        <v>No</v>
      </c>
      <c r="I31" t="str">
        <f>IF(Table3[[#This Row],[2043 Length]]=Table3[[#This Row],[2022 length]],"No","Yes")</f>
        <v>No</v>
      </c>
      <c r="J31" s="8">
        <f>VLOOKUP(Table3[[#This Row],[2043 Diameter]],[1]Pipes!$A:$B,2,FALSE)</f>
        <v>362.58707029616613</v>
      </c>
      <c r="K31" s="8">
        <f>VLOOKUP(Table3[[#This Row],[2022 Diameter]],[1]Pipes!$A:$B,2,FALSE)</f>
        <v>362.58707029616613</v>
      </c>
      <c r="L31" s="8">
        <f>IF(OR(IFERROR(Table3[[#This Row],[Diameter Change?]]="Yes","Yes"),Table3[[#This Row],[Pipe Added?]]="Yes"),Table3[[#This Row],[2043 Pipeline unit cost]]*Table3[[#This Row],[2043 Length]],0)</f>
        <v>0</v>
      </c>
      <c r="M31" s="2">
        <f>VLOOKUP(Table3[[#This Row],[Pipe_name]],[2]!Table1[[id3]:[Cost]],8,FALSE)</f>
        <v>0</v>
      </c>
      <c r="N31" s="2">
        <f>IFERROR(Table3[[#This Row],[2022 length]]*Table3[[#This Row],[2022 Pipeline unit cost]],0)</f>
        <v>43299.323049183236</v>
      </c>
      <c r="O31" s="2">
        <f>Table3[[#This Row],[2043 Length]]*Table3[[#This Row],[2043 Pipeline unit cost]]</f>
        <v>43299.323049183236</v>
      </c>
      <c r="P31" s="2">
        <f>MATCH(Table3[[#This Row],[Pipe_name]],'2022 pipes'!B:B,0)</f>
        <v>31</v>
      </c>
      <c r="Q31" s="2">
        <f>Table3[[#This Row],[2043 pipes]]-Table3[[#This Row],[Master Plan CAPEX Cost]]</f>
        <v>43299.323049183236</v>
      </c>
      <c r="R31" s="7">
        <f>Table3[[#This Row],[asdfa]]-Table3[[#This Row],[2022 total cost]]</f>
        <v>0</v>
      </c>
      <c r="V31" t="s">
        <v>110</v>
      </c>
      <c r="W31">
        <f>VLOOKUP(V31,Table3[[Pipe_name]:[Check DL Cost]],11,FALSE)</f>
        <v>2294.2351687064793</v>
      </c>
    </row>
    <row r="32" spans="1:25" x14ac:dyDescent="0.25">
      <c r="A32" s="1">
        <v>30</v>
      </c>
      <c r="B32" t="s">
        <v>300</v>
      </c>
      <c r="C32">
        <v>96</v>
      </c>
      <c r="D32">
        <v>117.566536</v>
      </c>
      <c r="E32" t="e">
        <f>VLOOKUP(Table3[[#This Row],[Pipe_name]],Table2[[Pipe_name]:[Original_Diameter]],2,FALSE)</f>
        <v>#N/A</v>
      </c>
      <c r="F32" t="e">
        <f>VLOOKUP(Table3[[#This Row],[Pipe_name]],Table2[[Pipe_name]:[Length]],3,FALSE)</f>
        <v>#N/A</v>
      </c>
      <c r="G32" t="s">
        <v>330</v>
      </c>
      <c r="H32" t="e">
        <f>IF(Table3[[#This Row],[2043 Diameter]]=Table3[[#This Row],[2022 Diameter]],"No","Yes")</f>
        <v>#N/A</v>
      </c>
      <c r="I32" t="e">
        <f>IF(Table3[[#This Row],[2043 Length]]=Table3[[#This Row],[2022 length]],"No","Yes")</f>
        <v>#N/A</v>
      </c>
      <c r="J32" s="8">
        <f>VLOOKUP(Table3[[#This Row],[2043 Diameter]],[1]Pipes!$A:$B,2,FALSE)</f>
        <v>362.58707029616613</v>
      </c>
      <c r="K32" s="8" t="e">
        <f>VLOOKUP(Table3[[#This Row],[2022 Diameter]],[1]Pipes!$A:$B,2,FALSE)</f>
        <v>#N/A</v>
      </c>
      <c r="L32" s="8">
        <f>IF(OR(IFERROR(Table3[[#This Row],[Diameter Change?]]="Yes","Yes"),Table3[[#This Row],[Pipe Added?]]="Yes"),Table3[[#This Row],[2043 Pipeline unit cost]]*Table3[[#This Row],[2043 Length]],0)</f>
        <v>42628.105853108747</v>
      </c>
      <c r="M32" s="2">
        <f>VLOOKUP(Table3[[#This Row],[Pipe_name]],[2]!Table1[[id3]:[Cost]],8,FALSE)</f>
        <v>42627.911506439072</v>
      </c>
      <c r="N32" s="2">
        <f>IFERROR(Table3[[#This Row],[2022 length]]*Table3[[#This Row],[2022 Pipeline unit cost]],0)</f>
        <v>0</v>
      </c>
      <c r="O32" s="2">
        <f>Table3[[#This Row],[2043 Length]]*Table3[[#This Row],[2043 Pipeline unit cost]]</f>
        <v>42628.105853108747</v>
      </c>
      <c r="P32" s="2" t="e">
        <f>MATCH(Table3[[#This Row],[Pipe_name]],'2022 pipes'!B:B,0)</f>
        <v>#N/A</v>
      </c>
      <c r="Q32" s="2">
        <f>Table3[[#This Row],[2043 pipes]]-Table3[[#This Row],[Master Plan CAPEX Cost]]</f>
        <v>0</v>
      </c>
      <c r="R32" s="7">
        <f>Table3[[#This Row],[asdfa]]-Table3[[#This Row],[2022 total cost]]</f>
        <v>0</v>
      </c>
      <c r="V32" t="s">
        <v>111</v>
      </c>
      <c r="W32">
        <f>VLOOKUP(V32,Table3[[Pipe_name]:[Check DL Cost]],11,FALSE)</f>
        <v>77430.07496171727</v>
      </c>
    </row>
    <row r="33" spans="1:23" x14ac:dyDescent="0.25">
      <c r="A33" s="1">
        <v>31</v>
      </c>
      <c r="B33" t="s">
        <v>48</v>
      </c>
      <c r="C33">
        <v>200</v>
      </c>
      <c r="D33">
        <v>67.852958999999998</v>
      </c>
      <c r="E33">
        <f>VLOOKUP(Table3[[#This Row],[Pipe_name]],Table2[[Pipe_name]:[Original_Diameter]],2,FALSE)</f>
        <v>200</v>
      </c>
      <c r="F33">
        <f>VLOOKUP(Table3[[#This Row],[Pipe_name]],Table2[[Pipe_name]:[Length]],3,FALSE)</f>
        <v>67.852958999999998</v>
      </c>
      <c r="G33" t="s">
        <v>331</v>
      </c>
      <c r="H33" t="str">
        <f>IF(Table3[[#This Row],[2043 Diameter]]=Table3[[#This Row],[2022 Diameter]],"No","Yes")</f>
        <v>No</v>
      </c>
      <c r="I33" t="str">
        <f>IF(Table3[[#This Row],[2043 Length]]=Table3[[#This Row],[2022 length]],"No","Yes")</f>
        <v>No</v>
      </c>
      <c r="J33" s="8">
        <f>VLOOKUP(Table3[[#This Row],[2043 Diameter]],[1]Pipes!$A:$B,2,FALSE)</f>
        <v>546.15625651305356</v>
      </c>
      <c r="K33" s="8">
        <f>VLOOKUP(Table3[[#This Row],[2022 Diameter]],[1]Pipes!$A:$B,2,FALSE)</f>
        <v>546.15625651305356</v>
      </c>
      <c r="L33" s="8">
        <f>IF(OR(IFERROR(Table3[[#This Row],[Diameter Change?]]="Yes","Yes"),Table3[[#This Row],[Pipe Added?]]="Yes"),Table3[[#This Row],[2043 Pipeline unit cost]]*Table3[[#This Row],[2043 Length]],0)</f>
        <v>0</v>
      </c>
      <c r="M33" s="2">
        <f>VLOOKUP(Table3[[#This Row],[Pipe_name]],[2]!Table1[[id3]:[Cost]],8,FALSE)</f>
        <v>0</v>
      </c>
      <c r="N33" s="2">
        <f>IFERROR(Table3[[#This Row],[2022 length]]*Table3[[#This Row],[2022 Pipeline unit cost]],0)</f>
        <v>37058.318080773708</v>
      </c>
      <c r="O33" s="2">
        <f>Table3[[#This Row],[2043 Length]]*Table3[[#This Row],[2043 Pipeline unit cost]]</f>
        <v>37058.318080773708</v>
      </c>
      <c r="P33" s="2">
        <f>MATCH(Table3[[#This Row],[Pipe_name]],'2022 pipes'!B:B,0)</f>
        <v>33</v>
      </c>
      <c r="Q33" s="2">
        <f>Table3[[#This Row],[2043 pipes]]-Table3[[#This Row],[Master Plan CAPEX Cost]]</f>
        <v>37058.318080773708</v>
      </c>
      <c r="R33" s="7">
        <f>Table3[[#This Row],[asdfa]]-Table3[[#This Row],[2022 total cost]]</f>
        <v>0</v>
      </c>
      <c r="V33" t="s">
        <v>112</v>
      </c>
      <c r="W33">
        <f>VLOOKUP(V33,Table3[[Pipe_name]:[Check DL Cost]],11,FALSE)</f>
        <v>228824.53981572087</v>
      </c>
    </row>
    <row r="34" spans="1:23" x14ac:dyDescent="0.25">
      <c r="A34" s="1">
        <v>32</v>
      </c>
      <c r="B34" t="s">
        <v>49</v>
      </c>
      <c r="C34">
        <v>200</v>
      </c>
      <c r="D34">
        <v>82.356407000000004</v>
      </c>
      <c r="E34">
        <f>VLOOKUP(Table3[[#This Row],[Pipe_name]],Table2[[Pipe_name]:[Original_Diameter]],2,FALSE)</f>
        <v>200</v>
      </c>
      <c r="F34">
        <f>VLOOKUP(Table3[[#This Row],[Pipe_name]],Table2[[Pipe_name]:[Length]],3,FALSE)</f>
        <v>82.356407000000004</v>
      </c>
      <c r="G34" t="s">
        <v>331</v>
      </c>
      <c r="H34" t="str">
        <f>IF(Table3[[#This Row],[2043 Diameter]]=Table3[[#This Row],[2022 Diameter]],"No","Yes")</f>
        <v>No</v>
      </c>
      <c r="I34" t="str">
        <f>IF(Table3[[#This Row],[2043 Length]]=Table3[[#This Row],[2022 length]],"No","Yes")</f>
        <v>No</v>
      </c>
      <c r="J34" s="8">
        <f>VLOOKUP(Table3[[#This Row],[2043 Diameter]],[1]Pipes!$A:$B,2,FALSE)</f>
        <v>546.15625651305356</v>
      </c>
      <c r="K34" s="8">
        <f>VLOOKUP(Table3[[#This Row],[2022 Diameter]],[1]Pipes!$A:$B,2,FALSE)</f>
        <v>546.15625651305356</v>
      </c>
      <c r="L34" s="8">
        <f>IF(OR(IFERROR(Table3[[#This Row],[Diameter Change?]]="Yes","Yes"),Table3[[#This Row],[Pipe Added?]]="Yes"),Table3[[#This Row],[2043 Pipeline unit cost]]*Table3[[#This Row],[2043 Length]],0)</f>
        <v>0</v>
      </c>
      <c r="M34" s="2">
        <f>VLOOKUP(Table3[[#This Row],[Pipe_name]],[2]!Table1[[id3]:[Cost]],8,FALSE)</f>
        <v>0</v>
      </c>
      <c r="N34" s="2">
        <f>IFERROR(Table3[[#This Row],[2022 length]]*Table3[[#This Row],[2022 Pipeline unit cost]],0)</f>
        <v>44979.466946985442</v>
      </c>
      <c r="O34" s="2">
        <f>Table3[[#This Row],[2043 Length]]*Table3[[#This Row],[2043 Pipeline unit cost]]</f>
        <v>44979.466946985442</v>
      </c>
      <c r="P34" s="2">
        <f>MATCH(Table3[[#This Row],[Pipe_name]],'2022 pipes'!B:B,0)</f>
        <v>34</v>
      </c>
      <c r="Q34" s="2">
        <f>Table3[[#This Row],[2043 pipes]]-Table3[[#This Row],[Master Plan CAPEX Cost]]</f>
        <v>44979.466946985442</v>
      </c>
      <c r="R34" s="7">
        <f>Table3[[#This Row],[asdfa]]-Table3[[#This Row],[2022 total cost]]</f>
        <v>0</v>
      </c>
      <c r="V34" t="s">
        <v>115</v>
      </c>
      <c r="W34">
        <f>VLOOKUP(V34,Table3[[Pipe_name]:[Check DL Cost]],11,FALSE)</f>
        <v>7111.6557244333198</v>
      </c>
    </row>
    <row r="35" spans="1:23" x14ac:dyDescent="0.25">
      <c r="A35" s="1">
        <v>33</v>
      </c>
      <c r="B35" t="s">
        <v>50</v>
      </c>
      <c r="C35">
        <v>96</v>
      </c>
      <c r="D35">
        <v>13.533874000000001</v>
      </c>
      <c r="E35">
        <f>VLOOKUP(Table3[[#This Row],[Pipe_name]],Table2[[Pipe_name]:[Original_Diameter]],2,FALSE)</f>
        <v>96</v>
      </c>
      <c r="F35">
        <f>VLOOKUP(Table3[[#This Row],[Pipe_name]],Table2[[Pipe_name]:[Length]],3,FALSE)</f>
        <v>13.533874000000001</v>
      </c>
      <c r="G35" t="s">
        <v>331</v>
      </c>
      <c r="H35" t="str">
        <f>IF(Table3[[#This Row],[2043 Diameter]]=Table3[[#This Row],[2022 Diameter]],"No","Yes")</f>
        <v>No</v>
      </c>
      <c r="I35" t="str">
        <f>IF(Table3[[#This Row],[2043 Length]]=Table3[[#This Row],[2022 length]],"No","Yes")</f>
        <v>No</v>
      </c>
      <c r="J35" s="8">
        <f>VLOOKUP(Table3[[#This Row],[2043 Diameter]],[1]Pipes!$A:$B,2,FALSE)</f>
        <v>362.58707029616613</v>
      </c>
      <c r="K35" s="8">
        <f>VLOOKUP(Table3[[#This Row],[2022 Diameter]],[1]Pipes!$A:$B,2,FALSE)</f>
        <v>362.58707029616613</v>
      </c>
      <c r="L35" s="8">
        <f>IF(OR(IFERROR(Table3[[#This Row],[Diameter Change?]]="Yes","Yes"),Table3[[#This Row],[Pipe Added?]]="Yes"),Table3[[#This Row],[2043 Pipeline unit cost]]*Table3[[#This Row],[2043 Length]],0)</f>
        <v>0</v>
      </c>
      <c r="M35" s="2">
        <f>VLOOKUP(Table3[[#This Row],[Pipe_name]],[2]!Table1[[id3]:[Cost]],8,FALSE)</f>
        <v>0</v>
      </c>
      <c r="N35" s="2">
        <f>IFERROR(Table3[[#This Row],[2022 length]]*Table3[[#This Row],[2022 Pipeline unit cost]],0)</f>
        <v>4907.2077234174558</v>
      </c>
      <c r="O35" s="2">
        <f>Table3[[#This Row],[2043 Length]]*Table3[[#This Row],[2043 Pipeline unit cost]]</f>
        <v>4907.2077234174558</v>
      </c>
      <c r="P35" s="2">
        <f>MATCH(Table3[[#This Row],[Pipe_name]],'2022 pipes'!B:B,0)</f>
        <v>35</v>
      </c>
      <c r="Q35" s="2">
        <f>Table3[[#This Row],[2043 pipes]]-Table3[[#This Row],[Master Plan CAPEX Cost]]</f>
        <v>4907.2077234174558</v>
      </c>
      <c r="R35" s="7">
        <f>Table3[[#This Row],[asdfa]]-Table3[[#This Row],[2022 total cost]]</f>
        <v>0</v>
      </c>
      <c r="V35" t="s">
        <v>149</v>
      </c>
      <c r="W35">
        <f>VLOOKUP(V35,Table3[[Pipe_name]:[Check DL Cost]],11,FALSE)</f>
        <v>37985.882012866401</v>
      </c>
    </row>
    <row r="36" spans="1:23" x14ac:dyDescent="0.25">
      <c r="A36" s="1">
        <v>34</v>
      </c>
      <c r="B36" t="s">
        <v>51</v>
      </c>
      <c r="C36">
        <v>96</v>
      </c>
      <c r="D36">
        <v>16.523541999999999</v>
      </c>
      <c r="E36">
        <f>VLOOKUP(Table3[[#This Row],[Pipe_name]],Table2[[Pipe_name]:[Original_Diameter]],2,FALSE)</f>
        <v>96</v>
      </c>
      <c r="F36">
        <f>VLOOKUP(Table3[[#This Row],[Pipe_name]],Table2[[Pipe_name]:[Length]],3,FALSE)</f>
        <v>16.523541999999999</v>
      </c>
      <c r="G36" t="s">
        <v>331</v>
      </c>
      <c r="H36" t="str">
        <f>IF(Table3[[#This Row],[2043 Diameter]]=Table3[[#This Row],[2022 Diameter]],"No","Yes")</f>
        <v>No</v>
      </c>
      <c r="I36" t="str">
        <f>IF(Table3[[#This Row],[2043 Length]]=Table3[[#This Row],[2022 length]],"No","Yes")</f>
        <v>No</v>
      </c>
      <c r="J36" s="8">
        <f>VLOOKUP(Table3[[#This Row],[2043 Diameter]],[1]Pipes!$A:$B,2,FALSE)</f>
        <v>362.58707029616613</v>
      </c>
      <c r="K36" s="8">
        <f>VLOOKUP(Table3[[#This Row],[2022 Diameter]],[1]Pipes!$A:$B,2,FALSE)</f>
        <v>362.58707029616613</v>
      </c>
      <c r="L36" s="8">
        <f>IF(OR(IFERROR(Table3[[#This Row],[Diameter Change?]]="Yes","Yes"),Table3[[#This Row],[Pipe Added?]]="Yes"),Table3[[#This Row],[2043 Pipeline unit cost]]*Table3[[#This Row],[2043 Length]],0)</f>
        <v>0</v>
      </c>
      <c r="M36" s="2">
        <f>VLOOKUP(Table3[[#This Row],[Pipe_name]],[2]!Table1[[id3]:[Cost]],8,FALSE)</f>
        <v>0</v>
      </c>
      <c r="N36" s="2">
        <f>IFERROR(Table3[[#This Row],[2022 length]]*Table3[[#This Row],[2022 Pipeline unit cost]],0)</f>
        <v>5991.2226846956528</v>
      </c>
      <c r="O36" s="2">
        <f>Table3[[#This Row],[2043 Length]]*Table3[[#This Row],[2043 Pipeline unit cost]]</f>
        <v>5991.2226846956528</v>
      </c>
      <c r="P36" s="2">
        <f>MATCH(Table3[[#This Row],[Pipe_name]],'2022 pipes'!B:B,0)</f>
        <v>36</v>
      </c>
      <c r="Q36" s="2">
        <f>Table3[[#This Row],[2043 pipes]]-Table3[[#This Row],[Master Plan CAPEX Cost]]</f>
        <v>5991.2226846956528</v>
      </c>
      <c r="R36" s="7">
        <f>Table3[[#This Row],[asdfa]]-Table3[[#This Row],[2022 total cost]]</f>
        <v>0</v>
      </c>
      <c r="V36" t="s">
        <v>165</v>
      </c>
      <c r="W36">
        <f>VLOOKUP(V36,Table3[[Pipe_name]:[Check DL Cost]],11,FALSE)</f>
        <v>1757.7487498053549</v>
      </c>
    </row>
    <row r="37" spans="1:23" x14ac:dyDescent="0.25">
      <c r="A37" s="1">
        <v>35</v>
      </c>
      <c r="B37" t="s">
        <v>52</v>
      </c>
      <c r="C37">
        <v>96</v>
      </c>
      <c r="D37">
        <v>2.96787</v>
      </c>
      <c r="E37">
        <f>VLOOKUP(Table3[[#This Row],[Pipe_name]],Table2[[Pipe_name]:[Original_Diameter]],2,FALSE)</f>
        <v>96</v>
      </c>
      <c r="F37">
        <f>VLOOKUP(Table3[[#This Row],[Pipe_name]],Table2[[Pipe_name]:[Length]],3,FALSE)</f>
        <v>2.96787</v>
      </c>
      <c r="G37" t="s">
        <v>331</v>
      </c>
      <c r="H37" t="str">
        <f>IF(Table3[[#This Row],[2043 Diameter]]=Table3[[#This Row],[2022 Diameter]],"No","Yes")</f>
        <v>No</v>
      </c>
      <c r="I37" t="str">
        <f>IF(Table3[[#This Row],[2043 Length]]=Table3[[#This Row],[2022 length]],"No","Yes")</f>
        <v>No</v>
      </c>
      <c r="J37" s="8">
        <f>VLOOKUP(Table3[[#This Row],[2043 Diameter]],[1]Pipes!$A:$B,2,FALSE)</f>
        <v>362.58707029616613</v>
      </c>
      <c r="K37" s="8">
        <f>VLOOKUP(Table3[[#This Row],[2022 Diameter]],[1]Pipes!$A:$B,2,FALSE)</f>
        <v>362.58707029616613</v>
      </c>
      <c r="L37" s="8">
        <f>IF(OR(IFERROR(Table3[[#This Row],[Diameter Change?]]="Yes","Yes"),Table3[[#This Row],[Pipe Added?]]="Yes"),Table3[[#This Row],[2043 Pipeline unit cost]]*Table3[[#This Row],[2043 Length]],0)</f>
        <v>0</v>
      </c>
      <c r="M37" s="2">
        <f>VLOOKUP(Table3[[#This Row],[Pipe_name]],[2]!Table1[[id3]:[Cost]],8,FALSE)</f>
        <v>0</v>
      </c>
      <c r="N37" s="2">
        <f>IFERROR(Table3[[#This Row],[2022 length]]*Table3[[#This Row],[2022 Pipeline unit cost]],0)</f>
        <v>1076.1112883198825</v>
      </c>
      <c r="O37" s="2">
        <f>Table3[[#This Row],[2043 Length]]*Table3[[#This Row],[2043 Pipeline unit cost]]</f>
        <v>1076.1112883198825</v>
      </c>
      <c r="P37" s="2">
        <f>MATCH(Table3[[#This Row],[Pipe_name]],'2022 pipes'!B:B,0)</f>
        <v>37</v>
      </c>
      <c r="Q37" s="2">
        <f>Table3[[#This Row],[2043 pipes]]-Table3[[#This Row],[Master Plan CAPEX Cost]]</f>
        <v>1076.1112883198825</v>
      </c>
      <c r="R37" s="7">
        <f>Table3[[#This Row],[asdfa]]-Table3[[#This Row],[2022 total cost]]</f>
        <v>0</v>
      </c>
      <c r="V37" t="s">
        <v>185</v>
      </c>
      <c r="W37">
        <f>VLOOKUP(V37,Table3[[Pipe_name]:[Check DL Cost]],11,FALSE)</f>
        <v>1526.3245817056318</v>
      </c>
    </row>
    <row r="38" spans="1:23" x14ac:dyDescent="0.25">
      <c r="A38" s="1">
        <v>36</v>
      </c>
      <c r="B38" t="s">
        <v>53</v>
      </c>
      <c r="C38">
        <v>96</v>
      </c>
      <c r="D38">
        <v>58.503292000000002</v>
      </c>
      <c r="E38">
        <f>VLOOKUP(Table3[[#This Row],[Pipe_name]],Table2[[Pipe_name]:[Original_Diameter]],2,FALSE)</f>
        <v>96</v>
      </c>
      <c r="F38">
        <f>VLOOKUP(Table3[[#This Row],[Pipe_name]],Table2[[Pipe_name]:[Length]],3,FALSE)</f>
        <v>58.503292000000002</v>
      </c>
      <c r="G38" t="s">
        <v>331</v>
      </c>
      <c r="H38" t="str">
        <f>IF(Table3[[#This Row],[2043 Diameter]]=Table3[[#This Row],[2022 Diameter]],"No","Yes")</f>
        <v>No</v>
      </c>
      <c r="I38" t="str">
        <f>IF(Table3[[#This Row],[2043 Length]]=Table3[[#This Row],[2022 length]],"No","Yes")</f>
        <v>No</v>
      </c>
      <c r="J38" s="8">
        <f>VLOOKUP(Table3[[#This Row],[2043 Diameter]],[1]Pipes!$A:$B,2,FALSE)</f>
        <v>362.58707029616613</v>
      </c>
      <c r="K38" s="8">
        <f>VLOOKUP(Table3[[#This Row],[2022 Diameter]],[1]Pipes!$A:$B,2,FALSE)</f>
        <v>362.58707029616613</v>
      </c>
      <c r="L38" s="8">
        <f>IF(OR(IFERROR(Table3[[#This Row],[Diameter Change?]]="Yes","Yes"),Table3[[#This Row],[Pipe Added?]]="Yes"),Table3[[#This Row],[2043 Pipeline unit cost]]*Table3[[#This Row],[2043 Length]],0)</f>
        <v>0</v>
      </c>
      <c r="M38" s="2">
        <f>VLOOKUP(Table3[[#This Row],[Pipe_name]],[2]!Table1[[id3]:[Cost]],8,FALSE)</f>
        <v>0</v>
      </c>
      <c r="N38" s="2">
        <f>IFERROR(Table3[[#This Row],[2022 length]]*Table3[[#This Row],[2022 Pipeline unit cost]],0)</f>
        <v>21212.537248961133</v>
      </c>
      <c r="O38" s="2">
        <f>Table3[[#This Row],[2043 Length]]*Table3[[#This Row],[2043 Pipeline unit cost]]</f>
        <v>21212.537248961133</v>
      </c>
      <c r="P38" s="2">
        <f>MATCH(Table3[[#This Row],[Pipe_name]],'2022 pipes'!B:B,0)</f>
        <v>38</v>
      </c>
      <c r="Q38" s="2">
        <f>Table3[[#This Row],[2043 pipes]]-Table3[[#This Row],[Master Plan CAPEX Cost]]</f>
        <v>21212.537248961133</v>
      </c>
      <c r="R38" s="7">
        <f>Table3[[#This Row],[asdfa]]-Table3[[#This Row],[2022 total cost]]</f>
        <v>0</v>
      </c>
      <c r="V38" t="s">
        <v>207</v>
      </c>
      <c r="W38">
        <f>VLOOKUP(V38,Table3[[Pipe_name]:[Check DL Cost]],11,FALSE)</f>
        <v>2246.8831254321585</v>
      </c>
    </row>
    <row r="39" spans="1:23" x14ac:dyDescent="0.25">
      <c r="A39" s="1">
        <v>37</v>
      </c>
      <c r="B39" t="s">
        <v>54</v>
      </c>
      <c r="C39">
        <v>96</v>
      </c>
      <c r="D39">
        <v>38.472228999999999</v>
      </c>
      <c r="E39">
        <f>VLOOKUP(Table3[[#This Row],[Pipe_name]],Table2[[Pipe_name]:[Original_Diameter]],2,FALSE)</f>
        <v>96</v>
      </c>
      <c r="F39">
        <f>VLOOKUP(Table3[[#This Row],[Pipe_name]],Table2[[Pipe_name]:[Length]],3,FALSE)</f>
        <v>38.472228999999999</v>
      </c>
      <c r="G39" t="s">
        <v>331</v>
      </c>
      <c r="H39" t="str">
        <f>IF(Table3[[#This Row],[2043 Diameter]]=Table3[[#This Row],[2022 Diameter]],"No","Yes")</f>
        <v>No</v>
      </c>
      <c r="I39" t="str">
        <f>IF(Table3[[#This Row],[2043 Length]]=Table3[[#This Row],[2022 length]],"No","Yes")</f>
        <v>No</v>
      </c>
      <c r="J39" s="8">
        <f>VLOOKUP(Table3[[#This Row],[2043 Diameter]],[1]Pipes!$A:$B,2,FALSE)</f>
        <v>362.58707029616613</v>
      </c>
      <c r="K39" s="8">
        <f>VLOOKUP(Table3[[#This Row],[2022 Diameter]],[1]Pipes!$A:$B,2,FALSE)</f>
        <v>362.58707029616613</v>
      </c>
      <c r="L39" s="8">
        <f>IF(OR(IFERROR(Table3[[#This Row],[Diameter Change?]]="Yes","Yes"),Table3[[#This Row],[Pipe Added?]]="Yes"),Table3[[#This Row],[2043 Pipeline unit cost]]*Table3[[#This Row],[2043 Length]],0)</f>
        <v>0</v>
      </c>
      <c r="M39" s="2">
        <f>VLOOKUP(Table3[[#This Row],[Pipe_name]],[2]!Table1[[id3]:[Cost]],8,FALSE)</f>
        <v>0</v>
      </c>
      <c r="N39" s="2">
        <f>IFERROR(Table3[[#This Row],[2022 length]]*Table3[[#This Row],[2022 Pipeline unit cost]],0)</f>
        <v>13949.532800873201</v>
      </c>
      <c r="O39" s="2">
        <f>Table3[[#This Row],[2043 Length]]*Table3[[#This Row],[2043 Pipeline unit cost]]</f>
        <v>13949.532800873201</v>
      </c>
      <c r="P39" s="2">
        <f>MATCH(Table3[[#This Row],[Pipe_name]],'2022 pipes'!B:B,0)</f>
        <v>39</v>
      </c>
      <c r="Q39" s="2">
        <f>Table3[[#This Row],[2043 pipes]]-Table3[[#This Row],[Master Plan CAPEX Cost]]</f>
        <v>13949.532800873201</v>
      </c>
      <c r="R39" s="7">
        <f>Table3[[#This Row],[asdfa]]-Table3[[#This Row],[2022 total cost]]</f>
        <v>0</v>
      </c>
      <c r="V39" t="s">
        <v>209</v>
      </c>
      <c r="W39">
        <f>VLOOKUP(V39,Table3[[Pipe_name]:[Check DL Cost]],11,FALSE)</f>
        <v>1700.7649906258091</v>
      </c>
    </row>
    <row r="40" spans="1:23" x14ac:dyDescent="0.25">
      <c r="A40" s="1">
        <v>38</v>
      </c>
      <c r="B40" t="s">
        <v>55</v>
      </c>
      <c r="C40">
        <v>101</v>
      </c>
      <c r="D40">
        <v>9.8480910000000002</v>
      </c>
      <c r="E40">
        <f>VLOOKUP(Table3[[#This Row],[Pipe_name]],Table2[[Pipe_name]:[Original_Diameter]],2,FALSE)</f>
        <v>101</v>
      </c>
      <c r="F40">
        <f>VLOOKUP(Table3[[#This Row],[Pipe_name]],Table2[[Pipe_name]:[Length]],3,FALSE)</f>
        <v>9.8480910000000002</v>
      </c>
      <c r="G40" t="s">
        <v>331</v>
      </c>
      <c r="H40" t="str">
        <f>IF(Table3[[#This Row],[2043 Diameter]]=Table3[[#This Row],[2022 Diameter]],"No","Yes")</f>
        <v>No</v>
      </c>
      <c r="I40" t="str">
        <f>IF(Table3[[#This Row],[2043 Length]]=Table3[[#This Row],[2022 length]],"No","Yes")</f>
        <v>No</v>
      </c>
      <c r="J40" s="8">
        <f>VLOOKUP(Table3[[#This Row],[2043 Diameter]],[1]Pipes!$A:$B,2,FALSE)</f>
        <v>362.58707029616613</v>
      </c>
      <c r="K40" s="8">
        <f>VLOOKUP(Table3[[#This Row],[2022 Diameter]],[1]Pipes!$A:$B,2,FALSE)</f>
        <v>362.58707029616613</v>
      </c>
      <c r="L40" s="8">
        <f>IF(OR(IFERROR(Table3[[#This Row],[Diameter Change?]]="Yes","Yes"),Table3[[#This Row],[Pipe Added?]]="Yes"),Table3[[#This Row],[2043 Pipeline unit cost]]*Table3[[#This Row],[2043 Length]],0)</f>
        <v>0</v>
      </c>
      <c r="M40" s="2">
        <f>VLOOKUP(Table3[[#This Row],[Pipe_name]],[2]!Table1[[id3]:[Cost]],8,FALSE)</f>
        <v>0</v>
      </c>
      <c r="N40" s="2">
        <f>IFERROR(Table3[[#This Row],[2022 length]]*Table3[[#This Row],[2022 Pipeline unit cost]],0)</f>
        <v>3570.7904637000411</v>
      </c>
      <c r="O40" s="2">
        <f>Table3[[#This Row],[2043 Length]]*Table3[[#This Row],[2043 Pipeline unit cost]]</f>
        <v>3570.7904637000411</v>
      </c>
      <c r="P40" s="2">
        <f>MATCH(Table3[[#This Row],[Pipe_name]],'2022 pipes'!B:B,0)</f>
        <v>40</v>
      </c>
      <c r="Q40" s="2">
        <f>Table3[[#This Row],[2043 pipes]]-Table3[[#This Row],[Master Plan CAPEX Cost]]</f>
        <v>3570.7904637000411</v>
      </c>
      <c r="R40" s="7">
        <f>Table3[[#This Row],[asdfa]]-Table3[[#This Row],[2022 total cost]]</f>
        <v>0</v>
      </c>
      <c r="V40" t="s">
        <v>220</v>
      </c>
      <c r="W40">
        <f>VLOOKUP(V40,Table3[[Pipe_name]:[Check DL Cost]],11,FALSE)</f>
        <v>1770.8188151799689</v>
      </c>
    </row>
    <row r="41" spans="1:23" x14ac:dyDescent="0.25">
      <c r="A41" s="1">
        <v>39</v>
      </c>
      <c r="B41" t="s">
        <v>56</v>
      </c>
      <c r="C41">
        <v>96</v>
      </c>
      <c r="D41">
        <v>15.723158</v>
      </c>
      <c r="E41">
        <f>VLOOKUP(Table3[[#This Row],[Pipe_name]],Table2[[Pipe_name]:[Original_Diameter]],2,FALSE)</f>
        <v>96</v>
      </c>
      <c r="F41">
        <f>VLOOKUP(Table3[[#This Row],[Pipe_name]],Table2[[Pipe_name]:[Length]],3,FALSE)</f>
        <v>15.723158</v>
      </c>
      <c r="G41" t="s">
        <v>331</v>
      </c>
      <c r="H41" t="str">
        <f>IF(Table3[[#This Row],[2043 Diameter]]=Table3[[#This Row],[2022 Diameter]],"No","Yes")</f>
        <v>No</v>
      </c>
      <c r="I41" t="str">
        <f>IF(Table3[[#This Row],[2043 Length]]=Table3[[#This Row],[2022 length]],"No","Yes")</f>
        <v>No</v>
      </c>
      <c r="J41" s="8">
        <f>VLOOKUP(Table3[[#This Row],[2043 Diameter]],[1]Pipes!$A:$B,2,FALSE)</f>
        <v>362.58707029616613</v>
      </c>
      <c r="K41" s="8">
        <f>VLOOKUP(Table3[[#This Row],[2022 Diameter]],[1]Pipes!$A:$B,2,FALSE)</f>
        <v>362.58707029616613</v>
      </c>
      <c r="L41" s="8">
        <f>IF(OR(IFERROR(Table3[[#This Row],[Diameter Change?]]="Yes","Yes"),Table3[[#This Row],[Pipe Added?]]="Yes"),Table3[[#This Row],[2043 Pipeline unit cost]]*Table3[[#This Row],[2043 Length]],0)</f>
        <v>0</v>
      </c>
      <c r="M41" s="2">
        <f>VLOOKUP(Table3[[#This Row],[Pipe_name]],[2]!Table1[[id3]:[Cost]],8,FALSE)</f>
        <v>0</v>
      </c>
      <c r="N41" s="2">
        <f>IFERROR(Table3[[#This Row],[2022 length]]*Table3[[#This Row],[2022 Pipeline unit cost]],0)</f>
        <v>5701.0137950237267</v>
      </c>
      <c r="O41" s="2">
        <f>Table3[[#This Row],[2043 Length]]*Table3[[#This Row],[2043 Pipeline unit cost]]</f>
        <v>5701.0137950237267</v>
      </c>
      <c r="P41" s="2">
        <f>MATCH(Table3[[#This Row],[Pipe_name]],'2022 pipes'!B:B,0)</f>
        <v>41</v>
      </c>
      <c r="Q41" s="2">
        <f>Table3[[#This Row],[2043 pipes]]-Table3[[#This Row],[Master Plan CAPEX Cost]]</f>
        <v>5701.0137950237267</v>
      </c>
      <c r="R41" s="7">
        <f>Table3[[#This Row],[asdfa]]-Table3[[#This Row],[2022 total cost]]</f>
        <v>0</v>
      </c>
      <c r="V41" t="s">
        <v>246</v>
      </c>
      <c r="W41">
        <f>VLOOKUP(V41,Table3[[Pipe_name]:[Check DL Cost]],11,FALSE)</f>
        <v>5737.0812350981105</v>
      </c>
    </row>
    <row r="42" spans="1:23" x14ac:dyDescent="0.25">
      <c r="A42" s="1">
        <v>40</v>
      </c>
      <c r="B42" t="s">
        <v>57</v>
      </c>
      <c r="C42">
        <v>96</v>
      </c>
      <c r="D42">
        <v>6.3597849999999996</v>
      </c>
      <c r="E42">
        <f>VLOOKUP(Table3[[#This Row],[Pipe_name]],Table2[[Pipe_name]:[Original_Diameter]],2,FALSE)</f>
        <v>96</v>
      </c>
      <c r="F42">
        <f>VLOOKUP(Table3[[#This Row],[Pipe_name]],Table2[[Pipe_name]:[Length]],3,FALSE)</f>
        <v>6.3597849999999996</v>
      </c>
      <c r="G42" t="s">
        <v>331</v>
      </c>
      <c r="H42" t="str">
        <f>IF(Table3[[#This Row],[2043 Diameter]]=Table3[[#This Row],[2022 Diameter]],"No","Yes")</f>
        <v>No</v>
      </c>
      <c r="I42" t="str">
        <f>IF(Table3[[#This Row],[2043 Length]]=Table3[[#This Row],[2022 length]],"No","Yes")</f>
        <v>No</v>
      </c>
      <c r="J42" s="8">
        <f>VLOOKUP(Table3[[#This Row],[2043 Diameter]],[1]Pipes!$A:$B,2,FALSE)</f>
        <v>362.58707029616613</v>
      </c>
      <c r="K42" s="8">
        <f>VLOOKUP(Table3[[#This Row],[2022 Diameter]],[1]Pipes!$A:$B,2,FALSE)</f>
        <v>362.58707029616613</v>
      </c>
      <c r="L42" s="8">
        <f>IF(OR(IFERROR(Table3[[#This Row],[Diameter Change?]]="Yes","Yes"),Table3[[#This Row],[Pipe Added?]]="Yes"),Table3[[#This Row],[2043 Pipeline unit cost]]*Table3[[#This Row],[2043 Length]],0)</f>
        <v>0</v>
      </c>
      <c r="M42" s="2">
        <f>VLOOKUP(Table3[[#This Row],[Pipe_name]],[2]!Table1[[id3]:[Cost]],8,FALSE)</f>
        <v>0</v>
      </c>
      <c r="N42" s="2">
        <f>IFERROR(Table3[[#This Row],[2022 length]]*Table3[[#This Row],[2022 Pipeline unit cost]],0)</f>
        <v>2305.9758108635028</v>
      </c>
      <c r="O42" s="2">
        <f>Table3[[#This Row],[2043 Length]]*Table3[[#This Row],[2043 Pipeline unit cost]]</f>
        <v>2305.9758108635028</v>
      </c>
      <c r="P42" s="2">
        <f>MATCH(Table3[[#This Row],[Pipe_name]],'2022 pipes'!B:B,0)</f>
        <v>42</v>
      </c>
      <c r="Q42" s="2">
        <f>Table3[[#This Row],[2043 pipes]]-Table3[[#This Row],[Master Plan CAPEX Cost]]</f>
        <v>2305.9758108635028</v>
      </c>
      <c r="R42" s="7">
        <f>Table3[[#This Row],[asdfa]]-Table3[[#This Row],[2022 total cost]]</f>
        <v>0</v>
      </c>
      <c r="V42" t="s">
        <v>254</v>
      </c>
      <c r="W42">
        <f>VLOOKUP(V42,Table3[[Pipe_name]:[Check DL Cost]],11,FALSE)</f>
        <v>5009.7257828276825</v>
      </c>
    </row>
    <row r="43" spans="1:23" x14ac:dyDescent="0.25">
      <c r="A43" s="1">
        <v>41</v>
      </c>
      <c r="B43" t="s">
        <v>58</v>
      </c>
      <c r="C43">
        <v>96</v>
      </c>
      <c r="D43">
        <v>133.89762899999999</v>
      </c>
      <c r="E43">
        <f>VLOOKUP(Table3[[#This Row],[Pipe_name]],Table2[[Pipe_name]:[Original_Diameter]],2,FALSE)</f>
        <v>96</v>
      </c>
      <c r="F43">
        <f>VLOOKUP(Table3[[#This Row],[Pipe_name]],Table2[[Pipe_name]:[Length]],3,FALSE)</f>
        <v>133.89762899999999</v>
      </c>
      <c r="G43" t="s">
        <v>331</v>
      </c>
      <c r="H43" t="str">
        <f>IF(Table3[[#This Row],[2043 Diameter]]=Table3[[#This Row],[2022 Diameter]],"No","Yes")</f>
        <v>No</v>
      </c>
      <c r="I43" t="str">
        <f>IF(Table3[[#This Row],[2043 Length]]=Table3[[#This Row],[2022 length]],"No","Yes")</f>
        <v>No</v>
      </c>
      <c r="J43" s="8">
        <f>VLOOKUP(Table3[[#This Row],[2043 Diameter]],[1]Pipes!$A:$B,2,FALSE)</f>
        <v>362.58707029616613</v>
      </c>
      <c r="K43" s="8">
        <f>VLOOKUP(Table3[[#This Row],[2022 Diameter]],[1]Pipes!$A:$B,2,FALSE)</f>
        <v>362.58707029616613</v>
      </c>
      <c r="L43" s="8">
        <f>IF(OR(IFERROR(Table3[[#This Row],[Diameter Change?]]="Yes","Yes"),Table3[[#This Row],[Pipe Added?]]="Yes"),Table3[[#This Row],[2043 Pipeline unit cost]]*Table3[[#This Row],[2043 Length]],0)</f>
        <v>0</v>
      </c>
      <c r="M43" s="2">
        <f>VLOOKUP(Table3[[#This Row],[Pipe_name]],[2]!Table1[[id3]:[Cost]],8,FALSE)</f>
        <v>0</v>
      </c>
      <c r="N43" s="2">
        <f>IFERROR(Table3[[#This Row],[2022 length]]*Table3[[#This Row],[2022 Pipeline unit cost]],0)</f>
        <v>48549.549018712969</v>
      </c>
      <c r="O43" s="2">
        <f>Table3[[#This Row],[2043 Length]]*Table3[[#This Row],[2043 Pipeline unit cost]]</f>
        <v>48549.549018712969</v>
      </c>
      <c r="P43" s="2">
        <f>MATCH(Table3[[#This Row],[Pipe_name]],'2022 pipes'!B:B,0)</f>
        <v>43</v>
      </c>
      <c r="Q43" s="2">
        <f>Table3[[#This Row],[2043 pipes]]-Table3[[#This Row],[Master Plan CAPEX Cost]]</f>
        <v>48549.549018712969</v>
      </c>
      <c r="R43" s="7">
        <f>Table3[[#This Row],[asdfa]]-Table3[[#This Row],[2022 total cost]]</f>
        <v>0</v>
      </c>
      <c r="V43" t="s">
        <v>261</v>
      </c>
      <c r="W43">
        <f>VLOOKUP(V43,Table3[[Pipe_name]:[Check DL Cost]],11,FALSE)</f>
        <v>2175.2876807837461</v>
      </c>
    </row>
    <row r="44" spans="1:23" x14ac:dyDescent="0.25">
      <c r="A44" s="1">
        <v>42</v>
      </c>
      <c r="B44" t="s">
        <v>59</v>
      </c>
      <c r="C44">
        <v>96</v>
      </c>
      <c r="D44">
        <v>96.620529000000005</v>
      </c>
      <c r="E44">
        <f>VLOOKUP(Table3[[#This Row],[Pipe_name]],Table2[[Pipe_name]:[Original_Diameter]],2,FALSE)</f>
        <v>96</v>
      </c>
      <c r="F44">
        <f>VLOOKUP(Table3[[#This Row],[Pipe_name]],Table2[[Pipe_name]:[Length]],3,FALSE)</f>
        <v>96.620529000000005</v>
      </c>
      <c r="G44" t="s">
        <v>331</v>
      </c>
      <c r="H44" t="str">
        <f>IF(Table3[[#This Row],[2043 Diameter]]=Table3[[#This Row],[2022 Diameter]],"No","Yes")</f>
        <v>No</v>
      </c>
      <c r="I44" t="str">
        <f>IF(Table3[[#This Row],[2043 Length]]=Table3[[#This Row],[2022 length]],"No","Yes")</f>
        <v>No</v>
      </c>
      <c r="J44" s="8">
        <f>VLOOKUP(Table3[[#This Row],[2043 Diameter]],[1]Pipes!$A:$B,2,FALSE)</f>
        <v>362.58707029616613</v>
      </c>
      <c r="K44" s="8">
        <f>VLOOKUP(Table3[[#This Row],[2022 Diameter]],[1]Pipes!$A:$B,2,FALSE)</f>
        <v>362.58707029616613</v>
      </c>
      <c r="L44" s="8">
        <f>IF(OR(IFERROR(Table3[[#This Row],[Diameter Change?]]="Yes","Yes"),Table3[[#This Row],[Pipe Added?]]="Yes"),Table3[[#This Row],[2043 Pipeline unit cost]]*Table3[[#This Row],[2043 Length]],0)</f>
        <v>0</v>
      </c>
      <c r="M44" s="2">
        <f>VLOOKUP(Table3[[#This Row],[Pipe_name]],[2]!Table1[[id3]:[Cost]],8,FALSE)</f>
        <v>0</v>
      </c>
      <c r="N44" s="2">
        <f>IFERROR(Table3[[#This Row],[2022 length]]*Table3[[#This Row],[2022 Pipeline unit cost]],0)</f>
        <v>35033.354540575761</v>
      </c>
      <c r="O44" s="2">
        <f>Table3[[#This Row],[2043 Length]]*Table3[[#This Row],[2043 Pipeline unit cost]]</f>
        <v>35033.354540575761</v>
      </c>
      <c r="P44" s="2">
        <f>MATCH(Table3[[#This Row],[Pipe_name]],'2022 pipes'!B:B,0)</f>
        <v>44</v>
      </c>
      <c r="Q44" s="2">
        <f>Table3[[#This Row],[2043 pipes]]-Table3[[#This Row],[Master Plan CAPEX Cost]]</f>
        <v>35033.354540575761</v>
      </c>
      <c r="R44" s="7">
        <f>Table3[[#This Row],[asdfa]]-Table3[[#This Row],[2022 total cost]]</f>
        <v>0</v>
      </c>
      <c r="V44" t="s">
        <v>302</v>
      </c>
      <c r="W44">
        <f>VLOOKUP(V44,Table3[[Pipe_name]:[Check DL Cost]],11,FALSE)</f>
        <v>82507.812228397597</v>
      </c>
    </row>
    <row r="45" spans="1:23" x14ac:dyDescent="0.25">
      <c r="A45" s="1">
        <v>43</v>
      </c>
      <c r="B45" t="s">
        <v>60</v>
      </c>
      <c r="C45">
        <v>101</v>
      </c>
      <c r="D45">
        <v>3.3398430000000001</v>
      </c>
      <c r="E45">
        <f>VLOOKUP(Table3[[#This Row],[Pipe_name]],Table2[[Pipe_name]:[Original_Diameter]],2,FALSE)</f>
        <v>101</v>
      </c>
      <c r="F45">
        <f>VLOOKUP(Table3[[#This Row],[Pipe_name]],Table2[[Pipe_name]:[Length]],3,FALSE)</f>
        <v>3.3398430000000001</v>
      </c>
      <c r="G45" t="s">
        <v>331</v>
      </c>
      <c r="H45" t="str">
        <f>IF(Table3[[#This Row],[2043 Diameter]]=Table3[[#This Row],[2022 Diameter]],"No","Yes")</f>
        <v>No</v>
      </c>
      <c r="I45" t="str">
        <f>IF(Table3[[#This Row],[2043 Length]]=Table3[[#This Row],[2022 length]],"No","Yes")</f>
        <v>No</v>
      </c>
      <c r="J45" s="8">
        <f>VLOOKUP(Table3[[#This Row],[2043 Diameter]],[1]Pipes!$A:$B,2,FALSE)</f>
        <v>362.58707029616613</v>
      </c>
      <c r="K45" s="8">
        <f>VLOOKUP(Table3[[#This Row],[2022 Diameter]],[1]Pipes!$A:$B,2,FALSE)</f>
        <v>362.58707029616613</v>
      </c>
      <c r="L45" s="8">
        <f>IF(OR(IFERROR(Table3[[#This Row],[Diameter Change?]]="Yes","Yes"),Table3[[#This Row],[Pipe Added?]]="Yes"),Table3[[#This Row],[2043 Pipeline unit cost]]*Table3[[#This Row],[2043 Length]],0)</f>
        <v>0</v>
      </c>
      <c r="M45" s="2">
        <f>VLOOKUP(Table3[[#This Row],[Pipe_name]],[2]!Table1[[id3]:[Cost]],8,FALSE)</f>
        <v>0</v>
      </c>
      <c r="N45" s="2">
        <f>IFERROR(Table3[[#This Row],[2022 length]]*Table3[[#This Row],[2022 Pipeline unit cost]],0)</f>
        <v>1210.9838886191585</v>
      </c>
      <c r="O45" s="2">
        <f>Table3[[#This Row],[2043 Length]]*Table3[[#This Row],[2043 Pipeline unit cost]]</f>
        <v>1210.9838886191585</v>
      </c>
      <c r="P45" s="2">
        <f>MATCH(Table3[[#This Row],[Pipe_name]],'2022 pipes'!B:B,0)</f>
        <v>45</v>
      </c>
      <c r="Q45" s="2">
        <f>Table3[[#This Row],[2043 pipes]]-Table3[[#This Row],[Master Plan CAPEX Cost]]</f>
        <v>1210.9838886191585</v>
      </c>
      <c r="R45" s="7">
        <f>Table3[[#This Row],[asdfa]]-Table3[[#This Row],[2022 total cost]]</f>
        <v>0</v>
      </c>
      <c r="V45" t="s">
        <v>272</v>
      </c>
      <c r="W45">
        <f>VLOOKUP(V45,Table3[[Pipe_name]:[Check DL Cost]],11,FALSE)</f>
        <v>9723.7357430044012</v>
      </c>
    </row>
    <row r="46" spans="1:23" x14ac:dyDescent="0.25">
      <c r="A46" s="1">
        <v>44</v>
      </c>
      <c r="B46" t="s">
        <v>61</v>
      </c>
      <c r="C46">
        <v>96</v>
      </c>
      <c r="D46">
        <v>3.9365320000000001</v>
      </c>
      <c r="E46">
        <f>VLOOKUP(Table3[[#This Row],[Pipe_name]],Table2[[Pipe_name]:[Original_Diameter]],2,FALSE)</f>
        <v>96</v>
      </c>
      <c r="F46">
        <f>VLOOKUP(Table3[[#This Row],[Pipe_name]],Table2[[Pipe_name]:[Length]],3,FALSE)</f>
        <v>3.9365320000000001</v>
      </c>
      <c r="G46" t="s">
        <v>331</v>
      </c>
      <c r="H46" t="str">
        <f>IF(Table3[[#This Row],[2043 Diameter]]=Table3[[#This Row],[2022 Diameter]],"No","Yes")</f>
        <v>No</v>
      </c>
      <c r="I46" t="str">
        <f>IF(Table3[[#This Row],[2043 Length]]=Table3[[#This Row],[2022 length]],"No","Yes")</f>
        <v>No</v>
      </c>
      <c r="J46" s="8">
        <f>VLOOKUP(Table3[[#This Row],[2043 Diameter]],[1]Pipes!$A:$B,2,FALSE)</f>
        <v>362.58707029616613</v>
      </c>
      <c r="K46" s="8">
        <f>VLOOKUP(Table3[[#This Row],[2022 Diameter]],[1]Pipes!$A:$B,2,FALSE)</f>
        <v>362.58707029616613</v>
      </c>
      <c r="L46" s="8">
        <f>IF(OR(IFERROR(Table3[[#This Row],[Diameter Change?]]="Yes","Yes"),Table3[[#This Row],[Pipe Added?]]="Yes"),Table3[[#This Row],[2043 Pipeline unit cost]]*Table3[[#This Row],[2043 Length]],0)</f>
        <v>0</v>
      </c>
      <c r="M46" s="2">
        <f>VLOOKUP(Table3[[#This Row],[Pipe_name]],[2]!Table1[[id3]:[Cost]],8,FALSE)</f>
        <v>0</v>
      </c>
      <c r="N46" s="2">
        <f>IFERROR(Table3[[#This Row],[2022 length]]*Table3[[#This Row],[2022 Pipeline unit cost]],0)</f>
        <v>1427.3356050071075</v>
      </c>
      <c r="O46" s="2">
        <f>Table3[[#This Row],[2043 Length]]*Table3[[#This Row],[2043 Pipeline unit cost]]</f>
        <v>1427.3356050071075</v>
      </c>
      <c r="P46" s="2">
        <f>MATCH(Table3[[#This Row],[Pipe_name]],'2022 pipes'!B:B,0)</f>
        <v>46</v>
      </c>
      <c r="Q46" s="2">
        <f>Table3[[#This Row],[2043 pipes]]-Table3[[#This Row],[Master Plan CAPEX Cost]]</f>
        <v>1427.3356050071075</v>
      </c>
      <c r="R46" s="7">
        <f>Table3[[#This Row],[asdfa]]-Table3[[#This Row],[2022 total cost]]</f>
        <v>0</v>
      </c>
      <c r="V46" t="s">
        <v>289</v>
      </c>
      <c r="W46">
        <f>VLOOKUP(V46,Table3[[Pipe_name]:[Check DL Cost]],11,FALSE)</f>
        <v>15093.500077808187</v>
      </c>
    </row>
    <row r="47" spans="1:23" x14ac:dyDescent="0.25">
      <c r="A47" s="1">
        <v>45</v>
      </c>
      <c r="B47" t="s">
        <v>62</v>
      </c>
      <c r="C47">
        <v>101</v>
      </c>
      <c r="D47">
        <v>126.29502100000001</v>
      </c>
      <c r="E47">
        <f>VLOOKUP(Table3[[#This Row],[Pipe_name]],Table2[[Pipe_name]:[Original_Diameter]],2,FALSE)</f>
        <v>101</v>
      </c>
      <c r="F47">
        <f>VLOOKUP(Table3[[#This Row],[Pipe_name]],Table2[[Pipe_name]:[Length]],3,FALSE)</f>
        <v>126.29502100000001</v>
      </c>
      <c r="G47" t="s">
        <v>331</v>
      </c>
      <c r="H47" t="str">
        <f>IF(Table3[[#This Row],[2043 Diameter]]=Table3[[#This Row],[2022 Diameter]],"No","Yes")</f>
        <v>No</v>
      </c>
      <c r="I47" t="str">
        <f>IF(Table3[[#This Row],[2043 Length]]=Table3[[#This Row],[2022 length]],"No","Yes")</f>
        <v>No</v>
      </c>
      <c r="J47" s="8">
        <f>VLOOKUP(Table3[[#This Row],[2043 Diameter]],[1]Pipes!$A:$B,2,FALSE)</f>
        <v>362.58707029616613</v>
      </c>
      <c r="K47" s="8">
        <f>VLOOKUP(Table3[[#This Row],[2022 Diameter]],[1]Pipes!$A:$B,2,FALSE)</f>
        <v>362.58707029616613</v>
      </c>
      <c r="L47" s="8">
        <f>IF(OR(IFERROR(Table3[[#This Row],[Diameter Change?]]="Yes","Yes"),Table3[[#This Row],[Pipe Added?]]="Yes"),Table3[[#This Row],[2043 Pipeline unit cost]]*Table3[[#This Row],[2043 Length]],0)</f>
        <v>0</v>
      </c>
      <c r="M47" s="2">
        <f>VLOOKUP(Table3[[#This Row],[Pipe_name]],[2]!Table1[[id3]:[Cost]],8,FALSE)</f>
        <v>0</v>
      </c>
      <c r="N47" s="2">
        <f>IFERROR(Table3[[#This Row],[2022 length]]*Table3[[#This Row],[2022 Pipeline unit cost]],0)</f>
        <v>45792.941657382777</v>
      </c>
      <c r="O47" s="2">
        <f>Table3[[#This Row],[2043 Length]]*Table3[[#This Row],[2043 Pipeline unit cost]]</f>
        <v>45792.941657382777</v>
      </c>
      <c r="P47" s="2">
        <f>MATCH(Table3[[#This Row],[Pipe_name]],'2022 pipes'!B:B,0)</f>
        <v>47</v>
      </c>
      <c r="Q47" s="2">
        <f>Table3[[#This Row],[2043 pipes]]-Table3[[#This Row],[Master Plan CAPEX Cost]]</f>
        <v>45792.941657382777</v>
      </c>
      <c r="R47" s="7">
        <f>Table3[[#This Row],[asdfa]]-Table3[[#This Row],[2022 total cost]]</f>
        <v>0</v>
      </c>
      <c r="V47" t="s">
        <v>297</v>
      </c>
      <c r="W47">
        <f>VLOOKUP(V47,Table3[[Pipe_name]:[Check DL Cost]],11,FALSE)</f>
        <v>99145.228059051049</v>
      </c>
    </row>
    <row r="48" spans="1:23" x14ac:dyDescent="0.25">
      <c r="A48" s="1">
        <v>46</v>
      </c>
      <c r="B48" t="s">
        <v>63</v>
      </c>
      <c r="C48">
        <v>101</v>
      </c>
      <c r="D48">
        <v>2.4787020000000002</v>
      </c>
      <c r="E48">
        <f>VLOOKUP(Table3[[#This Row],[Pipe_name]],Table2[[Pipe_name]:[Original_Diameter]],2,FALSE)</f>
        <v>101</v>
      </c>
      <c r="F48">
        <f>VLOOKUP(Table3[[#This Row],[Pipe_name]],Table2[[Pipe_name]:[Length]],3,FALSE)</f>
        <v>2.4787020000000002</v>
      </c>
      <c r="G48" t="s">
        <v>331</v>
      </c>
      <c r="H48" t="str">
        <f>IF(Table3[[#This Row],[2043 Diameter]]=Table3[[#This Row],[2022 Diameter]],"No","Yes")</f>
        <v>No</v>
      </c>
      <c r="I48" t="str">
        <f>IF(Table3[[#This Row],[2043 Length]]=Table3[[#This Row],[2022 length]],"No","Yes")</f>
        <v>No</v>
      </c>
      <c r="J48" s="8">
        <f>VLOOKUP(Table3[[#This Row],[2043 Diameter]],[1]Pipes!$A:$B,2,FALSE)</f>
        <v>362.58707029616613</v>
      </c>
      <c r="K48" s="8">
        <f>VLOOKUP(Table3[[#This Row],[2022 Diameter]],[1]Pipes!$A:$B,2,FALSE)</f>
        <v>362.58707029616613</v>
      </c>
      <c r="L48" s="8">
        <f>IF(OR(IFERROR(Table3[[#This Row],[Diameter Change?]]="Yes","Yes"),Table3[[#This Row],[Pipe Added?]]="Yes"),Table3[[#This Row],[2043 Pipeline unit cost]]*Table3[[#This Row],[2043 Length]],0)</f>
        <v>0</v>
      </c>
      <c r="M48" s="2">
        <f>VLOOKUP(Table3[[#This Row],[Pipe_name]],[2]!Table1[[id3]:[Cost]],8,FALSE)</f>
        <v>0</v>
      </c>
      <c r="N48" s="2">
        <f>IFERROR(Table3[[#This Row],[2022 length]]*Table3[[#This Row],[2022 Pipeline unit cost]],0)</f>
        <v>898.74529631724761</v>
      </c>
      <c r="O48" s="2">
        <f>Table3[[#This Row],[2043 Length]]*Table3[[#This Row],[2043 Pipeline unit cost]]</f>
        <v>898.74529631724761</v>
      </c>
      <c r="P48" s="2">
        <f>MATCH(Table3[[#This Row],[Pipe_name]],'2022 pipes'!B:B,0)</f>
        <v>48</v>
      </c>
      <c r="Q48" s="2">
        <f>Table3[[#This Row],[2043 pipes]]-Table3[[#This Row],[Master Plan CAPEX Cost]]</f>
        <v>898.74529631724761</v>
      </c>
      <c r="R48" s="7">
        <f>Table3[[#This Row],[asdfa]]-Table3[[#This Row],[2022 total cost]]</f>
        <v>0</v>
      </c>
      <c r="V48" t="s">
        <v>298</v>
      </c>
      <c r="W48">
        <f>VLOOKUP(V48,Table3[[Pipe_name]:[Check DL Cost]],11,FALSE)</f>
        <v>2812.5146586649589</v>
      </c>
    </row>
    <row r="49" spans="1:23" x14ac:dyDescent="0.25">
      <c r="A49" s="1">
        <v>47</v>
      </c>
      <c r="B49" t="s">
        <v>64</v>
      </c>
      <c r="C49">
        <v>96</v>
      </c>
      <c r="D49">
        <v>15.772319</v>
      </c>
      <c r="E49">
        <f>VLOOKUP(Table3[[#This Row],[Pipe_name]],Table2[[Pipe_name]:[Original_Diameter]],2,FALSE)</f>
        <v>96</v>
      </c>
      <c r="F49">
        <f>VLOOKUP(Table3[[#This Row],[Pipe_name]],Table2[[Pipe_name]:[Length]],3,FALSE)</f>
        <v>15.772319</v>
      </c>
      <c r="G49" t="s">
        <v>331</v>
      </c>
      <c r="H49" t="str">
        <f>IF(Table3[[#This Row],[2043 Diameter]]=Table3[[#This Row],[2022 Diameter]],"No","Yes")</f>
        <v>No</v>
      </c>
      <c r="I49" t="str">
        <f>IF(Table3[[#This Row],[2043 Length]]=Table3[[#This Row],[2022 length]],"No","Yes")</f>
        <v>No</v>
      </c>
      <c r="J49" s="8">
        <f>VLOOKUP(Table3[[#This Row],[2043 Diameter]],[1]Pipes!$A:$B,2,FALSE)</f>
        <v>362.58707029616613</v>
      </c>
      <c r="K49" s="8">
        <f>VLOOKUP(Table3[[#This Row],[2022 Diameter]],[1]Pipes!$A:$B,2,FALSE)</f>
        <v>362.58707029616613</v>
      </c>
      <c r="L49" s="8">
        <f>IF(OR(IFERROR(Table3[[#This Row],[Diameter Change?]]="Yes","Yes"),Table3[[#This Row],[Pipe Added?]]="Yes"),Table3[[#This Row],[2043 Pipeline unit cost]]*Table3[[#This Row],[2043 Length]],0)</f>
        <v>0</v>
      </c>
      <c r="M49" s="2">
        <f>VLOOKUP(Table3[[#This Row],[Pipe_name]],[2]!Table1[[id3]:[Cost]],8,FALSE)</f>
        <v>0</v>
      </c>
      <c r="N49" s="2">
        <f>IFERROR(Table3[[#This Row],[2022 length]]*Table3[[#This Row],[2022 Pipeline unit cost]],0)</f>
        <v>5718.8389379865566</v>
      </c>
      <c r="O49" s="2">
        <f>Table3[[#This Row],[2043 Length]]*Table3[[#This Row],[2043 Pipeline unit cost]]</f>
        <v>5718.8389379865566</v>
      </c>
      <c r="P49" s="2">
        <f>MATCH(Table3[[#This Row],[Pipe_name]],'2022 pipes'!B:B,0)</f>
        <v>49</v>
      </c>
      <c r="Q49" s="2">
        <f>Table3[[#This Row],[2043 pipes]]-Table3[[#This Row],[Master Plan CAPEX Cost]]</f>
        <v>5718.8389379865566</v>
      </c>
      <c r="R49" s="7">
        <f>Table3[[#This Row],[asdfa]]-Table3[[#This Row],[2022 total cost]]</f>
        <v>0</v>
      </c>
      <c r="V49" t="s">
        <v>303</v>
      </c>
      <c r="W49">
        <f>VLOOKUP(V49,Table3[[Pipe_name]:[Check DL Cost]],11,FALSE)</f>
        <v>1288.8512111823816</v>
      </c>
    </row>
    <row r="50" spans="1:23" x14ac:dyDescent="0.25">
      <c r="A50" s="1">
        <v>48</v>
      </c>
      <c r="B50" t="s">
        <v>65</v>
      </c>
      <c r="C50">
        <v>96</v>
      </c>
      <c r="D50">
        <v>173.47482299999999</v>
      </c>
      <c r="E50">
        <f>VLOOKUP(Table3[[#This Row],[Pipe_name]],Table2[[Pipe_name]:[Original_Diameter]],2,FALSE)</f>
        <v>96</v>
      </c>
      <c r="F50">
        <f>VLOOKUP(Table3[[#This Row],[Pipe_name]],Table2[[Pipe_name]:[Length]],3,FALSE)</f>
        <v>173.47482299999999</v>
      </c>
      <c r="G50" t="s">
        <v>331</v>
      </c>
      <c r="H50" t="str">
        <f>IF(Table3[[#This Row],[2043 Diameter]]=Table3[[#This Row],[2022 Diameter]],"No","Yes")</f>
        <v>No</v>
      </c>
      <c r="I50" t="str">
        <f>IF(Table3[[#This Row],[2043 Length]]=Table3[[#This Row],[2022 length]],"No","Yes")</f>
        <v>No</v>
      </c>
      <c r="J50" s="8">
        <f>VLOOKUP(Table3[[#This Row],[2043 Diameter]],[1]Pipes!$A:$B,2,FALSE)</f>
        <v>362.58707029616613</v>
      </c>
      <c r="K50" s="8">
        <f>VLOOKUP(Table3[[#This Row],[2022 Diameter]],[1]Pipes!$A:$B,2,FALSE)</f>
        <v>362.58707029616613</v>
      </c>
      <c r="L50" s="8">
        <f>IF(OR(IFERROR(Table3[[#This Row],[Diameter Change?]]="Yes","Yes"),Table3[[#This Row],[Pipe Added?]]="Yes"),Table3[[#This Row],[2043 Pipeline unit cost]]*Table3[[#This Row],[2043 Length]],0)</f>
        <v>0</v>
      </c>
      <c r="M50" s="2">
        <f>VLOOKUP(Table3[[#This Row],[Pipe_name]],[2]!Table1[[id3]:[Cost]],8,FALSE)</f>
        <v>0</v>
      </c>
      <c r="N50" s="2">
        <f>IFERROR(Table3[[#This Row],[2022 length]]*Table3[[#This Row],[2022 Pipeline unit cost]],0)</f>
        <v>62899.727841715976</v>
      </c>
      <c r="O50" s="2">
        <f>Table3[[#This Row],[2043 Length]]*Table3[[#This Row],[2043 Pipeline unit cost]]</f>
        <v>62899.727841715976</v>
      </c>
      <c r="P50" s="2">
        <f>MATCH(Table3[[#This Row],[Pipe_name]],'2022 pipes'!B:B,0)</f>
        <v>50</v>
      </c>
      <c r="Q50" s="2">
        <f>Table3[[#This Row],[2043 pipes]]-Table3[[#This Row],[Master Plan CAPEX Cost]]</f>
        <v>62899.727841715976</v>
      </c>
      <c r="R50" s="7">
        <f>Table3[[#This Row],[asdfa]]-Table3[[#This Row],[2022 total cost]]</f>
        <v>0</v>
      </c>
      <c r="V50" t="s">
        <v>304</v>
      </c>
      <c r="W50">
        <f>VLOOKUP(V50,Table3[[Pipe_name]:[Check DL Cost]],11,FALSE)</f>
        <v>1291.2985373678166</v>
      </c>
    </row>
    <row r="51" spans="1:23" x14ac:dyDescent="0.25">
      <c r="A51" s="1">
        <v>49</v>
      </c>
      <c r="B51" t="s">
        <v>66</v>
      </c>
      <c r="C51">
        <v>96</v>
      </c>
      <c r="D51">
        <v>75.211510000000004</v>
      </c>
      <c r="E51">
        <f>VLOOKUP(Table3[[#This Row],[Pipe_name]],Table2[[Pipe_name]:[Original_Diameter]],2,FALSE)</f>
        <v>96</v>
      </c>
      <c r="F51">
        <f>VLOOKUP(Table3[[#This Row],[Pipe_name]],Table2[[Pipe_name]:[Length]],3,FALSE)</f>
        <v>75.211510000000004</v>
      </c>
      <c r="G51" t="s">
        <v>331</v>
      </c>
      <c r="H51" t="str">
        <f>IF(Table3[[#This Row],[2043 Diameter]]=Table3[[#This Row],[2022 Diameter]],"No","Yes")</f>
        <v>No</v>
      </c>
      <c r="I51" t="str">
        <f>IF(Table3[[#This Row],[2043 Length]]=Table3[[#This Row],[2022 length]],"No","Yes")</f>
        <v>No</v>
      </c>
      <c r="J51" s="8">
        <f>VLOOKUP(Table3[[#This Row],[2043 Diameter]],[1]Pipes!$A:$B,2,FALSE)</f>
        <v>362.58707029616613</v>
      </c>
      <c r="K51" s="8">
        <f>VLOOKUP(Table3[[#This Row],[2022 Diameter]],[1]Pipes!$A:$B,2,FALSE)</f>
        <v>362.58707029616613</v>
      </c>
      <c r="L51" s="8">
        <f>IF(OR(IFERROR(Table3[[#This Row],[Diameter Change?]]="Yes","Yes"),Table3[[#This Row],[Pipe Added?]]="Yes"),Table3[[#This Row],[2043 Pipeline unit cost]]*Table3[[#This Row],[2043 Length]],0)</f>
        <v>0</v>
      </c>
      <c r="M51" s="2">
        <f>VLOOKUP(Table3[[#This Row],[Pipe_name]],[2]!Table1[[id3]:[Cost]],8,FALSE)</f>
        <v>0</v>
      </c>
      <c r="N51" s="2">
        <f>IFERROR(Table3[[#This Row],[2022 length]]*Table3[[#This Row],[2022 Pipeline unit cost]],0)</f>
        <v>27270.721063450805</v>
      </c>
      <c r="O51" s="2">
        <f>Table3[[#This Row],[2043 Length]]*Table3[[#This Row],[2043 Pipeline unit cost]]</f>
        <v>27270.721063450805</v>
      </c>
      <c r="P51" s="2">
        <f>MATCH(Table3[[#This Row],[Pipe_name]],'2022 pipes'!B:B,0)</f>
        <v>51</v>
      </c>
      <c r="Q51" s="2">
        <f>Table3[[#This Row],[2043 pipes]]-Table3[[#This Row],[Master Plan CAPEX Cost]]</f>
        <v>27270.721063450805</v>
      </c>
      <c r="R51" s="7">
        <f>Table3[[#This Row],[asdfa]]-Table3[[#This Row],[2022 total cost]]</f>
        <v>0</v>
      </c>
      <c r="V51" t="s">
        <v>305</v>
      </c>
      <c r="W51">
        <f>VLOOKUP(V51,Table3[[Pipe_name]:[Check DL Cost]],11,FALSE)</f>
        <v>5338.4709603501369</v>
      </c>
    </row>
    <row r="52" spans="1:23" x14ac:dyDescent="0.25">
      <c r="A52" s="1">
        <v>50</v>
      </c>
      <c r="B52" t="s">
        <v>67</v>
      </c>
      <c r="C52">
        <v>96</v>
      </c>
      <c r="D52">
        <v>86.298286000000004</v>
      </c>
      <c r="E52">
        <f>VLOOKUP(Table3[[#This Row],[Pipe_name]],Table2[[Pipe_name]:[Original_Diameter]],2,FALSE)</f>
        <v>96</v>
      </c>
      <c r="F52">
        <f>VLOOKUP(Table3[[#This Row],[Pipe_name]],Table2[[Pipe_name]:[Length]],3,FALSE)</f>
        <v>86.298286000000004</v>
      </c>
      <c r="G52" t="s">
        <v>331</v>
      </c>
      <c r="H52" t="str">
        <f>IF(Table3[[#This Row],[2043 Diameter]]=Table3[[#This Row],[2022 Diameter]],"No","Yes")</f>
        <v>No</v>
      </c>
      <c r="I52" t="str">
        <f>IF(Table3[[#This Row],[2043 Length]]=Table3[[#This Row],[2022 length]],"No","Yes")</f>
        <v>No</v>
      </c>
      <c r="J52" s="8">
        <f>VLOOKUP(Table3[[#This Row],[2043 Diameter]],[1]Pipes!$A:$B,2,FALSE)</f>
        <v>362.58707029616613</v>
      </c>
      <c r="K52" s="8">
        <f>VLOOKUP(Table3[[#This Row],[2022 Diameter]],[1]Pipes!$A:$B,2,FALSE)</f>
        <v>362.58707029616613</v>
      </c>
      <c r="L52" s="8">
        <f>IF(OR(IFERROR(Table3[[#This Row],[Diameter Change?]]="Yes","Yes"),Table3[[#This Row],[Pipe Added?]]="Yes"),Table3[[#This Row],[2043 Pipeline unit cost]]*Table3[[#This Row],[2043 Length]],0)</f>
        <v>0</v>
      </c>
      <c r="M52" s="2">
        <f>VLOOKUP(Table3[[#This Row],[Pipe_name]],[2]!Table1[[id3]:[Cost]],8,FALSE)</f>
        <v>0</v>
      </c>
      <c r="N52" s="2">
        <f>IFERROR(Table3[[#This Row],[2022 length]]*Table3[[#This Row],[2022 Pipeline unit cost]],0)</f>
        <v>31290.642692320653</v>
      </c>
      <c r="O52" s="2">
        <f>Table3[[#This Row],[2043 Length]]*Table3[[#This Row],[2043 Pipeline unit cost]]</f>
        <v>31290.642692320653</v>
      </c>
      <c r="P52" s="2">
        <f>MATCH(Table3[[#This Row],[Pipe_name]],'2022 pipes'!B:B,0)</f>
        <v>52</v>
      </c>
      <c r="Q52" s="2">
        <f>Table3[[#This Row],[2043 pipes]]-Table3[[#This Row],[Master Plan CAPEX Cost]]</f>
        <v>31290.642692320653</v>
      </c>
      <c r="R52" s="7">
        <f>Table3[[#This Row],[asdfa]]-Table3[[#This Row],[2022 total cost]]</f>
        <v>0</v>
      </c>
      <c r="V52" t="s">
        <v>279</v>
      </c>
      <c r="W52">
        <f>VLOOKUP(V52,Table3[[Pipe_name]:[Check DL Cost]],11,FALSE)</f>
        <v>5414.0065552509186</v>
      </c>
    </row>
    <row r="53" spans="1:23" x14ac:dyDescent="0.25">
      <c r="A53" s="1">
        <v>51</v>
      </c>
      <c r="B53" t="s">
        <v>68</v>
      </c>
      <c r="C53">
        <v>96</v>
      </c>
      <c r="D53">
        <v>3.8836059999999999</v>
      </c>
      <c r="E53">
        <f>VLOOKUP(Table3[[#This Row],[Pipe_name]],Table2[[Pipe_name]:[Original_Diameter]],2,FALSE)</f>
        <v>96</v>
      </c>
      <c r="F53">
        <f>VLOOKUP(Table3[[#This Row],[Pipe_name]],Table2[[Pipe_name]:[Length]],3,FALSE)</f>
        <v>3.8836059999999999</v>
      </c>
      <c r="G53" t="s">
        <v>331</v>
      </c>
      <c r="H53" t="str">
        <f>IF(Table3[[#This Row],[2043 Diameter]]=Table3[[#This Row],[2022 Diameter]],"No","Yes")</f>
        <v>No</v>
      </c>
      <c r="I53" t="str">
        <f>IF(Table3[[#This Row],[2043 Length]]=Table3[[#This Row],[2022 length]],"No","Yes")</f>
        <v>No</v>
      </c>
      <c r="J53" s="8">
        <f>VLOOKUP(Table3[[#This Row],[2043 Diameter]],[1]Pipes!$A:$B,2,FALSE)</f>
        <v>362.58707029616613</v>
      </c>
      <c r="K53" s="8">
        <f>VLOOKUP(Table3[[#This Row],[2022 Diameter]],[1]Pipes!$A:$B,2,FALSE)</f>
        <v>362.58707029616613</v>
      </c>
      <c r="L53" s="8">
        <f>IF(OR(IFERROR(Table3[[#This Row],[Diameter Change?]]="Yes","Yes"),Table3[[#This Row],[Pipe Added?]]="Yes"),Table3[[#This Row],[2043 Pipeline unit cost]]*Table3[[#This Row],[2043 Length]],0)</f>
        <v>0</v>
      </c>
      <c r="M53" s="2">
        <f>VLOOKUP(Table3[[#This Row],[Pipe_name]],[2]!Table1[[id3]:[Cost]],8,FALSE)</f>
        <v>0</v>
      </c>
      <c r="N53" s="2">
        <f>IFERROR(Table3[[#This Row],[2022 length]]*Table3[[#This Row],[2022 Pipeline unit cost]],0)</f>
        <v>1408.1453217246126</v>
      </c>
      <c r="O53" s="2">
        <f>Table3[[#This Row],[2043 Length]]*Table3[[#This Row],[2043 Pipeline unit cost]]</f>
        <v>1408.1453217246126</v>
      </c>
      <c r="P53" s="2">
        <f>MATCH(Table3[[#This Row],[Pipe_name]],'2022 pipes'!B:B,0)</f>
        <v>53</v>
      </c>
      <c r="Q53" s="2">
        <f>Table3[[#This Row],[2043 pipes]]-Table3[[#This Row],[Master Plan CAPEX Cost]]</f>
        <v>1408.1453217246126</v>
      </c>
      <c r="R53" s="7">
        <f>Table3[[#This Row],[asdfa]]-Table3[[#This Row],[2022 total cost]]</f>
        <v>0</v>
      </c>
      <c r="V53" t="s">
        <v>306</v>
      </c>
      <c r="W53">
        <f>VLOOKUP(V53,Table3[[Pipe_name]:[Check DL Cost]],11,FALSE)</f>
        <v>36456.632582355051</v>
      </c>
    </row>
    <row r="54" spans="1:23" x14ac:dyDescent="0.25">
      <c r="A54" s="1">
        <v>52</v>
      </c>
      <c r="B54" t="s">
        <v>69</v>
      </c>
      <c r="C54">
        <v>96</v>
      </c>
      <c r="D54">
        <v>81.483138999999994</v>
      </c>
      <c r="E54">
        <f>VLOOKUP(Table3[[#This Row],[Pipe_name]],Table2[[Pipe_name]:[Original_Diameter]],2,FALSE)</f>
        <v>96</v>
      </c>
      <c r="F54">
        <f>VLOOKUP(Table3[[#This Row],[Pipe_name]],Table2[[Pipe_name]:[Length]],3,FALSE)</f>
        <v>81.483138999999994</v>
      </c>
      <c r="G54" t="s">
        <v>331</v>
      </c>
      <c r="H54" t="str">
        <f>IF(Table3[[#This Row],[2043 Diameter]]=Table3[[#This Row],[2022 Diameter]],"No","Yes")</f>
        <v>No</v>
      </c>
      <c r="I54" t="str">
        <f>IF(Table3[[#This Row],[2043 Length]]=Table3[[#This Row],[2022 length]],"No","Yes")</f>
        <v>No</v>
      </c>
      <c r="J54" s="8">
        <f>VLOOKUP(Table3[[#This Row],[2043 Diameter]],[1]Pipes!$A:$B,2,FALSE)</f>
        <v>362.58707029616613</v>
      </c>
      <c r="K54" s="8">
        <f>VLOOKUP(Table3[[#This Row],[2022 Diameter]],[1]Pipes!$A:$B,2,FALSE)</f>
        <v>362.58707029616613</v>
      </c>
      <c r="L54" s="8">
        <f>IF(OR(IFERROR(Table3[[#This Row],[Diameter Change?]]="Yes","Yes"),Table3[[#This Row],[Pipe Added?]]="Yes"),Table3[[#This Row],[2043 Pipeline unit cost]]*Table3[[#This Row],[2043 Length]],0)</f>
        <v>0</v>
      </c>
      <c r="M54" s="2">
        <f>VLOOKUP(Table3[[#This Row],[Pipe_name]],[2]!Table1[[id3]:[Cost]],8,FALSE)</f>
        <v>0</v>
      </c>
      <c r="N54" s="2">
        <f>IFERROR(Table3[[#This Row],[2022 length]]*Table3[[#This Row],[2022 Pipeline unit cost]],0)</f>
        <v>29544.732648545272</v>
      </c>
      <c r="O54" s="2">
        <f>Table3[[#This Row],[2043 Length]]*Table3[[#This Row],[2043 Pipeline unit cost]]</f>
        <v>29544.732648545272</v>
      </c>
      <c r="P54" s="2">
        <f>MATCH(Table3[[#This Row],[Pipe_name]],'2022 pipes'!B:B,0)</f>
        <v>54</v>
      </c>
      <c r="Q54" s="2">
        <f>Table3[[#This Row],[2043 pipes]]-Table3[[#This Row],[Master Plan CAPEX Cost]]</f>
        <v>29544.732648545272</v>
      </c>
      <c r="R54" s="7">
        <f>Table3[[#This Row],[asdfa]]-Table3[[#This Row],[2022 total cost]]</f>
        <v>0</v>
      </c>
      <c r="V54" t="s">
        <v>307</v>
      </c>
      <c r="W54">
        <f>VLOOKUP(V54,Table3[[Pipe_name]:[Check DL Cost]],11,FALSE)</f>
        <v>40429.213606889949</v>
      </c>
    </row>
    <row r="55" spans="1:23" x14ac:dyDescent="0.25">
      <c r="A55" s="1">
        <v>53</v>
      </c>
      <c r="B55" t="s">
        <v>70</v>
      </c>
      <c r="C55">
        <v>143</v>
      </c>
      <c r="D55">
        <v>11.008478999999999</v>
      </c>
      <c r="E55">
        <f>VLOOKUP(Table3[[#This Row],[Pipe_name]],Table2[[Pipe_name]:[Original_Diameter]],2,FALSE)</f>
        <v>143</v>
      </c>
      <c r="F55">
        <f>VLOOKUP(Table3[[#This Row],[Pipe_name]],Table2[[Pipe_name]:[Length]],3,FALSE)</f>
        <v>11.008478999999999</v>
      </c>
      <c r="G55" t="s">
        <v>331</v>
      </c>
      <c r="H55" t="str">
        <f>IF(Table3[[#This Row],[2043 Diameter]]=Table3[[#This Row],[2022 Diameter]],"No","Yes")</f>
        <v>No</v>
      </c>
      <c r="I55" t="str">
        <f>IF(Table3[[#This Row],[2043 Length]]=Table3[[#This Row],[2022 length]],"No","Yes")</f>
        <v>No</v>
      </c>
      <c r="J55" s="8">
        <f>VLOOKUP(Table3[[#This Row],[2043 Diameter]],[1]Pipes!$A:$B,2,FALSE)</f>
        <v>433.89080378537034</v>
      </c>
      <c r="K55" s="8">
        <f>VLOOKUP(Table3[[#This Row],[2022 Diameter]],[1]Pipes!$A:$B,2,FALSE)</f>
        <v>433.89080378537034</v>
      </c>
      <c r="L55" s="8">
        <f>IF(OR(IFERROR(Table3[[#This Row],[Diameter Change?]]="Yes","Yes"),Table3[[#This Row],[Pipe Added?]]="Yes"),Table3[[#This Row],[2043 Pipeline unit cost]]*Table3[[#This Row],[2043 Length]],0)</f>
        <v>0</v>
      </c>
      <c r="M55" s="2">
        <f>VLOOKUP(Table3[[#This Row],[Pipe_name]],[2]!Table1[[id3]:[Cost]],8,FALSE)</f>
        <v>0</v>
      </c>
      <c r="N55" s="2">
        <f>IFERROR(Table3[[#This Row],[2022 length]]*Table3[[#This Row],[2022 Pipeline unit cost]],0)</f>
        <v>4776.4778017643694</v>
      </c>
      <c r="O55" s="2">
        <f>Table3[[#This Row],[2043 Length]]*Table3[[#This Row],[2043 Pipeline unit cost]]</f>
        <v>4776.4778017643694</v>
      </c>
      <c r="P55" s="2">
        <f>MATCH(Table3[[#This Row],[Pipe_name]],'2022 pipes'!B:B,0)</f>
        <v>55</v>
      </c>
      <c r="Q55" s="2">
        <f>Table3[[#This Row],[2043 pipes]]-Table3[[#This Row],[Master Plan CAPEX Cost]]</f>
        <v>4776.4778017643694</v>
      </c>
      <c r="R55" s="7">
        <f>Table3[[#This Row],[asdfa]]-Table3[[#This Row],[2022 total cost]]</f>
        <v>0</v>
      </c>
      <c r="V55" t="s">
        <v>308</v>
      </c>
      <c r="W55">
        <f>VLOOKUP(V55,Table3[[Pipe_name]:[Check DL Cost]],11,FALSE)</f>
        <v>38407.711646007505</v>
      </c>
    </row>
    <row r="56" spans="1:23" x14ac:dyDescent="0.25">
      <c r="A56" s="1">
        <v>54</v>
      </c>
      <c r="B56" t="s">
        <v>71</v>
      </c>
      <c r="C56">
        <v>150</v>
      </c>
      <c r="D56">
        <v>85.420578000000006</v>
      </c>
      <c r="E56">
        <f>VLOOKUP(Table3[[#This Row],[Pipe_name]],Table2[[Pipe_name]:[Original_Diameter]],2,FALSE)</f>
        <v>75</v>
      </c>
      <c r="F56">
        <f>VLOOKUP(Table3[[#This Row],[Pipe_name]],Table2[[Pipe_name]:[Length]],3,FALSE)</f>
        <v>85.420578000000006</v>
      </c>
      <c r="G56" t="s">
        <v>331</v>
      </c>
      <c r="H56" t="str">
        <f>IF(Table3[[#This Row],[2043 Diameter]]=Table3[[#This Row],[2022 Diameter]],"No","Yes")</f>
        <v>Yes</v>
      </c>
      <c r="I56" t="str">
        <f>IF(Table3[[#This Row],[2043 Length]]=Table3[[#This Row],[2022 length]],"No","Yes")</f>
        <v>No</v>
      </c>
      <c r="J56" s="8">
        <f>VLOOKUP(Table3[[#This Row],[2043 Diameter]],[1]Pipes!$A:$B,2,FALSE)</f>
        <v>433.89080378537034</v>
      </c>
      <c r="K56" s="8">
        <f>VLOOKUP(Table3[[#This Row],[2022 Diameter]],[1]Pipes!$A:$B,2,FALSE)</f>
        <v>362.58707029616613</v>
      </c>
      <c r="L56" s="8">
        <f>IF(OR(IFERROR(Table3[[#This Row],[Diameter Change?]]="Yes","Yes"),Table3[[#This Row],[Pipe Added?]]="Yes"),Table3[[#This Row],[2043 Pipeline unit cost]]*Table3[[#This Row],[2043 Length]],0)</f>
        <v>37063.203248230922</v>
      </c>
      <c r="M56" s="2">
        <f>VLOOKUP(Table3[[#This Row],[Pipe_name]],[2]!Table1[[id3]:[Cost]],8,FALSE)</f>
        <v>37062.952459346336</v>
      </c>
      <c r="N56" s="2">
        <f>IFERROR(Table3[[#This Row],[2022 length]]*Table3[[#This Row],[2022 Pipeline unit cost]],0)</f>
        <v>30972.397120025144</v>
      </c>
      <c r="O56" s="2">
        <f>Table3[[#This Row],[2043 Length]]*Table3[[#This Row],[2043 Pipeline unit cost]]</f>
        <v>37063.203248230922</v>
      </c>
      <c r="P56" s="2">
        <f>MATCH(Table3[[#This Row],[Pipe_name]],'2022 pipes'!B:B,0)</f>
        <v>56</v>
      </c>
      <c r="Q56" s="2">
        <f>Table3[[#This Row],[2043 pipes]]-Table3[[#This Row],[Master Plan CAPEX Cost]]</f>
        <v>0</v>
      </c>
      <c r="R56" s="7">
        <f>Table3[[#This Row],[asdfa]]-Table3[[#This Row],[2022 total cost]]</f>
        <v>-30972.397120025144</v>
      </c>
      <c r="V56" t="s">
        <v>309</v>
      </c>
      <c r="W56">
        <f>VLOOKUP(V56,Table3[[Pipe_name]:[Check DL Cost]],11,FALSE)</f>
        <v>16127.93488916249</v>
      </c>
    </row>
    <row r="57" spans="1:23" x14ac:dyDescent="0.25">
      <c r="A57" s="1">
        <v>55</v>
      </c>
      <c r="B57" t="s">
        <v>72</v>
      </c>
      <c r="C57">
        <v>96</v>
      </c>
      <c r="D57">
        <v>43.180835999999999</v>
      </c>
      <c r="E57">
        <f>VLOOKUP(Table3[[#This Row],[Pipe_name]],Table2[[Pipe_name]:[Original_Diameter]],2,FALSE)</f>
        <v>96</v>
      </c>
      <c r="F57">
        <f>VLOOKUP(Table3[[#This Row],[Pipe_name]],Table2[[Pipe_name]:[Length]],3,FALSE)</f>
        <v>43.180835999999999</v>
      </c>
      <c r="G57" t="s">
        <v>331</v>
      </c>
      <c r="H57" t="str">
        <f>IF(Table3[[#This Row],[2043 Diameter]]=Table3[[#This Row],[2022 Diameter]],"No","Yes")</f>
        <v>No</v>
      </c>
      <c r="I57" t="str">
        <f>IF(Table3[[#This Row],[2043 Length]]=Table3[[#This Row],[2022 length]],"No","Yes")</f>
        <v>No</v>
      </c>
      <c r="J57" s="8">
        <f>VLOOKUP(Table3[[#This Row],[2043 Diameter]],[1]Pipes!$A:$B,2,FALSE)</f>
        <v>362.58707029616613</v>
      </c>
      <c r="K57" s="8">
        <f>VLOOKUP(Table3[[#This Row],[2022 Diameter]],[1]Pipes!$A:$B,2,FALSE)</f>
        <v>362.58707029616613</v>
      </c>
      <c r="L57" s="8">
        <f>IF(OR(IFERROR(Table3[[#This Row],[Diameter Change?]]="Yes","Yes"),Table3[[#This Row],[Pipe Added?]]="Yes"),Table3[[#This Row],[2043 Pipeline unit cost]]*Table3[[#This Row],[2043 Length]],0)</f>
        <v>0</v>
      </c>
      <c r="M57" s="2">
        <f>VLOOKUP(Table3[[#This Row],[Pipe_name]],[2]!Table1[[id3]:[Cost]],8,FALSE)</f>
        <v>0</v>
      </c>
      <c r="N57" s="2">
        <f>IFERROR(Table3[[#This Row],[2022 length]]*Table3[[#This Row],[2022 Pipeline unit cost]],0)</f>
        <v>15656.812818179222</v>
      </c>
      <c r="O57" s="2">
        <f>Table3[[#This Row],[2043 Length]]*Table3[[#This Row],[2043 Pipeline unit cost]]</f>
        <v>15656.812818179222</v>
      </c>
      <c r="P57" s="2">
        <f>MATCH(Table3[[#This Row],[Pipe_name]],'2022 pipes'!B:B,0)</f>
        <v>57</v>
      </c>
      <c r="Q57" s="2">
        <f>Table3[[#This Row],[2043 pipes]]-Table3[[#This Row],[Master Plan CAPEX Cost]]</f>
        <v>15656.812818179222</v>
      </c>
      <c r="R57" s="7">
        <f>Table3[[#This Row],[asdfa]]-Table3[[#This Row],[2022 total cost]]</f>
        <v>0</v>
      </c>
      <c r="V57" t="s">
        <v>310</v>
      </c>
      <c r="W57">
        <f>VLOOKUP(V57,Table3[[Pipe_name]:[Check DL Cost]],11,FALSE)</f>
        <v>32372.401274260392</v>
      </c>
    </row>
    <row r="58" spans="1:23" x14ac:dyDescent="0.25">
      <c r="A58" s="1">
        <v>56</v>
      </c>
      <c r="B58" t="s">
        <v>73</v>
      </c>
      <c r="C58">
        <v>96</v>
      </c>
      <c r="D58">
        <v>222.53407300000001</v>
      </c>
      <c r="E58">
        <f>VLOOKUP(Table3[[#This Row],[Pipe_name]],Table2[[Pipe_name]:[Original_Diameter]],2,FALSE)</f>
        <v>96</v>
      </c>
      <c r="F58">
        <f>VLOOKUP(Table3[[#This Row],[Pipe_name]],Table2[[Pipe_name]:[Length]],3,FALSE)</f>
        <v>222.53407300000001</v>
      </c>
      <c r="G58" t="s">
        <v>331</v>
      </c>
      <c r="H58" t="str">
        <f>IF(Table3[[#This Row],[2043 Diameter]]=Table3[[#This Row],[2022 Diameter]],"No","Yes")</f>
        <v>No</v>
      </c>
      <c r="I58" t="str">
        <f>IF(Table3[[#This Row],[2043 Length]]=Table3[[#This Row],[2022 length]],"No","Yes")</f>
        <v>No</v>
      </c>
      <c r="J58" s="8">
        <f>VLOOKUP(Table3[[#This Row],[2043 Diameter]],[1]Pipes!$A:$B,2,FALSE)</f>
        <v>362.58707029616613</v>
      </c>
      <c r="K58" s="8">
        <f>VLOOKUP(Table3[[#This Row],[2022 Diameter]],[1]Pipes!$A:$B,2,FALSE)</f>
        <v>362.58707029616613</v>
      </c>
      <c r="L58" s="8">
        <f>IF(OR(IFERROR(Table3[[#This Row],[Diameter Change?]]="Yes","Yes"),Table3[[#This Row],[Pipe Added?]]="Yes"),Table3[[#This Row],[2043 Pipeline unit cost]]*Table3[[#This Row],[2043 Length]],0)</f>
        <v>0</v>
      </c>
      <c r="M58" s="2">
        <f>VLOOKUP(Table3[[#This Row],[Pipe_name]],[2]!Table1[[id3]:[Cost]],8,FALSE)</f>
        <v>0</v>
      </c>
      <c r="N58" s="2">
        <f>IFERROR(Table3[[#This Row],[2022 length]]*Table3[[#This Row],[2022 Pipeline unit cost]],0)</f>
        <v>80687.977570143164</v>
      </c>
      <c r="O58" s="2">
        <f>Table3[[#This Row],[2043 Length]]*Table3[[#This Row],[2043 Pipeline unit cost]]</f>
        <v>80687.977570143164</v>
      </c>
      <c r="P58" s="2">
        <f>MATCH(Table3[[#This Row],[Pipe_name]],'2022 pipes'!B:B,0)</f>
        <v>58</v>
      </c>
      <c r="Q58" s="2">
        <f>Table3[[#This Row],[2043 pipes]]-Table3[[#This Row],[Master Plan CAPEX Cost]]</f>
        <v>80687.977570143164</v>
      </c>
      <c r="R58" s="7">
        <f>Table3[[#This Row],[asdfa]]-Table3[[#This Row],[2022 total cost]]</f>
        <v>0</v>
      </c>
      <c r="V58" t="s">
        <v>311</v>
      </c>
      <c r="W58">
        <f>VLOOKUP(V58,Table3[[Pipe_name]:[Check DL Cost]],11,FALSE)</f>
        <v>22538.420629112305</v>
      </c>
    </row>
    <row r="59" spans="1:23" x14ac:dyDescent="0.25">
      <c r="A59" s="1">
        <v>57</v>
      </c>
      <c r="B59" t="s">
        <v>74</v>
      </c>
      <c r="C59">
        <v>96</v>
      </c>
      <c r="D59">
        <v>3.589038</v>
      </c>
      <c r="E59">
        <f>VLOOKUP(Table3[[#This Row],[Pipe_name]],Table2[[Pipe_name]:[Original_Diameter]],2,FALSE)</f>
        <v>96</v>
      </c>
      <c r="F59">
        <f>VLOOKUP(Table3[[#This Row],[Pipe_name]],Table2[[Pipe_name]:[Length]],3,FALSE)</f>
        <v>3.589038</v>
      </c>
      <c r="G59" t="s">
        <v>331</v>
      </c>
      <c r="H59" t="str">
        <f>IF(Table3[[#This Row],[2043 Diameter]]=Table3[[#This Row],[2022 Diameter]],"No","Yes")</f>
        <v>No</v>
      </c>
      <c r="I59" t="str">
        <f>IF(Table3[[#This Row],[2043 Length]]=Table3[[#This Row],[2022 length]],"No","Yes")</f>
        <v>No</v>
      </c>
      <c r="J59" s="8">
        <f>VLOOKUP(Table3[[#This Row],[2043 Diameter]],[1]Pipes!$A:$B,2,FALSE)</f>
        <v>362.58707029616613</v>
      </c>
      <c r="K59" s="8">
        <f>VLOOKUP(Table3[[#This Row],[2022 Diameter]],[1]Pipes!$A:$B,2,FALSE)</f>
        <v>362.58707029616613</v>
      </c>
      <c r="L59" s="8">
        <f>IF(OR(IFERROR(Table3[[#This Row],[Diameter Change?]]="Yes","Yes"),Table3[[#This Row],[Pipe Added?]]="Yes"),Table3[[#This Row],[2043 Pipeline unit cost]]*Table3[[#This Row],[2043 Length]],0)</f>
        <v>0</v>
      </c>
      <c r="M59" s="2">
        <f>VLOOKUP(Table3[[#This Row],[Pipe_name]],[2]!Table1[[id3]:[Cost]],8,FALSE)</f>
        <v>0</v>
      </c>
      <c r="N59" s="2">
        <f>IFERROR(Table3[[#This Row],[2022 length]]*Table3[[#This Row],[2022 Pipeline unit cost]],0)</f>
        <v>1301.3387736016116</v>
      </c>
      <c r="O59" s="2">
        <f>Table3[[#This Row],[2043 Length]]*Table3[[#This Row],[2043 Pipeline unit cost]]</f>
        <v>1301.3387736016116</v>
      </c>
      <c r="P59" s="2">
        <f>MATCH(Table3[[#This Row],[Pipe_name]],'2022 pipes'!B:B,0)</f>
        <v>59</v>
      </c>
      <c r="Q59" s="2">
        <f>Table3[[#This Row],[2043 pipes]]-Table3[[#This Row],[Master Plan CAPEX Cost]]</f>
        <v>1301.3387736016116</v>
      </c>
      <c r="R59" s="7">
        <f>Table3[[#This Row],[asdfa]]-Table3[[#This Row],[2022 total cost]]</f>
        <v>0</v>
      </c>
      <c r="V59" t="s">
        <v>312</v>
      </c>
      <c r="W59">
        <f>VLOOKUP(V59,Table3[[Pipe_name]:[Check DL Cost]],11,FALSE)</f>
        <v>10226.426760683147</v>
      </c>
    </row>
    <row r="60" spans="1:23" x14ac:dyDescent="0.25">
      <c r="A60" s="1">
        <v>58</v>
      </c>
      <c r="B60" t="s">
        <v>75</v>
      </c>
      <c r="C60">
        <v>141</v>
      </c>
      <c r="D60">
        <v>126.968475</v>
      </c>
      <c r="E60">
        <f>VLOOKUP(Table3[[#This Row],[Pipe_name]],Table2[[Pipe_name]:[Original_Diameter]],2,FALSE)</f>
        <v>141</v>
      </c>
      <c r="F60">
        <f>VLOOKUP(Table3[[#This Row],[Pipe_name]],Table2[[Pipe_name]:[Length]],3,FALSE)</f>
        <v>126.968475</v>
      </c>
      <c r="G60" t="s">
        <v>331</v>
      </c>
      <c r="H60" t="str">
        <f>IF(Table3[[#This Row],[2043 Diameter]]=Table3[[#This Row],[2022 Diameter]],"No","Yes")</f>
        <v>No</v>
      </c>
      <c r="I60" t="str">
        <f>IF(Table3[[#This Row],[2043 Length]]=Table3[[#This Row],[2022 length]],"No","Yes")</f>
        <v>No</v>
      </c>
      <c r="J60" s="8">
        <f>VLOOKUP(Table3[[#This Row],[2043 Diameter]],[1]Pipes!$A:$B,2,FALSE)</f>
        <v>433.89080378537034</v>
      </c>
      <c r="K60" s="8">
        <f>VLOOKUP(Table3[[#This Row],[2022 Diameter]],[1]Pipes!$A:$B,2,FALSE)</f>
        <v>433.89080378537034</v>
      </c>
      <c r="L60" s="8">
        <f>IF(OR(IFERROR(Table3[[#This Row],[Diameter Change?]]="Yes","Yes"),Table3[[#This Row],[Pipe Added?]]="Yes"),Table3[[#This Row],[2043 Pipeline unit cost]]*Table3[[#This Row],[2043 Length]],0)</f>
        <v>0</v>
      </c>
      <c r="M60" s="2">
        <f>VLOOKUP(Table3[[#This Row],[Pipe_name]],[2]!Table1[[id3]:[Cost]],8,FALSE)</f>
        <v>0</v>
      </c>
      <c r="N60" s="2">
        <f>IFERROR(Table3[[#This Row],[2022 length]]*Table3[[#This Row],[2022 Pipeline unit cost]],0)</f>
        <v>55090.453673152697</v>
      </c>
      <c r="O60" s="2">
        <f>Table3[[#This Row],[2043 Length]]*Table3[[#This Row],[2043 Pipeline unit cost]]</f>
        <v>55090.453673152697</v>
      </c>
      <c r="P60" s="2">
        <f>MATCH(Table3[[#This Row],[Pipe_name]],'2022 pipes'!B:B,0)</f>
        <v>60</v>
      </c>
      <c r="Q60" s="2">
        <f>Table3[[#This Row],[2043 pipes]]-Table3[[#This Row],[Master Plan CAPEX Cost]]</f>
        <v>55090.453673152697</v>
      </c>
      <c r="R60" s="7">
        <f>Table3[[#This Row],[asdfa]]-Table3[[#This Row],[2022 total cost]]</f>
        <v>0</v>
      </c>
      <c r="V60" t="s">
        <v>313</v>
      </c>
      <c r="W60">
        <f>VLOOKUP(V60,Table3[[Pipe_name]:[Check DL Cost]],11,FALSE)</f>
        <v>45863.325246533321</v>
      </c>
    </row>
    <row r="61" spans="1:23" x14ac:dyDescent="0.25">
      <c r="A61" s="1">
        <v>59</v>
      </c>
      <c r="B61" t="s">
        <v>76</v>
      </c>
      <c r="C61">
        <v>200</v>
      </c>
      <c r="D61">
        <v>9.7285520000000005</v>
      </c>
      <c r="E61">
        <f>VLOOKUP(Table3[[#This Row],[Pipe_name]],Table2[[Pipe_name]:[Original_Diameter]],2,FALSE)</f>
        <v>200</v>
      </c>
      <c r="F61">
        <f>VLOOKUP(Table3[[#This Row],[Pipe_name]],Table2[[Pipe_name]:[Length]],3,FALSE)</f>
        <v>9.7285520000000005</v>
      </c>
      <c r="G61" t="s">
        <v>331</v>
      </c>
      <c r="H61" t="str">
        <f>IF(Table3[[#This Row],[2043 Diameter]]=Table3[[#This Row],[2022 Diameter]],"No","Yes")</f>
        <v>No</v>
      </c>
      <c r="I61" t="str">
        <f>IF(Table3[[#This Row],[2043 Length]]=Table3[[#This Row],[2022 length]],"No","Yes")</f>
        <v>No</v>
      </c>
      <c r="J61" s="8">
        <f>VLOOKUP(Table3[[#This Row],[2043 Diameter]],[1]Pipes!$A:$B,2,FALSE)</f>
        <v>546.15625651305356</v>
      </c>
      <c r="K61" s="8">
        <f>VLOOKUP(Table3[[#This Row],[2022 Diameter]],[1]Pipes!$A:$B,2,FALSE)</f>
        <v>546.15625651305356</v>
      </c>
      <c r="L61" s="8">
        <f>IF(OR(IFERROR(Table3[[#This Row],[Diameter Change?]]="Yes","Yes"),Table3[[#This Row],[Pipe Added?]]="Yes"),Table3[[#This Row],[2043 Pipeline unit cost]]*Table3[[#This Row],[2043 Length]],0)</f>
        <v>0</v>
      </c>
      <c r="M61" s="2">
        <f>VLOOKUP(Table3[[#This Row],[Pipe_name]],[2]!Table1[[id3]:[Cost]],8,FALSE)</f>
        <v>0</v>
      </c>
      <c r="N61" s="2">
        <f>IFERROR(Table3[[#This Row],[2022 length]]*Table3[[#This Row],[2022 Pipeline unit cost]],0)</f>
        <v>5313.3095416125807</v>
      </c>
      <c r="O61" s="2">
        <f>Table3[[#This Row],[2043 Length]]*Table3[[#This Row],[2043 Pipeline unit cost]]</f>
        <v>5313.3095416125807</v>
      </c>
      <c r="P61" s="2">
        <f>MATCH(Table3[[#This Row],[Pipe_name]],'2022 pipes'!B:B,0)</f>
        <v>61</v>
      </c>
      <c r="Q61" s="2">
        <f>Table3[[#This Row],[2043 pipes]]-Table3[[#This Row],[Master Plan CAPEX Cost]]</f>
        <v>5313.3095416125807</v>
      </c>
      <c r="R61" s="7">
        <f>Table3[[#This Row],[asdfa]]-Table3[[#This Row],[2022 total cost]]</f>
        <v>0</v>
      </c>
      <c r="V61" t="s">
        <v>314</v>
      </c>
      <c r="W61">
        <f>VLOOKUP(V61,Table3[[Pipe_name]:[Check DL Cost]],11,FALSE)</f>
        <v>38896.16066531901</v>
      </c>
    </row>
    <row r="62" spans="1:23" x14ac:dyDescent="0.25">
      <c r="A62" s="1">
        <v>60</v>
      </c>
      <c r="B62" t="s">
        <v>77</v>
      </c>
      <c r="C62">
        <v>225</v>
      </c>
      <c r="D62">
        <v>26.569807000000001</v>
      </c>
      <c r="E62">
        <f>VLOOKUP(Table3[[#This Row],[Pipe_name]],Table2[[Pipe_name]:[Original_Diameter]],2,FALSE)</f>
        <v>143</v>
      </c>
      <c r="F62">
        <f>VLOOKUP(Table3[[#This Row],[Pipe_name]],Table2[[Pipe_name]:[Length]],3,FALSE)</f>
        <v>26.569807000000001</v>
      </c>
      <c r="G62" t="s">
        <v>331</v>
      </c>
      <c r="H62" t="str">
        <f>IF(Table3[[#This Row],[2043 Diameter]]=Table3[[#This Row],[2022 Diameter]],"No","Yes")</f>
        <v>Yes</v>
      </c>
      <c r="I62" t="str">
        <f>IF(Table3[[#This Row],[2043 Length]]=Table3[[#This Row],[2022 length]],"No","Yes")</f>
        <v>No</v>
      </c>
      <c r="J62" s="8">
        <f>VLOOKUP(Table3[[#This Row],[2043 Diameter]],[1]Pipes!$A:$B,2,FALSE)</f>
        <v>546.15625651305356</v>
      </c>
      <c r="K62" s="8">
        <f>VLOOKUP(Table3[[#This Row],[2022 Diameter]],[1]Pipes!$A:$B,2,FALSE)</f>
        <v>433.89080378537034</v>
      </c>
      <c r="L62" s="8">
        <f>IF(OR(IFERROR(Table3[[#This Row],[Diameter Change?]]="Yes","Yes"),Table3[[#This Row],[Pipe Added?]]="Yes"),Table3[[#This Row],[2043 Pipeline unit cost]]*Table3[[#This Row],[2043 Length]],0)</f>
        <v>14511.266327394327</v>
      </c>
      <c r="M62" s="2">
        <f>VLOOKUP(Table3[[#This Row],[Pipe_name]],[2]!Table1[[id3]:[Cost]],8,FALSE)</f>
        <v>14510.82557929532</v>
      </c>
      <c r="N62" s="2">
        <f>IFERROR(Table3[[#This Row],[2022 length]]*Table3[[#This Row],[2022 Pipeline unit cost]],0)</f>
        <v>11528.394915652159</v>
      </c>
      <c r="O62" s="2">
        <f>Table3[[#This Row],[2043 Length]]*Table3[[#This Row],[2043 Pipeline unit cost]]</f>
        <v>14511.266327394327</v>
      </c>
      <c r="P62" s="2">
        <f>MATCH(Table3[[#This Row],[Pipe_name]],'2022 pipes'!B:B,0)</f>
        <v>62</v>
      </c>
      <c r="Q62" s="2">
        <f>Table3[[#This Row],[2043 pipes]]-Table3[[#This Row],[Master Plan CAPEX Cost]]</f>
        <v>0</v>
      </c>
      <c r="R62" s="7">
        <f>Table3[[#This Row],[asdfa]]-Table3[[#This Row],[2022 total cost]]</f>
        <v>-11528.394915652159</v>
      </c>
      <c r="V62" t="s">
        <v>315</v>
      </c>
      <c r="W62">
        <f>VLOOKUP(V62,Table3[[Pipe_name]:[Check DL Cost]],11,FALSE)</f>
        <v>69791.378310175598</v>
      </c>
    </row>
    <row r="63" spans="1:23" x14ac:dyDescent="0.25">
      <c r="A63" s="1">
        <v>61</v>
      </c>
      <c r="B63" t="s">
        <v>78</v>
      </c>
      <c r="C63">
        <v>200</v>
      </c>
      <c r="D63">
        <v>4.5295550000000002</v>
      </c>
      <c r="E63">
        <f>VLOOKUP(Table3[[#This Row],[Pipe_name]],Table2[[Pipe_name]:[Original_Diameter]],2,FALSE)</f>
        <v>200</v>
      </c>
      <c r="F63">
        <f>VLOOKUP(Table3[[#This Row],[Pipe_name]],Table2[[Pipe_name]:[Length]],3,FALSE)</f>
        <v>4.5295550000000002</v>
      </c>
      <c r="G63" t="s">
        <v>331</v>
      </c>
      <c r="H63" t="str">
        <f>IF(Table3[[#This Row],[2043 Diameter]]=Table3[[#This Row],[2022 Diameter]],"No","Yes")</f>
        <v>No</v>
      </c>
      <c r="I63" t="str">
        <f>IF(Table3[[#This Row],[2043 Length]]=Table3[[#This Row],[2022 length]],"No","Yes")</f>
        <v>No</v>
      </c>
      <c r="J63" s="8">
        <f>VLOOKUP(Table3[[#This Row],[2043 Diameter]],[1]Pipes!$A:$B,2,FALSE)</f>
        <v>546.15625651305356</v>
      </c>
      <c r="K63" s="8">
        <f>VLOOKUP(Table3[[#This Row],[2022 Diameter]],[1]Pipes!$A:$B,2,FALSE)</f>
        <v>546.15625651305356</v>
      </c>
      <c r="L63" s="8">
        <f>IF(OR(IFERROR(Table3[[#This Row],[Diameter Change?]]="Yes","Yes"),Table3[[#This Row],[Pipe Added?]]="Yes"),Table3[[#This Row],[2043 Pipeline unit cost]]*Table3[[#This Row],[2043 Length]],0)</f>
        <v>0</v>
      </c>
      <c r="M63" s="2">
        <f>VLOOKUP(Table3[[#This Row],[Pipe_name]],[2]!Table1[[id3]:[Cost]],8,FALSE)</f>
        <v>0</v>
      </c>
      <c r="N63" s="2">
        <f>IFERROR(Table3[[#This Row],[2022 length]]*Table3[[#This Row],[2022 Pipeline unit cost]],0)</f>
        <v>2473.8448024699846</v>
      </c>
      <c r="O63" s="2">
        <f>Table3[[#This Row],[2043 Length]]*Table3[[#This Row],[2043 Pipeline unit cost]]</f>
        <v>2473.8448024699846</v>
      </c>
      <c r="P63" s="2">
        <f>MATCH(Table3[[#This Row],[Pipe_name]],'2022 pipes'!B:B,0)</f>
        <v>63</v>
      </c>
      <c r="Q63" s="2">
        <f>Table3[[#This Row],[2043 pipes]]-Table3[[#This Row],[Master Plan CAPEX Cost]]</f>
        <v>2473.8448024699846</v>
      </c>
      <c r="R63" s="7">
        <f>Table3[[#This Row],[asdfa]]-Table3[[#This Row],[2022 total cost]]</f>
        <v>0</v>
      </c>
      <c r="V63" t="s">
        <v>316</v>
      </c>
      <c r="W63">
        <f>VLOOKUP(V63,Table3[[Pipe_name]:[Check DL Cost]],11,FALSE)</f>
        <v>15676.538088822785</v>
      </c>
    </row>
    <row r="64" spans="1:23" x14ac:dyDescent="0.25">
      <c r="A64" s="1">
        <v>62</v>
      </c>
      <c r="B64" t="s">
        <v>79</v>
      </c>
      <c r="C64">
        <v>96</v>
      </c>
      <c r="D64">
        <v>3.8410039999999999</v>
      </c>
      <c r="E64">
        <f>VLOOKUP(Table3[[#This Row],[Pipe_name]],Table2[[Pipe_name]:[Original_Diameter]],2,FALSE)</f>
        <v>96</v>
      </c>
      <c r="F64">
        <f>VLOOKUP(Table3[[#This Row],[Pipe_name]],Table2[[Pipe_name]:[Length]],3,FALSE)</f>
        <v>3.8410039999999999</v>
      </c>
      <c r="G64" t="s">
        <v>331</v>
      </c>
      <c r="H64" t="str">
        <f>IF(Table3[[#This Row],[2043 Diameter]]=Table3[[#This Row],[2022 Diameter]],"No","Yes")</f>
        <v>No</v>
      </c>
      <c r="I64" t="str">
        <f>IF(Table3[[#This Row],[2043 Length]]=Table3[[#This Row],[2022 length]],"No","Yes")</f>
        <v>No</v>
      </c>
      <c r="J64" s="8">
        <f>VLOOKUP(Table3[[#This Row],[2043 Diameter]],[1]Pipes!$A:$B,2,FALSE)</f>
        <v>362.58707029616613</v>
      </c>
      <c r="K64" s="8">
        <f>VLOOKUP(Table3[[#This Row],[2022 Diameter]],[1]Pipes!$A:$B,2,FALSE)</f>
        <v>362.58707029616613</v>
      </c>
      <c r="L64" s="8">
        <f>IF(OR(IFERROR(Table3[[#This Row],[Diameter Change?]]="Yes","Yes"),Table3[[#This Row],[Pipe Added?]]="Yes"),Table3[[#This Row],[2043 Pipeline unit cost]]*Table3[[#This Row],[2043 Length]],0)</f>
        <v>0</v>
      </c>
      <c r="M64" s="2">
        <f>VLOOKUP(Table3[[#This Row],[Pipe_name]],[2]!Table1[[id3]:[Cost]],8,FALSE)</f>
        <v>0</v>
      </c>
      <c r="N64" s="2">
        <f>IFERROR(Table3[[#This Row],[2022 length]]*Table3[[#This Row],[2022 Pipeline unit cost]],0)</f>
        <v>1392.6983873558552</v>
      </c>
      <c r="O64" s="2">
        <f>Table3[[#This Row],[2043 Length]]*Table3[[#This Row],[2043 Pipeline unit cost]]</f>
        <v>1392.6983873558552</v>
      </c>
      <c r="P64" s="2">
        <f>MATCH(Table3[[#This Row],[Pipe_name]],'2022 pipes'!B:B,0)</f>
        <v>64</v>
      </c>
      <c r="Q64" s="2">
        <f>Table3[[#This Row],[2043 pipes]]-Table3[[#This Row],[Master Plan CAPEX Cost]]</f>
        <v>1392.6983873558552</v>
      </c>
      <c r="R64" s="7">
        <f>Table3[[#This Row],[asdfa]]-Table3[[#This Row],[2022 total cost]]</f>
        <v>0</v>
      </c>
      <c r="V64" t="s">
        <v>317</v>
      </c>
      <c r="W64">
        <f>VLOOKUP(V64,Table3[[Pipe_name]:[Check DL Cost]],11,FALSE)</f>
        <v>3993.4464858728747</v>
      </c>
    </row>
    <row r="65" spans="1:23" x14ac:dyDescent="0.25">
      <c r="A65" s="1">
        <v>63</v>
      </c>
      <c r="B65" t="s">
        <v>80</v>
      </c>
      <c r="C65">
        <v>96</v>
      </c>
      <c r="D65">
        <v>40.85342</v>
      </c>
      <c r="E65">
        <f>VLOOKUP(Table3[[#This Row],[Pipe_name]],Table2[[Pipe_name]:[Original_Diameter]],2,FALSE)</f>
        <v>96</v>
      </c>
      <c r="F65">
        <f>VLOOKUP(Table3[[#This Row],[Pipe_name]],Table2[[Pipe_name]:[Length]],3,FALSE)</f>
        <v>40.85342</v>
      </c>
      <c r="G65" t="s">
        <v>331</v>
      </c>
      <c r="H65" t="str">
        <f>IF(Table3[[#This Row],[2043 Diameter]]=Table3[[#This Row],[2022 Diameter]],"No","Yes")</f>
        <v>No</v>
      </c>
      <c r="I65" t="str">
        <f>IF(Table3[[#This Row],[2043 Length]]=Table3[[#This Row],[2022 length]],"No","Yes")</f>
        <v>No</v>
      </c>
      <c r="J65" s="8">
        <f>VLOOKUP(Table3[[#This Row],[2043 Diameter]],[1]Pipes!$A:$B,2,FALSE)</f>
        <v>362.58707029616613</v>
      </c>
      <c r="K65" s="8">
        <f>VLOOKUP(Table3[[#This Row],[2022 Diameter]],[1]Pipes!$A:$B,2,FALSE)</f>
        <v>362.58707029616613</v>
      </c>
      <c r="L65" s="8">
        <f>IF(OR(IFERROR(Table3[[#This Row],[Diameter Change?]]="Yes","Yes"),Table3[[#This Row],[Pipe Added?]]="Yes"),Table3[[#This Row],[2043 Pipeline unit cost]]*Table3[[#This Row],[2043 Length]],0)</f>
        <v>0</v>
      </c>
      <c r="M65" s="2">
        <f>VLOOKUP(Table3[[#This Row],[Pipe_name]],[2]!Table1[[id3]:[Cost]],8,FALSE)</f>
        <v>0</v>
      </c>
      <c r="N65" s="2">
        <f>IFERROR(Table3[[#This Row],[2022 length]]*Table3[[#This Row],[2022 Pipeline unit cost]],0)</f>
        <v>14812.921869378799</v>
      </c>
      <c r="O65" s="2">
        <f>Table3[[#This Row],[2043 Length]]*Table3[[#This Row],[2043 Pipeline unit cost]]</f>
        <v>14812.921869378799</v>
      </c>
      <c r="P65" s="2">
        <f>MATCH(Table3[[#This Row],[Pipe_name]],'2022 pipes'!B:B,0)</f>
        <v>65</v>
      </c>
      <c r="Q65" s="2">
        <f>Table3[[#This Row],[2043 pipes]]-Table3[[#This Row],[Master Plan CAPEX Cost]]</f>
        <v>14812.921869378799</v>
      </c>
      <c r="R65" s="7">
        <f>Table3[[#This Row],[asdfa]]-Table3[[#This Row],[2022 total cost]]</f>
        <v>0</v>
      </c>
      <c r="V65" t="s">
        <v>318</v>
      </c>
      <c r="W65">
        <f>VLOOKUP(V65,Table3[[Pipe_name]:[Check DL Cost]],11,FALSE)</f>
        <v>1357.5020088607821</v>
      </c>
    </row>
    <row r="66" spans="1:23" x14ac:dyDescent="0.25">
      <c r="A66" s="1">
        <v>64</v>
      </c>
      <c r="B66" t="s">
        <v>81</v>
      </c>
      <c r="C66">
        <v>96</v>
      </c>
      <c r="D66">
        <v>52.317431999999997</v>
      </c>
      <c r="E66">
        <f>VLOOKUP(Table3[[#This Row],[Pipe_name]],Table2[[Pipe_name]:[Original_Diameter]],2,FALSE)</f>
        <v>96</v>
      </c>
      <c r="F66">
        <f>VLOOKUP(Table3[[#This Row],[Pipe_name]],Table2[[Pipe_name]:[Length]],3,FALSE)</f>
        <v>52.317431999999997</v>
      </c>
      <c r="G66" t="s">
        <v>331</v>
      </c>
      <c r="H66" t="str">
        <f>IF(Table3[[#This Row],[2043 Diameter]]=Table3[[#This Row],[2022 Diameter]],"No","Yes")</f>
        <v>No</v>
      </c>
      <c r="I66" t="str">
        <f>IF(Table3[[#This Row],[2043 Length]]=Table3[[#This Row],[2022 length]],"No","Yes")</f>
        <v>No</v>
      </c>
      <c r="J66" s="8">
        <f>VLOOKUP(Table3[[#This Row],[2043 Diameter]],[1]Pipes!$A:$B,2,FALSE)</f>
        <v>362.58707029616613</v>
      </c>
      <c r="K66" s="8">
        <f>VLOOKUP(Table3[[#This Row],[2022 Diameter]],[1]Pipes!$A:$B,2,FALSE)</f>
        <v>362.58707029616613</v>
      </c>
      <c r="L66" s="8">
        <f>IF(OR(IFERROR(Table3[[#This Row],[Diameter Change?]]="Yes","Yes"),Table3[[#This Row],[Pipe Added?]]="Yes"),Table3[[#This Row],[2043 Pipeline unit cost]]*Table3[[#This Row],[2043 Length]],0)</f>
        <v>0</v>
      </c>
      <c r="M66" s="2">
        <f>VLOOKUP(Table3[[#This Row],[Pipe_name]],[2]!Table1[[id3]:[Cost]],8,FALSE)</f>
        <v>0</v>
      </c>
      <c r="N66" s="2">
        <f>IFERROR(Table3[[#This Row],[2022 length]]*Table3[[#This Row],[2022 Pipeline unit cost]],0)</f>
        <v>18969.624394298891</v>
      </c>
      <c r="O66" s="2">
        <f>Table3[[#This Row],[2043 Length]]*Table3[[#This Row],[2043 Pipeline unit cost]]</f>
        <v>18969.624394298891</v>
      </c>
      <c r="P66" s="2">
        <f>MATCH(Table3[[#This Row],[Pipe_name]],'2022 pipes'!B:B,0)</f>
        <v>66</v>
      </c>
      <c r="Q66" s="2">
        <f>Table3[[#This Row],[2043 pipes]]-Table3[[#This Row],[Master Plan CAPEX Cost]]</f>
        <v>18969.624394298891</v>
      </c>
      <c r="R66" s="7">
        <f>Table3[[#This Row],[asdfa]]-Table3[[#This Row],[2022 total cost]]</f>
        <v>0</v>
      </c>
      <c r="V66" t="s">
        <v>319</v>
      </c>
      <c r="W66">
        <f>VLOOKUP(V66,Table3[[Pipe_name]:[Check DL Cost]],11,FALSE)</f>
        <v>1302.6766106597529</v>
      </c>
    </row>
    <row r="67" spans="1:23" x14ac:dyDescent="0.25">
      <c r="A67" s="1">
        <v>65</v>
      </c>
      <c r="B67" t="s">
        <v>82</v>
      </c>
      <c r="C67">
        <v>141</v>
      </c>
      <c r="D67">
        <v>12.552962000000001</v>
      </c>
      <c r="E67">
        <f>VLOOKUP(Table3[[#This Row],[Pipe_name]],Table2[[Pipe_name]:[Original_Diameter]],2,FALSE)</f>
        <v>141</v>
      </c>
      <c r="F67">
        <f>VLOOKUP(Table3[[#This Row],[Pipe_name]],Table2[[Pipe_name]:[Length]],3,FALSE)</f>
        <v>12.552962000000001</v>
      </c>
      <c r="G67" t="s">
        <v>331</v>
      </c>
      <c r="H67" t="str">
        <f>IF(Table3[[#This Row],[2043 Diameter]]=Table3[[#This Row],[2022 Diameter]],"No","Yes")</f>
        <v>No</v>
      </c>
      <c r="I67" t="str">
        <f>IF(Table3[[#This Row],[2043 Length]]=Table3[[#This Row],[2022 length]],"No","Yes")</f>
        <v>No</v>
      </c>
      <c r="J67" s="8">
        <f>VLOOKUP(Table3[[#This Row],[2043 Diameter]],[1]Pipes!$A:$B,2,FALSE)</f>
        <v>433.89080378537034</v>
      </c>
      <c r="K67" s="8">
        <f>VLOOKUP(Table3[[#This Row],[2022 Diameter]],[1]Pipes!$A:$B,2,FALSE)</f>
        <v>433.89080378537034</v>
      </c>
      <c r="L67" s="8">
        <f>IF(OR(IFERROR(Table3[[#This Row],[Diameter Change?]]="Yes","Yes"),Table3[[#This Row],[Pipe Added?]]="Yes"),Table3[[#This Row],[2043 Pipeline unit cost]]*Table3[[#This Row],[2043 Length]],0)</f>
        <v>0</v>
      </c>
      <c r="M67" s="2">
        <f>VLOOKUP(Table3[[#This Row],[Pipe_name]],[2]!Table1[[id3]:[Cost]],8,FALSE)</f>
        <v>0</v>
      </c>
      <c r="N67" s="2">
        <f>IFERROR(Table3[[#This Row],[2022 length]]*Table3[[#This Row],[2022 Pipeline unit cost]],0)</f>
        <v>5446.6147720672107</v>
      </c>
      <c r="O67" s="2">
        <f>Table3[[#This Row],[2043 Length]]*Table3[[#This Row],[2043 Pipeline unit cost]]</f>
        <v>5446.6147720672107</v>
      </c>
      <c r="P67" s="2">
        <f>MATCH(Table3[[#This Row],[Pipe_name]],'2022 pipes'!B:B,0)</f>
        <v>67</v>
      </c>
      <c r="Q67" s="2">
        <f>Table3[[#This Row],[2043 pipes]]-Table3[[#This Row],[Master Plan CAPEX Cost]]</f>
        <v>5446.6147720672107</v>
      </c>
      <c r="R67" s="7">
        <f>Table3[[#This Row],[asdfa]]-Table3[[#This Row],[2022 total cost]]</f>
        <v>0</v>
      </c>
      <c r="V67" t="s">
        <v>320</v>
      </c>
      <c r="W67">
        <f>VLOOKUP(V67,Table3[[Pipe_name]:[Check DL Cost]],11,FALSE)</f>
        <v>351479.99347611971</v>
      </c>
    </row>
    <row r="68" spans="1:23" x14ac:dyDescent="0.25">
      <c r="A68" s="1">
        <v>66</v>
      </c>
      <c r="B68" t="s">
        <v>83</v>
      </c>
      <c r="C68">
        <v>96</v>
      </c>
      <c r="D68">
        <v>17.265577</v>
      </c>
      <c r="E68">
        <f>VLOOKUP(Table3[[#This Row],[Pipe_name]],Table2[[Pipe_name]:[Original_Diameter]],2,FALSE)</f>
        <v>96</v>
      </c>
      <c r="F68">
        <f>VLOOKUP(Table3[[#This Row],[Pipe_name]],Table2[[Pipe_name]:[Length]],3,FALSE)</f>
        <v>17.265577</v>
      </c>
      <c r="G68" t="s">
        <v>331</v>
      </c>
      <c r="H68" t="str">
        <f>IF(Table3[[#This Row],[2043 Diameter]]=Table3[[#This Row],[2022 Diameter]],"No","Yes")</f>
        <v>No</v>
      </c>
      <c r="I68" t="str">
        <f>IF(Table3[[#This Row],[2043 Length]]=Table3[[#This Row],[2022 length]],"No","Yes")</f>
        <v>No</v>
      </c>
      <c r="J68" s="8">
        <f>VLOOKUP(Table3[[#This Row],[2043 Diameter]],[1]Pipes!$A:$B,2,FALSE)</f>
        <v>362.58707029616613</v>
      </c>
      <c r="K68" s="8">
        <f>VLOOKUP(Table3[[#This Row],[2022 Diameter]],[1]Pipes!$A:$B,2,FALSE)</f>
        <v>362.58707029616613</v>
      </c>
      <c r="L68" s="8">
        <f>IF(OR(IFERROR(Table3[[#This Row],[Diameter Change?]]="Yes","Yes"),Table3[[#This Row],[Pipe Added?]]="Yes"),Table3[[#This Row],[2043 Pipeline unit cost]]*Table3[[#This Row],[2043 Length]],0)</f>
        <v>0</v>
      </c>
      <c r="M68" s="2">
        <f>VLOOKUP(Table3[[#This Row],[Pipe_name]],[2]!Table1[[id3]:[Cost]],8,FALSE)</f>
        <v>0</v>
      </c>
      <c r="N68" s="2">
        <f>IFERROR(Table3[[#This Row],[2022 length]]*Table3[[#This Row],[2022 Pipeline unit cost]],0)</f>
        <v>6260.2749814028693</v>
      </c>
      <c r="O68" s="2">
        <f>Table3[[#This Row],[2043 Length]]*Table3[[#This Row],[2043 Pipeline unit cost]]</f>
        <v>6260.2749814028693</v>
      </c>
      <c r="P68" s="2">
        <f>MATCH(Table3[[#This Row],[Pipe_name]],'2022 pipes'!B:B,0)</f>
        <v>68</v>
      </c>
      <c r="Q68" s="2">
        <f>Table3[[#This Row],[2043 pipes]]-Table3[[#This Row],[Master Plan CAPEX Cost]]</f>
        <v>6260.2749814028693</v>
      </c>
      <c r="R68" s="7">
        <f>Table3[[#This Row],[asdfa]]-Table3[[#This Row],[2022 total cost]]</f>
        <v>0</v>
      </c>
      <c r="V68" t="s">
        <v>321</v>
      </c>
      <c r="W68">
        <f>VLOOKUP(V68,Table3[[Pipe_name]:[Check DL Cost]],11,FALSE)</f>
        <v>665.98020841073492</v>
      </c>
    </row>
    <row r="69" spans="1:23" x14ac:dyDescent="0.25">
      <c r="A69" s="1">
        <v>67</v>
      </c>
      <c r="B69" t="s">
        <v>84</v>
      </c>
      <c r="C69">
        <v>96</v>
      </c>
      <c r="D69">
        <v>12.796141</v>
      </c>
      <c r="E69">
        <f>VLOOKUP(Table3[[#This Row],[Pipe_name]],Table2[[Pipe_name]:[Original_Diameter]],2,FALSE)</f>
        <v>96</v>
      </c>
      <c r="F69">
        <f>VLOOKUP(Table3[[#This Row],[Pipe_name]],Table2[[Pipe_name]:[Length]],3,FALSE)</f>
        <v>12.796141</v>
      </c>
      <c r="G69" t="s">
        <v>331</v>
      </c>
      <c r="H69" t="str">
        <f>IF(Table3[[#This Row],[2043 Diameter]]=Table3[[#This Row],[2022 Diameter]],"No","Yes")</f>
        <v>No</v>
      </c>
      <c r="I69" t="str">
        <f>IF(Table3[[#This Row],[2043 Length]]=Table3[[#This Row],[2022 length]],"No","Yes")</f>
        <v>No</v>
      </c>
      <c r="J69" s="8">
        <f>VLOOKUP(Table3[[#This Row],[2043 Diameter]],[1]Pipes!$A:$B,2,FALSE)</f>
        <v>362.58707029616613</v>
      </c>
      <c r="K69" s="8">
        <f>VLOOKUP(Table3[[#This Row],[2022 Diameter]],[1]Pipes!$A:$B,2,FALSE)</f>
        <v>362.58707029616613</v>
      </c>
      <c r="L69" s="8">
        <f>IF(OR(IFERROR(Table3[[#This Row],[Diameter Change?]]="Yes","Yes"),Table3[[#This Row],[Pipe Added?]]="Yes"),Table3[[#This Row],[2043 Pipeline unit cost]]*Table3[[#This Row],[2043 Length]],0)</f>
        <v>0</v>
      </c>
      <c r="M69" s="2">
        <f>VLOOKUP(Table3[[#This Row],[Pipe_name]],[2]!Table1[[id3]:[Cost]],8,FALSE)</f>
        <v>0</v>
      </c>
      <c r="N69" s="2">
        <f>IFERROR(Table3[[#This Row],[2022 length]]*Table3[[#This Row],[2022 Pipeline unit cost]],0)</f>
        <v>4639.7152762866535</v>
      </c>
      <c r="O69" s="2">
        <f>Table3[[#This Row],[2043 Length]]*Table3[[#This Row],[2043 Pipeline unit cost]]</f>
        <v>4639.7152762866535</v>
      </c>
      <c r="P69" s="2">
        <f>MATCH(Table3[[#This Row],[Pipe_name]],'2022 pipes'!B:B,0)</f>
        <v>69</v>
      </c>
      <c r="Q69" s="2">
        <f>Table3[[#This Row],[2043 pipes]]-Table3[[#This Row],[Master Plan CAPEX Cost]]</f>
        <v>4639.7152762866535</v>
      </c>
      <c r="R69" s="7">
        <f>Table3[[#This Row],[asdfa]]-Table3[[#This Row],[2022 total cost]]</f>
        <v>0</v>
      </c>
      <c r="V69" t="s">
        <v>322</v>
      </c>
      <c r="W69">
        <f>VLOOKUP(V69,Table3[[Pipe_name]:[Check DL Cost]],11,FALSE)</f>
        <v>678.66031821819854</v>
      </c>
    </row>
    <row r="70" spans="1:23" x14ac:dyDescent="0.25">
      <c r="A70" s="1">
        <v>68</v>
      </c>
      <c r="B70" t="s">
        <v>85</v>
      </c>
      <c r="C70">
        <v>96</v>
      </c>
      <c r="D70">
        <v>59.447406999999998</v>
      </c>
      <c r="E70">
        <f>VLOOKUP(Table3[[#This Row],[Pipe_name]],Table2[[Pipe_name]:[Original_Diameter]],2,FALSE)</f>
        <v>96</v>
      </c>
      <c r="F70">
        <f>VLOOKUP(Table3[[#This Row],[Pipe_name]],Table2[[Pipe_name]:[Length]],3,FALSE)</f>
        <v>59.447406999999998</v>
      </c>
      <c r="G70" t="s">
        <v>331</v>
      </c>
      <c r="H70" t="str">
        <f>IF(Table3[[#This Row],[2043 Diameter]]=Table3[[#This Row],[2022 Diameter]],"No","Yes")</f>
        <v>No</v>
      </c>
      <c r="I70" t="str">
        <f>IF(Table3[[#This Row],[2043 Length]]=Table3[[#This Row],[2022 length]],"No","Yes")</f>
        <v>No</v>
      </c>
      <c r="J70" s="8">
        <f>VLOOKUP(Table3[[#This Row],[2043 Diameter]],[1]Pipes!$A:$B,2,FALSE)</f>
        <v>362.58707029616613</v>
      </c>
      <c r="K70" s="8">
        <f>VLOOKUP(Table3[[#This Row],[2022 Diameter]],[1]Pipes!$A:$B,2,FALSE)</f>
        <v>362.58707029616613</v>
      </c>
      <c r="L70" s="8">
        <f>IF(OR(IFERROR(Table3[[#This Row],[Diameter Change?]]="Yes","Yes"),Table3[[#This Row],[Pipe Added?]]="Yes"),Table3[[#This Row],[2043 Pipeline unit cost]]*Table3[[#This Row],[2043 Length]],0)</f>
        <v>0</v>
      </c>
      <c r="M70" s="2">
        <f>VLOOKUP(Table3[[#This Row],[Pipe_name]],[2]!Table1[[id3]:[Cost]],8,FALSE)</f>
        <v>0</v>
      </c>
      <c r="N70" s="2">
        <f>IFERROR(Table3[[#This Row],[2022 length]]*Table3[[#This Row],[2022 Pipeline unit cost]],0)</f>
        <v>21554.861140833797</v>
      </c>
      <c r="O70" s="2">
        <f>Table3[[#This Row],[2043 Length]]*Table3[[#This Row],[2043 Pipeline unit cost]]</f>
        <v>21554.861140833797</v>
      </c>
      <c r="P70" s="2">
        <f>MATCH(Table3[[#This Row],[Pipe_name]],'2022 pipes'!B:B,0)</f>
        <v>70</v>
      </c>
      <c r="Q70" s="2">
        <f>Table3[[#This Row],[2043 pipes]]-Table3[[#This Row],[Master Plan CAPEX Cost]]</f>
        <v>21554.861140833797</v>
      </c>
      <c r="R70" s="7">
        <f>Table3[[#This Row],[asdfa]]-Table3[[#This Row],[2022 total cost]]</f>
        <v>0</v>
      </c>
      <c r="V70" t="s">
        <v>323</v>
      </c>
      <c r="W70">
        <f>VLOOKUP(V70,Table3[[Pipe_name]:[Check DL Cost]],11,FALSE)</f>
        <v>1221.3233593145947</v>
      </c>
    </row>
    <row r="71" spans="1:23" x14ac:dyDescent="0.25">
      <c r="A71" s="1">
        <v>69</v>
      </c>
      <c r="B71" t="s">
        <v>86</v>
      </c>
      <c r="C71">
        <v>96</v>
      </c>
      <c r="D71">
        <v>86.270981000000006</v>
      </c>
      <c r="E71">
        <f>VLOOKUP(Table3[[#This Row],[Pipe_name]],Table2[[Pipe_name]:[Original_Diameter]],2,FALSE)</f>
        <v>96</v>
      </c>
      <c r="F71">
        <f>VLOOKUP(Table3[[#This Row],[Pipe_name]],Table2[[Pipe_name]:[Length]],3,FALSE)</f>
        <v>86.270981000000006</v>
      </c>
      <c r="G71" t="s">
        <v>331</v>
      </c>
      <c r="H71" t="str">
        <f>IF(Table3[[#This Row],[2043 Diameter]]=Table3[[#This Row],[2022 Diameter]],"No","Yes")</f>
        <v>No</v>
      </c>
      <c r="I71" t="str">
        <f>IF(Table3[[#This Row],[2043 Length]]=Table3[[#This Row],[2022 length]],"No","Yes")</f>
        <v>No</v>
      </c>
      <c r="J71" s="8">
        <f>VLOOKUP(Table3[[#This Row],[2043 Diameter]],[1]Pipes!$A:$B,2,FALSE)</f>
        <v>362.58707029616613</v>
      </c>
      <c r="K71" s="8">
        <f>VLOOKUP(Table3[[#This Row],[2022 Diameter]],[1]Pipes!$A:$B,2,FALSE)</f>
        <v>362.58707029616613</v>
      </c>
      <c r="L71" s="8">
        <f>IF(OR(IFERROR(Table3[[#This Row],[Diameter Change?]]="Yes","Yes"),Table3[[#This Row],[Pipe Added?]]="Yes"),Table3[[#This Row],[2043 Pipeline unit cost]]*Table3[[#This Row],[2043 Length]],0)</f>
        <v>0</v>
      </c>
      <c r="M71" s="2">
        <f>VLOOKUP(Table3[[#This Row],[Pipe_name]],[2]!Table1[[id3]:[Cost]],8,FALSE)</f>
        <v>0</v>
      </c>
      <c r="N71" s="2">
        <f>IFERROR(Table3[[#This Row],[2022 length]]*Table3[[#This Row],[2022 Pipeline unit cost]],0)</f>
        <v>31280.742252366214</v>
      </c>
      <c r="O71" s="2">
        <f>Table3[[#This Row],[2043 Length]]*Table3[[#This Row],[2043 Pipeline unit cost]]</f>
        <v>31280.742252366214</v>
      </c>
      <c r="P71" s="2">
        <f>MATCH(Table3[[#This Row],[Pipe_name]],'2022 pipes'!B:B,0)</f>
        <v>71</v>
      </c>
      <c r="Q71" s="2">
        <f>Table3[[#This Row],[2043 pipes]]-Table3[[#This Row],[Master Plan CAPEX Cost]]</f>
        <v>31280.742252366214</v>
      </c>
      <c r="R71" s="7">
        <f>Table3[[#This Row],[asdfa]]-Table3[[#This Row],[2022 total cost]]</f>
        <v>0</v>
      </c>
      <c r="V71" t="s">
        <v>324</v>
      </c>
      <c r="W71">
        <f>VLOOKUP(V71,Table3[[Pipe_name]:[Check DL Cost]],11,FALSE)</f>
        <v>1049.1377686362373</v>
      </c>
    </row>
    <row r="72" spans="1:23" x14ac:dyDescent="0.25">
      <c r="A72" s="1">
        <v>70</v>
      </c>
      <c r="B72" t="s">
        <v>87</v>
      </c>
      <c r="C72">
        <v>101</v>
      </c>
      <c r="D72">
        <v>3.7247370000000002</v>
      </c>
      <c r="E72">
        <f>VLOOKUP(Table3[[#This Row],[Pipe_name]],Table2[[Pipe_name]:[Original_Diameter]],2,FALSE)</f>
        <v>101</v>
      </c>
      <c r="F72">
        <f>VLOOKUP(Table3[[#This Row],[Pipe_name]],Table2[[Pipe_name]:[Length]],3,FALSE)</f>
        <v>3.7247370000000002</v>
      </c>
      <c r="G72" t="s">
        <v>331</v>
      </c>
      <c r="H72" t="str">
        <f>IF(Table3[[#This Row],[2043 Diameter]]=Table3[[#This Row],[2022 Diameter]],"No","Yes")</f>
        <v>No</v>
      </c>
      <c r="I72" t="str">
        <f>IF(Table3[[#This Row],[2043 Length]]=Table3[[#This Row],[2022 length]],"No","Yes")</f>
        <v>No</v>
      </c>
      <c r="J72" s="8">
        <f>VLOOKUP(Table3[[#This Row],[2043 Diameter]],[1]Pipes!$A:$B,2,FALSE)</f>
        <v>362.58707029616613</v>
      </c>
      <c r="K72" s="8">
        <f>VLOOKUP(Table3[[#This Row],[2022 Diameter]],[1]Pipes!$A:$B,2,FALSE)</f>
        <v>362.58707029616613</v>
      </c>
      <c r="L72" s="8">
        <f>IF(OR(IFERROR(Table3[[#This Row],[Diameter Change?]]="Yes","Yes"),Table3[[#This Row],[Pipe Added?]]="Yes"),Table3[[#This Row],[2043 Pipeline unit cost]]*Table3[[#This Row],[2043 Length]],0)</f>
        <v>0</v>
      </c>
      <c r="M72" s="2">
        <f>VLOOKUP(Table3[[#This Row],[Pipe_name]],[2]!Table1[[id3]:[Cost]],8,FALSE)</f>
        <v>0</v>
      </c>
      <c r="N72" s="2">
        <f>IFERROR(Table3[[#This Row],[2022 length]]*Table3[[#This Row],[2022 Pipeline unit cost]],0)</f>
        <v>1350.5414764537311</v>
      </c>
      <c r="O72" s="2">
        <f>Table3[[#This Row],[2043 Length]]*Table3[[#This Row],[2043 Pipeline unit cost]]</f>
        <v>1350.5414764537311</v>
      </c>
      <c r="P72" s="2">
        <f>MATCH(Table3[[#This Row],[Pipe_name]],'2022 pipes'!B:B,0)</f>
        <v>72</v>
      </c>
      <c r="Q72" s="2">
        <f>Table3[[#This Row],[2043 pipes]]-Table3[[#This Row],[Master Plan CAPEX Cost]]</f>
        <v>1350.5414764537311</v>
      </c>
      <c r="R72" s="7">
        <f>Table3[[#This Row],[asdfa]]-Table3[[#This Row],[2022 total cost]]</f>
        <v>0</v>
      </c>
      <c r="V72" t="s">
        <v>299</v>
      </c>
      <c r="W72">
        <f>VLOOKUP(V72,Table3[[Pipe_name]:[Check DL Cost]],11,FALSE)</f>
        <v>10393.307133610306</v>
      </c>
    </row>
    <row r="73" spans="1:23" x14ac:dyDescent="0.25">
      <c r="A73" s="1">
        <v>71</v>
      </c>
      <c r="B73" t="s">
        <v>88</v>
      </c>
      <c r="C73">
        <v>96</v>
      </c>
      <c r="D73">
        <v>2.1454460000000002</v>
      </c>
      <c r="E73">
        <f>VLOOKUP(Table3[[#This Row],[Pipe_name]],Table2[[Pipe_name]:[Original_Diameter]],2,FALSE)</f>
        <v>96</v>
      </c>
      <c r="F73">
        <f>VLOOKUP(Table3[[#This Row],[Pipe_name]],Table2[[Pipe_name]:[Length]],3,FALSE)</f>
        <v>2.1454460000000002</v>
      </c>
      <c r="G73" t="s">
        <v>331</v>
      </c>
      <c r="H73" t="str">
        <f>IF(Table3[[#This Row],[2043 Diameter]]=Table3[[#This Row],[2022 Diameter]],"No","Yes")</f>
        <v>No</v>
      </c>
      <c r="I73" t="str">
        <f>IF(Table3[[#This Row],[2043 Length]]=Table3[[#This Row],[2022 length]],"No","Yes")</f>
        <v>No</v>
      </c>
      <c r="J73" s="8">
        <f>VLOOKUP(Table3[[#This Row],[2043 Diameter]],[1]Pipes!$A:$B,2,FALSE)</f>
        <v>362.58707029616613</v>
      </c>
      <c r="K73" s="8">
        <f>VLOOKUP(Table3[[#This Row],[2022 Diameter]],[1]Pipes!$A:$B,2,FALSE)</f>
        <v>362.58707029616613</v>
      </c>
      <c r="L73" s="8">
        <f>IF(OR(IFERROR(Table3[[#This Row],[Diameter Change?]]="Yes","Yes"),Table3[[#This Row],[Pipe Added?]]="Yes"),Table3[[#This Row],[2043 Pipeline unit cost]]*Table3[[#This Row],[2043 Length]],0)</f>
        <v>0</v>
      </c>
      <c r="M73" s="2">
        <f>VLOOKUP(Table3[[#This Row],[Pipe_name]],[2]!Table1[[id3]:[Cost]],8,FALSE)</f>
        <v>0</v>
      </c>
      <c r="N73" s="2">
        <f>IFERROR(Table3[[#This Row],[2022 length]]*Table3[[#This Row],[2022 Pipeline unit cost]],0)</f>
        <v>777.91097961862852</v>
      </c>
      <c r="O73" s="2">
        <f>Table3[[#This Row],[2043 Length]]*Table3[[#This Row],[2043 Pipeline unit cost]]</f>
        <v>777.91097961862852</v>
      </c>
      <c r="P73" s="2">
        <f>MATCH(Table3[[#This Row],[Pipe_name]],'2022 pipes'!B:B,0)</f>
        <v>73</v>
      </c>
      <c r="Q73" s="2">
        <f>Table3[[#This Row],[2043 pipes]]-Table3[[#This Row],[Master Plan CAPEX Cost]]</f>
        <v>777.91097961862852</v>
      </c>
      <c r="R73" s="7">
        <f>Table3[[#This Row],[asdfa]]-Table3[[#This Row],[2022 total cost]]</f>
        <v>0</v>
      </c>
      <c r="V73" t="s">
        <v>355</v>
      </c>
      <c r="W73" t="e">
        <f>VLOOKUP(V73,Table3[[Pipe_name]:[Check DL Cost]],11,FALSE)</f>
        <v>#N/A</v>
      </c>
    </row>
    <row r="74" spans="1:23" x14ac:dyDescent="0.25">
      <c r="A74" s="1">
        <v>72</v>
      </c>
      <c r="B74" t="s">
        <v>89</v>
      </c>
      <c r="C74">
        <v>96</v>
      </c>
      <c r="D74">
        <v>77.576965000000001</v>
      </c>
      <c r="E74">
        <f>VLOOKUP(Table3[[#This Row],[Pipe_name]],Table2[[Pipe_name]:[Original_Diameter]],2,FALSE)</f>
        <v>96</v>
      </c>
      <c r="F74">
        <f>VLOOKUP(Table3[[#This Row],[Pipe_name]],Table2[[Pipe_name]:[Length]],3,FALSE)</f>
        <v>77.576965000000001</v>
      </c>
      <c r="G74" t="s">
        <v>331</v>
      </c>
      <c r="H74" t="str">
        <f>IF(Table3[[#This Row],[2043 Diameter]]=Table3[[#This Row],[2022 Diameter]],"No","Yes")</f>
        <v>No</v>
      </c>
      <c r="I74" t="str">
        <f>IF(Table3[[#This Row],[2043 Length]]=Table3[[#This Row],[2022 length]],"No","Yes")</f>
        <v>No</v>
      </c>
      <c r="J74" s="8">
        <f>VLOOKUP(Table3[[#This Row],[2043 Diameter]],[1]Pipes!$A:$B,2,FALSE)</f>
        <v>362.58707029616613</v>
      </c>
      <c r="K74" s="8">
        <f>VLOOKUP(Table3[[#This Row],[2022 Diameter]],[1]Pipes!$A:$B,2,FALSE)</f>
        <v>362.58707029616613</v>
      </c>
      <c r="L74" s="8">
        <f>IF(OR(IFERROR(Table3[[#This Row],[Diameter Change?]]="Yes","Yes"),Table3[[#This Row],[Pipe Added?]]="Yes"),Table3[[#This Row],[2043 Pipeline unit cost]]*Table3[[#This Row],[2043 Length]],0)</f>
        <v>0</v>
      </c>
      <c r="M74" s="2">
        <f>VLOOKUP(Table3[[#This Row],[Pipe_name]],[2]!Table1[[id3]:[Cost]],8,FALSE)</f>
        <v>0</v>
      </c>
      <c r="N74" s="2">
        <f>IFERROR(Table3[[#This Row],[2022 length]]*Table3[[#This Row],[2022 Pipeline unit cost]],0)</f>
        <v>28128.40446181822</v>
      </c>
      <c r="O74" s="2">
        <f>Table3[[#This Row],[2043 Length]]*Table3[[#This Row],[2043 Pipeline unit cost]]</f>
        <v>28128.40446181822</v>
      </c>
      <c r="P74" s="2">
        <f>MATCH(Table3[[#This Row],[Pipe_name]],'2022 pipes'!B:B,0)</f>
        <v>74</v>
      </c>
      <c r="Q74" s="2">
        <f>Table3[[#This Row],[2043 pipes]]-Table3[[#This Row],[Master Plan CAPEX Cost]]</f>
        <v>28128.40446181822</v>
      </c>
      <c r="R74" s="7">
        <f>Table3[[#This Row],[asdfa]]-Table3[[#This Row],[2022 total cost]]</f>
        <v>0</v>
      </c>
      <c r="V74" t="s">
        <v>356</v>
      </c>
      <c r="W74" t="e">
        <f>VLOOKUP(V74,Table3[[Pipe_name]:[Check DL Cost]],11,FALSE)</f>
        <v>#N/A</v>
      </c>
    </row>
    <row r="75" spans="1:23" x14ac:dyDescent="0.25">
      <c r="A75" s="1">
        <v>73</v>
      </c>
      <c r="B75" t="s">
        <v>90</v>
      </c>
      <c r="C75">
        <v>101</v>
      </c>
      <c r="D75">
        <v>14.438655000000001</v>
      </c>
      <c r="E75">
        <f>VLOOKUP(Table3[[#This Row],[Pipe_name]],Table2[[Pipe_name]:[Original_Diameter]],2,FALSE)</f>
        <v>101</v>
      </c>
      <c r="F75">
        <f>VLOOKUP(Table3[[#This Row],[Pipe_name]],Table2[[Pipe_name]:[Length]],3,FALSE)</f>
        <v>14.438655000000001</v>
      </c>
      <c r="G75" t="s">
        <v>331</v>
      </c>
      <c r="H75" t="str">
        <f>IF(Table3[[#This Row],[2043 Diameter]]=Table3[[#This Row],[2022 Diameter]],"No","Yes")</f>
        <v>No</v>
      </c>
      <c r="I75" t="str">
        <f>IF(Table3[[#This Row],[2043 Length]]=Table3[[#This Row],[2022 length]],"No","Yes")</f>
        <v>No</v>
      </c>
      <c r="J75" s="8">
        <f>VLOOKUP(Table3[[#This Row],[2043 Diameter]],[1]Pipes!$A:$B,2,FALSE)</f>
        <v>362.58707029616613</v>
      </c>
      <c r="K75" s="8">
        <f>VLOOKUP(Table3[[#This Row],[2022 Diameter]],[1]Pipes!$A:$B,2,FALSE)</f>
        <v>362.58707029616613</v>
      </c>
      <c r="L75" s="8">
        <f>IF(OR(IFERROR(Table3[[#This Row],[Diameter Change?]]="Yes","Yes"),Table3[[#This Row],[Pipe Added?]]="Yes"),Table3[[#This Row],[2043 Pipeline unit cost]]*Table3[[#This Row],[2043 Length]],0)</f>
        <v>0</v>
      </c>
      <c r="M75" s="2">
        <f>VLOOKUP(Table3[[#This Row],[Pipe_name]],[2]!Table1[[id3]:[Cost]],8,FALSE)</f>
        <v>0</v>
      </c>
      <c r="N75" s="2">
        <f>IFERROR(Table3[[#This Row],[2022 length]]*Table3[[#This Row],[2022 Pipeline unit cost]],0)</f>
        <v>5235.2696154670912</v>
      </c>
      <c r="O75" s="2">
        <f>Table3[[#This Row],[2043 Length]]*Table3[[#This Row],[2043 Pipeline unit cost]]</f>
        <v>5235.2696154670912</v>
      </c>
      <c r="P75" s="2">
        <f>MATCH(Table3[[#This Row],[Pipe_name]],'2022 pipes'!B:B,0)</f>
        <v>75</v>
      </c>
      <c r="Q75" s="2">
        <f>Table3[[#This Row],[2043 pipes]]-Table3[[#This Row],[Master Plan CAPEX Cost]]</f>
        <v>5235.2696154670912</v>
      </c>
      <c r="R75" s="7">
        <f>Table3[[#This Row],[asdfa]]-Table3[[#This Row],[2022 total cost]]</f>
        <v>0</v>
      </c>
      <c r="V75" t="s">
        <v>357</v>
      </c>
      <c r="W75" t="e">
        <f>VLOOKUP(V75,Table3[[Pipe_name]:[Check DL Cost]],11,FALSE)</f>
        <v>#N/A</v>
      </c>
    </row>
    <row r="76" spans="1:23" x14ac:dyDescent="0.25">
      <c r="A76" s="1">
        <v>74</v>
      </c>
      <c r="B76" t="s">
        <v>91</v>
      </c>
      <c r="C76">
        <v>375</v>
      </c>
      <c r="D76">
        <v>1.973125</v>
      </c>
      <c r="E76">
        <f>VLOOKUP(Table3[[#This Row],[Pipe_name]],Table2[[Pipe_name]:[Original_Diameter]],2,FALSE)</f>
        <v>141</v>
      </c>
      <c r="F76">
        <f>VLOOKUP(Table3[[#This Row],[Pipe_name]],Table2[[Pipe_name]:[Length]],3,FALSE)</f>
        <v>1.973125</v>
      </c>
      <c r="G76" t="s">
        <v>331</v>
      </c>
      <c r="H76" t="str">
        <f>IF(Table3[[#This Row],[2043 Diameter]]=Table3[[#This Row],[2022 Diameter]],"No","Yes")</f>
        <v>Yes</v>
      </c>
      <c r="I76" t="str">
        <f>IF(Table3[[#This Row],[2043 Length]]=Table3[[#This Row],[2022 length]],"No","Yes")</f>
        <v>No</v>
      </c>
      <c r="J76" s="8">
        <f>VLOOKUP(Table3[[#This Row],[2043 Diameter]],[1]Pipes!$A:$B,2,FALSE)</f>
        <v>1014.940376686758</v>
      </c>
      <c r="K76" s="8">
        <f>VLOOKUP(Table3[[#This Row],[2022 Diameter]],[1]Pipes!$A:$B,2,FALSE)</f>
        <v>433.89080378537034</v>
      </c>
      <c r="L76" s="8">
        <f>IF(OR(IFERROR(Table3[[#This Row],[Diameter Change?]]="Yes","Yes"),Table3[[#This Row],[Pipe Added?]]="Yes"),Table3[[#This Row],[2043 Pipeline unit cost]]*Table3[[#This Row],[2043 Length]],0)</f>
        <v>2002.6042307500593</v>
      </c>
      <c r="M76" s="2">
        <f>VLOOKUP(Table3[[#This Row],[Pipe_name]],[2]!Table1[[id3]:[Cost]],8,FALSE)</f>
        <v>2002.4773632029735</v>
      </c>
      <c r="N76" s="2">
        <f>IFERROR(Table3[[#This Row],[2022 length]]*Table3[[#This Row],[2022 Pipeline unit cost]],0)</f>
        <v>856.12079221900888</v>
      </c>
      <c r="O76" s="2">
        <f>Table3[[#This Row],[2043 Length]]*Table3[[#This Row],[2043 Pipeline unit cost]]</f>
        <v>2002.6042307500593</v>
      </c>
      <c r="P76" s="2">
        <f>MATCH(Table3[[#This Row],[Pipe_name]],'2022 pipes'!B:B,0)</f>
        <v>76</v>
      </c>
      <c r="Q76" s="2">
        <f>Table3[[#This Row],[2043 pipes]]-Table3[[#This Row],[Master Plan CAPEX Cost]]</f>
        <v>0</v>
      </c>
      <c r="R76" s="7">
        <f>Table3[[#This Row],[asdfa]]-Table3[[#This Row],[2022 total cost]]</f>
        <v>-856.12079221900888</v>
      </c>
      <c r="V76" t="s">
        <v>358</v>
      </c>
      <c r="W76" t="e">
        <f>VLOOKUP(V76,Table3[[Pipe_name]:[Check DL Cost]],11,FALSE)</f>
        <v>#N/A</v>
      </c>
    </row>
    <row r="77" spans="1:23" x14ac:dyDescent="0.25">
      <c r="A77" s="1">
        <v>75</v>
      </c>
      <c r="B77" t="s">
        <v>92</v>
      </c>
      <c r="C77">
        <v>50</v>
      </c>
      <c r="D77">
        <v>65.142669999999995</v>
      </c>
      <c r="E77">
        <f>VLOOKUP(Table3[[#This Row],[Pipe_name]],Table2[[Pipe_name]:[Original_Diameter]],2,FALSE)</f>
        <v>50</v>
      </c>
      <c r="F77">
        <f>VLOOKUP(Table3[[#This Row],[Pipe_name]],Table2[[Pipe_name]:[Length]],3,FALSE)</f>
        <v>65.142669999999995</v>
      </c>
      <c r="G77" t="s">
        <v>331</v>
      </c>
      <c r="H77" t="str">
        <f>IF(Table3[[#This Row],[2043 Diameter]]=Table3[[#This Row],[2022 Diameter]],"No","Yes")</f>
        <v>No</v>
      </c>
      <c r="I77" t="str">
        <f>IF(Table3[[#This Row],[2043 Length]]=Table3[[#This Row],[2022 length]],"No","Yes")</f>
        <v>No</v>
      </c>
      <c r="J77" s="8">
        <f>VLOOKUP(Table3[[#This Row],[2043 Diameter]],[1]Pipes!$A:$B,2,FALSE)</f>
        <v>362.58707029616613</v>
      </c>
      <c r="K77" s="8">
        <f>VLOOKUP(Table3[[#This Row],[2022 Diameter]],[1]Pipes!$A:$B,2,FALSE)</f>
        <v>362.58707029616613</v>
      </c>
      <c r="L77" s="8">
        <f>IF(OR(IFERROR(Table3[[#This Row],[Diameter Change?]]="Yes","Yes"),Table3[[#This Row],[Pipe Added?]]="Yes"),Table3[[#This Row],[2043 Pipeline unit cost]]*Table3[[#This Row],[2043 Length]],0)</f>
        <v>0</v>
      </c>
      <c r="M77" s="2">
        <f>VLOOKUP(Table3[[#This Row],[Pipe_name]],[2]!Table1[[id3]:[Cost]],8,FALSE)</f>
        <v>0</v>
      </c>
      <c r="N77" s="2">
        <f>IFERROR(Table3[[#This Row],[2022 length]]*Table3[[#This Row],[2022 Pipeline unit cost]],0)</f>
        <v>23619.889866569953</v>
      </c>
      <c r="O77" s="2">
        <f>Table3[[#This Row],[2043 Length]]*Table3[[#This Row],[2043 Pipeline unit cost]]</f>
        <v>23619.889866569953</v>
      </c>
      <c r="P77" s="2">
        <f>MATCH(Table3[[#This Row],[Pipe_name]],'2022 pipes'!B:B,0)</f>
        <v>77</v>
      </c>
      <c r="Q77" s="2">
        <f>Table3[[#This Row],[2043 pipes]]-Table3[[#This Row],[Master Plan CAPEX Cost]]</f>
        <v>23619.889866569953</v>
      </c>
      <c r="R77" s="7">
        <f>Table3[[#This Row],[asdfa]]-Table3[[#This Row],[2022 total cost]]</f>
        <v>0</v>
      </c>
    </row>
    <row r="78" spans="1:23" x14ac:dyDescent="0.25">
      <c r="A78" s="1">
        <v>76</v>
      </c>
      <c r="B78" t="s">
        <v>93</v>
      </c>
      <c r="C78">
        <v>141</v>
      </c>
      <c r="D78">
        <v>10.476153999999999</v>
      </c>
      <c r="E78">
        <f>VLOOKUP(Table3[[#This Row],[Pipe_name]],Table2[[Pipe_name]:[Original_Diameter]],2,FALSE)</f>
        <v>141</v>
      </c>
      <c r="F78">
        <f>VLOOKUP(Table3[[#This Row],[Pipe_name]],Table2[[Pipe_name]:[Length]],3,FALSE)</f>
        <v>10.476153999999999</v>
      </c>
      <c r="G78" t="s">
        <v>331</v>
      </c>
      <c r="H78" t="str">
        <f>IF(Table3[[#This Row],[2043 Diameter]]=Table3[[#This Row],[2022 Diameter]],"No","Yes")</f>
        <v>No</v>
      </c>
      <c r="I78" t="str">
        <f>IF(Table3[[#This Row],[2043 Length]]=Table3[[#This Row],[2022 length]],"No","Yes")</f>
        <v>No</v>
      </c>
      <c r="J78" s="8">
        <f>VLOOKUP(Table3[[#This Row],[2043 Diameter]],[1]Pipes!$A:$B,2,FALSE)</f>
        <v>433.89080378537034</v>
      </c>
      <c r="K78" s="8">
        <f>VLOOKUP(Table3[[#This Row],[2022 Diameter]],[1]Pipes!$A:$B,2,FALSE)</f>
        <v>433.89080378537034</v>
      </c>
      <c r="L78" s="8">
        <f>IF(OR(IFERROR(Table3[[#This Row],[Diameter Change?]]="Yes","Yes"),Table3[[#This Row],[Pipe Added?]]="Yes"),Table3[[#This Row],[2043 Pipeline unit cost]]*Table3[[#This Row],[2043 Length]],0)</f>
        <v>0</v>
      </c>
      <c r="M78" s="2">
        <f>VLOOKUP(Table3[[#This Row],[Pipe_name]],[2]!Table1[[id3]:[Cost]],8,FALSE)</f>
        <v>0</v>
      </c>
      <c r="N78" s="2">
        <f>IFERROR(Table3[[#This Row],[2022 length]]*Table3[[#This Row],[2022 Pipeline unit cost]],0)</f>
        <v>4545.5068796393225</v>
      </c>
      <c r="O78" s="2">
        <f>Table3[[#This Row],[2043 Length]]*Table3[[#This Row],[2043 Pipeline unit cost]]</f>
        <v>4545.5068796393225</v>
      </c>
      <c r="P78" s="2">
        <f>MATCH(Table3[[#This Row],[Pipe_name]],'2022 pipes'!B:B,0)</f>
        <v>78</v>
      </c>
      <c r="Q78" s="2">
        <f>Table3[[#This Row],[2043 pipes]]-Table3[[#This Row],[Master Plan CAPEX Cost]]</f>
        <v>4545.5068796393225</v>
      </c>
      <c r="R78" s="7">
        <f>Table3[[#This Row],[asdfa]]-Table3[[#This Row],[2022 total cost]]</f>
        <v>0</v>
      </c>
    </row>
    <row r="79" spans="1:23" x14ac:dyDescent="0.25">
      <c r="A79" s="1">
        <v>77</v>
      </c>
      <c r="B79" t="s">
        <v>94</v>
      </c>
      <c r="C79">
        <v>96</v>
      </c>
      <c r="D79">
        <v>13.5374</v>
      </c>
      <c r="E79">
        <f>VLOOKUP(Table3[[#This Row],[Pipe_name]],Table2[[Pipe_name]:[Original_Diameter]],2,FALSE)</f>
        <v>96</v>
      </c>
      <c r="F79">
        <f>VLOOKUP(Table3[[#This Row],[Pipe_name]],Table2[[Pipe_name]:[Length]],3,FALSE)</f>
        <v>13.5374</v>
      </c>
      <c r="G79" t="s">
        <v>331</v>
      </c>
      <c r="H79" t="str">
        <f>IF(Table3[[#This Row],[2043 Diameter]]=Table3[[#This Row],[2022 Diameter]],"No","Yes")</f>
        <v>No</v>
      </c>
      <c r="I79" t="str">
        <f>IF(Table3[[#This Row],[2043 Length]]=Table3[[#This Row],[2022 length]],"No","Yes")</f>
        <v>No</v>
      </c>
      <c r="J79" s="8">
        <f>VLOOKUP(Table3[[#This Row],[2043 Diameter]],[1]Pipes!$A:$B,2,FALSE)</f>
        <v>362.58707029616613</v>
      </c>
      <c r="K79" s="8">
        <f>VLOOKUP(Table3[[#This Row],[2022 Diameter]],[1]Pipes!$A:$B,2,FALSE)</f>
        <v>362.58707029616613</v>
      </c>
      <c r="L79" s="8">
        <f>IF(OR(IFERROR(Table3[[#This Row],[Diameter Change?]]="Yes","Yes"),Table3[[#This Row],[Pipe Added?]]="Yes"),Table3[[#This Row],[2043 Pipeline unit cost]]*Table3[[#This Row],[2043 Length]],0)</f>
        <v>0</v>
      </c>
      <c r="M79" s="2">
        <f>VLOOKUP(Table3[[#This Row],[Pipe_name]],[2]!Table1[[id3]:[Cost]],8,FALSE)</f>
        <v>0</v>
      </c>
      <c r="N79" s="2">
        <f>IFERROR(Table3[[#This Row],[2022 length]]*Table3[[#This Row],[2022 Pipeline unit cost]],0)</f>
        <v>4908.486205427319</v>
      </c>
      <c r="O79" s="2">
        <f>Table3[[#This Row],[2043 Length]]*Table3[[#This Row],[2043 Pipeline unit cost]]</f>
        <v>4908.486205427319</v>
      </c>
      <c r="P79" s="2">
        <f>MATCH(Table3[[#This Row],[Pipe_name]],'2022 pipes'!B:B,0)</f>
        <v>79</v>
      </c>
      <c r="Q79" s="2">
        <f>Table3[[#This Row],[2043 pipes]]-Table3[[#This Row],[Master Plan CAPEX Cost]]</f>
        <v>4908.486205427319</v>
      </c>
      <c r="R79" s="7">
        <f>Table3[[#This Row],[asdfa]]-Table3[[#This Row],[2022 total cost]]</f>
        <v>0</v>
      </c>
    </row>
    <row r="80" spans="1:23" x14ac:dyDescent="0.25">
      <c r="A80" s="1">
        <v>78</v>
      </c>
      <c r="B80" t="s">
        <v>95</v>
      </c>
      <c r="C80">
        <v>96</v>
      </c>
      <c r="D80">
        <v>12.412012000000001</v>
      </c>
      <c r="E80">
        <f>VLOOKUP(Table3[[#This Row],[Pipe_name]],Table2[[Pipe_name]:[Original_Diameter]],2,FALSE)</f>
        <v>96</v>
      </c>
      <c r="F80">
        <f>VLOOKUP(Table3[[#This Row],[Pipe_name]],Table2[[Pipe_name]:[Length]],3,FALSE)</f>
        <v>12.412012000000001</v>
      </c>
      <c r="G80" t="s">
        <v>331</v>
      </c>
      <c r="H80" t="str">
        <f>IF(Table3[[#This Row],[2043 Diameter]]=Table3[[#This Row],[2022 Diameter]],"No","Yes")</f>
        <v>No</v>
      </c>
      <c r="I80" t="str">
        <f>IF(Table3[[#This Row],[2043 Length]]=Table3[[#This Row],[2022 length]],"No","Yes")</f>
        <v>No</v>
      </c>
      <c r="J80" s="8">
        <f>VLOOKUP(Table3[[#This Row],[2043 Diameter]],[1]Pipes!$A:$B,2,FALSE)</f>
        <v>362.58707029616613</v>
      </c>
      <c r="K80" s="8">
        <f>VLOOKUP(Table3[[#This Row],[2022 Diameter]],[1]Pipes!$A:$B,2,FALSE)</f>
        <v>362.58707029616613</v>
      </c>
      <c r="L80" s="8">
        <f>IF(OR(IFERROR(Table3[[#This Row],[Diameter Change?]]="Yes","Yes"),Table3[[#This Row],[Pipe Added?]]="Yes"),Table3[[#This Row],[2043 Pipeline unit cost]]*Table3[[#This Row],[2043 Length]],0)</f>
        <v>0</v>
      </c>
      <c r="M80" s="2">
        <f>VLOOKUP(Table3[[#This Row],[Pipe_name]],[2]!Table1[[id3]:[Cost]],8,FALSE)</f>
        <v>0</v>
      </c>
      <c r="N80" s="2">
        <f>IFERROR(Table3[[#This Row],[2022 length]]*Table3[[#This Row],[2022 Pipeline unit cost]],0)</f>
        <v>4500.4350675608575</v>
      </c>
      <c r="O80" s="2">
        <f>Table3[[#This Row],[2043 Length]]*Table3[[#This Row],[2043 Pipeline unit cost]]</f>
        <v>4500.4350675608575</v>
      </c>
      <c r="P80" s="2">
        <f>MATCH(Table3[[#This Row],[Pipe_name]],'2022 pipes'!B:B,0)</f>
        <v>80</v>
      </c>
      <c r="Q80" s="2">
        <f>Table3[[#This Row],[2043 pipes]]-Table3[[#This Row],[Master Plan CAPEX Cost]]</f>
        <v>4500.4350675608575</v>
      </c>
      <c r="R80" s="7">
        <f>Table3[[#This Row],[asdfa]]-Table3[[#This Row],[2022 total cost]]</f>
        <v>0</v>
      </c>
    </row>
    <row r="81" spans="1:18" x14ac:dyDescent="0.25">
      <c r="A81" s="1">
        <v>79</v>
      </c>
      <c r="B81" t="s">
        <v>96</v>
      </c>
      <c r="C81">
        <v>63</v>
      </c>
      <c r="D81">
        <v>64.677291999999994</v>
      </c>
      <c r="E81">
        <f>VLOOKUP(Table3[[#This Row],[Pipe_name]],Table2[[Pipe_name]:[Original_Diameter]],2,FALSE)</f>
        <v>63</v>
      </c>
      <c r="F81">
        <f>VLOOKUP(Table3[[#This Row],[Pipe_name]],Table2[[Pipe_name]:[Length]],3,FALSE)</f>
        <v>64.677291999999994</v>
      </c>
      <c r="G81" t="s">
        <v>331</v>
      </c>
      <c r="H81" t="str">
        <f>IF(Table3[[#This Row],[2043 Diameter]]=Table3[[#This Row],[2022 Diameter]],"No","Yes")</f>
        <v>No</v>
      </c>
      <c r="I81" t="str">
        <f>IF(Table3[[#This Row],[2043 Length]]=Table3[[#This Row],[2022 length]],"No","Yes")</f>
        <v>No</v>
      </c>
      <c r="J81" s="8">
        <f>VLOOKUP(Table3[[#This Row],[2043 Diameter]],[1]Pipes!$A:$B,2,FALSE)</f>
        <v>362.58707029616613</v>
      </c>
      <c r="K81" s="8">
        <f>VLOOKUP(Table3[[#This Row],[2022 Diameter]],[1]Pipes!$A:$B,2,FALSE)</f>
        <v>362.58707029616613</v>
      </c>
      <c r="L81" s="8">
        <f>IF(OR(IFERROR(Table3[[#This Row],[Diameter Change?]]="Yes","Yes"),Table3[[#This Row],[Pipe Added?]]="Yes"),Table3[[#This Row],[2043 Pipeline unit cost]]*Table3[[#This Row],[2043 Length]],0)</f>
        <v>0</v>
      </c>
      <c r="M81" s="2">
        <f>VLOOKUP(Table3[[#This Row],[Pipe_name]],[2]!Table1[[id3]:[Cost]],8,FALSE)</f>
        <v>0</v>
      </c>
      <c r="N81" s="2">
        <f>IFERROR(Table3[[#This Row],[2022 length]]*Table3[[#This Row],[2022 Pipeline unit cost]],0)</f>
        <v>23451.149820969662</v>
      </c>
      <c r="O81" s="2">
        <f>Table3[[#This Row],[2043 Length]]*Table3[[#This Row],[2043 Pipeline unit cost]]</f>
        <v>23451.149820969662</v>
      </c>
      <c r="P81" s="2">
        <f>MATCH(Table3[[#This Row],[Pipe_name]],'2022 pipes'!B:B,0)</f>
        <v>81</v>
      </c>
      <c r="Q81" s="2">
        <f>Table3[[#This Row],[2043 pipes]]-Table3[[#This Row],[Master Plan CAPEX Cost]]</f>
        <v>23451.149820969662</v>
      </c>
      <c r="R81" s="7">
        <f>Table3[[#This Row],[asdfa]]-Table3[[#This Row],[2022 total cost]]</f>
        <v>0</v>
      </c>
    </row>
    <row r="82" spans="1:18" x14ac:dyDescent="0.25">
      <c r="A82" s="1">
        <v>80</v>
      </c>
      <c r="B82" t="s">
        <v>97</v>
      </c>
      <c r="C82">
        <v>96</v>
      </c>
      <c r="D82">
        <v>147.23864699999999</v>
      </c>
      <c r="E82">
        <f>VLOOKUP(Table3[[#This Row],[Pipe_name]],Table2[[Pipe_name]:[Original_Diameter]],2,FALSE)</f>
        <v>96</v>
      </c>
      <c r="F82">
        <f>VLOOKUP(Table3[[#This Row],[Pipe_name]],Table2[[Pipe_name]:[Length]],3,FALSE)</f>
        <v>147.23864699999999</v>
      </c>
      <c r="G82" t="s">
        <v>331</v>
      </c>
      <c r="H82" t="str">
        <f>IF(Table3[[#This Row],[2043 Diameter]]=Table3[[#This Row],[2022 Diameter]],"No","Yes")</f>
        <v>No</v>
      </c>
      <c r="I82" t="str">
        <f>IF(Table3[[#This Row],[2043 Length]]=Table3[[#This Row],[2022 length]],"No","Yes")</f>
        <v>No</v>
      </c>
      <c r="J82" s="8">
        <f>VLOOKUP(Table3[[#This Row],[2043 Diameter]],[1]Pipes!$A:$B,2,FALSE)</f>
        <v>362.58707029616613</v>
      </c>
      <c r="K82" s="8">
        <f>VLOOKUP(Table3[[#This Row],[2022 Diameter]],[1]Pipes!$A:$B,2,FALSE)</f>
        <v>362.58707029616613</v>
      </c>
      <c r="L82" s="8">
        <f>IF(OR(IFERROR(Table3[[#This Row],[Diameter Change?]]="Yes","Yes"),Table3[[#This Row],[Pipe Added?]]="Yes"),Table3[[#This Row],[2043 Pipeline unit cost]]*Table3[[#This Row],[2043 Length]],0)</f>
        <v>0</v>
      </c>
      <c r="M82" s="2">
        <f>VLOOKUP(Table3[[#This Row],[Pipe_name]],[2]!Table1[[id3]:[Cost]],8,FALSE)</f>
        <v>0</v>
      </c>
      <c r="N82" s="2">
        <f>IFERROR(Table3[[#This Row],[2022 length]]*Table3[[#This Row],[2022 Pipeline unit cost]],0)</f>
        <v>53386.829650101383</v>
      </c>
      <c r="O82" s="2">
        <f>Table3[[#This Row],[2043 Length]]*Table3[[#This Row],[2043 Pipeline unit cost]]</f>
        <v>53386.829650101383</v>
      </c>
      <c r="P82" s="2">
        <f>MATCH(Table3[[#This Row],[Pipe_name]],'2022 pipes'!B:B,0)</f>
        <v>82</v>
      </c>
      <c r="Q82" s="2">
        <f>Table3[[#This Row],[2043 pipes]]-Table3[[#This Row],[Master Plan CAPEX Cost]]</f>
        <v>53386.829650101383</v>
      </c>
      <c r="R82" s="7">
        <f>Table3[[#This Row],[asdfa]]-Table3[[#This Row],[2022 total cost]]</f>
        <v>0</v>
      </c>
    </row>
    <row r="83" spans="1:18" x14ac:dyDescent="0.25">
      <c r="A83" s="1">
        <v>81</v>
      </c>
      <c r="B83" t="s">
        <v>98</v>
      </c>
      <c r="C83">
        <v>143</v>
      </c>
      <c r="D83">
        <v>395.94937099999999</v>
      </c>
      <c r="E83">
        <f>VLOOKUP(Table3[[#This Row],[Pipe_name]],Table2[[Pipe_name]:[Original_Diameter]],2,FALSE)</f>
        <v>143</v>
      </c>
      <c r="F83">
        <f>VLOOKUP(Table3[[#This Row],[Pipe_name]],Table2[[Pipe_name]:[Length]],3,FALSE)</f>
        <v>395.94937099999999</v>
      </c>
      <c r="G83" t="s">
        <v>331</v>
      </c>
      <c r="H83" t="str">
        <f>IF(Table3[[#This Row],[2043 Diameter]]=Table3[[#This Row],[2022 Diameter]],"No","Yes")</f>
        <v>No</v>
      </c>
      <c r="I83" t="str">
        <f>IF(Table3[[#This Row],[2043 Length]]=Table3[[#This Row],[2022 length]],"No","Yes")</f>
        <v>No</v>
      </c>
      <c r="J83" s="8">
        <f>VLOOKUP(Table3[[#This Row],[2043 Diameter]],[1]Pipes!$A:$B,2,FALSE)</f>
        <v>433.89080378537034</v>
      </c>
      <c r="K83" s="8">
        <f>VLOOKUP(Table3[[#This Row],[2022 Diameter]],[1]Pipes!$A:$B,2,FALSE)</f>
        <v>433.89080378537034</v>
      </c>
      <c r="L83" s="8">
        <f>IF(OR(IFERROR(Table3[[#This Row],[Diameter Change?]]="Yes","Yes"),Table3[[#This Row],[Pipe Added?]]="Yes"),Table3[[#This Row],[2043 Pipeline unit cost]]*Table3[[#This Row],[2043 Length]],0)</f>
        <v>0</v>
      </c>
      <c r="M83" s="2">
        <f>VLOOKUP(Table3[[#This Row],[Pipe_name]],[2]!Table1[[id3]:[Cost]],8,FALSE)</f>
        <v>0</v>
      </c>
      <c r="N83" s="2">
        <f>IFERROR(Table3[[#This Row],[2022 length]]*Table3[[#This Row],[2022 Pipeline unit cost]],0)</f>
        <v>171798.79084150179</v>
      </c>
      <c r="O83" s="2">
        <f>Table3[[#This Row],[2043 Length]]*Table3[[#This Row],[2043 Pipeline unit cost]]</f>
        <v>171798.79084150179</v>
      </c>
      <c r="P83" s="2">
        <f>MATCH(Table3[[#This Row],[Pipe_name]],'2022 pipes'!B:B,0)</f>
        <v>83</v>
      </c>
      <c r="Q83" s="2">
        <f>Table3[[#This Row],[2043 pipes]]-Table3[[#This Row],[Master Plan CAPEX Cost]]</f>
        <v>171798.79084150179</v>
      </c>
      <c r="R83" s="7">
        <f>Table3[[#This Row],[asdfa]]-Table3[[#This Row],[2022 total cost]]</f>
        <v>0</v>
      </c>
    </row>
    <row r="84" spans="1:18" x14ac:dyDescent="0.25">
      <c r="A84" s="1">
        <v>82</v>
      </c>
      <c r="B84" t="s">
        <v>99</v>
      </c>
      <c r="C84">
        <v>96</v>
      </c>
      <c r="D84">
        <v>36.269458999999998</v>
      </c>
      <c r="E84">
        <f>VLOOKUP(Table3[[#This Row],[Pipe_name]],Table2[[Pipe_name]:[Original_Diameter]],2,FALSE)</f>
        <v>96</v>
      </c>
      <c r="F84">
        <f>VLOOKUP(Table3[[#This Row],[Pipe_name]],Table2[[Pipe_name]:[Length]],3,FALSE)</f>
        <v>36.269458999999998</v>
      </c>
      <c r="G84" t="s">
        <v>331</v>
      </c>
      <c r="H84" t="str">
        <f>IF(Table3[[#This Row],[2043 Diameter]]=Table3[[#This Row],[2022 Diameter]],"No","Yes")</f>
        <v>No</v>
      </c>
      <c r="I84" t="str">
        <f>IF(Table3[[#This Row],[2043 Length]]=Table3[[#This Row],[2022 length]],"No","Yes")</f>
        <v>No</v>
      </c>
      <c r="J84" s="8">
        <f>VLOOKUP(Table3[[#This Row],[2043 Diameter]],[1]Pipes!$A:$B,2,FALSE)</f>
        <v>362.58707029616613</v>
      </c>
      <c r="K84" s="8">
        <f>VLOOKUP(Table3[[#This Row],[2022 Diameter]],[1]Pipes!$A:$B,2,FALSE)</f>
        <v>362.58707029616613</v>
      </c>
      <c r="L84" s="8">
        <f>IF(OR(IFERROR(Table3[[#This Row],[Diameter Change?]]="Yes","Yes"),Table3[[#This Row],[Pipe Added?]]="Yes"),Table3[[#This Row],[2043 Pipeline unit cost]]*Table3[[#This Row],[2043 Length]],0)</f>
        <v>0</v>
      </c>
      <c r="M84" s="2">
        <f>VLOOKUP(Table3[[#This Row],[Pipe_name]],[2]!Table1[[id3]:[Cost]],8,FALSE)</f>
        <v>0</v>
      </c>
      <c r="N84" s="2">
        <f>IFERROR(Table3[[#This Row],[2022 length]]*Table3[[#This Row],[2022 Pipeline unit cost]],0)</f>
        <v>13150.836880036915</v>
      </c>
      <c r="O84" s="2">
        <f>Table3[[#This Row],[2043 Length]]*Table3[[#This Row],[2043 Pipeline unit cost]]</f>
        <v>13150.836880036915</v>
      </c>
      <c r="P84" s="2">
        <f>MATCH(Table3[[#This Row],[Pipe_name]],'2022 pipes'!B:B,0)</f>
        <v>84</v>
      </c>
      <c r="Q84" s="2">
        <f>Table3[[#This Row],[2043 pipes]]-Table3[[#This Row],[Master Plan CAPEX Cost]]</f>
        <v>13150.836880036915</v>
      </c>
      <c r="R84" s="7">
        <f>Table3[[#This Row],[asdfa]]-Table3[[#This Row],[2022 total cost]]</f>
        <v>0</v>
      </c>
    </row>
    <row r="85" spans="1:18" x14ac:dyDescent="0.25">
      <c r="A85" s="1">
        <v>83</v>
      </c>
      <c r="B85" t="s">
        <v>301</v>
      </c>
      <c r="C85">
        <v>375</v>
      </c>
      <c r="D85">
        <v>3.752948</v>
      </c>
      <c r="E85" t="e">
        <f>VLOOKUP(Table3[[#This Row],[Pipe_name]],Table2[[Pipe_name]:[Original_Diameter]],2,FALSE)</f>
        <v>#N/A</v>
      </c>
      <c r="F85" t="e">
        <f>VLOOKUP(Table3[[#This Row],[Pipe_name]],Table2[[Pipe_name]:[Length]],3,FALSE)</f>
        <v>#N/A</v>
      </c>
      <c r="G85" t="s">
        <v>330</v>
      </c>
      <c r="H85" t="e">
        <f>IF(Table3[[#This Row],[2043 Diameter]]=Table3[[#This Row],[2022 Diameter]],"No","Yes")</f>
        <v>#N/A</v>
      </c>
      <c r="I85" t="e">
        <f>IF(Table3[[#This Row],[2043 Length]]=Table3[[#This Row],[2022 length]],"No","Yes")</f>
        <v>#N/A</v>
      </c>
      <c r="J85" s="8">
        <f>VLOOKUP(Table3[[#This Row],[2043 Diameter]],[1]Pipes!$A:$B,2,FALSE)</f>
        <v>1014.940376686758</v>
      </c>
      <c r="K85" s="8" t="e">
        <f>VLOOKUP(Table3[[#This Row],[2022 Diameter]],[1]Pipes!$A:$B,2,FALSE)</f>
        <v>#N/A</v>
      </c>
      <c r="L85" s="8">
        <f>IF(OR(IFERROR(Table3[[#This Row],[Diameter Change?]]="Yes","Yes"),Table3[[#This Row],[Pipe Added?]]="Yes"),Table3[[#This Row],[2043 Pipeline unit cost]]*Table3[[#This Row],[2043 Length]],0)</f>
        <v>3809.0184568058148</v>
      </c>
      <c r="M85" s="2">
        <f>VLOOKUP(Table3[[#This Row],[Pipe_name]],[2]!Table1[[id3]:[Cost]],8,FALSE)</f>
        <v>3809.0712337054028</v>
      </c>
      <c r="N85" s="2">
        <f>IFERROR(Table3[[#This Row],[2022 length]]*Table3[[#This Row],[2022 Pipeline unit cost]],0)</f>
        <v>0</v>
      </c>
      <c r="O85" s="2">
        <f>Table3[[#This Row],[2043 Length]]*Table3[[#This Row],[2043 Pipeline unit cost]]</f>
        <v>3809.0184568058148</v>
      </c>
      <c r="P85" s="2" t="e">
        <f>MATCH(Table3[[#This Row],[Pipe_name]],'2022 pipes'!B:B,0)</f>
        <v>#N/A</v>
      </c>
      <c r="Q85" s="2">
        <f>Table3[[#This Row],[2043 pipes]]-Table3[[#This Row],[Master Plan CAPEX Cost]]</f>
        <v>0</v>
      </c>
      <c r="R85" s="7">
        <f>Table3[[#This Row],[asdfa]]-Table3[[#This Row],[2022 total cost]]</f>
        <v>0</v>
      </c>
    </row>
    <row r="86" spans="1:18" x14ac:dyDescent="0.25">
      <c r="A86" s="1">
        <v>84</v>
      </c>
      <c r="B86" t="s">
        <v>101</v>
      </c>
      <c r="C86">
        <v>141</v>
      </c>
      <c r="D86">
        <v>12.999427000000001</v>
      </c>
      <c r="E86">
        <f>VLOOKUP(Table3[[#This Row],[Pipe_name]],Table2[[Pipe_name]:[Original_Diameter]],2,FALSE)</f>
        <v>141</v>
      </c>
      <c r="F86">
        <f>VLOOKUP(Table3[[#This Row],[Pipe_name]],Table2[[Pipe_name]:[Length]],3,FALSE)</f>
        <v>12.999427000000001</v>
      </c>
      <c r="G86" t="s">
        <v>331</v>
      </c>
      <c r="H86" t="str">
        <f>IF(Table3[[#This Row],[2043 Diameter]]=Table3[[#This Row],[2022 Diameter]],"No","Yes")</f>
        <v>No</v>
      </c>
      <c r="I86" t="str">
        <f>IF(Table3[[#This Row],[2043 Length]]=Table3[[#This Row],[2022 length]],"No","Yes")</f>
        <v>No</v>
      </c>
      <c r="J86" s="8">
        <f>VLOOKUP(Table3[[#This Row],[2043 Diameter]],[1]Pipes!$A:$B,2,FALSE)</f>
        <v>433.89080378537034</v>
      </c>
      <c r="K86" s="8">
        <f>VLOOKUP(Table3[[#This Row],[2022 Diameter]],[1]Pipes!$A:$B,2,FALSE)</f>
        <v>433.89080378537034</v>
      </c>
      <c r="L86" s="8">
        <f>IF(OR(IFERROR(Table3[[#This Row],[Diameter Change?]]="Yes","Yes"),Table3[[#This Row],[Pipe Added?]]="Yes"),Table3[[#This Row],[2043 Pipeline unit cost]]*Table3[[#This Row],[2043 Length]],0)</f>
        <v>0</v>
      </c>
      <c r="M86" s="2">
        <f>VLOOKUP(Table3[[#This Row],[Pipe_name]],[2]!Table1[[id3]:[Cost]],8,FALSE)</f>
        <v>0</v>
      </c>
      <c r="N86" s="2">
        <f>IFERROR(Table3[[#This Row],[2022 length]]*Table3[[#This Row],[2022 Pipeline unit cost]],0)</f>
        <v>5640.3318297792457</v>
      </c>
      <c r="O86" s="2">
        <f>Table3[[#This Row],[2043 Length]]*Table3[[#This Row],[2043 Pipeline unit cost]]</f>
        <v>5640.3318297792457</v>
      </c>
      <c r="P86" s="2">
        <f>MATCH(Table3[[#This Row],[Pipe_name]],'2022 pipes'!B:B,0)</f>
        <v>86</v>
      </c>
      <c r="Q86" s="2">
        <f>Table3[[#This Row],[2043 pipes]]-Table3[[#This Row],[Master Plan CAPEX Cost]]</f>
        <v>5640.3318297792457</v>
      </c>
      <c r="R86" s="7">
        <f>Table3[[#This Row],[asdfa]]-Table3[[#This Row],[2022 total cost]]</f>
        <v>0</v>
      </c>
    </row>
    <row r="87" spans="1:18" x14ac:dyDescent="0.25">
      <c r="A87" s="1">
        <v>85</v>
      </c>
      <c r="B87" t="s">
        <v>102</v>
      </c>
      <c r="C87">
        <v>50</v>
      </c>
      <c r="D87">
        <v>11.103839000000001</v>
      </c>
      <c r="E87">
        <f>VLOOKUP(Table3[[#This Row],[Pipe_name]],Table2[[Pipe_name]:[Original_Diameter]],2,FALSE)</f>
        <v>50</v>
      </c>
      <c r="F87">
        <f>VLOOKUP(Table3[[#This Row],[Pipe_name]],Table2[[Pipe_name]:[Length]],3,FALSE)</f>
        <v>11.103839000000001</v>
      </c>
      <c r="G87" t="s">
        <v>331</v>
      </c>
      <c r="H87" t="str">
        <f>IF(Table3[[#This Row],[2043 Diameter]]=Table3[[#This Row],[2022 Diameter]],"No","Yes")</f>
        <v>No</v>
      </c>
      <c r="I87" t="str">
        <f>IF(Table3[[#This Row],[2043 Length]]=Table3[[#This Row],[2022 length]],"No","Yes")</f>
        <v>No</v>
      </c>
      <c r="J87" s="8">
        <f>VLOOKUP(Table3[[#This Row],[2043 Diameter]],[1]Pipes!$A:$B,2,FALSE)</f>
        <v>362.58707029616613</v>
      </c>
      <c r="K87" s="8">
        <f>VLOOKUP(Table3[[#This Row],[2022 Diameter]],[1]Pipes!$A:$B,2,FALSE)</f>
        <v>362.58707029616613</v>
      </c>
      <c r="L87" s="8">
        <f>IF(OR(IFERROR(Table3[[#This Row],[Diameter Change?]]="Yes","Yes"),Table3[[#This Row],[Pipe Added?]]="Yes"),Table3[[#This Row],[2043 Pipeline unit cost]]*Table3[[#This Row],[2043 Length]],0)</f>
        <v>0</v>
      </c>
      <c r="M87" s="2">
        <f>VLOOKUP(Table3[[#This Row],[Pipe_name]],[2]!Table1[[id3]:[Cost]],8,FALSE)</f>
        <v>0</v>
      </c>
      <c r="N87" s="2">
        <f>IFERROR(Table3[[#This Row],[2022 length]]*Table3[[#This Row],[2022 Pipeline unit cost]],0)</f>
        <v>4026.1084520503114</v>
      </c>
      <c r="O87" s="2">
        <f>Table3[[#This Row],[2043 Length]]*Table3[[#This Row],[2043 Pipeline unit cost]]</f>
        <v>4026.1084520503114</v>
      </c>
      <c r="P87" s="2">
        <f>MATCH(Table3[[#This Row],[Pipe_name]],'2022 pipes'!B:B,0)</f>
        <v>87</v>
      </c>
      <c r="Q87" s="2">
        <f>Table3[[#This Row],[2043 pipes]]-Table3[[#This Row],[Master Plan CAPEX Cost]]</f>
        <v>4026.1084520503114</v>
      </c>
      <c r="R87" s="7">
        <f>Table3[[#This Row],[asdfa]]-Table3[[#This Row],[2022 total cost]]</f>
        <v>0</v>
      </c>
    </row>
    <row r="88" spans="1:18" x14ac:dyDescent="0.25">
      <c r="A88" s="1">
        <v>86</v>
      </c>
      <c r="B88" t="s">
        <v>103</v>
      </c>
      <c r="C88">
        <v>96</v>
      </c>
      <c r="D88">
        <v>63.452770000000001</v>
      </c>
      <c r="E88">
        <f>VLOOKUP(Table3[[#This Row],[Pipe_name]],Table2[[Pipe_name]:[Original_Diameter]],2,FALSE)</f>
        <v>96</v>
      </c>
      <c r="F88">
        <f>VLOOKUP(Table3[[#This Row],[Pipe_name]],Table2[[Pipe_name]:[Length]],3,FALSE)</f>
        <v>63.452770000000001</v>
      </c>
      <c r="G88" t="s">
        <v>331</v>
      </c>
      <c r="H88" t="str">
        <f>IF(Table3[[#This Row],[2043 Diameter]]=Table3[[#This Row],[2022 Diameter]],"No","Yes")</f>
        <v>No</v>
      </c>
      <c r="I88" t="str">
        <f>IF(Table3[[#This Row],[2043 Length]]=Table3[[#This Row],[2022 length]],"No","Yes")</f>
        <v>No</v>
      </c>
      <c r="J88" s="8">
        <f>VLOOKUP(Table3[[#This Row],[2043 Diameter]],[1]Pipes!$A:$B,2,FALSE)</f>
        <v>362.58707029616613</v>
      </c>
      <c r="K88" s="8">
        <f>VLOOKUP(Table3[[#This Row],[2022 Diameter]],[1]Pipes!$A:$B,2,FALSE)</f>
        <v>362.58707029616613</v>
      </c>
      <c r="L88" s="8">
        <f>IF(OR(IFERROR(Table3[[#This Row],[Diameter Change?]]="Yes","Yes"),Table3[[#This Row],[Pipe Added?]]="Yes"),Table3[[#This Row],[2043 Pipeline unit cost]]*Table3[[#This Row],[2043 Length]],0)</f>
        <v>0</v>
      </c>
      <c r="M88" s="2">
        <f>VLOOKUP(Table3[[#This Row],[Pipe_name]],[2]!Table1[[id3]:[Cost]],8,FALSE)</f>
        <v>0</v>
      </c>
      <c r="N88" s="2">
        <f>IFERROR(Table3[[#This Row],[2022 length]]*Table3[[#This Row],[2022 Pipeline unit cost]],0)</f>
        <v>23007.15397647646</v>
      </c>
      <c r="O88" s="2">
        <f>Table3[[#This Row],[2043 Length]]*Table3[[#This Row],[2043 Pipeline unit cost]]</f>
        <v>23007.15397647646</v>
      </c>
      <c r="P88" s="2">
        <f>MATCH(Table3[[#This Row],[Pipe_name]],'2022 pipes'!B:B,0)</f>
        <v>88</v>
      </c>
      <c r="Q88" s="2">
        <f>Table3[[#This Row],[2043 pipes]]-Table3[[#This Row],[Master Plan CAPEX Cost]]</f>
        <v>23007.15397647646</v>
      </c>
      <c r="R88" s="7">
        <f>Table3[[#This Row],[asdfa]]-Table3[[#This Row],[2022 total cost]]</f>
        <v>0</v>
      </c>
    </row>
    <row r="89" spans="1:18" x14ac:dyDescent="0.25">
      <c r="A89" s="1">
        <v>87</v>
      </c>
      <c r="B89" t="s">
        <v>104</v>
      </c>
      <c r="C89">
        <v>32</v>
      </c>
      <c r="D89">
        <v>26.749476999999999</v>
      </c>
      <c r="E89">
        <f>VLOOKUP(Table3[[#This Row],[Pipe_name]],Table2[[Pipe_name]:[Original_Diameter]],2,FALSE)</f>
        <v>32</v>
      </c>
      <c r="F89">
        <f>VLOOKUP(Table3[[#This Row],[Pipe_name]],Table2[[Pipe_name]:[Length]],3,FALSE)</f>
        <v>26.749476999999999</v>
      </c>
      <c r="G89" t="s">
        <v>331</v>
      </c>
      <c r="H89" t="str">
        <f>IF(Table3[[#This Row],[2043 Diameter]]=Table3[[#This Row],[2022 Diameter]],"No","Yes")</f>
        <v>No</v>
      </c>
      <c r="I89" t="str">
        <f>IF(Table3[[#This Row],[2043 Length]]=Table3[[#This Row],[2022 length]],"No","Yes")</f>
        <v>No</v>
      </c>
      <c r="J89" s="8">
        <f>VLOOKUP(Table3[[#This Row],[2043 Diameter]],[1]Pipes!$A:$B,2,FALSE)</f>
        <v>362.58707029616613</v>
      </c>
      <c r="K89" s="8">
        <f>VLOOKUP(Table3[[#This Row],[2022 Diameter]],[1]Pipes!$A:$B,2,FALSE)</f>
        <v>362.58707029616613</v>
      </c>
      <c r="L89" s="8">
        <f>IF(OR(IFERROR(Table3[[#This Row],[Diameter Change?]]="Yes","Yes"),Table3[[#This Row],[Pipe Added?]]="Yes"),Table3[[#This Row],[2043 Pipeline unit cost]]*Table3[[#This Row],[2043 Length]],0)</f>
        <v>0</v>
      </c>
      <c r="M89" s="2">
        <f>VLOOKUP(Table3[[#This Row],[Pipe_name]],[2]!Table1[[id3]:[Cost]],8,FALSE)</f>
        <v>0</v>
      </c>
      <c r="N89" s="2">
        <f>IFERROR(Table3[[#This Row],[2022 length]]*Table3[[#This Row],[2022 Pipeline unit cost]],0)</f>
        <v>9699.0144973846782</v>
      </c>
      <c r="O89" s="2">
        <f>Table3[[#This Row],[2043 Length]]*Table3[[#This Row],[2043 Pipeline unit cost]]</f>
        <v>9699.0144973846782</v>
      </c>
      <c r="P89" s="2">
        <f>MATCH(Table3[[#This Row],[Pipe_name]],'2022 pipes'!B:B,0)</f>
        <v>89</v>
      </c>
      <c r="Q89" s="2">
        <f>Table3[[#This Row],[2043 pipes]]-Table3[[#This Row],[Master Plan CAPEX Cost]]</f>
        <v>9699.0144973846782</v>
      </c>
      <c r="R89" s="7">
        <f>Table3[[#This Row],[asdfa]]-Table3[[#This Row],[2022 total cost]]</f>
        <v>0</v>
      </c>
    </row>
    <row r="90" spans="1:18" x14ac:dyDescent="0.25">
      <c r="A90" s="1">
        <v>88</v>
      </c>
      <c r="B90" t="s">
        <v>105</v>
      </c>
      <c r="C90">
        <v>96</v>
      </c>
      <c r="D90">
        <v>141.13400300000001</v>
      </c>
      <c r="E90">
        <f>VLOOKUP(Table3[[#This Row],[Pipe_name]],Table2[[Pipe_name]:[Original_Diameter]],2,FALSE)</f>
        <v>96</v>
      </c>
      <c r="F90">
        <f>VLOOKUP(Table3[[#This Row],[Pipe_name]],Table2[[Pipe_name]:[Length]],3,FALSE)</f>
        <v>141.13400300000001</v>
      </c>
      <c r="G90" t="s">
        <v>331</v>
      </c>
      <c r="H90" t="str">
        <f>IF(Table3[[#This Row],[2043 Diameter]]=Table3[[#This Row],[2022 Diameter]],"No","Yes")</f>
        <v>No</v>
      </c>
      <c r="I90" t="str">
        <f>IF(Table3[[#This Row],[2043 Length]]=Table3[[#This Row],[2022 length]],"No","Yes")</f>
        <v>No</v>
      </c>
      <c r="J90" s="8">
        <f>VLOOKUP(Table3[[#This Row],[2043 Diameter]],[1]Pipes!$A:$B,2,FALSE)</f>
        <v>362.58707029616613</v>
      </c>
      <c r="K90" s="8">
        <f>VLOOKUP(Table3[[#This Row],[2022 Diameter]],[1]Pipes!$A:$B,2,FALSE)</f>
        <v>362.58707029616613</v>
      </c>
      <c r="L90" s="8">
        <f>IF(OR(IFERROR(Table3[[#This Row],[Diameter Change?]]="Yes","Yes"),Table3[[#This Row],[Pipe Added?]]="Yes"),Table3[[#This Row],[2043 Pipeline unit cost]]*Table3[[#This Row],[2043 Length]],0)</f>
        <v>0</v>
      </c>
      <c r="M90" s="2">
        <f>VLOOKUP(Table3[[#This Row],[Pipe_name]],[2]!Table1[[id3]:[Cost]],8,FALSE)</f>
        <v>0</v>
      </c>
      <c r="N90" s="2">
        <f>IFERROR(Table3[[#This Row],[2022 length]]*Table3[[#This Row],[2022 Pipeline unit cost]],0)</f>
        <v>51173.364666940324</v>
      </c>
      <c r="O90" s="2">
        <f>Table3[[#This Row],[2043 Length]]*Table3[[#This Row],[2043 Pipeline unit cost]]</f>
        <v>51173.364666940324</v>
      </c>
      <c r="P90" s="2">
        <f>MATCH(Table3[[#This Row],[Pipe_name]],'2022 pipes'!B:B,0)</f>
        <v>90</v>
      </c>
      <c r="Q90" s="2">
        <f>Table3[[#This Row],[2043 pipes]]-Table3[[#This Row],[Master Plan CAPEX Cost]]</f>
        <v>51173.364666940324</v>
      </c>
      <c r="R90" s="7">
        <f>Table3[[#This Row],[asdfa]]-Table3[[#This Row],[2022 total cost]]</f>
        <v>0</v>
      </c>
    </row>
    <row r="91" spans="1:18" x14ac:dyDescent="0.25">
      <c r="A91" s="1">
        <v>89</v>
      </c>
      <c r="B91" t="s">
        <v>106</v>
      </c>
      <c r="C91">
        <v>101</v>
      </c>
      <c r="D91">
        <v>39.221443000000001</v>
      </c>
      <c r="E91">
        <f>VLOOKUP(Table3[[#This Row],[Pipe_name]],Table2[[Pipe_name]:[Original_Diameter]],2,FALSE)</f>
        <v>101</v>
      </c>
      <c r="F91">
        <f>VLOOKUP(Table3[[#This Row],[Pipe_name]],Table2[[Pipe_name]:[Length]],3,FALSE)</f>
        <v>39.221443000000001</v>
      </c>
      <c r="G91" t="s">
        <v>331</v>
      </c>
      <c r="H91" t="str">
        <f>IF(Table3[[#This Row],[2043 Diameter]]=Table3[[#This Row],[2022 Diameter]],"No","Yes")</f>
        <v>No</v>
      </c>
      <c r="I91" t="str">
        <f>IF(Table3[[#This Row],[2043 Length]]=Table3[[#This Row],[2022 length]],"No","Yes")</f>
        <v>No</v>
      </c>
      <c r="J91" s="8">
        <f>VLOOKUP(Table3[[#This Row],[2043 Diameter]],[1]Pipes!$A:$B,2,FALSE)</f>
        <v>362.58707029616613</v>
      </c>
      <c r="K91" s="8">
        <f>VLOOKUP(Table3[[#This Row],[2022 Diameter]],[1]Pipes!$A:$B,2,FALSE)</f>
        <v>362.58707029616613</v>
      </c>
      <c r="L91" s="8">
        <f>IF(OR(IFERROR(Table3[[#This Row],[Diameter Change?]]="Yes","Yes"),Table3[[#This Row],[Pipe Added?]]="Yes"),Table3[[#This Row],[2043 Pipeline unit cost]]*Table3[[#This Row],[2043 Length]],0)</f>
        <v>0</v>
      </c>
      <c r="M91" s="2">
        <f>VLOOKUP(Table3[[#This Row],[Pipe_name]],[2]!Table1[[id3]:[Cost]],8,FALSE)</f>
        <v>0</v>
      </c>
      <c r="N91" s="2">
        <f>IFERROR(Table3[[#This Row],[2022 length]]*Table3[[#This Row],[2022 Pipeline unit cost]],0)</f>
        <v>14221.188110158073</v>
      </c>
      <c r="O91" s="2">
        <f>Table3[[#This Row],[2043 Length]]*Table3[[#This Row],[2043 Pipeline unit cost]]</f>
        <v>14221.188110158073</v>
      </c>
      <c r="P91" s="2">
        <f>MATCH(Table3[[#This Row],[Pipe_name]],'2022 pipes'!B:B,0)</f>
        <v>91</v>
      </c>
      <c r="Q91" s="2">
        <f>Table3[[#This Row],[2043 pipes]]-Table3[[#This Row],[Master Plan CAPEX Cost]]</f>
        <v>14221.188110158073</v>
      </c>
      <c r="R91" s="7">
        <f>Table3[[#This Row],[asdfa]]-Table3[[#This Row],[2022 total cost]]</f>
        <v>0</v>
      </c>
    </row>
    <row r="92" spans="1:18" x14ac:dyDescent="0.25">
      <c r="A92" s="1">
        <v>90</v>
      </c>
      <c r="B92" t="s">
        <v>107</v>
      </c>
      <c r="C92">
        <v>50</v>
      </c>
      <c r="D92">
        <v>64.022025999999997</v>
      </c>
      <c r="E92">
        <f>VLOOKUP(Table3[[#This Row],[Pipe_name]],Table2[[Pipe_name]:[Original_Diameter]],2,FALSE)</f>
        <v>50</v>
      </c>
      <c r="F92">
        <f>VLOOKUP(Table3[[#This Row],[Pipe_name]],Table2[[Pipe_name]:[Length]],3,FALSE)</f>
        <v>64.022025999999997</v>
      </c>
      <c r="G92" t="s">
        <v>331</v>
      </c>
      <c r="H92" t="str">
        <f>IF(Table3[[#This Row],[2043 Diameter]]=Table3[[#This Row],[2022 Diameter]],"No","Yes")</f>
        <v>No</v>
      </c>
      <c r="I92" t="str">
        <f>IF(Table3[[#This Row],[2043 Length]]=Table3[[#This Row],[2022 length]],"No","Yes")</f>
        <v>No</v>
      </c>
      <c r="J92" s="8">
        <f>VLOOKUP(Table3[[#This Row],[2043 Diameter]],[1]Pipes!$A:$B,2,FALSE)</f>
        <v>362.58707029616613</v>
      </c>
      <c r="K92" s="8">
        <f>VLOOKUP(Table3[[#This Row],[2022 Diameter]],[1]Pipes!$A:$B,2,FALSE)</f>
        <v>362.58707029616613</v>
      </c>
      <c r="L92" s="8">
        <f>IF(OR(IFERROR(Table3[[#This Row],[Diameter Change?]]="Yes","Yes"),Table3[[#This Row],[Pipe Added?]]="Yes"),Table3[[#This Row],[2043 Pipeline unit cost]]*Table3[[#This Row],[2043 Length]],0)</f>
        <v>0</v>
      </c>
      <c r="M92" s="2">
        <f>VLOOKUP(Table3[[#This Row],[Pipe_name]],[2]!Table1[[id3]:[Cost]],8,FALSE)</f>
        <v>0</v>
      </c>
      <c r="N92" s="2">
        <f>IFERROR(Table3[[#This Row],[2022 length]]*Table3[[#This Row],[2022 Pipeline unit cost]],0)</f>
        <v>23213.558841764974</v>
      </c>
      <c r="O92" s="2">
        <f>Table3[[#This Row],[2043 Length]]*Table3[[#This Row],[2043 Pipeline unit cost]]</f>
        <v>23213.558841764974</v>
      </c>
      <c r="P92" s="2">
        <f>MATCH(Table3[[#This Row],[Pipe_name]],'2022 pipes'!B:B,0)</f>
        <v>92</v>
      </c>
      <c r="Q92" s="2">
        <f>Table3[[#This Row],[2043 pipes]]-Table3[[#This Row],[Master Plan CAPEX Cost]]</f>
        <v>23213.558841764974</v>
      </c>
      <c r="R92" s="7">
        <f>Table3[[#This Row],[asdfa]]-Table3[[#This Row],[2022 total cost]]</f>
        <v>0</v>
      </c>
    </row>
    <row r="93" spans="1:18" x14ac:dyDescent="0.25">
      <c r="A93" s="1">
        <v>91</v>
      </c>
      <c r="B93" t="s">
        <v>108</v>
      </c>
      <c r="C93">
        <v>225</v>
      </c>
      <c r="D93">
        <v>288.62799100000001</v>
      </c>
      <c r="E93">
        <f>VLOOKUP(Table3[[#This Row],[Pipe_name]],Table2[[Pipe_name]:[Original_Diameter]],2,FALSE)</f>
        <v>96</v>
      </c>
      <c r="F93">
        <f>VLOOKUP(Table3[[#This Row],[Pipe_name]],Table2[[Pipe_name]:[Length]],3,FALSE)</f>
        <v>288.62799100000001</v>
      </c>
      <c r="G93" t="s">
        <v>331</v>
      </c>
      <c r="H93" t="str">
        <f>IF(Table3[[#This Row],[2043 Diameter]]=Table3[[#This Row],[2022 Diameter]],"No","Yes")</f>
        <v>Yes</v>
      </c>
      <c r="I93" t="str">
        <f>IF(Table3[[#This Row],[2043 Length]]=Table3[[#This Row],[2022 length]],"No","Yes")</f>
        <v>No</v>
      </c>
      <c r="J93" s="8">
        <f>VLOOKUP(Table3[[#This Row],[2043 Diameter]],[1]Pipes!$A:$B,2,FALSE)</f>
        <v>546.15625651305356</v>
      </c>
      <c r="K93" s="8">
        <f>VLOOKUP(Table3[[#This Row],[2022 Diameter]],[1]Pipes!$A:$B,2,FALSE)</f>
        <v>362.58707029616613</v>
      </c>
      <c r="L93" s="8">
        <f>IF(OR(IFERROR(Table3[[#This Row],[Diameter Change?]]="Yes","Yes"),Table3[[#This Row],[Pipe Added?]]="Yes"),Table3[[#This Row],[2043 Pipeline unit cost]]*Table3[[#This Row],[2043 Length]],0)</f>
        <v>157635.98308944333</v>
      </c>
      <c r="M93" s="2">
        <f>VLOOKUP(Table3[[#This Row],[Pipe_name]],[2]!Table1[[id3]:[Cost]],8,FALSE)</f>
        <v>157635.98800484961</v>
      </c>
      <c r="N93" s="2">
        <f>IFERROR(Table3[[#This Row],[2022 length]]*Table3[[#This Row],[2022 Pipeline unit cost]],0)</f>
        <v>104652.77766215822</v>
      </c>
      <c r="O93" s="2">
        <f>Table3[[#This Row],[2043 Length]]*Table3[[#This Row],[2043 Pipeline unit cost]]</f>
        <v>157635.98308944333</v>
      </c>
      <c r="P93" s="2">
        <f>MATCH(Table3[[#This Row],[Pipe_name]],'2022 pipes'!B:B,0)</f>
        <v>93</v>
      </c>
      <c r="Q93" s="2">
        <f>Table3[[#This Row],[2043 pipes]]-Table3[[#This Row],[Master Plan CAPEX Cost]]</f>
        <v>0</v>
      </c>
      <c r="R93" s="7">
        <f>Table3[[#This Row],[asdfa]]-Table3[[#This Row],[2022 total cost]]</f>
        <v>-104652.77766215822</v>
      </c>
    </row>
    <row r="94" spans="1:18" x14ac:dyDescent="0.25">
      <c r="A94" s="1">
        <v>92</v>
      </c>
      <c r="B94" t="s">
        <v>110</v>
      </c>
      <c r="C94">
        <v>375</v>
      </c>
      <c r="D94">
        <v>2.2604630000000001</v>
      </c>
      <c r="E94">
        <f>VLOOKUP(Table3[[#This Row],[Pipe_name]],Table2[[Pipe_name]:[Original_Diameter]],2,FALSE)</f>
        <v>141</v>
      </c>
      <c r="F94">
        <f>VLOOKUP(Table3[[#This Row],[Pipe_name]],Table2[[Pipe_name]:[Length]],3,FALSE)</f>
        <v>2.2604630000000001</v>
      </c>
      <c r="G94" t="s">
        <v>331</v>
      </c>
      <c r="H94" t="str">
        <f>IF(Table3[[#This Row],[2043 Diameter]]=Table3[[#This Row],[2022 Diameter]],"No","Yes")</f>
        <v>Yes</v>
      </c>
      <c r="I94" t="str">
        <f>IF(Table3[[#This Row],[2043 Length]]=Table3[[#This Row],[2022 length]],"No","Yes")</f>
        <v>No</v>
      </c>
      <c r="J94" s="8">
        <f>VLOOKUP(Table3[[#This Row],[2043 Diameter]],[1]Pipes!$A:$B,2,FALSE)</f>
        <v>1014.940376686758</v>
      </c>
      <c r="K94" s="8">
        <f>VLOOKUP(Table3[[#This Row],[2022 Diameter]],[1]Pipes!$A:$B,2,FALSE)</f>
        <v>433.89080378537034</v>
      </c>
      <c r="L94" s="8">
        <f>IF(OR(IFERROR(Table3[[#This Row],[Diameter Change?]]="Yes","Yes"),Table3[[#This Row],[Pipe Added?]]="Yes"),Table3[[#This Row],[2043 Pipeline unit cost]]*Table3[[#This Row],[2043 Length]],0)</f>
        <v>2294.2351687064793</v>
      </c>
      <c r="M94" s="2">
        <f>VLOOKUP(Table3[[#This Row],[Pipe_name]],[2]!Table1[[id3]:[Cost]],8,FALSE)</f>
        <v>2293.7652513120729</v>
      </c>
      <c r="N94" s="2">
        <f>IFERROR(Table3[[#This Row],[2022 length]]*Table3[[#This Row],[2022 Pipeline unit cost]],0)</f>
        <v>980.79410799708967</v>
      </c>
      <c r="O94" s="2">
        <f>Table3[[#This Row],[2043 Length]]*Table3[[#This Row],[2043 Pipeline unit cost]]</f>
        <v>2294.2351687064793</v>
      </c>
      <c r="P94" s="2">
        <f>MATCH(Table3[[#This Row],[Pipe_name]],'2022 pipes'!B:B,0)</f>
        <v>95</v>
      </c>
      <c r="Q94" s="2">
        <f>Table3[[#This Row],[2043 pipes]]-Table3[[#This Row],[Master Plan CAPEX Cost]]</f>
        <v>0</v>
      </c>
      <c r="R94" s="7">
        <f>Table3[[#This Row],[asdfa]]-Table3[[#This Row],[2022 total cost]]</f>
        <v>-980.79410799708967</v>
      </c>
    </row>
    <row r="95" spans="1:18" x14ac:dyDescent="0.25">
      <c r="A95" s="1">
        <v>93</v>
      </c>
      <c r="B95" t="s">
        <v>111</v>
      </c>
      <c r="C95">
        <v>225</v>
      </c>
      <c r="D95">
        <v>141.772751</v>
      </c>
      <c r="E95">
        <f>VLOOKUP(Table3[[#This Row],[Pipe_name]],Table2[[Pipe_name]:[Original_Diameter]],2,FALSE)</f>
        <v>96</v>
      </c>
      <c r="F95">
        <f>VLOOKUP(Table3[[#This Row],[Pipe_name]],Table2[[Pipe_name]:[Length]],3,FALSE)</f>
        <v>141.772751</v>
      </c>
      <c r="G95" t="s">
        <v>331</v>
      </c>
      <c r="H95" t="str">
        <f>IF(Table3[[#This Row],[2043 Diameter]]=Table3[[#This Row],[2022 Diameter]],"No","Yes")</f>
        <v>Yes</v>
      </c>
      <c r="I95" t="str">
        <f>IF(Table3[[#This Row],[2043 Length]]=Table3[[#This Row],[2022 length]],"No","Yes")</f>
        <v>No</v>
      </c>
      <c r="J95" s="8">
        <f>VLOOKUP(Table3[[#This Row],[2043 Diameter]],[1]Pipes!$A:$B,2,FALSE)</f>
        <v>546.15625651305356</v>
      </c>
      <c r="K95" s="8">
        <f>VLOOKUP(Table3[[#This Row],[2022 Diameter]],[1]Pipes!$A:$B,2,FALSE)</f>
        <v>362.58707029616613</v>
      </c>
      <c r="L95" s="8">
        <f>IF(OR(IFERROR(Table3[[#This Row],[Diameter Change?]]="Yes","Yes"),Table3[[#This Row],[Pipe Added?]]="Yes"),Table3[[#This Row],[2043 Pipeline unit cost]]*Table3[[#This Row],[2043 Length]],0)</f>
        <v>77430.07496171727</v>
      </c>
      <c r="M95" s="2">
        <f>VLOOKUP(Table3[[#This Row],[Pipe_name]],[2]!Table1[[id3]:[Cost]],8,FALSE)</f>
        <v>77429.664798368627</v>
      </c>
      <c r="N95" s="2">
        <f>IFERROR(Table3[[#This Row],[2022 length]]*Table3[[#This Row],[2022 Pipeline unit cost]],0)</f>
        <v>51404.966432917856</v>
      </c>
      <c r="O95" s="2">
        <f>Table3[[#This Row],[2043 Length]]*Table3[[#This Row],[2043 Pipeline unit cost]]</f>
        <v>77430.07496171727</v>
      </c>
      <c r="P95" s="2">
        <f>MATCH(Table3[[#This Row],[Pipe_name]],'2022 pipes'!B:B,0)</f>
        <v>96</v>
      </c>
      <c r="Q95" s="2">
        <f>Table3[[#This Row],[2043 pipes]]-Table3[[#This Row],[Master Plan CAPEX Cost]]</f>
        <v>0</v>
      </c>
      <c r="R95" s="7">
        <f>Table3[[#This Row],[asdfa]]-Table3[[#This Row],[2022 total cost]]</f>
        <v>-51404.966432917856</v>
      </c>
    </row>
    <row r="96" spans="1:18" x14ac:dyDescent="0.25">
      <c r="A96" s="1">
        <v>94</v>
      </c>
      <c r="B96" t="s">
        <v>112</v>
      </c>
      <c r="C96">
        <v>150</v>
      </c>
      <c r="D96">
        <v>527.37817399999994</v>
      </c>
      <c r="E96">
        <f>VLOOKUP(Table3[[#This Row],[Pipe_name]],Table2[[Pipe_name]:[Original_Diameter]],2,FALSE)</f>
        <v>96</v>
      </c>
      <c r="F96">
        <f>VLOOKUP(Table3[[#This Row],[Pipe_name]],Table2[[Pipe_name]:[Length]],3,FALSE)</f>
        <v>527.37817399999994</v>
      </c>
      <c r="G96" t="s">
        <v>331</v>
      </c>
      <c r="H96" t="str">
        <f>IF(Table3[[#This Row],[2043 Diameter]]=Table3[[#This Row],[2022 Diameter]],"No","Yes")</f>
        <v>Yes</v>
      </c>
      <c r="I96" t="str">
        <f>IF(Table3[[#This Row],[2043 Length]]=Table3[[#This Row],[2022 length]],"No","Yes")</f>
        <v>No</v>
      </c>
      <c r="J96" s="8">
        <f>VLOOKUP(Table3[[#This Row],[2043 Diameter]],[1]Pipes!$A:$B,2,FALSE)</f>
        <v>433.89080378537034</v>
      </c>
      <c r="K96" s="8">
        <f>VLOOKUP(Table3[[#This Row],[2022 Diameter]],[1]Pipes!$A:$B,2,FALSE)</f>
        <v>362.58707029616613</v>
      </c>
      <c r="L96" s="8">
        <f>IF(OR(IFERROR(Table3[[#This Row],[Diameter Change?]]="Yes","Yes"),Table3[[#This Row],[Pipe Added?]]="Yes"),Table3[[#This Row],[2043 Pipeline unit cost]]*Table3[[#This Row],[2043 Length]],0)</f>
        <v>228824.53981572087</v>
      </c>
      <c r="M96" s="2">
        <f>VLOOKUP(Table3[[#This Row],[Pipe_name]],[2]!Table1[[id3]:[Cost]],8,FALSE)</f>
        <v>228824.46431872106</v>
      </c>
      <c r="N96" s="2">
        <f>IFERROR(Table3[[#This Row],[2022 length]]*Table3[[#This Row],[2022 Pipeline unit cost]],0)</f>
        <v>191220.50704880172</v>
      </c>
      <c r="O96" s="2">
        <f>Table3[[#This Row],[2043 Length]]*Table3[[#This Row],[2043 Pipeline unit cost]]</f>
        <v>228824.53981572087</v>
      </c>
      <c r="P96" s="2">
        <f>MATCH(Table3[[#This Row],[Pipe_name]],'2022 pipes'!B:B,0)</f>
        <v>97</v>
      </c>
      <c r="Q96" s="2">
        <f>Table3[[#This Row],[2043 pipes]]-Table3[[#This Row],[Master Plan CAPEX Cost]]</f>
        <v>0</v>
      </c>
      <c r="R96" s="7">
        <f>Table3[[#This Row],[asdfa]]-Table3[[#This Row],[2022 total cost]]</f>
        <v>-191220.50704880172</v>
      </c>
    </row>
    <row r="97" spans="1:18" x14ac:dyDescent="0.25">
      <c r="A97" s="1">
        <v>95</v>
      </c>
      <c r="B97" t="s">
        <v>113</v>
      </c>
      <c r="C97">
        <v>101</v>
      </c>
      <c r="D97">
        <v>122.79098500000001</v>
      </c>
      <c r="E97">
        <f>VLOOKUP(Table3[[#This Row],[Pipe_name]],Table2[[Pipe_name]:[Original_Diameter]],2,FALSE)</f>
        <v>101</v>
      </c>
      <c r="F97">
        <f>VLOOKUP(Table3[[#This Row],[Pipe_name]],Table2[[Pipe_name]:[Length]],3,FALSE)</f>
        <v>122.79098500000001</v>
      </c>
      <c r="G97" t="s">
        <v>331</v>
      </c>
      <c r="H97" t="str">
        <f>IF(Table3[[#This Row],[2043 Diameter]]=Table3[[#This Row],[2022 Diameter]],"No","Yes")</f>
        <v>No</v>
      </c>
      <c r="I97" t="str">
        <f>IF(Table3[[#This Row],[2043 Length]]=Table3[[#This Row],[2022 length]],"No","Yes")</f>
        <v>No</v>
      </c>
      <c r="J97" s="8">
        <f>VLOOKUP(Table3[[#This Row],[2043 Diameter]],[1]Pipes!$A:$B,2,FALSE)</f>
        <v>362.58707029616613</v>
      </c>
      <c r="K97" s="8">
        <f>VLOOKUP(Table3[[#This Row],[2022 Diameter]],[1]Pipes!$A:$B,2,FALSE)</f>
        <v>362.58707029616613</v>
      </c>
      <c r="L97" s="8">
        <f>IF(OR(IFERROR(Table3[[#This Row],[Diameter Change?]]="Yes","Yes"),Table3[[#This Row],[Pipe Added?]]="Yes"),Table3[[#This Row],[2043 Pipeline unit cost]]*Table3[[#This Row],[2043 Length]],0)</f>
        <v>0</v>
      </c>
      <c r="M97" s="2">
        <f>VLOOKUP(Table3[[#This Row],[Pipe_name]],[2]!Table1[[id3]:[Cost]],8,FALSE)</f>
        <v>0</v>
      </c>
      <c r="N97" s="2">
        <f>IFERROR(Table3[[#This Row],[2022 length]]*Table3[[#This Row],[2022 Pipeline unit cost]],0)</f>
        <v>44522.423509930486</v>
      </c>
      <c r="O97" s="2">
        <f>Table3[[#This Row],[2043 Length]]*Table3[[#This Row],[2043 Pipeline unit cost]]</f>
        <v>44522.423509930486</v>
      </c>
      <c r="P97" s="2">
        <f>MATCH(Table3[[#This Row],[Pipe_name]],'2022 pipes'!B:B,0)</f>
        <v>98</v>
      </c>
      <c r="Q97" s="2">
        <f>Table3[[#This Row],[2043 pipes]]-Table3[[#This Row],[Master Plan CAPEX Cost]]</f>
        <v>44522.423509930486</v>
      </c>
      <c r="R97" s="7">
        <f>Table3[[#This Row],[asdfa]]-Table3[[#This Row],[2022 total cost]]</f>
        <v>0</v>
      </c>
    </row>
    <row r="98" spans="1:18" x14ac:dyDescent="0.25">
      <c r="A98" s="1">
        <v>96</v>
      </c>
      <c r="B98" t="s">
        <v>114</v>
      </c>
      <c r="C98">
        <v>141</v>
      </c>
      <c r="D98">
        <v>1.92042</v>
      </c>
      <c r="E98">
        <f>VLOOKUP(Table3[[#This Row],[Pipe_name]],Table2[[Pipe_name]:[Original_Diameter]],2,FALSE)</f>
        <v>141</v>
      </c>
      <c r="F98">
        <f>VLOOKUP(Table3[[#This Row],[Pipe_name]],Table2[[Pipe_name]:[Length]],3,FALSE)</f>
        <v>1.92042</v>
      </c>
      <c r="G98" t="s">
        <v>331</v>
      </c>
      <c r="H98" t="str">
        <f>IF(Table3[[#This Row],[2043 Diameter]]=Table3[[#This Row],[2022 Diameter]],"No","Yes")</f>
        <v>No</v>
      </c>
      <c r="I98" t="str">
        <f>IF(Table3[[#This Row],[2043 Length]]=Table3[[#This Row],[2022 length]],"No","Yes")</f>
        <v>No</v>
      </c>
      <c r="J98" s="8">
        <f>VLOOKUP(Table3[[#This Row],[2043 Diameter]],[1]Pipes!$A:$B,2,FALSE)</f>
        <v>433.89080378537034</v>
      </c>
      <c r="K98" s="8">
        <f>VLOOKUP(Table3[[#This Row],[2022 Diameter]],[1]Pipes!$A:$B,2,FALSE)</f>
        <v>433.89080378537034</v>
      </c>
      <c r="L98" s="8">
        <f>IF(OR(IFERROR(Table3[[#This Row],[Diameter Change?]]="Yes","Yes"),Table3[[#This Row],[Pipe Added?]]="Yes"),Table3[[#This Row],[2043 Pipeline unit cost]]*Table3[[#This Row],[2043 Length]],0)</f>
        <v>0</v>
      </c>
      <c r="M98" s="2">
        <f>VLOOKUP(Table3[[#This Row],[Pipe_name]],[2]!Table1[[id3]:[Cost]],8,FALSE)</f>
        <v>0</v>
      </c>
      <c r="N98" s="2">
        <f>IFERROR(Table3[[#This Row],[2022 length]]*Table3[[#This Row],[2022 Pipeline unit cost]],0)</f>
        <v>833.25257740550092</v>
      </c>
      <c r="O98" s="2">
        <f>Table3[[#This Row],[2043 Length]]*Table3[[#This Row],[2043 Pipeline unit cost]]</f>
        <v>833.25257740550092</v>
      </c>
      <c r="P98" s="2">
        <f>MATCH(Table3[[#This Row],[Pipe_name]],'2022 pipes'!B:B,0)</f>
        <v>99</v>
      </c>
      <c r="Q98" s="2">
        <f>Table3[[#This Row],[2043 pipes]]-Table3[[#This Row],[Master Plan CAPEX Cost]]</f>
        <v>833.25257740550092</v>
      </c>
      <c r="R98" s="7">
        <f>Table3[[#This Row],[asdfa]]-Table3[[#This Row],[2022 total cost]]</f>
        <v>0</v>
      </c>
    </row>
    <row r="99" spans="1:18" x14ac:dyDescent="0.25">
      <c r="A99" s="1">
        <v>97</v>
      </c>
      <c r="B99" t="s">
        <v>115</v>
      </c>
      <c r="C99">
        <v>225</v>
      </c>
      <c r="D99">
        <v>13.021284</v>
      </c>
      <c r="E99">
        <f>VLOOKUP(Table3[[#This Row],[Pipe_name]],Table2[[Pipe_name]:[Original_Diameter]],2,FALSE)</f>
        <v>96</v>
      </c>
      <c r="F99">
        <f>VLOOKUP(Table3[[#This Row],[Pipe_name]],Table2[[Pipe_name]:[Length]],3,FALSE)</f>
        <v>13.021284</v>
      </c>
      <c r="G99" t="s">
        <v>331</v>
      </c>
      <c r="H99" t="str">
        <f>IF(Table3[[#This Row],[2043 Diameter]]=Table3[[#This Row],[2022 Diameter]],"No","Yes")</f>
        <v>Yes</v>
      </c>
      <c r="I99" t="str">
        <f>IF(Table3[[#This Row],[2043 Length]]=Table3[[#This Row],[2022 length]],"No","Yes")</f>
        <v>No</v>
      </c>
      <c r="J99" s="8">
        <f>VLOOKUP(Table3[[#This Row],[2043 Diameter]],[1]Pipes!$A:$B,2,FALSE)</f>
        <v>546.15625651305356</v>
      </c>
      <c r="K99" s="8">
        <f>VLOOKUP(Table3[[#This Row],[2022 Diameter]],[1]Pipes!$A:$B,2,FALSE)</f>
        <v>362.58707029616613</v>
      </c>
      <c r="L99" s="8">
        <f>IF(OR(IFERROR(Table3[[#This Row],[Diameter Change?]]="Yes","Yes"),Table3[[#This Row],[Pipe Added?]]="Yes"),Table3[[#This Row],[2043 Pipeline unit cost]]*Table3[[#This Row],[2043 Length]],0)</f>
        <v>7111.6557244333198</v>
      </c>
      <c r="M99" s="2">
        <f>VLOOKUP(Table3[[#This Row],[Pipe_name]],[2]!Table1[[id3]:[Cost]],8,FALSE)</f>
        <v>7111.5006160564708</v>
      </c>
      <c r="N99" s="2">
        <f>IFERROR(Table3[[#This Row],[2022 length]]*Table3[[#This Row],[2022 Pipeline unit cost]],0)</f>
        <v>4721.3492170543432</v>
      </c>
      <c r="O99" s="2">
        <f>Table3[[#This Row],[2043 Length]]*Table3[[#This Row],[2043 Pipeline unit cost]]</f>
        <v>7111.6557244333198</v>
      </c>
      <c r="P99" s="2">
        <f>MATCH(Table3[[#This Row],[Pipe_name]],'2022 pipes'!B:B,0)</f>
        <v>100</v>
      </c>
      <c r="Q99" s="2">
        <f>Table3[[#This Row],[2043 pipes]]-Table3[[#This Row],[Master Plan CAPEX Cost]]</f>
        <v>0</v>
      </c>
      <c r="R99" s="7">
        <f>Table3[[#This Row],[asdfa]]-Table3[[#This Row],[2022 total cost]]</f>
        <v>-4721.3492170543432</v>
      </c>
    </row>
    <row r="100" spans="1:18" x14ac:dyDescent="0.25">
      <c r="A100" s="1">
        <v>98</v>
      </c>
      <c r="B100" t="s">
        <v>116</v>
      </c>
      <c r="C100">
        <v>143</v>
      </c>
      <c r="D100">
        <v>13.818092</v>
      </c>
      <c r="E100">
        <f>VLOOKUP(Table3[[#This Row],[Pipe_name]],Table2[[Pipe_name]:[Original_Diameter]],2,FALSE)</f>
        <v>143</v>
      </c>
      <c r="F100">
        <f>VLOOKUP(Table3[[#This Row],[Pipe_name]],Table2[[Pipe_name]:[Length]],3,FALSE)</f>
        <v>13.818092</v>
      </c>
      <c r="G100" t="s">
        <v>331</v>
      </c>
      <c r="H100" t="str">
        <f>IF(Table3[[#This Row],[2043 Diameter]]=Table3[[#This Row],[2022 Diameter]],"No","Yes")</f>
        <v>No</v>
      </c>
      <c r="I100" t="str">
        <f>IF(Table3[[#This Row],[2043 Length]]=Table3[[#This Row],[2022 length]],"No","Yes")</f>
        <v>No</v>
      </c>
      <c r="J100" s="8">
        <f>VLOOKUP(Table3[[#This Row],[2043 Diameter]],[1]Pipes!$A:$B,2,FALSE)</f>
        <v>433.89080378537034</v>
      </c>
      <c r="K100" s="8">
        <f>VLOOKUP(Table3[[#This Row],[2022 Diameter]],[1]Pipes!$A:$B,2,FALSE)</f>
        <v>433.89080378537034</v>
      </c>
      <c r="L100" s="8">
        <f>IF(OR(IFERROR(Table3[[#This Row],[Diameter Change?]]="Yes","Yes"),Table3[[#This Row],[Pipe Added?]]="Yes"),Table3[[#This Row],[2043 Pipeline unit cost]]*Table3[[#This Row],[2043 Length]],0)</f>
        <v>0</v>
      </c>
      <c r="M100" s="2">
        <f>VLOOKUP(Table3[[#This Row],[Pipe_name]],[2]!Table1[[id3]:[Cost]],8,FALSE)</f>
        <v>0</v>
      </c>
      <c r="N100" s="2">
        <f>IFERROR(Table3[[#This Row],[2022 length]]*Table3[[#This Row],[2022 Pipeline unit cost]],0)</f>
        <v>5995.5430446601958</v>
      </c>
      <c r="O100" s="2">
        <f>Table3[[#This Row],[2043 Length]]*Table3[[#This Row],[2043 Pipeline unit cost]]</f>
        <v>5995.5430446601958</v>
      </c>
      <c r="P100" s="2">
        <f>MATCH(Table3[[#This Row],[Pipe_name]],'2022 pipes'!B:B,0)</f>
        <v>101</v>
      </c>
      <c r="Q100" s="2">
        <f>Table3[[#This Row],[2043 pipes]]-Table3[[#This Row],[Master Plan CAPEX Cost]]</f>
        <v>5995.5430446601958</v>
      </c>
      <c r="R100" s="7">
        <f>Table3[[#This Row],[asdfa]]-Table3[[#This Row],[2022 total cost]]</f>
        <v>0</v>
      </c>
    </row>
    <row r="101" spans="1:18" x14ac:dyDescent="0.25">
      <c r="A101" s="1">
        <v>99</v>
      </c>
      <c r="B101" t="s">
        <v>117</v>
      </c>
      <c r="C101">
        <v>143</v>
      </c>
      <c r="D101">
        <v>21.935091</v>
      </c>
      <c r="E101">
        <f>VLOOKUP(Table3[[#This Row],[Pipe_name]],Table2[[Pipe_name]:[Original_Diameter]],2,FALSE)</f>
        <v>143</v>
      </c>
      <c r="F101">
        <f>VLOOKUP(Table3[[#This Row],[Pipe_name]],Table2[[Pipe_name]:[Length]],3,FALSE)</f>
        <v>21.938016999999999</v>
      </c>
      <c r="G101" t="s">
        <v>331</v>
      </c>
      <c r="H101" t="str">
        <f>IF(Table3[[#This Row],[2043 Diameter]]=Table3[[#This Row],[2022 Diameter]],"No","Yes")</f>
        <v>No</v>
      </c>
      <c r="I101" t="str">
        <f>IF(Table3[[#This Row],[2043 Length]]=Table3[[#This Row],[2022 length]],"No","Yes")</f>
        <v>Yes</v>
      </c>
      <c r="J101" s="8">
        <f>VLOOKUP(Table3[[#This Row],[2043 Diameter]],[1]Pipes!$A:$B,2,FALSE)</f>
        <v>433.89080378537034</v>
      </c>
      <c r="K101" s="8">
        <f>VLOOKUP(Table3[[#This Row],[2022 Diameter]],[1]Pipes!$A:$B,2,FALSE)</f>
        <v>433.89080378537034</v>
      </c>
      <c r="L101" s="8">
        <f>IF(OR(IFERROR(Table3[[#This Row],[Diameter Change?]]="Yes","Yes"),Table3[[#This Row],[Pipe Added?]]="Yes"),Table3[[#This Row],[2043 Pipeline unit cost]]*Table3[[#This Row],[2043 Length]],0)</f>
        <v>0</v>
      </c>
      <c r="M101" s="2">
        <f>VLOOKUP(Table3[[#This Row],[Pipe_name]],[2]!Table1[[id3]:[Cost]],8,FALSE)</f>
        <v>0</v>
      </c>
      <c r="N101" s="2">
        <f>IFERROR(Table3[[#This Row],[2022 length]]*Table3[[#This Row],[2022 Pipeline unit cost]],0)</f>
        <v>9518.7038295871189</v>
      </c>
      <c r="O101" s="2">
        <f>Table3[[#This Row],[2043 Length]]*Table3[[#This Row],[2043 Pipeline unit cost]]</f>
        <v>9517.4342650952422</v>
      </c>
      <c r="P101" s="2">
        <f>MATCH(Table3[[#This Row],[Pipe_name]],'2022 pipes'!B:B,0)</f>
        <v>102</v>
      </c>
      <c r="Q101" s="2">
        <f>Table3[[#This Row],[2043 pipes]]-Table3[[#This Row],[Master Plan CAPEX Cost]]</f>
        <v>9517.4342650952422</v>
      </c>
      <c r="R101" s="7">
        <f>Table3[[#This Row],[asdfa]]-Table3[[#This Row],[2022 total cost]]</f>
        <v>-1.2695644918767357</v>
      </c>
    </row>
    <row r="102" spans="1:18" x14ac:dyDescent="0.25">
      <c r="A102" s="1">
        <v>100</v>
      </c>
      <c r="B102" t="s">
        <v>118</v>
      </c>
      <c r="C102">
        <v>63</v>
      </c>
      <c r="D102">
        <v>1.725676</v>
      </c>
      <c r="E102">
        <f>VLOOKUP(Table3[[#This Row],[Pipe_name]],Table2[[Pipe_name]:[Original_Diameter]],2,FALSE)</f>
        <v>63</v>
      </c>
      <c r="F102">
        <f>VLOOKUP(Table3[[#This Row],[Pipe_name]],Table2[[Pipe_name]:[Length]],3,FALSE)</f>
        <v>1.725676</v>
      </c>
      <c r="G102" t="s">
        <v>331</v>
      </c>
      <c r="H102" t="str">
        <f>IF(Table3[[#This Row],[2043 Diameter]]=Table3[[#This Row],[2022 Diameter]],"No","Yes")</f>
        <v>No</v>
      </c>
      <c r="I102" t="str">
        <f>IF(Table3[[#This Row],[2043 Length]]=Table3[[#This Row],[2022 length]],"No","Yes")</f>
        <v>No</v>
      </c>
      <c r="J102" s="8">
        <f>VLOOKUP(Table3[[#This Row],[2043 Diameter]],[1]Pipes!$A:$B,2,FALSE)</f>
        <v>362.58707029616613</v>
      </c>
      <c r="K102" s="8">
        <f>VLOOKUP(Table3[[#This Row],[2022 Diameter]],[1]Pipes!$A:$B,2,FALSE)</f>
        <v>362.58707029616613</v>
      </c>
      <c r="L102" s="8">
        <f>IF(OR(IFERROR(Table3[[#This Row],[Diameter Change?]]="Yes","Yes"),Table3[[#This Row],[Pipe Added?]]="Yes"),Table3[[#This Row],[2043 Pipeline unit cost]]*Table3[[#This Row],[2043 Length]],0)</f>
        <v>0</v>
      </c>
      <c r="M102" s="2">
        <f>VLOOKUP(Table3[[#This Row],[Pipe_name]],[2]!Table1[[id3]:[Cost]],8,FALSE)</f>
        <v>0</v>
      </c>
      <c r="N102" s="2">
        <f>IFERROR(Table3[[#This Row],[2022 length]]*Table3[[#This Row],[2022 Pipeline unit cost]],0)</f>
        <v>625.70780512040676</v>
      </c>
      <c r="O102" s="2">
        <f>Table3[[#This Row],[2043 Length]]*Table3[[#This Row],[2043 Pipeline unit cost]]</f>
        <v>625.70780512040676</v>
      </c>
      <c r="P102" s="2">
        <f>MATCH(Table3[[#This Row],[Pipe_name]],'2022 pipes'!B:B,0)</f>
        <v>103</v>
      </c>
      <c r="Q102" s="2">
        <f>Table3[[#This Row],[2043 pipes]]-Table3[[#This Row],[Master Plan CAPEX Cost]]</f>
        <v>625.70780512040676</v>
      </c>
      <c r="R102" s="7">
        <f>Table3[[#This Row],[asdfa]]-Table3[[#This Row],[2022 total cost]]</f>
        <v>0</v>
      </c>
    </row>
    <row r="103" spans="1:18" x14ac:dyDescent="0.25">
      <c r="A103" s="1">
        <v>101</v>
      </c>
      <c r="B103" t="s">
        <v>119</v>
      </c>
      <c r="C103">
        <v>63</v>
      </c>
      <c r="D103">
        <v>65.785056999999995</v>
      </c>
      <c r="E103">
        <f>VLOOKUP(Table3[[#This Row],[Pipe_name]],Table2[[Pipe_name]:[Original_Diameter]],2,FALSE)</f>
        <v>63</v>
      </c>
      <c r="F103">
        <f>VLOOKUP(Table3[[#This Row],[Pipe_name]],Table2[[Pipe_name]:[Length]],3,FALSE)</f>
        <v>65.785056999999995</v>
      </c>
      <c r="G103" t="s">
        <v>331</v>
      </c>
      <c r="H103" t="str">
        <f>IF(Table3[[#This Row],[2043 Diameter]]=Table3[[#This Row],[2022 Diameter]],"No","Yes")</f>
        <v>No</v>
      </c>
      <c r="I103" t="str">
        <f>IF(Table3[[#This Row],[2043 Length]]=Table3[[#This Row],[2022 length]],"No","Yes")</f>
        <v>No</v>
      </c>
      <c r="J103" s="8">
        <f>VLOOKUP(Table3[[#This Row],[2043 Diameter]],[1]Pipes!$A:$B,2,FALSE)</f>
        <v>362.58707029616613</v>
      </c>
      <c r="K103" s="8">
        <f>VLOOKUP(Table3[[#This Row],[2022 Diameter]],[1]Pipes!$A:$B,2,FALSE)</f>
        <v>362.58707029616613</v>
      </c>
      <c r="L103" s="8">
        <f>IF(OR(IFERROR(Table3[[#This Row],[Diameter Change?]]="Yes","Yes"),Table3[[#This Row],[Pipe Added?]]="Yes"),Table3[[#This Row],[2043 Pipeline unit cost]]*Table3[[#This Row],[2043 Length]],0)</f>
        <v>0</v>
      </c>
      <c r="M103" s="2">
        <f>VLOOKUP(Table3[[#This Row],[Pipe_name]],[2]!Table1[[id3]:[Cost]],8,FALSE)</f>
        <v>0</v>
      </c>
      <c r="N103" s="2">
        <f>IFERROR(Table3[[#This Row],[2022 length]]*Table3[[#This Row],[2022 Pipeline unit cost]],0)</f>
        <v>23852.811086896294</v>
      </c>
      <c r="O103" s="2">
        <f>Table3[[#This Row],[2043 Length]]*Table3[[#This Row],[2043 Pipeline unit cost]]</f>
        <v>23852.811086896294</v>
      </c>
      <c r="P103" s="2">
        <f>MATCH(Table3[[#This Row],[Pipe_name]],'2022 pipes'!B:B,0)</f>
        <v>104</v>
      </c>
      <c r="Q103" s="2">
        <f>Table3[[#This Row],[2043 pipes]]-Table3[[#This Row],[Master Plan CAPEX Cost]]</f>
        <v>23852.811086896294</v>
      </c>
      <c r="R103" s="7">
        <f>Table3[[#This Row],[asdfa]]-Table3[[#This Row],[2022 total cost]]</f>
        <v>0</v>
      </c>
    </row>
    <row r="104" spans="1:18" x14ac:dyDescent="0.25">
      <c r="A104" s="1">
        <v>102</v>
      </c>
      <c r="B104" t="s">
        <v>120</v>
      </c>
      <c r="C104">
        <v>50</v>
      </c>
      <c r="D104">
        <v>16.028227000000001</v>
      </c>
      <c r="E104">
        <f>VLOOKUP(Table3[[#This Row],[Pipe_name]],Table2[[Pipe_name]:[Original_Diameter]],2,FALSE)</f>
        <v>50</v>
      </c>
      <c r="F104">
        <f>VLOOKUP(Table3[[#This Row],[Pipe_name]],Table2[[Pipe_name]:[Length]],3,FALSE)</f>
        <v>16.028227000000001</v>
      </c>
      <c r="G104" t="s">
        <v>331</v>
      </c>
      <c r="H104" t="str">
        <f>IF(Table3[[#This Row],[2043 Diameter]]=Table3[[#This Row],[2022 Diameter]],"No","Yes")</f>
        <v>No</v>
      </c>
      <c r="I104" t="str">
        <f>IF(Table3[[#This Row],[2043 Length]]=Table3[[#This Row],[2022 length]],"No","Yes")</f>
        <v>No</v>
      </c>
      <c r="J104" s="8">
        <f>VLOOKUP(Table3[[#This Row],[2043 Diameter]],[1]Pipes!$A:$B,2,FALSE)</f>
        <v>362.58707029616613</v>
      </c>
      <c r="K104" s="8">
        <f>VLOOKUP(Table3[[#This Row],[2022 Diameter]],[1]Pipes!$A:$B,2,FALSE)</f>
        <v>362.58707029616613</v>
      </c>
      <c r="L104" s="8">
        <f>IF(OR(IFERROR(Table3[[#This Row],[Diameter Change?]]="Yes","Yes"),Table3[[#This Row],[Pipe Added?]]="Yes"),Table3[[#This Row],[2043 Pipeline unit cost]]*Table3[[#This Row],[2043 Length]],0)</f>
        <v>0</v>
      </c>
      <c r="M104" s="2">
        <f>VLOOKUP(Table3[[#This Row],[Pipe_name]],[2]!Table1[[id3]:[Cost]],8,FALSE)</f>
        <v>0</v>
      </c>
      <c r="N104" s="2">
        <f>IFERROR(Table3[[#This Row],[2022 length]]*Table3[[#This Row],[2022 Pipeline unit cost]],0)</f>
        <v>5811.6278699719087</v>
      </c>
      <c r="O104" s="2">
        <f>Table3[[#This Row],[2043 Length]]*Table3[[#This Row],[2043 Pipeline unit cost]]</f>
        <v>5811.6278699719087</v>
      </c>
      <c r="P104" s="2">
        <f>MATCH(Table3[[#This Row],[Pipe_name]],'2022 pipes'!B:B,0)</f>
        <v>105</v>
      </c>
      <c r="Q104" s="2">
        <f>Table3[[#This Row],[2043 pipes]]-Table3[[#This Row],[Master Plan CAPEX Cost]]</f>
        <v>5811.6278699719087</v>
      </c>
      <c r="R104" s="7">
        <f>Table3[[#This Row],[asdfa]]-Table3[[#This Row],[2022 total cost]]</f>
        <v>0</v>
      </c>
    </row>
    <row r="105" spans="1:18" x14ac:dyDescent="0.25">
      <c r="A105" s="1">
        <v>103</v>
      </c>
      <c r="B105" t="s">
        <v>121</v>
      </c>
      <c r="C105">
        <v>96</v>
      </c>
      <c r="D105">
        <v>146.709351</v>
      </c>
      <c r="E105">
        <f>VLOOKUP(Table3[[#This Row],[Pipe_name]],Table2[[Pipe_name]:[Original_Diameter]],2,FALSE)</f>
        <v>96</v>
      </c>
      <c r="F105">
        <f>VLOOKUP(Table3[[#This Row],[Pipe_name]],Table2[[Pipe_name]:[Length]],3,FALSE)</f>
        <v>146.709351</v>
      </c>
      <c r="G105" t="s">
        <v>331</v>
      </c>
      <c r="H105" t="str">
        <f>IF(Table3[[#This Row],[2043 Diameter]]=Table3[[#This Row],[2022 Diameter]],"No","Yes")</f>
        <v>No</v>
      </c>
      <c r="I105" t="str">
        <f>IF(Table3[[#This Row],[2043 Length]]=Table3[[#This Row],[2022 length]],"No","Yes")</f>
        <v>No</v>
      </c>
      <c r="J105" s="8">
        <f>VLOOKUP(Table3[[#This Row],[2043 Diameter]],[1]Pipes!$A:$B,2,FALSE)</f>
        <v>362.58707029616613</v>
      </c>
      <c r="K105" s="8">
        <f>VLOOKUP(Table3[[#This Row],[2022 Diameter]],[1]Pipes!$A:$B,2,FALSE)</f>
        <v>362.58707029616613</v>
      </c>
      <c r="L105" s="8">
        <f>IF(OR(IFERROR(Table3[[#This Row],[Diameter Change?]]="Yes","Yes"),Table3[[#This Row],[Pipe Added?]]="Yes"),Table3[[#This Row],[2043 Pipeline unit cost]]*Table3[[#This Row],[2043 Length]],0)</f>
        <v>0</v>
      </c>
      <c r="M105" s="2">
        <f>VLOOKUP(Table3[[#This Row],[Pipe_name]],[2]!Table1[[id3]:[Cost]],8,FALSE)</f>
        <v>0</v>
      </c>
      <c r="N105" s="2">
        <f>IFERROR(Table3[[#This Row],[2022 length]]*Table3[[#This Row],[2022 Pipeline unit cost]],0)</f>
        <v>53194.913764141907</v>
      </c>
      <c r="O105" s="2">
        <f>Table3[[#This Row],[2043 Length]]*Table3[[#This Row],[2043 Pipeline unit cost]]</f>
        <v>53194.913764141907</v>
      </c>
      <c r="P105" s="2">
        <f>MATCH(Table3[[#This Row],[Pipe_name]],'2022 pipes'!B:B,0)</f>
        <v>106</v>
      </c>
      <c r="Q105" s="2">
        <f>Table3[[#This Row],[2043 pipes]]-Table3[[#This Row],[Master Plan CAPEX Cost]]</f>
        <v>53194.913764141907</v>
      </c>
      <c r="R105" s="7">
        <f>Table3[[#This Row],[asdfa]]-Table3[[#This Row],[2022 total cost]]</f>
        <v>0</v>
      </c>
    </row>
    <row r="106" spans="1:18" x14ac:dyDescent="0.25">
      <c r="A106" s="1">
        <v>104</v>
      </c>
      <c r="B106" t="s">
        <v>122</v>
      </c>
      <c r="C106">
        <v>96</v>
      </c>
      <c r="D106">
        <v>4.7796729999999998</v>
      </c>
      <c r="E106">
        <f>VLOOKUP(Table3[[#This Row],[Pipe_name]],Table2[[Pipe_name]:[Original_Diameter]],2,FALSE)</f>
        <v>96</v>
      </c>
      <c r="F106">
        <f>VLOOKUP(Table3[[#This Row],[Pipe_name]],Table2[[Pipe_name]:[Length]],3,FALSE)</f>
        <v>4.7796729999999998</v>
      </c>
      <c r="G106" t="s">
        <v>331</v>
      </c>
      <c r="H106" t="str">
        <f>IF(Table3[[#This Row],[2043 Diameter]]=Table3[[#This Row],[2022 Diameter]],"No","Yes")</f>
        <v>No</v>
      </c>
      <c r="I106" t="str">
        <f>IF(Table3[[#This Row],[2043 Length]]=Table3[[#This Row],[2022 length]],"No","Yes")</f>
        <v>No</v>
      </c>
      <c r="J106" s="8">
        <f>VLOOKUP(Table3[[#This Row],[2043 Diameter]],[1]Pipes!$A:$B,2,FALSE)</f>
        <v>362.58707029616613</v>
      </c>
      <c r="K106" s="8">
        <f>VLOOKUP(Table3[[#This Row],[2022 Diameter]],[1]Pipes!$A:$B,2,FALSE)</f>
        <v>362.58707029616613</v>
      </c>
      <c r="L106" s="8">
        <f>IF(OR(IFERROR(Table3[[#This Row],[Diameter Change?]]="Yes","Yes"),Table3[[#This Row],[Pipe Added?]]="Yes"),Table3[[#This Row],[2043 Pipeline unit cost]]*Table3[[#This Row],[2043 Length]],0)</f>
        <v>0</v>
      </c>
      <c r="M106" s="2">
        <f>VLOOKUP(Table3[[#This Row],[Pipe_name]],[2]!Table1[[id3]:[Cost]],8,FALSE)</f>
        <v>0</v>
      </c>
      <c r="N106" s="2">
        <f>IFERROR(Table3[[#This Row],[2022 length]]*Table3[[#This Row],[2022 Pipeline unit cost]],0)</f>
        <v>1733.0476300436871</v>
      </c>
      <c r="O106" s="2">
        <f>Table3[[#This Row],[2043 Length]]*Table3[[#This Row],[2043 Pipeline unit cost]]</f>
        <v>1733.0476300436871</v>
      </c>
      <c r="P106" s="2">
        <f>MATCH(Table3[[#This Row],[Pipe_name]],'2022 pipes'!B:B,0)</f>
        <v>107</v>
      </c>
      <c r="Q106" s="2">
        <f>Table3[[#This Row],[2043 pipes]]-Table3[[#This Row],[Master Plan CAPEX Cost]]</f>
        <v>1733.0476300436871</v>
      </c>
      <c r="R106" s="7">
        <f>Table3[[#This Row],[asdfa]]-Table3[[#This Row],[2022 total cost]]</f>
        <v>0</v>
      </c>
    </row>
    <row r="107" spans="1:18" x14ac:dyDescent="0.25">
      <c r="A107" s="1">
        <v>105</v>
      </c>
      <c r="B107" t="s">
        <v>123</v>
      </c>
      <c r="C107">
        <v>96</v>
      </c>
      <c r="D107">
        <v>282.29281600000002</v>
      </c>
      <c r="E107">
        <f>VLOOKUP(Table3[[#This Row],[Pipe_name]],Table2[[Pipe_name]:[Original_Diameter]],2,FALSE)</f>
        <v>96</v>
      </c>
      <c r="F107">
        <f>VLOOKUP(Table3[[#This Row],[Pipe_name]],Table2[[Pipe_name]:[Length]],3,FALSE)</f>
        <v>282.29281600000002</v>
      </c>
      <c r="G107" t="s">
        <v>331</v>
      </c>
      <c r="H107" t="str">
        <f>IF(Table3[[#This Row],[2043 Diameter]]=Table3[[#This Row],[2022 Diameter]],"No","Yes")</f>
        <v>No</v>
      </c>
      <c r="I107" t="str">
        <f>IF(Table3[[#This Row],[2043 Length]]=Table3[[#This Row],[2022 length]],"No","Yes")</f>
        <v>No</v>
      </c>
      <c r="J107" s="8">
        <f>VLOOKUP(Table3[[#This Row],[2043 Diameter]],[1]Pipes!$A:$B,2,FALSE)</f>
        <v>362.58707029616613</v>
      </c>
      <c r="K107" s="8">
        <f>VLOOKUP(Table3[[#This Row],[2022 Diameter]],[1]Pipes!$A:$B,2,FALSE)</f>
        <v>362.58707029616613</v>
      </c>
      <c r="L107" s="8">
        <f>IF(OR(IFERROR(Table3[[#This Row],[Diameter Change?]]="Yes","Yes"),Table3[[#This Row],[Pipe Added?]]="Yes"),Table3[[#This Row],[2043 Pipeline unit cost]]*Table3[[#This Row],[2043 Length]],0)</f>
        <v>0</v>
      </c>
      <c r="M107" s="2">
        <f>VLOOKUP(Table3[[#This Row],[Pipe_name]],[2]!Table1[[id3]:[Cost]],8,FALSE)</f>
        <v>0</v>
      </c>
      <c r="N107" s="2">
        <f>IFERROR(Table3[[#This Row],[2022 length]]*Table3[[#This Row],[2022 Pipeline unit cost]],0)</f>
        <v>102355.7251190947</v>
      </c>
      <c r="O107" s="2">
        <f>Table3[[#This Row],[2043 Length]]*Table3[[#This Row],[2043 Pipeline unit cost]]</f>
        <v>102355.7251190947</v>
      </c>
      <c r="P107" s="2">
        <f>MATCH(Table3[[#This Row],[Pipe_name]],'2022 pipes'!B:B,0)</f>
        <v>108</v>
      </c>
      <c r="Q107" s="2">
        <f>Table3[[#This Row],[2043 pipes]]-Table3[[#This Row],[Master Plan CAPEX Cost]]</f>
        <v>102355.7251190947</v>
      </c>
      <c r="R107" s="7">
        <f>Table3[[#This Row],[asdfa]]-Table3[[#This Row],[2022 total cost]]</f>
        <v>0</v>
      </c>
    </row>
    <row r="108" spans="1:18" x14ac:dyDescent="0.25">
      <c r="A108" s="1">
        <v>106</v>
      </c>
      <c r="B108" t="s">
        <v>124</v>
      </c>
      <c r="C108">
        <v>50</v>
      </c>
      <c r="D108">
        <v>19.506592000000001</v>
      </c>
      <c r="E108">
        <f>VLOOKUP(Table3[[#This Row],[Pipe_name]],Table2[[Pipe_name]:[Original_Diameter]],2,FALSE)</f>
        <v>50</v>
      </c>
      <c r="F108">
        <f>VLOOKUP(Table3[[#This Row],[Pipe_name]],Table2[[Pipe_name]:[Length]],3,FALSE)</f>
        <v>19.506592000000001</v>
      </c>
      <c r="G108" t="s">
        <v>331</v>
      </c>
      <c r="H108" t="str">
        <f>IF(Table3[[#This Row],[2043 Diameter]]=Table3[[#This Row],[2022 Diameter]],"No","Yes")</f>
        <v>No</v>
      </c>
      <c r="I108" t="str">
        <f>IF(Table3[[#This Row],[2043 Length]]=Table3[[#This Row],[2022 length]],"No","Yes")</f>
        <v>No</v>
      </c>
      <c r="J108" s="8">
        <f>VLOOKUP(Table3[[#This Row],[2043 Diameter]],[1]Pipes!$A:$B,2,FALSE)</f>
        <v>362.58707029616613</v>
      </c>
      <c r="K108" s="8">
        <f>VLOOKUP(Table3[[#This Row],[2022 Diameter]],[1]Pipes!$A:$B,2,FALSE)</f>
        <v>362.58707029616613</v>
      </c>
      <c r="L108" s="8">
        <f>IF(OR(IFERROR(Table3[[#This Row],[Diameter Change?]]="Yes","Yes"),Table3[[#This Row],[Pipe Added?]]="Yes"),Table3[[#This Row],[2043 Pipeline unit cost]]*Table3[[#This Row],[2043 Length]],0)</f>
        <v>0</v>
      </c>
      <c r="M108" s="2">
        <f>VLOOKUP(Table3[[#This Row],[Pipe_name]],[2]!Table1[[id3]:[Cost]],8,FALSE)</f>
        <v>0</v>
      </c>
      <c r="N108" s="2">
        <f>IFERROR(Table3[[#This Row],[2022 length]]*Table3[[#This Row],[2022 Pipeline unit cost]],0)</f>
        <v>7072.8380447426325</v>
      </c>
      <c r="O108" s="2">
        <f>Table3[[#This Row],[2043 Length]]*Table3[[#This Row],[2043 Pipeline unit cost]]</f>
        <v>7072.8380447426325</v>
      </c>
      <c r="P108" s="2">
        <f>MATCH(Table3[[#This Row],[Pipe_name]],'2022 pipes'!B:B,0)</f>
        <v>109</v>
      </c>
      <c r="Q108" s="2">
        <f>Table3[[#This Row],[2043 pipes]]-Table3[[#This Row],[Master Plan CAPEX Cost]]</f>
        <v>7072.8380447426325</v>
      </c>
      <c r="R108" s="7">
        <f>Table3[[#This Row],[asdfa]]-Table3[[#This Row],[2022 total cost]]</f>
        <v>0</v>
      </c>
    </row>
    <row r="109" spans="1:18" x14ac:dyDescent="0.25">
      <c r="A109" s="1">
        <v>107</v>
      </c>
      <c r="B109" t="s">
        <v>125</v>
      </c>
      <c r="C109">
        <v>96</v>
      </c>
      <c r="D109">
        <v>2.9009770000000001</v>
      </c>
      <c r="E109">
        <f>VLOOKUP(Table3[[#This Row],[Pipe_name]],Table2[[Pipe_name]:[Original_Diameter]],2,FALSE)</f>
        <v>96</v>
      </c>
      <c r="F109">
        <f>VLOOKUP(Table3[[#This Row],[Pipe_name]],Table2[[Pipe_name]:[Length]],3,FALSE)</f>
        <v>2.9009770000000001</v>
      </c>
      <c r="G109" t="s">
        <v>331</v>
      </c>
      <c r="H109" t="str">
        <f>IF(Table3[[#This Row],[2043 Diameter]]=Table3[[#This Row],[2022 Diameter]],"No","Yes")</f>
        <v>No</v>
      </c>
      <c r="I109" t="str">
        <f>IF(Table3[[#This Row],[2043 Length]]=Table3[[#This Row],[2022 length]],"No","Yes")</f>
        <v>No</v>
      </c>
      <c r="J109" s="8">
        <f>VLOOKUP(Table3[[#This Row],[2043 Diameter]],[1]Pipes!$A:$B,2,FALSE)</f>
        <v>362.58707029616613</v>
      </c>
      <c r="K109" s="8">
        <f>VLOOKUP(Table3[[#This Row],[2022 Diameter]],[1]Pipes!$A:$B,2,FALSE)</f>
        <v>362.58707029616613</v>
      </c>
      <c r="L109" s="8">
        <f>IF(OR(IFERROR(Table3[[#This Row],[Diameter Change?]]="Yes","Yes"),Table3[[#This Row],[Pipe Added?]]="Yes"),Table3[[#This Row],[2043 Pipeline unit cost]]*Table3[[#This Row],[2043 Length]],0)</f>
        <v>0</v>
      </c>
      <c r="M109" s="2">
        <f>VLOOKUP(Table3[[#This Row],[Pipe_name]],[2]!Table1[[id3]:[Cost]],8,FALSE)</f>
        <v>0</v>
      </c>
      <c r="N109" s="2">
        <f>IFERROR(Table3[[#This Row],[2022 length]]*Table3[[#This Row],[2022 Pipeline unit cost]],0)</f>
        <v>1051.8567514265612</v>
      </c>
      <c r="O109" s="2">
        <f>Table3[[#This Row],[2043 Length]]*Table3[[#This Row],[2043 Pipeline unit cost]]</f>
        <v>1051.8567514265612</v>
      </c>
      <c r="P109" s="2">
        <f>MATCH(Table3[[#This Row],[Pipe_name]],'2022 pipes'!B:B,0)</f>
        <v>110</v>
      </c>
      <c r="Q109" s="2">
        <f>Table3[[#This Row],[2043 pipes]]-Table3[[#This Row],[Master Plan CAPEX Cost]]</f>
        <v>1051.8567514265612</v>
      </c>
      <c r="R109" s="7">
        <f>Table3[[#This Row],[asdfa]]-Table3[[#This Row],[2022 total cost]]</f>
        <v>0</v>
      </c>
    </row>
    <row r="110" spans="1:18" x14ac:dyDescent="0.25">
      <c r="A110" s="1">
        <v>108</v>
      </c>
      <c r="B110" t="s">
        <v>126</v>
      </c>
      <c r="C110">
        <v>96</v>
      </c>
      <c r="D110">
        <v>82.272873000000004</v>
      </c>
      <c r="E110">
        <f>VLOOKUP(Table3[[#This Row],[Pipe_name]],Table2[[Pipe_name]:[Original_Diameter]],2,FALSE)</f>
        <v>96</v>
      </c>
      <c r="F110">
        <f>VLOOKUP(Table3[[#This Row],[Pipe_name]],Table2[[Pipe_name]:[Length]],3,FALSE)</f>
        <v>82.272873000000004</v>
      </c>
      <c r="G110" t="s">
        <v>331</v>
      </c>
      <c r="H110" t="str">
        <f>IF(Table3[[#This Row],[2043 Diameter]]=Table3[[#This Row],[2022 Diameter]],"No","Yes")</f>
        <v>No</v>
      </c>
      <c r="I110" t="str">
        <f>IF(Table3[[#This Row],[2043 Length]]=Table3[[#This Row],[2022 length]],"No","Yes")</f>
        <v>No</v>
      </c>
      <c r="J110" s="8">
        <f>VLOOKUP(Table3[[#This Row],[2043 Diameter]],[1]Pipes!$A:$B,2,FALSE)</f>
        <v>362.58707029616613</v>
      </c>
      <c r="K110" s="8">
        <f>VLOOKUP(Table3[[#This Row],[2022 Diameter]],[1]Pipes!$A:$B,2,FALSE)</f>
        <v>362.58707029616613</v>
      </c>
      <c r="L110" s="8">
        <f>IF(OR(IFERROR(Table3[[#This Row],[Diameter Change?]]="Yes","Yes"),Table3[[#This Row],[Pipe Added?]]="Yes"),Table3[[#This Row],[2043 Pipeline unit cost]]*Table3[[#This Row],[2043 Length]],0)</f>
        <v>0</v>
      </c>
      <c r="M110" s="2">
        <f>VLOOKUP(Table3[[#This Row],[Pipe_name]],[2]!Table1[[id3]:[Cost]],8,FALSE)</f>
        <v>0</v>
      </c>
      <c r="N110" s="2">
        <f>IFERROR(Table3[[#This Row],[2022 length]]*Table3[[#This Row],[2022 Pipeline unit cost]],0)</f>
        <v>29831.07998591855</v>
      </c>
      <c r="O110" s="2">
        <f>Table3[[#This Row],[2043 Length]]*Table3[[#This Row],[2043 Pipeline unit cost]]</f>
        <v>29831.07998591855</v>
      </c>
      <c r="P110" s="2">
        <f>MATCH(Table3[[#This Row],[Pipe_name]],'2022 pipes'!B:B,0)</f>
        <v>111</v>
      </c>
      <c r="Q110" s="2">
        <f>Table3[[#This Row],[2043 pipes]]-Table3[[#This Row],[Master Plan CAPEX Cost]]</f>
        <v>29831.07998591855</v>
      </c>
      <c r="R110" s="7">
        <f>Table3[[#This Row],[asdfa]]-Table3[[#This Row],[2022 total cost]]</f>
        <v>0</v>
      </c>
    </row>
    <row r="111" spans="1:18" x14ac:dyDescent="0.25">
      <c r="A111" s="1">
        <v>109</v>
      </c>
      <c r="B111" t="s">
        <v>127</v>
      </c>
      <c r="C111">
        <v>96</v>
      </c>
      <c r="D111">
        <v>98.894096000000005</v>
      </c>
      <c r="E111">
        <f>VLOOKUP(Table3[[#This Row],[Pipe_name]],Table2[[Pipe_name]:[Original_Diameter]],2,FALSE)</f>
        <v>96</v>
      </c>
      <c r="F111">
        <f>VLOOKUP(Table3[[#This Row],[Pipe_name]],Table2[[Pipe_name]:[Length]],3,FALSE)</f>
        <v>98.894096000000005</v>
      </c>
      <c r="G111" t="s">
        <v>331</v>
      </c>
      <c r="H111" t="str">
        <f>IF(Table3[[#This Row],[2043 Diameter]]=Table3[[#This Row],[2022 Diameter]],"No","Yes")</f>
        <v>No</v>
      </c>
      <c r="I111" t="str">
        <f>IF(Table3[[#This Row],[2043 Length]]=Table3[[#This Row],[2022 length]],"No","Yes")</f>
        <v>No</v>
      </c>
      <c r="J111" s="8">
        <f>VLOOKUP(Table3[[#This Row],[2043 Diameter]],[1]Pipes!$A:$B,2,FALSE)</f>
        <v>362.58707029616613</v>
      </c>
      <c r="K111" s="8">
        <f>VLOOKUP(Table3[[#This Row],[2022 Diameter]],[1]Pipes!$A:$B,2,FALSE)</f>
        <v>362.58707029616613</v>
      </c>
      <c r="L111" s="8">
        <f>IF(OR(IFERROR(Table3[[#This Row],[Diameter Change?]]="Yes","Yes"),Table3[[#This Row],[Pipe Added?]]="Yes"),Table3[[#This Row],[2043 Pipeline unit cost]]*Table3[[#This Row],[2043 Length]],0)</f>
        <v>0</v>
      </c>
      <c r="M111" s="2">
        <f>VLOOKUP(Table3[[#This Row],[Pipe_name]],[2]!Table1[[id3]:[Cost]],8,FALSE)</f>
        <v>0</v>
      </c>
      <c r="N111" s="2">
        <f>IFERROR(Table3[[#This Row],[2022 length]]*Table3[[#This Row],[2022 Pipeline unit cost]],0)</f>
        <v>35857.720538227804</v>
      </c>
      <c r="O111" s="2">
        <f>Table3[[#This Row],[2043 Length]]*Table3[[#This Row],[2043 Pipeline unit cost]]</f>
        <v>35857.720538227804</v>
      </c>
      <c r="P111" s="2">
        <f>MATCH(Table3[[#This Row],[Pipe_name]],'2022 pipes'!B:B,0)</f>
        <v>112</v>
      </c>
      <c r="Q111" s="2">
        <f>Table3[[#This Row],[2043 pipes]]-Table3[[#This Row],[Master Plan CAPEX Cost]]</f>
        <v>35857.720538227804</v>
      </c>
      <c r="R111" s="7">
        <f>Table3[[#This Row],[asdfa]]-Table3[[#This Row],[2022 total cost]]</f>
        <v>0</v>
      </c>
    </row>
    <row r="112" spans="1:18" x14ac:dyDescent="0.25">
      <c r="A112" s="1">
        <v>110</v>
      </c>
      <c r="B112" t="s">
        <v>128</v>
      </c>
      <c r="C112">
        <v>96</v>
      </c>
      <c r="D112">
        <v>148.80784600000001</v>
      </c>
      <c r="E112">
        <f>VLOOKUP(Table3[[#This Row],[Pipe_name]],Table2[[Pipe_name]:[Original_Diameter]],2,FALSE)</f>
        <v>96</v>
      </c>
      <c r="F112">
        <f>VLOOKUP(Table3[[#This Row],[Pipe_name]],Table2[[Pipe_name]:[Length]],3,FALSE)</f>
        <v>148.80784600000001</v>
      </c>
      <c r="G112" t="s">
        <v>331</v>
      </c>
      <c r="H112" t="str">
        <f>IF(Table3[[#This Row],[2043 Diameter]]=Table3[[#This Row],[2022 Diameter]],"No","Yes")</f>
        <v>No</v>
      </c>
      <c r="I112" t="str">
        <f>IF(Table3[[#This Row],[2043 Length]]=Table3[[#This Row],[2022 length]],"No","Yes")</f>
        <v>No</v>
      </c>
      <c r="J112" s="8">
        <f>VLOOKUP(Table3[[#This Row],[2043 Diameter]],[1]Pipes!$A:$B,2,FALSE)</f>
        <v>362.58707029616613</v>
      </c>
      <c r="K112" s="8">
        <f>VLOOKUP(Table3[[#This Row],[2022 Diameter]],[1]Pipes!$A:$B,2,FALSE)</f>
        <v>362.58707029616613</v>
      </c>
      <c r="L112" s="8">
        <f>IF(OR(IFERROR(Table3[[#This Row],[Diameter Change?]]="Yes","Yes"),Table3[[#This Row],[Pipe Added?]]="Yes"),Table3[[#This Row],[2043 Pipeline unit cost]]*Table3[[#This Row],[2043 Length]],0)</f>
        <v>0</v>
      </c>
      <c r="M112" s="2">
        <f>VLOOKUP(Table3[[#This Row],[Pipe_name]],[2]!Table1[[id3]:[Cost]],8,FALSE)</f>
        <v>0</v>
      </c>
      <c r="N112" s="2">
        <f>IFERROR(Table3[[#This Row],[2022 length]]*Table3[[#This Row],[2022 Pipeline unit cost]],0)</f>
        <v>53955.800918223067</v>
      </c>
      <c r="O112" s="2">
        <f>Table3[[#This Row],[2043 Length]]*Table3[[#This Row],[2043 Pipeline unit cost]]</f>
        <v>53955.800918223067</v>
      </c>
      <c r="P112" s="2">
        <f>MATCH(Table3[[#This Row],[Pipe_name]],'2022 pipes'!B:B,0)</f>
        <v>113</v>
      </c>
      <c r="Q112" s="2">
        <f>Table3[[#This Row],[2043 pipes]]-Table3[[#This Row],[Master Plan CAPEX Cost]]</f>
        <v>53955.800918223067</v>
      </c>
      <c r="R112" s="7">
        <f>Table3[[#This Row],[asdfa]]-Table3[[#This Row],[2022 total cost]]</f>
        <v>0</v>
      </c>
    </row>
    <row r="113" spans="1:18" x14ac:dyDescent="0.25">
      <c r="A113" s="1">
        <v>111</v>
      </c>
      <c r="B113" t="s">
        <v>129</v>
      </c>
      <c r="C113">
        <v>96</v>
      </c>
      <c r="D113">
        <v>98.024199999999993</v>
      </c>
      <c r="E113">
        <f>VLOOKUP(Table3[[#This Row],[Pipe_name]],Table2[[Pipe_name]:[Original_Diameter]],2,FALSE)</f>
        <v>96</v>
      </c>
      <c r="F113">
        <f>VLOOKUP(Table3[[#This Row],[Pipe_name]],Table2[[Pipe_name]:[Length]],3,FALSE)</f>
        <v>98.024199999999993</v>
      </c>
      <c r="G113" t="s">
        <v>331</v>
      </c>
      <c r="H113" t="str">
        <f>IF(Table3[[#This Row],[2043 Diameter]]=Table3[[#This Row],[2022 Diameter]],"No","Yes")</f>
        <v>No</v>
      </c>
      <c r="I113" t="str">
        <f>IF(Table3[[#This Row],[2043 Length]]=Table3[[#This Row],[2022 length]],"No","Yes")</f>
        <v>No</v>
      </c>
      <c r="J113" s="8">
        <f>VLOOKUP(Table3[[#This Row],[2043 Diameter]],[1]Pipes!$A:$B,2,FALSE)</f>
        <v>362.58707029616613</v>
      </c>
      <c r="K113" s="8">
        <f>VLOOKUP(Table3[[#This Row],[2022 Diameter]],[1]Pipes!$A:$B,2,FALSE)</f>
        <v>362.58707029616613</v>
      </c>
      <c r="L113" s="8">
        <f>IF(OR(IFERROR(Table3[[#This Row],[Diameter Change?]]="Yes","Yes"),Table3[[#This Row],[Pipe Added?]]="Yes"),Table3[[#This Row],[2043 Pipeline unit cost]]*Table3[[#This Row],[2043 Length]],0)</f>
        <v>0</v>
      </c>
      <c r="M113" s="2">
        <f>VLOOKUP(Table3[[#This Row],[Pipe_name]],[2]!Table1[[id3]:[Cost]],8,FALSE)</f>
        <v>0</v>
      </c>
      <c r="N113" s="2">
        <f>IFERROR(Table3[[#This Row],[2022 length]]*Table3[[#This Row],[2022 Pipeline unit cost]],0)</f>
        <v>35542.307496125446</v>
      </c>
      <c r="O113" s="2">
        <f>Table3[[#This Row],[2043 Length]]*Table3[[#This Row],[2043 Pipeline unit cost]]</f>
        <v>35542.307496125446</v>
      </c>
      <c r="P113" s="2">
        <f>MATCH(Table3[[#This Row],[Pipe_name]],'2022 pipes'!B:B,0)</f>
        <v>114</v>
      </c>
      <c r="Q113" s="2">
        <f>Table3[[#This Row],[2043 pipes]]-Table3[[#This Row],[Master Plan CAPEX Cost]]</f>
        <v>35542.307496125446</v>
      </c>
      <c r="R113" s="7">
        <f>Table3[[#This Row],[asdfa]]-Table3[[#This Row],[2022 total cost]]</f>
        <v>0</v>
      </c>
    </row>
    <row r="114" spans="1:18" x14ac:dyDescent="0.25">
      <c r="A114" s="1">
        <v>112</v>
      </c>
      <c r="B114" t="s">
        <v>130</v>
      </c>
      <c r="C114">
        <v>96</v>
      </c>
      <c r="D114">
        <v>58.299061000000002</v>
      </c>
      <c r="E114">
        <f>VLOOKUP(Table3[[#This Row],[Pipe_name]],Table2[[Pipe_name]:[Original_Diameter]],2,FALSE)</f>
        <v>96</v>
      </c>
      <c r="F114">
        <f>VLOOKUP(Table3[[#This Row],[Pipe_name]],Table2[[Pipe_name]:[Length]],3,FALSE)</f>
        <v>58.299061000000002</v>
      </c>
      <c r="G114" t="s">
        <v>331</v>
      </c>
      <c r="H114" t="str">
        <f>IF(Table3[[#This Row],[2043 Diameter]]=Table3[[#This Row],[2022 Diameter]],"No","Yes")</f>
        <v>No</v>
      </c>
      <c r="I114" t="str">
        <f>IF(Table3[[#This Row],[2043 Length]]=Table3[[#This Row],[2022 length]],"No","Yes")</f>
        <v>No</v>
      </c>
      <c r="J114" s="8">
        <f>VLOOKUP(Table3[[#This Row],[2043 Diameter]],[1]Pipes!$A:$B,2,FALSE)</f>
        <v>362.58707029616613</v>
      </c>
      <c r="K114" s="8">
        <f>VLOOKUP(Table3[[#This Row],[2022 Diameter]],[1]Pipes!$A:$B,2,FALSE)</f>
        <v>362.58707029616613</v>
      </c>
      <c r="L114" s="8">
        <f>IF(OR(IFERROR(Table3[[#This Row],[Diameter Change?]]="Yes","Yes"),Table3[[#This Row],[Pipe Added?]]="Yes"),Table3[[#This Row],[2043 Pipeline unit cost]]*Table3[[#This Row],[2043 Length]],0)</f>
        <v>0</v>
      </c>
      <c r="M114" s="2">
        <f>VLOOKUP(Table3[[#This Row],[Pipe_name]],[2]!Table1[[id3]:[Cost]],8,FALSE)</f>
        <v>0</v>
      </c>
      <c r="N114" s="2">
        <f>IFERROR(Table3[[#This Row],[2022 length]]*Table3[[#This Row],[2022 Pipeline unit cost]],0)</f>
        <v>21138.48572900748</v>
      </c>
      <c r="O114" s="2">
        <f>Table3[[#This Row],[2043 Length]]*Table3[[#This Row],[2043 Pipeline unit cost]]</f>
        <v>21138.48572900748</v>
      </c>
      <c r="P114" s="2">
        <f>MATCH(Table3[[#This Row],[Pipe_name]],'2022 pipes'!B:B,0)</f>
        <v>115</v>
      </c>
      <c r="Q114" s="2">
        <f>Table3[[#This Row],[2043 pipes]]-Table3[[#This Row],[Master Plan CAPEX Cost]]</f>
        <v>21138.48572900748</v>
      </c>
      <c r="R114" s="7">
        <f>Table3[[#This Row],[asdfa]]-Table3[[#This Row],[2022 total cost]]</f>
        <v>0</v>
      </c>
    </row>
    <row r="115" spans="1:18" x14ac:dyDescent="0.25">
      <c r="A115" s="1">
        <v>113</v>
      </c>
      <c r="B115" t="s">
        <v>131</v>
      </c>
      <c r="C115">
        <v>96</v>
      </c>
      <c r="D115">
        <v>58.284827999999997</v>
      </c>
      <c r="E115">
        <f>VLOOKUP(Table3[[#This Row],[Pipe_name]],Table2[[Pipe_name]:[Original_Diameter]],2,FALSE)</f>
        <v>96</v>
      </c>
      <c r="F115">
        <f>VLOOKUP(Table3[[#This Row],[Pipe_name]],Table2[[Pipe_name]:[Length]],3,FALSE)</f>
        <v>58.284827999999997</v>
      </c>
      <c r="G115" t="s">
        <v>331</v>
      </c>
      <c r="H115" t="str">
        <f>IF(Table3[[#This Row],[2043 Diameter]]=Table3[[#This Row],[2022 Diameter]],"No","Yes")</f>
        <v>No</v>
      </c>
      <c r="I115" t="str">
        <f>IF(Table3[[#This Row],[2043 Length]]=Table3[[#This Row],[2022 length]],"No","Yes")</f>
        <v>No</v>
      </c>
      <c r="J115" s="8">
        <f>VLOOKUP(Table3[[#This Row],[2043 Diameter]],[1]Pipes!$A:$B,2,FALSE)</f>
        <v>362.58707029616613</v>
      </c>
      <c r="K115" s="8">
        <f>VLOOKUP(Table3[[#This Row],[2022 Diameter]],[1]Pipes!$A:$B,2,FALSE)</f>
        <v>362.58707029616613</v>
      </c>
      <c r="L115" s="8">
        <f>IF(OR(IFERROR(Table3[[#This Row],[Diameter Change?]]="Yes","Yes"),Table3[[#This Row],[Pipe Added?]]="Yes"),Table3[[#This Row],[2043 Pipeline unit cost]]*Table3[[#This Row],[2043 Length]],0)</f>
        <v>0</v>
      </c>
      <c r="M115" s="2">
        <f>VLOOKUP(Table3[[#This Row],[Pipe_name]],[2]!Table1[[id3]:[Cost]],8,FALSE)</f>
        <v>0</v>
      </c>
      <c r="N115" s="2">
        <f>IFERROR(Table3[[#This Row],[2022 length]]*Table3[[#This Row],[2022 Pipeline unit cost]],0)</f>
        <v>21133.325027235951</v>
      </c>
      <c r="O115" s="2">
        <f>Table3[[#This Row],[2043 Length]]*Table3[[#This Row],[2043 Pipeline unit cost]]</f>
        <v>21133.325027235951</v>
      </c>
      <c r="P115" s="2">
        <f>MATCH(Table3[[#This Row],[Pipe_name]],'2022 pipes'!B:B,0)</f>
        <v>116</v>
      </c>
      <c r="Q115" s="2">
        <f>Table3[[#This Row],[2043 pipes]]-Table3[[#This Row],[Master Plan CAPEX Cost]]</f>
        <v>21133.325027235951</v>
      </c>
      <c r="R115" s="7">
        <f>Table3[[#This Row],[asdfa]]-Table3[[#This Row],[2022 total cost]]</f>
        <v>0</v>
      </c>
    </row>
    <row r="116" spans="1:18" x14ac:dyDescent="0.25">
      <c r="A116" s="1">
        <v>114</v>
      </c>
      <c r="B116" t="s">
        <v>132</v>
      </c>
      <c r="C116">
        <v>32</v>
      </c>
      <c r="D116">
        <v>43.326050000000002</v>
      </c>
      <c r="E116">
        <f>VLOOKUP(Table3[[#This Row],[Pipe_name]],Table2[[Pipe_name]:[Original_Diameter]],2,FALSE)</f>
        <v>32</v>
      </c>
      <c r="F116">
        <f>VLOOKUP(Table3[[#This Row],[Pipe_name]],Table2[[Pipe_name]:[Length]],3,FALSE)</f>
        <v>43.326050000000002</v>
      </c>
      <c r="G116" t="s">
        <v>331</v>
      </c>
      <c r="H116" t="str">
        <f>IF(Table3[[#This Row],[2043 Diameter]]=Table3[[#This Row],[2022 Diameter]],"No","Yes")</f>
        <v>No</v>
      </c>
      <c r="I116" t="str">
        <f>IF(Table3[[#This Row],[2043 Length]]=Table3[[#This Row],[2022 length]],"No","Yes")</f>
        <v>No</v>
      </c>
      <c r="J116" s="8">
        <f>VLOOKUP(Table3[[#This Row],[2043 Diameter]],[1]Pipes!$A:$B,2,FALSE)</f>
        <v>362.58707029616613</v>
      </c>
      <c r="K116" s="8">
        <f>VLOOKUP(Table3[[#This Row],[2022 Diameter]],[1]Pipes!$A:$B,2,FALSE)</f>
        <v>362.58707029616613</v>
      </c>
      <c r="L116" s="8">
        <f>IF(OR(IFERROR(Table3[[#This Row],[Diameter Change?]]="Yes","Yes"),Table3[[#This Row],[Pipe Added?]]="Yes"),Table3[[#This Row],[2043 Pipeline unit cost]]*Table3[[#This Row],[2043 Length]],0)</f>
        <v>0</v>
      </c>
      <c r="M116" s="2">
        <f>VLOOKUP(Table3[[#This Row],[Pipe_name]],[2]!Table1[[id3]:[Cost]],8,FALSE)</f>
        <v>0</v>
      </c>
      <c r="N116" s="2">
        <f>IFERROR(Table3[[#This Row],[2022 length]]*Table3[[#This Row],[2022 Pipeline unit cost]],0)</f>
        <v>15709.46553700521</v>
      </c>
      <c r="O116" s="2">
        <f>Table3[[#This Row],[2043 Length]]*Table3[[#This Row],[2043 Pipeline unit cost]]</f>
        <v>15709.46553700521</v>
      </c>
      <c r="P116" s="2">
        <f>MATCH(Table3[[#This Row],[Pipe_name]],'2022 pipes'!B:B,0)</f>
        <v>117</v>
      </c>
      <c r="Q116" s="2">
        <f>Table3[[#This Row],[2043 pipes]]-Table3[[#This Row],[Master Plan CAPEX Cost]]</f>
        <v>15709.46553700521</v>
      </c>
      <c r="R116" s="7">
        <f>Table3[[#This Row],[asdfa]]-Table3[[#This Row],[2022 total cost]]</f>
        <v>0</v>
      </c>
    </row>
    <row r="117" spans="1:18" x14ac:dyDescent="0.25">
      <c r="A117" s="1">
        <v>115</v>
      </c>
      <c r="B117" t="s">
        <v>133</v>
      </c>
      <c r="C117">
        <v>158</v>
      </c>
      <c r="D117">
        <v>5.0012230000000004</v>
      </c>
      <c r="E117">
        <f>VLOOKUP(Table3[[#This Row],[Pipe_name]],Table2[[Pipe_name]:[Original_Diameter]],2,FALSE)</f>
        <v>158</v>
      </c>
      <c r="F117">
        <f>VLOOKUP(Table3[[#This Row],[Pipe_name]],Table2[[Pipe_name]:[Length]],3,FALSE)</f>
        <v>5.0012230000000004</v>
      </c>
      <c r="G117" t="s">
        <v>331</v>
      </c>
      <c r="H117" t="str">
        <f>IF(Table3[[#This Row],[2043 Diameter]]=Table3[[#This Row],[2022 Diameter]],"No","Yes")</f>
        <v>No</v>
      </c>
      <c r="I117" t="str">
        <f>IF(Table3[[#This Row],[2043 Length]]=Table3[[#This Row],[2022 length]],"No","Yes")</f>
        <v>No</v>
      </c>
      <c r="J117" s="8">
        <f>VLOOKUP(Table3[[#This Row],[2043 Diameter]],[1]Pipes!$A:$B,2,FALSE)</f>
        <v>433.89080378537034</v>
      </c>
      <c r="K117" s="8">
        <f>VLOOKUP(Table3[[#This Row],[2022 Diameter]],[1]Pipes!$A:$B,2,FALSE)</f>
        <v>433.89080378537034</v>
      </c>
      <c r="L117" s="8">
        <f>IF(OR(IFERROR(Table3[[#This Row],[Diameter Change?]]="Yes","Yes"),Table3[[#This Row],[Pipe Added?]]="Yes"),Table3[[#This Row],[2043 Pipeline unit cost]]*Table3[[#This Row],[2043 Length]],0)</f>
        <v>0</v>
      </c>
      <c r="M117" s="2">
        <f>VLOOKUP(Table3[[#This Row],[Pipe_name]],[2]!Table1[[id3]:[Cost]],8,FALSE)</f>
        <v>0</v>
      </c>
      <c r="N117" s="2">
        <f>IFERROR(Table3[[#This Row],[2022 length]]*Table3[[#This Row],[2022 Pipeline unit cost]],0)</f>
        <v>2169.9846673798816</v>
      </c>
      <c r="O117" s="2">
        <f>Table3[[#This Row],[2043 Length]]*Table3[[#This Row],[2043 Pipeline unit cost]]</f>
        <v>2169.9846673798816</v>
      </c>
      <c r="P117" s="2">
        <f>MATCH(Table3[[#This Row],[Pipe_name]],'2022 pipes'!B:B,0)</f>
        <v>118</v>
      </c>
      <c r="Q117" s="2">
        <f>Table3[[#This Row],[2043 pipes]]-Table3[[#This Row],[Master Plan CAPEX Cost]]</f>
        <v>2169.9846673798816</v>
      </c>
      <c r="R117" s="7">
        <f>Table3[[#This Row],[asdfa]]-Table3[[#This Row],[2022 total cost]]</f>
        <v>0</v>
      </c>
    </row>
    <row r="118" spans="1:18" x14ac:dyDescent="0.25">
      <c r="A118" s="1">
        <v>116</v>
      </c>
      <c r="B118" t="s">
        <v>134</v>
      </c>
      <c r="C118">
        <v>235</v>
      </c>
      <c r="D118">
        <v>11.942186</v>
      </c>
      <c r="E118">
        <f>VLOOKUP(Table3[[#This Row],[Pipe_name]],Table2[[Pipe_name]:[Original_Diameter]],2,FALSE)</f>
        <v>235</v>
      </c>
      <c r="F118">
        <f>VLOOKUP(Table3[[#This Row],[Pipe_name]],Table2[[Pipe_name]:[Length]],3,FALSE)</f>
        <v>11.942186</v>
      </c>
      <c r="G118" t="s">
        <v>331</v>
      </c>
      <c r="H118" t="str">
        <f>IF(Table3[[#This Row],[2043 Diameter]]=Table3[[#This Row],[2022 Diameter]],"No","Yes")</f>
        <v>No</v>
      </c>
      <c r="I118" t="str">
        <f>IF(Table3[[#This Row],[2043 Length]]=Table3[[#This Row],[2022 length]],"No","Yes")</f>
        <v>No</v>
      </c>
      <c r="J118" s="8">
        <f>VLOOKUP(Table3[[#This Row],[2043 Diameter]],[1]Pipes!$A:$B,2,FALSE)</f>
        <v>546.15625651305356</v>
      </c>
      <c r="K118" s="8">
        <f>VLOOKUP(Table3[[#This Row],[2022 Diameter]],[1]Pipes!$A:$B,2,FALSE)</f>
        <v>546.15625651305356</v>
      </c>
      <c r="L118" s="8">
        <f>IF(OR(IFERROR(Table3[[#This Row],[Diameter Change?]]="Yes","Yes"),Table3[[#This Row],[Pipe Added?]]="Yes"),Table3[[#This Row],[2043 Pipeline unit cost]]*Table3[[#This Row],[2043 Length]],0)</f>
        <v>0</v>
      </c>
      <c r="M118" s="2">
        <f>VLOOKUP(Table3[[#This Row],[Pipe_name]],[2]!Table1[[id3]:[Cost]],8,FALSE)</f>
        <v>0</v>
      </c>
      <c r="N118" s="2">
        <f>IFERROR(Table3[[#This Row],[2022 length]]*Table3[[#This Row],[2022 Pipeline unit cost]],0)</f>
        <v>6522.2996003425969</v>
      </c>
      <c r="O118" s="2">
        <f>Table3[[#This Row],[2043 Length]]*Table3[[#This Row],[2043 Pipeline unit cost]]</f>
        <v>6522.2996003425969</v>
      </c>
      <c r="P118" s="2">
        <f>MATCH(Table3[[#This Row],[Pipe_name]],'2022 pipes'!B:B,0)</f>
        <v>119</v>
      </c>
      <c r="Q118" s="2">
        <f>Table3[[#This Row],[2043 pipes]]-Table3[[#This Row],[Master Plan CAPEX Cost]]</f>
        <v>6522.2996003425969</v>
      </c>
      <c r="R118" s="7">
        <f>Table3[[#This Row],[asdfa]]-Table3[[#This Row],[2022 total cost]]</f>
        <v>0</v>
      </c>
    </row>
    <row r="119" spans="1:18" x14ac:dyDescent="0.25">
      <c r="A119" s="1">
        <v>117</v>
      </c>
      <c r="B119" t="s">
        <v>135</v>
      </c>
      <c r="C119">
        <v>103</v>
      </c>
      <c r="D119">
        <v>14.851721</v>
      </c>
      <c r="E119">
        <f>VLOOKUP(Table3[[#This Row],[Pipe_name]],Table2[[Pipe_name]:[Original_Diameter]],2,FALSE)</f>
        <v>103</v>
      </c>
      <c r="F119">
        <f>VLOOKUP(Table3[[#This Row],[Pipe_name]],Table2[[Pipe_name]:[Length]],3,FALSE)</f>
        <v>14.851721</v>
      </c>
      <c r="G119" t="s">
        <v>331</v>
      </c>
      <c r="H119" t="str">
        <f>IF(Table3[[#This Row],[2043 Diameter]]=Table3[[#This Row],[2022 Diameter]],"No","Yes")</f>
        <v>No</v>
      </c>
      <c r="I119" t="str">
        <f>IF(Table3[[#This Row],[2043 Length]]=Table3[[#This Row],[2022 length]],"No","Yes")</f>
        <v>No</v>
      </c>
      <c r="J119" s="8">
        <f>VLOOKUP(Table3[[#This Row],[2043 Diameter]],[1]Pipes!$A:$B,2,FALSE)</f>
        <v>362.58707029616613</v>
      </c>
      <c r="K119" s="8">
        <f>VLOOKUP(Table3[[#This Row],[2022 Diameter]],[1]Pipes!$A:$B,2,FALSE)</f>
        <v>362.58707029616613</v>
      </c>
      <c r="L119" s="8">
        <f>IF(OR(IFERROR(Table3[[#This Row],[Diameter Change?]]="Yes","Yes"),Table3[[#This Row],[Pipe Added?]]="Yes"),Table3[[#This Row],[2043 Pipeline unit cost]]*Table3[[#This Row],[2043 Length]],0)</f>
        <v>0</v>
      </c>
      <c r="M119" s="2">
        <f>VLOOKUP(Table3[[#This Row],[Pipe_name]],[2]!Table1[[id3]:[Cost]],8,FALSE)</f>
        <v>0</v>
      </c>
      <c r="N119" s="2">
        <f>IFERROR(Table3[[#This Row],[2022 length]]*Table3[[#This Row],[2022 Pipeline unit cost]],0)</f>
        <v>5385.0420062460462</v>
      </c>
      <c r="O119" s="2">
        <f>Table3[[#This Row],[2043 Length]]*Table3[[#This Row],[2043 Pipeline unit cost]]</f>
        <v>5385.0420062460462</v>
      </c>
      <c r="P119" s="2">
        <f>MATCH(Table3[[#This Row],[Pipe_name]],'2022 pipes'!B:B,0)</f>
        <v>120</v>
      </c>
      <c r="Q119" s="2">
        <f>Table3[[#This Row],[2043 pipes]]-Table3[[#This Row],[Master Plan CAPEX Cost]]</f>
        <v>5385.0420062460462</v>
      </c>
      <c r="R119" s="7">
        <f>Table3[[#This Row],[asdfa]]-Table3[[#This Row],[2022 total cost]]</f>
        <v>0</v>
      </c>
    </row>
    <row r="120" spans="1:18" x14ac:dyDescent="0.25">
      <c r="A120" s="1">
        <v>118</v>
      </c>
      <c r="B120" t="s">
        <v>136</v>
      </c>
      <c r="C120">
        <v>101</v>
      </c>
      <c r="D120">
        <v>108.220741</v>
      </c>
      <c r="E120">
        <f>VLOOKUP(Table3[[#This Row],[Pipe_name]],Table2[[Pipe_name]:[Original_Diameter]],2,FALSE)</f>
        <v>101</v>
      </c>
      <c r="F120">
        <f>VLOOKUP(Table3[[#This Row],[Pipe_name]],Table2[[Pipe_name]:[Length]],3,FALSE)</f>
        <v>108.220741</v>
      </c>
      <c r="G120" t="s">
        <v>331</v>
      </c>
      <c r="H120" t="str">
        <f>IF(Table3[[#This Row],[2043 Diameter]]=Table3[[#This Row],[2022 Diameter]],"No","Yes")</f>
        <v>No</v>
      </c>
      <c r="I120" t="str">
        <f>IF(Table3[[#This Row],[2043 Length]]=Table3[[#This Row],[2022 length]],"No","Yes")</f>
        <v>No</v>
      </c>
      <c r="J120" s="8">
        <f>VLOOKUP(Table3[[#This Row],[2043 Diameter]],[1]Pipes!$A:$B,2,FALSE)</f>
        <v>362.58707029616613</v>
      </c>
      <c r="K120" s="8">
        <f>VLOOKUP(Table3[[#This Row],[2022 Diameter]],[1]Pipes!$A:$B,2,FALSE)</f>
        <v>362.58707029616613</v>
      </c>
      <c r="L120" s="8">
        <f>IF(OR(IFERROR(Table3[[#This Row],[Diameter Change?]]="Yes","Yes"),Table3[[#This Row],[Pipe Added?]]="Yes"),Table3[[#This Row],[2043 Pipeline unit cost]]*Table3[[#This Row],[2043 Length]],0)</f>
        <v>0</v>
      </c>
      <c r="M120" s="2">
        <f>VLOOKUP(Table3[[#This Row],[Pipe_name]],[2]!Table1[[id3]:[Cost]],8,FALSE)</f>
        <v>0</v>
      </c>
      <c r="N120" s="2">
        <f>IFERROR(Table3[[#This Row],[2022 length]]*Table3[[#This Row],[2022 Pipeline unit cost]],0)</f>
        <v>39239.441424470191</v>
      </c>
      <c r="O120" s="2">
        <f>Table3[[#This Row],[2043 Length]]*Table3[[#This Row],[2043 Pipeline unit cost]]</f>
        <v>39239.441424470191</v>
      </c>
      <c r="P120" s="2">
        <f>MATCH(Table3[[#This Row],[Pipe_name]],'2022 pipes'!B:B,0)</f>
        <v>121</v>
      </c>
      <c r="Q120" s="2">
        <f>Table3[[#This Row],[2043 pipes]]-Table3[[#This Row],[Master Plan CAPEX Cost]]</f>
        <v>39239.441424470191</v>
      </c>
      <c r="R120" s="7">
        <f>Table3[[#This Row],[asdfa]]-Table3[[#This Row],[2022 total cost]]</f>
        <v>0</v>
      </c>
    </row>
    <row r="121" spans="1:18" x14ac:dyDescent="0.25">
      <c r="A121" s="1">
        <v>119</v>
      </c>
      <c r="B121" t="s">
        <v>137</v>
      </c>
      <c r="C121">
        <v>235</v>
      </c>
      <c r="D121">
        <v>23.494427000000002</v>
      </c>
      <c r="E121">
        <f>VLOOKUP(Table3[[#This Row],[Pipe_name]],Table2[[Pipe_name]:[Original_Diameter]],2,FALSE)</f>
        <v>235</v>
      </c>
      <c r="F121">
        <f>VLOOKUP(Table3[[#This Row],[Pipe_name]],Table2[[Pipe_name]:[Length]],3,FALSE)</f>
        <v>23.494427000000002</v>
      </c>
      <c r="G121" t="s">
        <v>331</v>
      </c>
      <c r="H121" t="str">
        <f>IF(Table3[[#This Row],[2043 Diameter]]=Table3[[#This Row],[2022 Diameter]],"No","Yes")</f>
        <v>No</v>
      </c>
      <c r="I121" t="str">
        <f>IF(Table3[[#This Row],[2043 Length]]=Table3[[#This Row],[2022 length]],"No","Yes")</f>
        <v>No</v>
      </c>
      <c r="J121" s="8">
        <f>VLOOKUP(Table3[[#This Row],[2043 Diameter]],[1]Pipes!$A:$B,2,FALSE)</f>
        <v>546.15625651305356</v>
      </c>
      <c r="K121" s="8">
        <f>VLOOKUP(Table3[[#This Row],[2022 Diameter]],[1]Pipes!$A:$B,2,FALSE)</f>
        <v>546.15625651305356</v>
      </c>
      <c r="L121" s="8">
        <f>IF(OR(IFERROR(Table3[[#This Row],[Diameter Change?]]="Yes","Yes"),Table3[[#This Row],[Pipe Added?]]="Yes"),Table3[[#This Row],[2043 Pipeline unit cost]]*Table3[[#This Row],[2043 Length]],0)</f>
        <v>0</v>
      </c>
      <c r="M121" s="2">
        <f>VLOOKUP(Table3[[#This Row],[Pipe_name]],[2]!Table1[[id3]:[Cost]],8,FALSE)</f>
        <v>0</v>
      </c>
      <c r="N121" s="2">
        <f>IFERROR(Table3[[#This Row],[2022 length]]*Table3[[#This Row],[2022 Pipeline unit cost]],0)</f>
        <v>12831.628299239212</v>
      </c>
      <c r="O121" s="2">
        <f>Table3[[#This Row],[2043 Length]]*Table3[[#This Row],[2043 Pipeline unit cost]]</f>
        <v>12831.628299239212</v>
      </c>
      <c r="P121" s="2">
        <f>MATCH(Table3[[#This Row],[Pipe_name]],'2022 pipes'!B:B,0)</f>
        <v>122</v>
      </c>
      <c r="Q121" s="2">
        <f>Table3[[#This Row],[2043 pipes]]-Table3[[#This Row],[Master Plan CAPEX Cost]]</f>
        <v>12831.628299239212</v>
      </c>
      <c r="R121" s="7">
        <f>Table3[[#This Row],[asdfa]]-Table3[[#This Row],[2022 total cost]]</f>
        <v>0</v>
      </c>
    </row>
    <row r="122" spans="1:18" x14ac:dyDescent="0.25">
      <c r="A122" s="1">
        <v>120</v>
      </c>
      <c r="B122" t="s">
        <v>138</v>
      </c>
      <c r="C122">
        <v>143</v>
      </c>
      <c r="D122">
        <v>1.986054</v>
      </c>
      <c r="E122">
        <f>VLOOKUP(Table3[[#This Row],[Pipe_name]],Table2[[Pipe_name]:[Original_Diameter]],2,FALSE)</f>
        <v>143</v>
      </c>
      <c r="F122">
        <f>VLOOKUP(Table3[[#This Row],[Pipe_name]],Table2[[Pipe_name]:[Length]],3,FALSE)</f>
        <v>1.986054</v>
      </c>
      <c r="G122" t="s">
        <v>331</v>
      </c>
      <c r="H122" t="str">
        <f>IF(Table3[[#This Row],[2043 Diameter]]=Table3[[#This Row],[2022 Diameter]],"No","Yes")</f>
        <v>No</v>
      </c>
      <c r="I122" t="str">
        <f>IF(Table3[[#This Row],[2043 Length]]=Table3[[#This Row],[2022 length]],"No","Yes")</f>
        <v>No</v>
      </c>
      <c r="J122" s="8">
        <f>VLOOKUP(Table3[[#This Row],[2043 Diameter]],[1]Pipes!$A:$B,2,FALSE)</f>
        <v>433.89080378537034</v>
      </c>
      <c r="K122" s="8">
        <f>VLOOKUP(Table3[[#This Row],[2022 Diameter]],[1]Pipes!$A:$B,2,FALSE)</f>
        <v>433.89080378537034</v>
      </c>
      <c r="L122" s="8">
        <f>IF(OR(IFERROR(Table3[[#This Row],[Diameter Change?]]="Yes","Yes"),Table3[[#This Row],[Pipe Added?]]="Yes"),Table3[[#This Row],[2043 Pipeline unit cost]]*Table3[[#This Row],[2043 Length]],0)</f>
        <v>0</v>
      </c>
      <c r="M122" s="2">
        <f>VLOOKUP(Table3[[#This Row],[Pipe_name]],[2]!Table1[[id3]:[Cost]],8,FALSE)</f>
        <v>0</v>
      </c>
      <c r="N122" s="2">
        <f>IFERROR(Table3[[#This Row],[2022 length]]*Table3[[#This Row],[2022 Pipeline unit cost]],0)</f>
        <v>861.73056642114989</v>
      </c>
      <c r="O122" s="2">
        <f>Table3[[#This Row],[2043 Length]]*Table3[[#This Row],[2043 Pipeline unit cost]]</f>
        <v>861.73056642114989</v>
      </c>
      <c r="P122" s="2">
        <f>MATCH(Table3[[#This Row],[Pipe_name]],'2022 pipes'!B:B,0)</f>
        <v>123</v>
      </c>
      <c r="Q122" s="2">
        <f>Table3[[#This Row],[2043 pipes]]-Table3[[#This Row],[Master Plan CAPEX Cost]]</f>
        <v>861.73056642114989</v>
      </c>
      <c r="R122" s="7">
        <f>Table3[[#This Row],[asdfa]]-Table3[[#This Row],[2022 total cost]]</f>
        <v>0</v>
      </c>
    </row>
    <row r="123" spans="1:18" x14ac:dyDescent="0.25">
      <c r="A123" s="1">
        <v>121</v>
      </c>
      <c r="B123" t="s">
        <v>139</v>
      </c>
      <c r="C123">
        <v>143</v>
      </c>
      <c r="D123">
        <v>367.83908100000002</v>
      </c>
      <c r="E123">
        <f>VLOOKUP(Table3[[#This Row],[Pipe_name]],Table2[[Pipe_name]:[Original_Diameter]],2,FALSE)</f>
        <v>143</v>
      </c>
      <c r="F123">
        <f>VLOOKUP(Table3[[#This Row],[Pipe_name]],Table2[[Pipe_name]:[Length]],3,FALSE)</f>
        <v>367.83908100000002</v>
      </c>
      <c r="G123" t="s">
        <v>331</v>
      </c>
      <c r="H123" t="str">
        <f>IF(Table3[[#This Row],[2043 Diameter]]=Table3[[#This Row],[2022 Diameter]],"No","Yes")</f>
        <v>No</v>
      </c>
      <c r="I123" t="str">
        <f>IF(Table3[[#This Row],[2043 Length]]=Table3[[#This Row],[2022 length]],"No","Yes")</f>
        <v>No</v>
      </c>
      <c r="J123" s="8">
        <f>VLOOKUP(Table3[[#This Row],[2043 Diameter]],[1]Pipes!$A:$B,2,FALSE)</f>
        <v>433.89080378537034</v>
      </c>
      <c r="K123" s="8">
        <f>VLOOKUP(Table3[[#This Row],[2022 Diameter]],[1]Pipes!$A:$B,2,FALSE)</f>
        <v>433.89080378537034</v>
      </c>
      <c r="L123" s="8">
        <f>IF(OR(IFERROR(Table3[[#This Row],[Diameter Change?]]="Yes","Yes"),Table3[[#This Row],[Pipe Added?]]="Yes"),Table3[[#This Row],[2043 Pipeline unit cost]]*Table3[[#This Row],[2043 Length]],0)</f>
        <v>0</v>
      </c>
      <c r="M123" s="2">
        <f>VLOOKUP(Table3[[#This Row],[Pipe_name]],[2]!Table1[[id3]:[Cost]],8,FALSE)</f>
        <v>0</v>
      </c>
      <c r="N123" s="2">
        <f>IFERROR(Table3[[#This Row],[2022 length]]*Table3[[#This Row],[2022 Pipeline unit cost]],0)</f>
        <v>159601.99451876196</v>
      </c>
      <c r="O123" s="2">
        <f>Table3[[#This Row],[2043 Length]]*Table3[[#This Row],[2043 Pipeline unit cost]]</f>
        <v>159601.99451876196</v>
      </c>
      <c r="P123" s="2">
        <f>MATCH(Table3[[#This Row],[Pipe_name]],'2022 pipes'!B:B,0)</f>
        <v>124</v>
      </c>
      <c r="Q123" s="2">
        <f>Table3[[#This Row],[2043 pipes]]-Table3[[#This Row],[Master Plan CAPEX Cost]]</f>
        <v>159601.99451876196</v>
      </c>
      <c r="R123" s="7">
        <f>Table3[[#This Row],[asdfa]]-Table3[[#This Row],[2022 total cost]]</f>
        <v>0</v>
      </c>
    </row>
    <row r="124" spans="1:18" x14ac:dyDescent="0.25">
      <c r="A124" s="1">
        <v>122</v>
      </c>
      <c r="B124" t="s">
        <v>140</v>
      </c>
      <c r="C124">
        <v>158</v>
      </c>
      <c r="D124">
        <v>7.0010770000000004</v>
      </c>
      <c r="E124">
        <f>VLOOKUP(Table3[[#This Row],[Pipe_name]],Table2[[Pipe_name]:[Original_Diameter]],2,FALSE)</f>
        <v>158</v>
      </c>
      <c r="F124">
        <f>VLOOKUP(Table3[[#This Row],[Pipe_name]],Table2[[Pipe_name]:[Length]],3,FALSE)</f>
        <v>7.0010770000000004</v>
      </c>
      <c r="G124" t="s">
        <v>331</v>
      </c>
      <c r="H124" t="str">
        <f>IF(Table3[[#This Row],[2043 Diameter]]=Table3[[#This Row],[2022 Diameter]],"No","Yes")</f>
        <v>No</v>
      </c>
      <c r="I124" t="str">
        <f>IF(Table3[[#This Row],[2043 Length]]=Table3[[#This Row],[2022 length]],"No","Yes")</f>
        <v>No</v>
      </c>
      <c r="J124" s="8">
        <f>VLOOKUP(Table3[[#This Row],[2043 Diameter]],[1]Pipes!$A:$B,2,FALSE)</f>
        <v>433.89080378537034</v>
      </c>
      <c r="K124" s="8">
        <f>VLOOKUP(Table3[[#This Row],[2022 Diameter]],[1]Pipes!$A:$B,2,FALSE)</f>
        <v>433.89080378537034</v>
      </c>
      <c r="L124" s="8">
        <f>IF(OR(IFERROR(Table3[[#This Row],[Diameter Change?]]="Yes","Yes"),Table3[[#This Row],[Pipe Added?]]="Yes"),Table3[[#This Row],[2043 Pipeline unit cost]]*Table3[[#This Row],[2043 Length]],0)</f>
        <v>0</v>
      </c>
      <c r="M124" s="2">
        <f>VLOOKUP(Table3[[#This Row],[Pipe_name]],[2]!Table1[[id3]:[Cost]],8,FALSE)</f>
        <v>0</v>
      </c>
      <c r="N124" s="2">
        <f>IFERROR(Table3[[#This Row],[2022 length]]*Table3[[#This Row],[2022 Pipeline unit cost]],0)</f>
        <v>3037.7029268932693</v>
      </c>
      <c r="O124" s="2">
        <f>Table3[[#This Row],[2043 Length]]*Table3[[#This Row],[2043 Pipeline unit cost]]</f>
        <v>3037.7029268932693</v>
      </c>
      <c r="P124" s="2">
        <f>MATCH(Table3[[#This Row],[Pipe_name]],'2022 pipes'!B:B,0)</f>
        <v>125</v>
      </c>
      <c r="Q124" s="2">
        <f>Table3[[#This Row],[2043 pipes]]-Table3[[#This Row],[Master Plan CAPEX Cost]]</f>
        <v>3037.7029268932693</v>
      </c>
      <c r="R124" s="7">
        <f>Table3[[#This Row],[asdfa]]-Table3[[#This Row],[2022 total cost]]</f>
        <v>0</v>
      </c>
    </row>
    <row r="125" spans="1:18" x14ac:dyDescent="0.25">
      <c r="A125" s="1">
        <v>123</v>
      </c>
      <c r="B125" t="s">
        <v>141</v>
      </c>
      <c r="C125">
        <v>143</v>
      </c>
      <c r="D125">
        <v>84.845650000000006</v>
      </c>
      <c r="E125">
        <f>VLOOKUP(Table3[[#This Row],[Pipe_name]],Table2[[Pipe_name]:[Original_Diameter]],2,FALSE)</f>
        <v>143</v>
      </c>
      <c r="F125">
        <f>VLOOKUP(Table3[[#This Row],[Pipe_name]],Table2[[Pipe_name]:[Length]],3,FALSE)</f>
        <v>84.845650000000006</v>
      </c>
      <c r="G125" t="s">
        <v>331</v>
      </c>
      <c r="H125" t="str">
        <f>IF(Table3[[#This Row],[2043 Diameter]]=Table3[[#This Row],[2022 Diameter]],"No","Yes")</f>
        <v>No</v>
      </c>
      <c r="I125" t="str">
        <f>IF(Table3[[#This Row],[2043 Length]]=Table3[[#This Row],[2022 length]],"No","Yes")</f>
        <v>No</v>
      </c>
      <c r="J125" s="8">
        <f>VLOOKUP(Table3[[#This Row],[2043 Diameter]],[1]Pipes!$A:$B,2,FALSE)</f>
        <v>433.89080378537034</v>
      </c>
      <c r="K125" s="8">
        <f>VLOOKUP(Table3[[#This Row],[2022 Diameter]],[1]Pipes!$A:$B,2,FALSE)</f>
        <v>433.89080378537034</v>
      </c>
      <c r="L125" s="8">
        <f>IF(OR(IFERROR(Table3[[#This Row],[Diameter Change?]]="Yes","Yes"),Table3[[#This Row],[Pipe Added?]]="Yes"),Table3[[#This Row],[2043 Pipeline unit cost]]*Table3[[#This Row],[2043 Length]],0)</f>
        <v>0</v>
      </c>
      <c r="M125" s="2">
        <f>VLOOKUP(Table3[[#This Row],[Pipe_name]],[2]!Table1[[id3]:[Cost]],8,FALSE)</f>
        <v>0</v>
      </c>
      <c r="N125" s="2">
        <f>IFERROR(Table3[[#This Row],[2022 length]]*Table3[[#This Row],[2022 Pipeline unit cost]],0)</f>
        <v>36813.747276192211</v>
      </c>
      <c r="O125" s="2">
        <f>Table3[[#This Row],[2043 Length]]*Table3[[#This Row],[2043 Pipeline unit cost]]</f>
        <v>36813.747276192211</v>
      </c>
      <c r="P125" s="2">
        <f>MATCH(Table3[[#This Row],[Pipe_name]],'2022 pipes'!B:B,0)</f>
        <v>126</v>
      </c>
      <c r="Q125" s="2">
        <f>Table3[[#This Row],[2043 pipes]]-Table3[[#This Row],[Master Plan CAPEX Cost]]</f>
        <v>36813.747276192211</v>
      </c>
      <c r="R125" s="7">
        <f>Table3[[#This Row],[asdfa]]-Table3[[#This Row],[2022 total cost]]</f>
        <v>0</v>
      </c>
    </row>
    <row r="126" spans="1:18" x14ac:dyDescent="0.25">
      <c r="A126" s="1">
        <v>124</v>
      </c>
      <c r="B126" t="s">
        <v>142</v>
      </c>
      <c r="C126">
        <v>32</v>
      </c>
      <c r="D126">
        <v>7.4697009999999997</v>
      </c>
      <c r="E126">
        <f>VLOOKUP(Table3[[#This Row],[Pipe_name]],Table2[[Pipe_name]:[Original_Diameter]],2,FALSE)</f>
        <v>32</v>
      </c>
      <c r="F126">
        <f>VLOOKUP(Table3[[#This Row],[Pipe_name]],Table2[[Pipe_name]:[Length]],3,FALSE)</f>
        <v>7.4697009999999997</v>
      </c>
      <c r="G126" t="s">
        <v>331</v>
      </c>
      <c r="H126" t="str">
        <f>IF(Table3[[#This Row],[2043 Diameter]]=Table3[[#This Row],[2022 Diameter]],"No","Yes")</f>
        <v>No</v>
      </c>
      <c r="I126" t="str">
        <f>IF(Table3[[#This Row],[2043 Length]]=Table3[[#This Row],[2022 length]],"No","Yes")</f>
        <v>No</v>
      </c>
      <c r="J126" s="8">
        <f>VLOOKUP(Table3[[#This Row],[2043 Diameter]],[1]Pipes!$A:$B,2,FALSE)</f>
        <v>362.58707029616613</v>
      </c>
      <c r="K126" s="8">
        <f>VLOOKUP(Table3[[#This Row],[2022 Diameter]],[1]Pipes!$A:$B,2,FALSE)</f>
        <v>362.58707029616613</v>
      </c>
      <c r="L126" s="8">
        <f>IF(OR(IFERROR(Table3[[#This Row],[Diameter Change?]]="Yes","Yes"),Table3[[#This Row],[Pipe Added?]]="Yes"),Table3[[#This Row],[2043 Pipeline unit cost]]*Table3[[#This Row],[2043 Length]],0)</f>
        <v>0</v>
      </c>
      <c r="M126" s="2">
        <f>VLOOKUP(Table3[[#This Row],[Pipe_name]],[2]!Table1[[id3]:[Cost]],8,FALSE)</f>
        <v>0</v>
      </c>
      <c r="N126" s="2">
        <f>IFERROR(Table3[[#This Row],[2022 length]]*Table3[[#This Row],[2022 Pipeline unit cost]],0)</f>
        <v>2708.4170015783425</v>
      </c>
      <c r="O126" s="2">
        <f>Table3[[#This Row],[2043 Length]]*Table3[[#This Row],[2043 Pipeline unit cost]]</f>
        <v>2708.4170015783425</v>
      </c>
      <c r="P126" s="2">
        <f>MATCH(Table3[[#This Row],[Pipe_name]],'2022 pipes'!B:B,0)</f>
        <v>127</v>
      </c>
      <c r="Q126" s="2">
        <f>Table3[[#This Row],[2043 pipes]]-Table3[[#This Row],[Master Plan CAPEX Cost]]</f>
        <v>2708.4170015783425</v>
      </c>
      <c r="R126" s="7">
        <f>Table3[[#This Row],[asdfa]]-Table3[[#This Row],[2022 total cost]]</f>
        <v>0</v>
      </c>
    </row>
    <row r="127" spans="1:18" x14ac:dyDescent="0.25">
      <c r="A127" s="1">
        <v>125</v>
      </c>
      <c r="B127" t="s">
        <v>143</v>
      </c>
      <c r="C127">
        <v>101</v>
      </c>
      <c r="D127">
        <v>3.2120880000000001</v>
      </c>
      <c r="E127">
        <f>VLOOKUP(Table3[[#This Row],[Pipe_name]],Table2[[Pipe_name]:[Original_Diameter]],2,FALSE)</f>
        <v>101</v>
      </c>
      <c r="F127">
        <f>VLOOKUP(Table3[[#This Row],[Pipe_name]],Table2[[Pipe_name]:[Length]],3,FALSE)</f>
        <v>3.2120880000000001</v>
      </c>
      <c r="G127" t="s">
        <v>331</v>
      </c>
      <c r="H127" t="str">
        <f>IF(Table3[[#This Row],[2043 Diameter]]=Table3[[#This Row],[2022 Diameter]],"No","Yes")</f>
        <v>No</v>
      </c>
      <c r="I127" t="str">
        <f>IF(Table3[[#This Row],[2043 Length]]=Table3[[#This Row],[2022 length]],"No","Yes")</f>
        <v>No</v>
      </c>
      <c r="J127" s="8">
        <f>VLOOKUP(Table3[[#This Row],[2043 Diameter]],[1]Pipes!$A:$B,2,FALSE)</f>
        <v>362.58707029616613</v>
      </c>
      <c r="K127" s="8">
        <f>VLOOKUP(Table3[[#This Row],[2022 Diameter]],[1]Pipes!$A:$B,2,FALSE)</f>
        <v>362.58707029616613</v>
      </c>
      <c r="L127" s="8">
        <f>IF(OR(IFERROR(Table3[[#This Row],[Diameter Change?]]="Yes","Yes"),Table3[[#This Row],[Pipe Added?]]="Yes"),Table3[[#This Row],[2043 Pipeline unit cost]]*Table3[[#This Row],[2043 Length]],0)</f>
        <v>0</v>
      </c>
      <c r="M127" s="2">
        <f>VLOOKUP(Table3[[#This Row],[Pipe_name]],[2]!Table1[[id3]:[Cost]],8,FALSE)</f>
        <v>0</v>
      </c>
      <c r="N127" s="2">
        <f>IFERROR(Table3[[#This Row],[2022 length]]*Table3[[#This Row],[2022 Pipeline unit cost]],0)</f>
        <v>1164.6615774534716</v>
      </c>
      <c r="O127" s="2">
        <f>Table3[[#This Row],[2043 Length]]*Table3[[#This Row],[2043 Pipeline unit cost]]</f>
        <v>1164.6615774534716</v>
      </c>
      <c r="P127" s="2">
        <f>MATCH(Table3[[#This Row],[Pipe_name]],'2022 pipes'!B:B,0)</f>
        <v>128</v>
      </c>
      <c r="Q127" s="2">
        <f>Table3[[#This Row],[2043 pipes]]-Table3[[#This Row],[Master Plan CAPEX Cost]]</f>
        <v>1164.6615774534716</v>
      </c>
      <c r="R127" s="7">
        <f>Table3[[#This Row],[asdfa]]-Table3[[#This Row],[2022 total cost]]</f>
        <v>0</v>
      </c>
    </row>
    <row r="128" spans="1:18" x14ac:dyDescent="0.25">
      <c r="A128" s="1">
        <v>126</v>
      </c>
      <c r="B128" t="s">
        <v>144</v>
      </c>
      <c r="C128">
        <v>96</v>
      </c>
      <c r="D128">
        <v>225.927322</v>
      </c>
      <c r="E128">
        <f>VLOOKUP(Table3[[#This Row],[Pipe_name]],Table2[[Pipe_name]:[Original_Diameter]],2,FALSE)</f>
        <v>96</v>
      </c>
      <c r="F128">
        <f>VLOOKUP(Table3[[#This Row],[Pipe_name]],Table2[[Pipe_name]:[Length]],3,FALSE)</f>
        <v>225.927322</v>
      </c>
      <c r="G128" t="s">
        <v>331</v>
      </c>
      <c r="H128" t="str">
        <f>IF(Table3[[#This Row],[2043 Diameter]]=Table3[[#This Row],[2022 Diameter]],"No","Yes")</f>
        <v>No</v>
      </c>
      <c r="I128" t="str">
        <f>IF(Table3[[#This Row],[2043 Length]]=Table3[[#This Row],[2022 length]],"No","Yes")</f>
        <v>No</v>
      </c>
      <c r="J128" s="8">
        <f>VLOOKUP(Table3[[#This Row],[2043 Diameter]],[1]Pipes!$A:$B,2,FALSE)</f>
        <v>362.58707029616613</v>
      </c>
      <c r="K128" s="8">
        <f>VLOOKUP(Table3[[#This Row],[2022 Diameter]],[1]Pipes!$A:$B,2,FALSE)</f>
        <v>362.58707029616613</v>
      </c>
      <c r="L128" s="8">
        <f>IF(OR(IFERROR(Table3[[#This Row],[Diameter Change?]]="Yes","Yes"),Table3[[#This Row],[Pipe Added?]]="Yes"),Table3[[#This Row],[2043 Pipeline unit cost]]*Table3[[#This Row],[2043 Length]],0)</f>
        <v>0</v>
      </c>
      <c r="M128" s="2">
        <f>VLOOKUP(Table3[[#This Row],[Pipe_name]],[2]!Table1[[id3]:[Cost]],8,FALSE)</f>
        <v>0</v>
      </c>
      <c r="N128" s="2">
        <f>IFERROR(Table3[[#This Row],[2022 length]]*Table3[[#This Row],[2022 Pipeline unit cost]],0)</f>
        <v>81918.325783838562</v>
      </c>
      <c r="O128" s="2">
        <f>Table3[[#This Row],[2043 Length]]*Table3[[#This Row],[2043 Pipeline unit cost]]</f>
        <v>81918.325783838562</v>
      </c>
      <c r="P128" s="2">
        <f>MATCH(Table3[[#This Row],[Pipe_name]],'2022 pipes'!B:B,0)</f>
        <v>129</v>
      </c>
      <c r="Q128" s="2">
        <f>Table3[[#This Row],[2043 pipes]]-Table3[[#This Row],[Master Plan CAPEX Cost]]</f>
        <v>81918.325783838562</v>
      </c>
      <c r="R128" s="7">
        <f>Table3[[#This Row],[asdfa]]-Table3[[#This Row],[2022 total cost]]</f>
        <v>0</v>
      </c>
    </row>
    <row r="129" spans="1:18" x14ac:dyDescent="0.25">
      <c r="A129" s="1">
        <v>127</v>
      </c>
      <c r="B129" t="s">
        <v>145</v>
      </c>
      <c r="C129">
        <v>96</v>
      </c>
      <c r="D129">
        <v>43.379696000000003</v>
      </c>
      <c r="E129">
        <f>VLOOKUP(Table3[[#This Row],[Pipe_name]],Table2[[Pipe_name]:[Original_Diameter]],2,FALSE)</f>
        <v>96</v>
      </c>
      <c r="F129">
        <f>VLOOKUP(Table3[[#This Row],[Pipe_name]],Table2[[Pipe_name]:[Length]],3,FALSE)</f>
        <v>43.379696000000003</v>
      </c>
      <c r="G129" t="s">
        <v>331</v>
      </c>
      <c r="H129" t="str">
        <f>IF(Table3[[#This Row],[2043 Diameter]]=Table3[[#This Row],[2022 Diameter]],"No","Yes")</f>
        <v>No</v>
      </c>
      <c r="I129" t="str">
        <f>IF(Table3[[#This Row],[2043 Length]]=Table3[[#This Row],[2022 length]],"No","Yes")</f>
        <v>No</v>
      </c>
      <c r="J129" s="8">
        <f>VLOOKUP(Table3[[#This Row],[2043 Diameter]],[1]Pipes!$A:$B,2,FALSE)</f>
        <v>362.58707029616613</v>
      </c>
      <c r="K129" s="8">
        <f>VLOOKUP(Table3[[#This Row],[2022 Diameter]],[1]Pipes!$A:$B,2,FALSE)</f>
        <v>362.58707029616613</v>
      </c>
      <c r="L129" s="8">
        <f>IF(OR(IFERROR(Table3[[#This Row],[Diameter Change?]]="Yes","Yes"),Table3[[#This Row],[Pipe Added?]]="Yes"),Table3[[#This Row],[2043 Pipeline unit cost]]*Table3[[#This Row],[2043 Length]],0)</f>
        <v>0</v>
      </c>
      <c r="M129" s="2">
        <f>VLOOKUP(Table3[[#This Row],[Pipe_name]],[2]!Table1[[id3]:[Cost]],8,FALSE)</f>
        <v>0</v>
      </c>
      <c r="N129" s="2">
        <f>IFERROR(Table3[[#This Row],[2022 length]]*Table3[[#This Row],[2022 Pipeline unit cost]],0)</f>
        <v>15728.916882978318</v>
      </c>
      <c r="O129" s="2">
        <f>Table3[[#This Row],[2043 Length]]*Table3[[#This Row],[2043 Pipeline unit cost]]</f>
        <v>15728.916882978318</v>
      </c>
      <c r="P129" s="2">
        <f>MATCH(Table3[[#This Row],[Pipe_name]],'2022 pipes'!B:B,0)</f>
        <v>130</v>
      </c>
      <c r="Q129" s="2">
        <f>Table3[[#This Row],[2043 pipes]]-Table3[[#This Row],[Master Plan CAPEX Cost]]</f>
        <v>15728.916882978318</v>
      </c>
      <c r="R129" s="7">
        <f>Table3[[#This Row],[asdfa]]-Table3[[#This Row],[2022 total cost]]</f>
        <v>0</v>
      </c>
    </row>
    <row r="130" spans="1:18" x14ac:dyDescent="0.25">
      <c r="A130" s="1">
        <v>128</v>
      </c>
      <c r="B130" t="s">
        <v>146</v>
      </c>
      <c r="C130">
        <v>96</v>
      </c>
      <c r="D130">
        <v>332.90835600000003</v>
      </c>
      <c r="E130">
        <f>VLOOKUP(Table3[[#This Row],[Pipe_name]],Table2[[Pipe_name]:[Original_Diameter]],2,FALSE)</f>
        <v>96</v>
      </c>
      <c r="F130">
        <f>VLOOKUP(Table3[[#This Row],[Pipe_name]],Table2[[Pipe_name]:[Length]],3,FALSE)</f>
        <v>332.90835600000003</v>
      </c>
      <c r="G130" t="s">
        <v>331</v>
      </c>
      <c r="H130" t="str">
        <f>IF(Table3[[#This Row],[2043 Diameter]]=Table3[[#This Row],[2022 Diameter]],"No","Yes")</f>
        <v>No</v>
      </c>
      <c r="I130" t="str">
        <f>IF(Table3[[#This Row],[2043 Length]]=Table3[[#This Row],[2022 length]],"No","Yes")</f>
        <v>No</v>
      </c>
      <c r="J130" s="8">
        <f>VLOOKUP(Table3[[#This Row],[2043 Diameter]],[1]Pipes!$A:$B,2,FALSE)</f>
        <v>362.58707029616613</v>
      </c>
      <c r="K130" s="8">
        <f>VLOOKUP(Table3[[#This Row],[2022 Diameter]],[1]Pipes!$A:$B,2,FALSE)</f>
        <v>362.58707029616613</v>
      </c>
      <c r="L130" s="8">
        <f>IF(OR(IFERROR(Table3[[#This Row],[Diameter Change?]]="Yes","Yes"),Table3[[#This Row],[Pipe Added?]]="Yes"),Table3[[#This Row],[2043 Pipeline unit cost]]*Table3[[#This Row],[2043 Length]],0)</f>
        <v>0</v>
      </c>
      <c r="M130" s="2">
        <f>VLOOKUP(Table3[[#This Row],[Pipe_name]],[2]!Table1[[id3]:[Cost]],8,FALSE)</f>
        <v>0</v>
      </c>
      <c r="N130" s="2">
        <f>IFERROR(Table3[[#This Row],[2022 length]]*Table3[[#This Row],[2022 Pipeline unit cost]],0)</f>
        <v>120708.26547915311</v>
      </c>
      <c r="O130" s="2">
        <f>Table3[[#This Row],[2043 Length]]*Table3[[#This Row],[2043 Pipeline unit cost]]</f>
        <v>120708.26547915311</v>
      </c>
      <c r="P130" s="2">
        <f>MATCH(Table3[[#This Row],[Pipe_name]],'2022 pipes'!B:B,0)</f>
        <v>131</v>
      </c>
      <c r="Q130" s="2">
        <f>Table3[[#This Row],[2043 pipes]]-Table3[[#This Row],[Master Plan CAPEX Cost]]</f>
        <v>120708.26547915311</v>
      </c>
      <c r="R130" s="7">
        <f>Table3[[#This Row],[asdfa]]-Table3[[#This Row],[2022 total cost]]</f>
        <v>0</v>
      </c>
    </row>
    <row r="131" spans="1:18" x14ac:dyDescent="0.25">
      <c r="A131" s="1">
        <v>129</v>
      </c>
      <c r="B131" t="s">
        <v>147</v>
      </c>
      <c r="C131">
        <v>96</v>
      </c>
      <c r="D131">
        <v>25.897096999999999</v>
      </c>
      <c r="E131">
        <f>VLOOKUP(Table3[[#This Row],[Pipe_name]],Table2[[Pipe_name]:[Original_Diameter]],2,FALSE)</f>
        <v>96</v>
      </c>
      <c r="F131">
        <f>VLOOKUP(Table3[[#This Row],[Pipe_name]],Table2[[Pipe_name]:[Length]],3,FALSE)</f>
        <v>25.897096999999999</v>
      </c>
      <c r="G131" t="s">
        <v>331</v>
      </c>
      <c r="H131" t="str">
        <f>IF(Table3[[#This Row],[2043 Diameter]]=Table3[[#This Row],[2022 Diameter]],"No","Yes")</f>
        <v>No</v>
      </c>
      <c r="I131" t="str">
        <f>IF(Table3[[#This Row],[2043 Length]]=Table3[[#This Row],[2022 length]],"No","Yes")</f>
        <v>No</v>
      </c>
      <c r="J131" s="8">
        <f>VLOOKUP(Table3[[#This Row],[2043 Diameter]],[1]Pipes!$A:$B,2,FALSE)</f>
        <v>362.58707029616613</v>
      </c>
      <c r="K131" s="8">
        <f>VLOOKUP(Table3[[#This Row],[2022 Diameter]],[1]Pipes!$A:$B,2,FALSE)</f>
        <v>362.58707029616613</v>
      </c>
      <c r="L131" s="8">
        <f>IF(OR(IFERROR(Table3[[#This Row],[Diameter Change?]]="Yes","Yes"),Table3[[#This Row],[Pipe Added?]]="Yes"),Table3[[#This Row],[2043 Pipeline unit cost]]*Table3[[#This Row],[2043 Length]],0)</f>
        <v>0</v>
      </c>
      <c r="M131" s="2">
        <f>VLOOKUP(Table3[[#This Row],[Pipe_name]],[2]!Table1[[id3]:[Cost]],8,FALSE)</f>
        <v>0</v>
      </c>
      <c r="N131" s="2">
        <f>IFERROR(Table3[[#This Row],[2022 length]]*Table3[[#This Row],[2022 Pipeline unit cost]],0)</f>
        <v>9389.9525304056333</v>
      </c>
      <c r="O131" s="2">
        <f>Table3[[#This Row],[2043 Length]]*Table3[[#This Row],[2043 Pipeline unit cost]]</f>
        <v>9389.9525304056333</v>
      </c>
      <c r="P131" s="2">
        <f>MATCH(Table3[[#This Row],[Pipe_name]],'2022 pipes'!B:B,0)</f>
        <v>132</v>
      </c>
      <c r="Q131" s="2">
        <f>Table3[[#This Row],[2043 pipes]]-Table3[[#This Row],[Master Plan CAPEX Cost]]</f>
        <v>9389.9525304056333</v>
      </c>
      <c r="R131" s="7">
        <f>Table3[[#This Row],[asdfa]]-Table3[[#This Row],[2022 total cost]]</f>
        <v>0</v>
      </c>
    </row>
    <row r="132" spans="1:18" x14ac:dyDescent="0.25">
      <c r="A132" s="1">
        <v>130</v>
      </c>
      <c r="B132" t="s">
        <v>148</v>
      </c>
      <c r="C132">
        <v>96</v>
      </c>
      <c r="D132">
        <v>27.997152</v>
      </c>
      <c r="E132">
        <f>VLOOKUP(Table3[[#This Row],[Pipe_name]],Table2[[Pipe_name]:[Original_Diameter]],2,FALSE)</f>
        <v>96</v>
      </c>
      <c r="F132">
        <f>VLOOKUP(Table3[[#This Row],[Pipe_name]],Table2[[Pipe_name]:[Length]],3,FALSE)</f>
        <v>27.997152</v>
      </c>
      <c r="G132" t="s">
        <v>331</v>
      </c>
      <c r="H132" t="str">
        <f>IF(Table3[[#This Row],[2043 Diameter]]=Table3[[#This Row],[2022 Diameter]],"No","Yes")</f>
        <v>No</v>
      </c>
      <c r="I132" t="str">
        <f>IF(Table3[[#This Row],[2043 Length]]=Table3[[#This Row],[2022 length]],"No","Yes")</f>
        <v>No</v>
      </c>
      <c r="J132" s="8">
        <f>VLOOKUP(Table3[[#This Row],[2043 Diameter]],[1]Pipes!$A:$B,2,FALSE)</f>
        <v>362.58707029616613</v>
      </c>
      <c r="K132" s="8">
        <f>VLOOKUP(Table3[[#This Row],[2022 Diameter]],[1]Pipes!$A:$B,2,FALSE)</f>
        <v>362.58707029616613</v>
      </c>
      <c r="L132" s="8">
        <f>IF(OR(IFERROR(Table3[[#This Row],[Diameter Change?]]="Yes","Yes"),Table3[[#This Row],[Pipe Added?]]="Yes"),Table3[[#This Row],[2043 Pipeline unit cost]]*Table3[[#This Row],[2043 Length]],0)</f>
        <v>0</v>
      </c>
      <c r="M132" s="2">
        <f>VLOOKUP(Table3[[#This Row],[Pipe_name]],[2]!Table1[[id3]:[Cost]],8,FALSE)</f>
        <v>0</v>
      </c>
      <c r="N132" s="2">
        <f>IFERROR(Table3[[#This Row],[2022 length]]*Table3[[#This Row],[2022 Pipeline unit cost]],0)</f>
        <v>10151.405320316448</v>
      </c>
      <c r="O132" s="2">
        <f>Table3[[#This Row],[2043 Length]]*Table3[[#This Row],[2043 Pipeline unit cost]]</f>
        <v>10151.405320316448</v>
      </c>
      <c r="P132" s="2">
        <f>MATCH(Table3[[#This Row],[Pipe_name]],'2022 pipes'!B:B,0)</f>
        <v>133</v>
      </c>
      <c r="Q132" s="2">
        <f>Table3[[#This Row],[2043 pipes]]-Table3[[#This Row],[Master Plan CAPEX Cost]]</f>
        <v>10151.405320316448</v>
      </c>
      <c r="R132" s="7">
        <f>Table3[[#This Row],[asdfa]]-Table3[[#This Row],[2022 total cost]]</f>
        <v>0</v>
      </c>
    </row>
    <row r="133" spans="1:18" x14ac:dyDescent="0.25">
      <c r="A133" s="1">
        <v>131</v>
      </c>
      <c r="B133" t="s">
        <v>149</v>
      </c>
      <c r="C133">
        <v>225</v>
      </c>
      <c r="D133">
        <v>69.551308000000006</v>
      </c>
      <c r="E133">
        <f>VLOOKUP(Table3[[#This Row],[Pipe_name]],Table2[[Pipe_name]:[Original_Diameter]],2,FALSE)</f>
        <v>96</v>
      </c>
      <c r="F133">
        <f>VLOOKUP(Table3[[#This Row],[Pipe_name]],Table2[[Pipe_name]:[Length]],3,FALSE)</f>
        <v>69.551308000000006</v>
      </c>
      <c r="G133" t="s">
        <v>331</v>
      </c>
      <c r="H133" t="str">
        <f>IF(Table3[[#This Row],[2043 Diameter]]=Table3[[#This Row],[2022 Diameter]],"No","Yes")</f>
        <v>Yes</v>
      </c>
      <c r="I133" t="str">
        <f>IF(Table3[[#This Row],[2043 Length]]=Table3[[#This Row],[2022 length]],"No","Yes")</f>
        <v>No</v>
      </c>
      <c r="J133" s="8">
        <f>VLOOKUP(Table3[[#This Row],[2043 Diameter]],[1]Pipes!$A:$B,2,FALSE)</f>
        <v>546.15625651305356</v>
      </c>
      <c r="K133" s="8">
        <f>VLOOKUP(Table3[[#This Row],[2022 Diameter]],[1]Pipes!$A:$B,2,FALSE)</f>
        <v>362.58707029616613</v>
      </c>
      <c r="L133" s="8">
        <f>IF(OR(IFERROR(Table3[[#This Row],[Diameter Change?]]="Yes","Yes"),Table3[[#This Row],[Pipe Added?]]="Yes"),Table3[[#This Row],[2043 Pipeline unit cost]]*Table3[[#This Row],[2043 Length]],0)</f>
        <v>37985.882012866401</v>
      </c>
      <c r="M133" s="2">
        <f>VLOOKUP(Table3[[#This Row],[Pipe_name]],[2]!Table1[[id3]:[Cost]],8,FALSE)</f>
        <v>37986.259952995904</v>
      </c>
      <c r="N133" s="2">
        <f>IFERROR(Table3[[#This Row],[2022 length]]*Table3[[#This Row],[2022 Pipeline unit cost]],0)</f>
        <v>25218.405002986303</v>
      </c>
      <c r="O133" s="2">
        <f>Table3[[#This Row],[2043 Length]]*Table3[[#This Row],[2043 Pipeline unit cost]]</f>
        <v>37985.882012866401</v>
      </c>
      <c r="P133" s="2">
        <f>MATCH(Table3[[#This Row],[Pipe_name]],'2022 pipes'!B:B,0)</f>
        <v>134</v>
      </c>
      <c r="Q133" s="2">
        <f>Table3[[#This Row],[2043 pipes]]-Table3[[#This Row],[Master Plan CAPEX Cost]]</f>
        <v>0</v>
      </c>
      <c r="R133" s="7">
        <f>Table3[[#This Row],[asdfa]]-Table3[[#This Row],[2022 total cost]]</f>
        <v>-25218.405002986303</v>
      </c>
    </row>
    <row r="134" spans="1:18" x14ac:dyDescent="0.25">
      <c r="A134" s="1">
        <v>132</v>
      </c>
      <c r="B134" t="s">
        <v>150</v>
      </c>
      <c r="C134">
        <v>200</v>
      </c>
      <c r="D134">
        <v>12.178855</v>
      </c>
      <c r="E134">
        <f>VLOOKUP(Table3[[#This Row],[Pipe_name]],Table2[[Pipe_name]:[Original_Diameter]],2,FALSE)</f>
        <v>200</v>
      </c>
      <c r="F134">
        <f>VLOOKUP(Table3[[#This Row],[Pipe_name]],Table2[[Pipe_name]:[Length]],3,FALSE)</f>
        <v>12.178855</v>
      </c>
      <c r="G134" t="s">
        <v>331</v>
      </c>
      <c r="H134" t="str">
        <f>IF(Table3[[#This Row],[2043 Diameter]]=Table3[[#This Row],[2022 Diameter]],"No","Yes")</f>
        <v>No</v>
      </c>
      <c r="I134" t="str">
        <f>IF(Table3[[#This Row],[2043 Length]]=Table3[[#This Row],[2022 length]],"No","Yes")</f>
        <v>No</v>
      </c>
      <c r="J134" s="8">
        <f>VLOOKUP(Table3[[#This Row],[2043 Diameter]],[1]Pipes!$A:$B,2,FALSE)</f>
        <v>546.15625651305356</v>
      </c>
      <c r="K134" s="8">
        <f>VLOOKUP(Table3[[#This Row],[2022 Diameter]],[1]Pipes!$A:$B,2,FALSE)</f>
        <v>546.15625651305356</v>
      </c>
      <c r="L134" s="8">
        <f>IF(OR(IFERROR(Table3[[#This Row],[Diameter Change?]]="Yes","Yes"),Table3[[#This Row],[Pipe Added?]]="Yes"),Table3[[#This Row],[2043 Pipeline unit cost]]*Table3[[#This Row],[2043 Length]],0)</f>
        <v>0</v>
      </c>
      <c r="M134" s="2">
        <f>VLOOKUP(Table3[[#This Row],[Pipe_name]],[2]!Table1[[id3]:[Cost]],8,FALSE)</f>
        <v>0</v>
      </c>
      <c r="N134" s="2">
        <f>IFERROR(Table3[[#This Row],[2022 length]]*Table3[[#This Row],[2022 Pipeline unit cost]],0)</f>
        <v>6651.5578554152853</v>
      </c>
      <c r="O134" s="2">
        <f>Table3[[#This Row],[2043 Length]]*Table3[[#This Row],[2043 Pipeline unit cost]]</f>
        <v>6651.5578554152853</v>
      </c>
      <c r="P134" s="2">
        <f>MATCH(Table3[[#This Row],[Pipe_name]],'2022 pipes'!B:B,0)</f>
        <v>135</v>
      </c>
      <c r="Q134" s="2">
        <f>Table3[[#This Row],[2043 pipes]]-Table3[[#This Row],[Master Plan CAPEX Cost]]</f>
        <v>6651.5578554152853</v>
      </c>
      <c r="R134" s="7">
        <f>Table3[[#This Row],[asdfa]]-Table3[[#This Row],[2022 total cost]]</f>
        <v>0</v>
      </c>
    </row>
    <row r="135" spans="1:18" x14ac:dyDescent="0.25">
      <c r="A135" s="1">
        <v>133</v>
      </c>
      <c r="B135" t="s">
        <v>151</v>
      </c>
      <c r="C135">
        <v>101</v>
      </c>
      <c r="D135">
        <v>16.057476000000001</v>
      </c>
      <c r="E135">
        <f>VLOOKUP(Table3[[#This Row],[Pipe_name]],Table2[[Pipe_name]:[Original_Diameter]],2,FALSE)</f>
        <v>101</v>
      </c>
      <c r="F135">
        <f>VLOOKUP(Table3[[#This Row],[Pipe_name]],Table2[[Pipe_name]:[Length]],3,FALSE)</f>
        <v>16.057476000000001</v>
      </c>
      <c r="G135" t="s">
        <v>331</v>
      </c>
      <c r="H135" t="str">
        <f>IF(Table3[[#This Row],[2043 Diameter]]=Table3[[#This Row],[2022 Diameter]],"No","Yes")</f>
        <v>No</v>
      </c>
      <c r="I135" t="str">
        <f>IF(Table3[[#This Row],[2043 Length]]=Table3[[#This Row],[2022 length]],"No","Yes")</f>
        <v>No</v>
      </c>
      <c r="J135" s="8">
        <f>VLOOKUP(Table3[[#This Row],[2043 Diameter]],[1]Pipes!$A:$B,2,FALSE)</f>
        <v>362.58707029616613</v>
      </c>
      <c r="K135" s="8">
        <f>VLOOKUP(Table3[[#This Row],[2022 Diameter]],[1]Pipes!$A:$B,2,FALSE)</f>
        <v>362.58707029616613</v>
      </c>
      <c r="L135" s="8">
        <f>IF(OR(IFERROR(Table3[[#This Row],[Diameter Change?]]="Yes","Yes"),Table3[[#This Row],[Pipe Added?]]="Yes"),Table3[[#This Row],[2043 Pipeline unit cost]]*Table3[[#This Row],[2043 Length]],0)</f>
        <v>0</v>
      </c>
      <c r="M135" s="2">
        <f>VLOOKUP(Table3[[#This Row],[Pipe_name]],[2]!Table1[[id3]:[Cost]],8,FALSE)</f>
        <v>0</v>
      </c>
      <c r="N135" s="2">
        <f>IFERROR(Table3[[#This Row],[2022 length]]*Table3[[#This Row],[2022 Pipeline unit cost]],0)</f>
        <v>5822.233179191001</v>
      </c>
      <c r="O135" s="2">
        <f>Table3[[#This Row],[2043 Length]]*Table3[[#This Row],[2043 Pipeline unit cost]]</f>
        <v>5822.233179191001</v>
      </c>
      <c r="P135" s="2">
        <f>MATCH(Table3[[#This Row],[Pipe_name]],'2022 pipes'!B:B,0)</f>
        <v>136</v>
      </c>
      <c r="Q135" s="2">
        <f>Table3[[#This Row],[2043 pipes]]-Table3[[#This Row],[Master Plan CAPEX Cost]]</f>
        <v>5822.233179191001</v>
      </c>
      <c r="R135" s="7">
        <f>Table3[[#This Row],[asdfa]]-Table3[[#This Row],[2022 total cost]]</f>
        <v>0</v>
      </c>
    </row>
    <row r="136" spans="1:18" x14ac:dyDescent="0.25">
      <c r="A136" s="1">
        <v>134</v>
      </c>
      <c r="B136" t="s">
        <v>152</v>
      </c>
      <c r="C136">
        <v>96</v>
      </c>
      <c r="D136">
        <v>229.46266199999999</v>
      </c>
      <c r="E136">
        <f>VLOOKUP(Table3[[#This Row],[Pipe_name]],Table2[[Pipe_name]:[Original_Diameter]],2,FALSE)</f>
        <v>96</v>
      </c>
      <c r="F136">
        <f>VLOOKUP(Table3[[#This Row],[Pipe_name]],Table2[[Pipe_name]:[Length]],3,FALSE)</f>
        <v>229.46266199999999</v>
      </c>
      <c r="G136" t="s">
        <v>331</v>
      </c>
      <c r="H136" t="str">
        <f>IF(Table3[[#This Row],[2043 Diameter]]=Table3[[#This Row],[2022 Diameter]],"No","Yes")</f>
        <v>No</v>
      </c>
      <c r="I136" t="str">
        <f>IF(Table3[[#This Row],[2043 Length]]=Table3[[#This Row],[2022 length]],"No","Yes")</f>
        <v>No</v>
      </c>
      <c r="J136" s="8">
        <f>VLOOKUP(Table3[[#This Row],[2043 Diameter]],[1]Pipes!$A:$B,2,FALSE)</f>
        <v>362.58707029616613</v>
      </c>
      <c r="K136" s="8">
        <f>VLOOKUP(Table3[[#This Row],[2022 Diameter]],[1]Pipes!$A:$B,2,FALSE)</f>
        <v>362.58707029616613</v>
      </c>
      <c r="L136" s="8">
        <f>IF(OR(IFERROR(Table3[[#This Row],[Diameter Change?]]="Yes","Yes"),Table3[[#This Row],[Pipe Added?]]="Yes"),Table3[[#This Row],[2043 Pipeline unit cost]]*Table3[[#This Row],[2043 Length]],0)</f>
        <v>0</v>
      </c>
      <c r="M136" s="2">
        <f>VLOOKUP(Table3[[#This Row],[Pipe_name]],[2]!Table1[[id3]:[Cost]],8,FALSE)</f>
        <v>0</v>
      </c>
      <c r="N136" s="2">
        <f>IFERROR(Table3[[#This Row],[2022 length]]*Table3[[#This Row],[2022 Pipeline unit cost]],0)</f>
        <v>83200.194356939406</v>
      </c>
      <c r="O136" s="2">
        <f>Table3[[#This Row],[2043 Length]]*Table3[[#This Row],[2043 Pipeline unit cost]]</f>
        <v>83200.194356939406</v>
      </c>
      <c r="P136" s="2">
        <f>MATCH(Table3[[#This Row],[Pipe_name]],'2022 pipes'!B:B,0)</f>
        <v>137</v>
      </c>
      <c r="Q136" s="2">
        <f>Table3[[#This Row],[2043 pipes]]-Table3[[#This Row],[Master Plan CAPEX Cost]]</f>
        <v>83200.194356939406</v>
      </c>
      <c r="R136" s="7">
        <f>Table3[[#This Row],[asdfa]]-Table3[[#This Row],[2022 total cost]]</f>
        <v>0</v>
      </c>
    </row>
    <row r="137" spans="1:18" x14ac:dyDescent="0.25">
      <c r="A137" s="1">
        <v>135</v>
      </c>
      <c r="B137" t="s">
        <v>153</v>
      </c>
      <c r="C137">
        <v>96</v>
      </c>
      <c r="D137">
        <v>13.458971</v>
      </c>
      <c r="E137">
        <f>VLOOKUP(Table3[[#This Row],[Pipe_name]],Table2[[Pipe_name]:[Original_Diameter]],2,FALSE)</f>
        <v>96</v>
      </c>
      <c r="F137">
        <f>VLOOKUP(Table3[[#This Row],[Pipe_name]],Table2[[Pipe_name]:[Length]],3,FALSE)</f>
        <v>13.458971</v>
      </c>
      <c r="G137" t="s">
        <v>331</v>
      </c>
      <c r="H137" t="str">
        <f>IF(Table3[[#This Row],[2043 Diameter]]=Table3[[#This Row],[2022 Diameter]],"No","Yes")</f>
        <v>No</v>
      </c>
      <c r="I137" t="str">
        <f>IF(Table3[[#This Row],[2043 Length]]=Table3[[#This Row],[2022 length]],"No","Yes")</f>
        <v>No</v>
      </c>
      <c r="J137" s="8">
        <f>VLOOKUP(Table3[[#This Row],[2043 Diameter]],[1]Pipes!$A:$B,2,FALSE)</f>
        <v>362.58707029616613</v>
      </c>
      <c r="K137" s="8">
        <f>VLOOKUP(Table3[[#This Row],[2022 Diameter]],[1]Pipes!$A:$B,2,FALSE)</f>
        <v>362.58707029616613</v>
      </c>
      <c r="L137" s="8">
        <f>IF(OR(IFERROR(Table3[[#This Row],[Diameter Change?]]="Yes","Yes"),Table3[[#This Row],[Pipe Added?]]="Yes"),Table3[[#This Row],[2043 Pipeline unit cost]]*Table3[[#This Row],[2043 Length]],0)</f>
        <v>0</v>
      </c>
      <c r="M137" s="2">
        <f>VLOOKUP(Table3[[#This Row],[Pipe_name]],[2]!Table1[[id3]:[Cost]],8,FALSE)</f>
        <v>0</v>
      </c>
      <c r="N137" s="2">
        <f>IFERROR(Table3[[#This Row],[2022 length]]*Table3[[#This Row],[2022 Pipeline unit cost]],0)</f>
        <v>4880.0488640910617</v>
      </c>
      <c r="O137" s="2">
        <f>Table3[[#This Row],[2043 Length]]*Table3[[#This Row],[2043 Pipeline unit cost]]</f>
        <v>4880.0488640910617</v>
      </c>
      <c r="P137" s="2">
        <f>MATCH(Table3[[#This Row],[Pipe_name]],'2022 pipes'!B:B,0)</f>
        <v>138</v>
      </c>
      <c r="Q137" s="2">
        <f>Table3[[#This Row],[2043 pipes]]-Table3[[#This Row],[Master Plan CAPEX Cost]]</f>
        <v>4880.0488640910617</v>
      </c>
      <c r="R137" s="7">
        <f>Table3[[#This Row],[asdfa]]-Table3[[#This Row],[2022 total cost]]</f>
        <v>0</v>
      </c>
    </row>
    <row r="138" spans="1:18" x14ac:dyDescent="0.25">
      <c r="A138" s="1">
        <v>136</v>
      </c>
      <c r="B138" t="s">
        <v>154</v>
      </c>
      <c r="C138">
        <v>96</v>
      </c>
      <c r="D138">
        <v>109.256287</v>
      </c>
      <c r="E138">
        <f>VLOOKUP(Table3[[#This Row],[Pipe_name]],Table2[[Pipe_name]:[Original_Diameter]],2,FALSE)</f>
        <v>96</v>
      </c>
      <c r="F138">
        <f>VLOOKUP(Table3[[#This Row],[Pipe_name]],Table2[[Pipe_name]:[Length]],3,FALSE)</f>
        <v>109.256287</v>
      </c>
      <c r="G138" t="s">
        <v>331</v>
      </c>
      <c r="H138" t="str">
        <f>IF(Table3[[#This Row],[2043 Diameter]]=Table3[[#This Row],[2022 Diameter]],"No","Yes")</f>
        <v>No</v>
      </c>
      <c r="I138" t="str">
        <f>IF(Table3[[#This Row],[2043 Length]]=Table3[[#This Row],[2022 length]],"No","Yes")</f>
        <v>No</v>
      </c>
      <c r="J138" s="8">
        <f>VLOOKUP(Table3[[#This Row],[2043 Diameter]],[1]Pipes!$A:$B,2,FALSE)</f>
        <v>362.58707029616613</v>
      </c>
      <c r="K138" s="8">
        <f>VLOOKUP(Table3[[#This Row],[2022 Diameter]],[1]Pipes!$A:$B,2,FALSE)</f>
        <v>362.58707029616613</v>
      </c>
      <c r="L138" s="8">
        <f>IF(OR(IFERROR(Table3[[#This Row],[Diameter Change?]]="Yes","Yes"),Table3[[#This Row],[Pipe Added?]]="Yes"),Table3[[#This Row],[2043 Pipeline unit cost]]*Table3[[#This Row],[2043 Length]],0)</f>
        <v>0</v>
      </c>
      <c r="M138" s="2">
        <f>VLOOKUP(Table3[[#This Row],[Pipe_name]],[2]!Table1[[id3]:[Cost]],8,FALSE)</f>
        <v>0</v>
      </c>
      <c r="N138" s="2">
        <f>IFERROR(Table3[[#This Row],[2022 length]]*Table3[[#This Row],[2022 Pipeline unit cost]],0)</f>
        <v>39614.917014767103</v>
      </c>
      <c r="O138" s="2">
        <f>Table3[[#This Row],[2043 Length]]*Table3[[#This Row],[2043 Pipeline unit cost]]</f>
        <v>39614.917014767103</v>
      </c>
      <c r="P138" s="2">
        <f>MATCH(Table3[[#This Row],[Pipe_name]],'2022 pipes'!B:B,0)</f>
        <v>139</v>
      </c>
      <c r="Q138" s="2">
        <f>Table3[[#This Row],[2043 pipes]]-Table3[[#This Row],[Master Plan CAPEX Cost]]</f>
        <v>39614.917014767103</v>
      </c>
      <c r="R138" s="7">
        <f>Table3[[#This Row],[asdfa]]-Table3[[#This Row],[2022 total cost]]</f>
        <v>0</v>
      </c>
    </row>
    <row r="139" spans="1:18" x14ac:dyDescent="0.25">
      <c r="A139" s="1">
        <v>137</v>
      </c>
      <c r="B139" t="s">
        <v>155</v>
      </c>
      <c r="C139">
        <v>143</v>
      </c>
      <c r="D139">
        <v>4.5255369999999999</v>
      </c>
      <c r="E139">
        <f>VLOOKUP(Table3[[#This Row],[Pipe_name]],Table2[[Pipe_name]:[Original_Diameter]],2,FALSE)</f>
        <v>143</v>
      </c>
      <c r="F139">
        <f>VLOOKUP(Table3[[#This Row],[Pipe_name]],Table2[[Pipe_name]:[Length]],3,FALSE)</f>
        <v>4.5255369999999999</v>
      </c>
      <c r="G139" t="s">
        <v>331</v>
      </c>
      <c r="H139" t="str">
        <f>IF(Table3[[#This Row],[2043 Diameter]]=Table3[[#This Row],[2022 Diameter]],"No","Yes")</f>
        <v>No</v>
      </c>
      <c r="I139" t="str">
        <f>IF(Table3[[#This Row],[2043 Length]]=Table3[[#This Row],[2022 length]],"No","Yes")</f>
        <v>No</v>
      </c>
      <c r="J139" s="8">
        <f>VLOOKUP(Table3[[#This Row],[2043 Diameter]],[1]Pipes!$A:$B,2,FALSE)</f>
        <v>433.89080378537034</v>
      </c>
      <c r="K139" s="8">
        <f>VLOOKUP(Table3[[#This Row],[2022 Diameter]],[1]Pipes!$A:$B,2,FALSE)</f>
        <v>433.89080378537034</v>
      </c>
      <c r="L139" s="8">
        <f>IF(OR(IFERROR(Table3[[#This Row],[Diameter Change?]]="Yes","Yes"),Table3[[#This Row],[Pipe Added?]]="Yes"),Table3[[#This Row],[2043 Pipeline unit cost]]*Table3[[#This Row],[2043 Length]],0)</f>
        <v>0</v>
      </c>
      <c r="M139" s="2">
        <f>VLOOKUP(Table3[[#This Row],[Pipe_name]],[2]!Table1[[id3]:[Cost]],8,FALSE)</f>
        <v>0</v>
      </c>
      <c r="N139" s="2">
        <f>IFERROR(Table3[[#This Row],[2022 length]]*Table3[[#This Row],[2022 Pipeline unit cost]],0)</f>
        <v>1963.5888864904334</v>
      </c>
      <c r="O139" s="2">
        <f>Table3[[#This Row],[2043 Length]]*Table3[[#This Row],[2043 Pipeline unit cost]]</f>
        <v>1963.5888864904334</v>
      </c>
      <c r="P139" s="2">
        <f>MATCH(Table3[[#This Row],[Pipe_name]],'2022 pipes'!B:B,0)</f>
        <v>140</v>
      </c>
      <c r="Q139" s="2">
        <f>Table3[[#This Row],[2043 pipes]]-Table3[[#This Row],[Master Plan CAPEX Cost]]</f>
        <v>1963.5888864904334</v>
      </c>
      <c r="R139" s="7">
        <f>Table3[[#This Row],[asdfa]]-Table3[[#This Row],[2022 total cost]]</f>
        <v>0</v>
      </c>
    </row>
    <row r="140" spans="1:18" x14ac:dyDescent="0.25">
      <c r="A140" s="1">
        <v>138</v>
      </c>
      <c r="B140" t="s">
        <v>156</v>
      </c>
      <c r="C140">
        <v>143</v>
      </c>
      <c r="D140">
        <v>99.498626999999999</v>
      </c>
      <c r="E140">
        <f>VLOOKUP(Table3[[#This Row],[Pipe_name]],Table2[[Pipe_name]:[Original_Diameter]],2,FALSE)</f>
        <v>143</v>
      </c>
      <c r="F140">
        <f>VLOOKUP(Table3[[#This Row],[Pipe_name]],Table2[[Pipe_name]:[Length]],3,FALSE)</f>
        <v>99.498626999999999</v>
      </c>
      <c r="G140" t="s">
        <v>331</v>
      </c>
      <c r="H140" t="str">
        <f>IF(Table3[[#This Row],[2043 Diameter]]=Table3[[#This Row],[2022 Diameter]],"No","Yes")</f>
        <v>No</v>
      </c>
      <c r="I140" t="str">
        <f>IF(Table3[[#This Row],[2043 Length]]=Table3[[#This Row],[2022 length]],"No","Yes")</f>
        <v>No</v>
      </c>
      <c r="J140" s="8">
        <f>VLOOKUP(Table3[[#This Row],[2043 Diameter]],[1]Pipes!$A:$B,2,FALSE)</f>
        <v>433.89080378537034</v>
      </c>
      <c r="K140" s="8">
        <f>VLOOKUP(Table3[[#This Row],[2022 Diameter]],[1]Pipes!$A:$B,2,FALSE)</f>
        <v>433.89080378537034</v>
      </c>
      <c r="L140" s="8">
        <f>IF(OR(IFERROR(Table3[[#This Row],[Diameter Change?]]="Yes","Yes"),Table3[[#This Row],[Pipe Added?]]="Yes"),Table3[[#This Row],[2043 Pipeline unit cost]]*Table3[[#This Row],[2043 Length]],0)</f>
        <v>0</v>
      </c>
      <c r="M140" s="2">
        <f>VLOOKUP(Table3[[#This Row],[Pipe_name]],[2]!Table1[[id3]:[Cost]],8,FALSE)</f>
        <v>0</v>
      </c>
      <c r="N140" s="2">
        <f>IFERROR(Table3[[#This Row],[2022 length]]*Table3[[#This Row],[2022 Pipeline unit cost]],0)</f>
        <v>43171.539244570748</v>
      </c>
      <c r="O140" s="2">
        <f>Table3[[#This Row],[2043 Length]]*Table3[[#This Row],[2043 Pipeline unit cost]]</f>
        <v>43171.539244570748</v>
      </c>
      <c r="P140" s="2">
        <f>MATCH(Table3[[#This Row],[Pipe_name]],'2022 pipes'!B:B,0)</f>
        <v>141</v>
      </c>
      <c r="Q140" s="2">
        <f>Table3[[#This Row],[2043 pipes]]-Table3[[#This Row],[Master Plan CAPEX Cost]]</f>
        <v>43171.539244570748</v>
      </c>
      <c r="R140" s="7">
        <f>Table3[[#This Row],[asdfa]]-Table3[[#This Row],[2022 total cost]]</f>
        <v>0</v>
      </c>
    </row>
    <row r="141" spans="1:18" x14ac:dyDescent="0.25">
      <c r="A141" s="1">
        <v>139</v>
      </c>
      <c r="B141" t="s">
        <v>157</v>
      </c>
      <c r="C141">
        <v>96</v>
      </c>
      <c r="D141">
        <v>3.6382430000000001</v>
      </c>
      <c r="E141">
        <f>VLOOKUP(Table3[[#This Row],[Pipe_name]],Table2[[Pipe_name]:[Original_Diameter]],2,FALSE)</f>
        <v>96</v>
      </c>
      <c r="F141">
        <f>VLOOKUP(Table3[[#This Row],[Pipe_name]],Table2[[Pipe_name]:[Length]],3,FALSE)</f>
        <v>3.6382430000000001</v>
      </c>
      <c r="G141" t="s">
        <v>331</v>
      </c>
      <c r="H141" t="str">
        <f>IF(Table3[[#This Row],[2043 Diameter]]=Table3[[#This Row],[2022 Diameter]],"No","Yes")</f>
        <v>No</v>
      </c>
      <c r="I141" t="str">
        <f>IF(Table3[[#This Row],[2043 Length]]=Table3[[#This Row],[2022 length]],"No","Yes")</f>
        <v>No</v>
      </c>
      <c r="J141" s="8">
        <f>VLOOKUP(Table3[[#This Row],[2043 Diameter]],[1]Pipes!$A:$B,2,FALSE)</f>
        <v>362.58707029616613</v>
      </c>
      <c r="K141" s="8">
        <f>VLOOKUP(Table3[[#This Row],[2022 Diameter]],[1]Pipes!$A:$B,2,FALSE)</f>
        <v>362.58707029616613</v>
      </c>
      <c r="L141" s="8">
        <f>IF(OR(IFERROR(Table3[[#This Row],[Diameter Change?]]="Yes","Yes"),Table3[[#This Row],[Pipe Added?]]="Yes"),Table3[[#This Row],[2043 Pipeline unit cost]]*Table3[[#This Row],[2043 Length]],0)</f>
        <v>0</v>
      </c>
      <c r="M141" s="2">
        <f>VLOOKUP(Table3[[#This Row],[Pipe_name]],[2]!Table1[[id3]:[Cost]],8,FALSE)</f>
        <v>0</v>
      </c>
      <c r="N141" s="2">
        <f>IFERROR(Table3[[#This Row],[2022 length]]*Table3[[#This Row],[2022 Pipeline unit cost]],0)</f>
        <v>1319.1798703955344</v>
      </c>
      <c r="O141" s="2">
        <f>Table3[[#This Row],[2043 Length]]*Table3[[#This Row],[2043 Pipeline unit cost]]</f>
        <v>1319.1798703955344</v>
      </c>
      <c r="P141" s="2">
        <f>MATCH(Table3[[#This Row],[Pipe_name]],'2022 pipes'!B:B,0)</f>
        <v>142</v>
      </c>
      <c r="Q141" s="2">
        <f>Table3[[#This Row],[2043 pipes]]-Table3[[#This Row],[Master Plan CAPEX Cost]]</f>
        <v>1319.1798703955344</v>
      </c>
      <c r="R141" s="7">
        <f>Table3[[#This Row],[asdfa]]-Table3[[#This Row],[2022 total cost]]</f>
        <v>0</v>
      </c>
    </row>
    <row r="142" spans="1:18" x14ac:dyDescent="0.25">
      <c r="A142" s="1">
        <v>140</v>
      </c>
      <c r="B142" t="s">
        <v>158</v>
      </c>
      <c r="C142">
        <v>96</v>
      </c>
      <c r="D142">
        <v>12.581792999999999</v>
      </c>
      <c r="E142">
        <f>VLOOKUP(Table3[[#This Row],[Pipe_name]],Table2[[Pipe_name]:[Original_Diameter]],2,FALSE)</f>
        <v>96</v>
      </c>
      <c r="F142">
        <f>VLOOKUP(Table3[[#This Row],[Pipe_name]],Table2[[Pipe_name]:[Length]],3,FALSE)</f>
        <v>12.581792999999999</v>
      </c>
      <c r="G142" t="s">
        <v>331</v>
      </c>
      <c r="H142" t="str">
        <f>IF(Table3[[#This Row],[2043 Diameter]]=Table3[[#This Row],[2022 Diameter]],"No","Yes")</f>
        <v>No</v>
      </c>
      <c r="I142" t="str">
        <f>IF(Table3[[#This Row],[2043 Length]]=Table3[[#This Row],[2022 length]],"No","Yes")</f>
        <v>No</v>
      </c>
      <c r="J142" s="8">
        <f>VLOOKUP(Table3[[#This Row],[2043 Diameter]],[1]Pipes!$A:$B,2,FALSE)</f>
        <v>362.58707029616613</v>
      </c>
      <c r="K142" s="8">
        <f>VLOOKUP(Table3[[#This Row],[2022 Diameter]],[1]Pipes!$A:$B,2,FALSE)</f>
        <v>362.58707029616613</v>
      </c>
      <c r="L142" s="8">
        <f>IF(OR(IFERROR(Table3[[#This Row],[Diameter Change?]]="Yes","Yes"),Table3[[#This Row],[Pipe Added?]]="Yes"),Table3[[#This Row],[2043 Pipeline unit cost]]*Table3[[#This Row],[2043 Length]],0)</f>
        <v>0</v>
      </c>
      <c r="M142" s="2">
        <f>VLOOKUP(Table3[[#This Row],[Pipe_name]],[2]!Table1[[id3]:[Cost]],8,FALSE)</f>
        <v>0</v>
      </c>
      <c r="N142" s="2">
        <f>IFERROR(Table3[[#This Row],[2022 length]]*Table3[[#This Row],[2022 Pipeline unit cost]],0)</f>
        <v>4561.9954629428112</v>
      </c>
      <c r="O142" s="2">
        <f>Table3[[#This Row],[2043 Length]]*Table3[[#This Row],[2043 Pipeline unit cost]]</f>
        <v>4561.9954629428112</v>
      </c>
      <c r="P142" s="2">
        <f>MATCH(Table3[[#This Row],[Pipe_name]],'2022 pipes'!B:B,0)</f>
        <v>143</v>
      </c>
      <c r="Q142" s="2">
        <f>Table3[[#This Row],[2043 pipes]]-Table3[[#This Row],[Master Plan CAPEX Cost]]</f>
        <v>4561.9954629428112</v>
      </c>
      <c r="R142" s="7">
        <f>Table3[[#This Row],[asdfa]]-Table3[[#This Row],[2022 total cost]]</f>
        <v>0</v>
      </c>
    </row>
    <row r="143" spans="1:18" x14ac:dyDescent="0.25">
      <c r="A143" s="1">
        <v>141</v>
      </c>
      <c r="B143" t="s">
        <v>159</v>
      </c>
      <c r="C143">
        <v>96</v>
      </c>
      <c r="D143">
        <v>2.4751400000000001</v>
      </c>
      <c r="E143">
        <f>VLOOKUP(Table3[[#This Row],[Pipe_name]],Table2[[Pipe_name]:[Original_Diameter]],2,FALSE)</f>
        <v>96</v>
      </c>
      <c r="F143">
        <f>VLOOKUP(Table3[[#This Row],[Pipe_name]],Table2[[Pipe_name]:[Length]],3,FALSE)</f>
        <v>2.4751400000000001</v>
      </c>
      <c r="G143" t="s">
        <v>331</v>
      </c>
      <c r="H143" t="str">
        <f>IF(Table3[[#This Row],[2043 Diameter]]=Table3[[#This Row],[2022 Diameter]],"No","Yes")</f>
        <v>No</v>
      </c>
      <c r="I143" t="str">
        <f>IF(Table3[[#This Row],[2043 Length]]=Table3[[#This Row],[2022 length]],"No","Yes")</f>
        <v>No</v>
      </c>
      <c r="J143" s="8">
        <f>VLOOKUP(Table3[[#This Row],[2043 Diameter]],[1]Pipes!$A:$B,2,FALSE)</f>
        <v>362.58707029616613</v>
      </c>
      <c r="K143" s="8">
        <f>VLOOKUP(Table3[[#This Row],[2022 Diameter]],[1]Pipes!$A:$B,2,FALSE)</f>
        <v>362.58707029616613</v>
      </c>
      <c r="L143" s="8">
        <f>IF(OR(IFERROR(Table3[[#This Row],[Diameter Change?]]="Yes","Yes"),Table3[[#This Row],[Pipe Added?]]="Yes"),Table3[[#This Row],[2043 Pipeline unit cost]]*Table3[[#This Row],[2043 Length]],0)</f>
        <v>0</v>
      </c>
      <c r="M143" s="2">
        <f>VLOOKUP(Table3[[#This Row],[Pipe_name]],[2]!Table1[[id3]:[Cost]],8,FALSE)</f>
        <v>0</v>
      </c>
      <c r="N143" s="2">
        <f>IFERROR(Table3[[#This Row],[2022 length]]*Table3[[#This Row],[2022 Pipeline unit cost]],0)</f>
        <v>897.45376117285264</v>
      </c>
      <c r="O143" s="2">
        <f>Table3[[#This Row],[2043 Length]]*Table3[[#This Row],[2043 Pipeline unit cost]]</f>
        <v>897.45376117285264</v>
      </c>
      <c r="P143" s="2">
        <f>MATCH(Table3[[#This Row],[Pipe_name]],'2022 pipes'!B:B,0)</f>
        <v>144</v>
      </c>
      <c r="Q143" s="2">
        <f>Table3[[#This Row],[2043 pipes]]-Table3[[#This Row],[Master Plan CAPEX Cost]]</f>
        <v>897.45376117285264</v>
      </c>
      <c r="R143" s="7">
        <f>Table3[[#This Row],[asdfa]]-Table3[[#This Row],[2022 total cost]]</f>
        <v>0</v>
      </c>
    </row>
    <row r="144" spans="1:18" x14ac:dyDescent="0.25">
      <c r="A144" s="1">
        <v>142</v>
      </c>
      <c r="B144" t="s">
        <v>160</v>
      </c>
      <c r="C144">
        <v>96</v>
      </c>
      <c r="D144">
        <v>7.8929539999999996</v>
      </c>
      <c r="E144">
        <f>VLOOKUP(Table3[[#This Row],[Pipe_name]],Table2[[Pipe_name]:[Original_Diameter]],2,FALSE)</f>
        <v>96</v>
      </c>
      <c r="F144">
        <f>VLOOKUP(Table3[[#This Row],[Pipe_name]],Table2[[Pipe_name]:[Length]],3,FALSE)</f>
        <v>7.8929539999999996</v>
      </c>
      <c r="G144" t="s">
        <v>331</v>
      </c>
      <c r="H144" t="str">
        <f>IF(Table3[[#This Row],[2043 Diameter]]=Table3[[#This Row],[2022 Diameter]],"No","Yes")</f>
        <v>No</v>
      </c>
      <c r="I144" t="str">
        <f>IF(Table3[[#This Row],[2043 Length]]=Table3[[#This Row],[2022 length]],"No","Yes")</f>
        <v>No</v>
      </c>
      <c r="J144" s="8">
        <f>VLOOKUP(Table3[[#This Row],[2043 Diameter]],[1]Pipes!$A:$B,2,FALSE)</f>
        <v>362.58707029616613</v>
      </c>
      <c r="K144" s="8">
        <f>VLOOKUP(Table3[[#This Row],[2022 Diameter]],[1]Pipes!$A:$B,2,FALSE)</f>
        <v>362.58707029616613</v>
      </c>
      <c r="L144" s="8">
        <f>IF(OR(IFERROR(Table3[[#This Row],[Diameter Change?]]="Yes","Yes"),Table3[[#This Row],[Pipe Added?]]="Yes"),Table3[[#This Row],[2043 Pipeline unit cost]]*Table3[[#This Row],[2043 Length]],0)</f>
        <v>0</v>
      </c>
      <c r="M144" s="2">
        <f>VLOOKUP(Table3[[#This Row],[Pipe_name]],[2]!Table1[[id3]:[Cost]],8,FALSE)</f>
        <v>0</v>
      </c>
      <c r="N144" s="2">
        <f>IFERROR(Table3[[#This Row],[2022 length]]*Table3[[#This Row],[2022 Pipeline unit cost]],0)</f>
        <v>2861.8830668424057</v>
      </c>
      <c r="O144" s="2">
        <f>Table3[[#This Row],[2043 Length]]*Table3[[#This Row],[2043 Pipeline unit cost]]</f>
        <v>2861.8830668424057</v>
      </c>
      <c r="P144" s="2">
        <f>MATCH(Table3[[#This Row],[Pipe_name]],'2022 pipes'!B:B,0)</f>
        <v>145</v>
      </c>
      <c r="Q144" s="2">
        <f>Table3[[#This Row],[2043 pipes]]-Table3[[#This Row],[Master Plan CAPEX Cost]]</f>
        <v>2861.8830668424057</v>
      </c>
      <c r="R144" s="7">
        <f>Table3[[#This Row],[asdfa]]-Table3[[#This Row],[2022 total cost]]</f>
        <v>0</v>
      </c>
    </row>
    <row r="145" spans="1:18" x14ac:dyDescent="0.25">
      <c r="A145" s="1">
        <v>143</v>
      </c>
      <c r="B145" t="s">
        <v>161</v>
      </c>
      <c r="C145">
        <v>96</v>
      </c>
      <c r="D145">
        <v>7.4558260000000001</v>
      </c>
      <c r="E145">
        <f>VLOOKUP(Table3[[#This Row],[Pipe_name]],Table2[[Pipe_name]:[Original_Diameter]],2,FALSE)</f>
        <v>96</v>
      </c>
      <c r="F145">
        <f>VLOOKUP(Table3[[#This Row],[Pipe_name]],Table2[[Pipe_name]:[Length]],3,FALSE)</f>
        <v>7.4558260000000001</v>
      </c>
      <c r="G145" t="s">
        <v>331</v>
      </c>
      <c r="H145" t="str">
        <f>IF(Table3[[#This Row],[2043 Diameter]]=Table3[[#This Row],[2022 Diameter]],"No","Yes")</f>
        <v>No</v>
      </c>
      <c r="I145" t="str">
        <f>IF(Table3[[#This Row],[2043 Length]]=Table3[[#This Row],[2022 length]],"No","Yes")</f>
        <v>No</v>
      </c>
      <c r="J145" s="8">
        <f>VLOOKUP(Table3[[#This Row],[2043 Diameter]],[1]Pipes!$A:$B,2,FALSE)</f>
        <v>362.58707029616613</v>
      </c>
      <c r="K145" s="8">
        <f>VLOOKUP(Table3[[#This Row],[2022 Diameter]],[1]Pipes!$A:$B,2,FALSE)</f>
        <v>362.58707029616613</v>
      </c>
      <c r="L145" s="8">
        <f>IF(OR(IFERROR(Table3[[#This Row],[Diameter Change?]]="Yes","Yes"),Table3[[#This Row],[Pipe Added?]]="Yes"),Table3[[#This Row],[2043 Pipeline unit cost]]*Table3[[#This Row],[2043 Length]],0)</f>
        <v>0</v>
      </c>
      <c r="M145" s="2">
        <f>VLOOKUP(Table3[[#This Row],[Pipe_name]],[2]!Table1[[id3]:[Cost]],8,FALSE)</f>
        <v>0</v>
      </c>
      <c r="N145" s="2">
        <f>IFERROR(Table3[[#This Row],[2022 length]]*Table3[[#This Row],[2022 Pipeline unit cost]],0)</f>
        <v>2703.3861059779833</v>
      </c>
      <c r="O145" s="2">
        <f>Table3[[#This Row],[2043 Length]]*Table3[[#This Row],[2043 Pipeline unit cost]]</f>
        <v>2703.3861059779833</v>
      </c>
      <c r="P145" s="2">
        <f>MATCH(Table3[[#This Row],[Pipe_name]],'2022 pipes'!B:B,0)</f>
        <v>146</v>
      </c>
      <c r="Q145" s="2">
        <f>Table3[[#This Row],[2043 pipes]]-Table3[[#This Row],[Master Plan CAPEX Cost]]</f>
        <v>2703.3861059779833</v>
      </c>
      <c r="R145" s="7">
        <f>Table3[[#This Row],[asdfa]]-Table3[[#This Row],[2022 total cost]]</f>
        <v>0</v>
      </c>
    </row>
    <row r="146" spans="1:18" x14ac:dyDescent="0.25">
      <c r="A146" s="1">
        <v>144</v>
      </c>
      <c r="B146" t="s">
        <v>162</v>
      </c>
      <c r="C146">
        <v>96</v>
      </c>
      <c r="D146">
        <v>213.494843</v>
      </c>
      <c r="E146">
        <f>VLOOKUP(Table3[[#This Row],[Pipe_name]],Table2[[Pipe_name]:[Original_Diameter]],2,FALSE)</f>
        <v>96</v>
      </c>
      <c r="F146">
        <f>VLOOKUP(Table3[[#This Row],[Pipe_name]],Table2[[Pipe_name]:[Length]],3,FALSE)</f>
        <v>213.494843</v>
      </c>
      <c r="G146" t="s">
        <v>331</v>
      </c>
      <c r="H146" t="str">
        <f>IF(Table3[[#This Row],[2043 Diameter]]=Table3[[#This Row],[2022 Diameter]],"No","Yes")</f>
        <v>No</v>
      </c>
      <c r="I146" t="str">
        <f>IF(Table3[[#This Row],[2043 Length]]=Table3[[#This Row],[2022 length]],"No","Yes")</f>
        <v>No</v>
      </c>
      <c r="J146" s="8">
        <f>VLOOKUP(Table3[[#This Row],[2043 Diameter]],[1]Pipes!$A:$B,2,FALSE)</f>
        <v>362.58707029616613</v>
      </c>
      <c r="K146" s="8">
        <f>VLOOKUP(Table3[[#This Row],[2022 Diameter]],[1]Pipes!$A:$B,2,FALSE)</f>
        <v>362.58707029616613</v>
      </c>
      <c r="L146" s="8">
        <f>IF(OR(IFERROR(Table3[[#This Row],[Diameter Change?]]="Yes","Yes"),Table3[[#This Row],[Pipe Added?]]="Yes"),Table3[[#This Row],[2043 Pipeline unit cost]]*Table3[[#This Row],[2043 Length]],0)</f>
        <v>0</v>
      </c>
      <c r="M146" s="2">
        <f>VLOOKUP(Table3[[#This Row],[Pipe_name]],[2]!Table1[[id3]:[Cost]],8,FALSE)</f>
        <v>0</v>
      </c>
      <c r="N146" s="2">
        <f>IFERROR(Table3[[#This Row],[2022 length]]*Table3[[#This Row],[2022 Pipeline unit cost]],0)</f>
        <v>77410.469646709957</v>
      </c>
      <c r="O146" s="2">
        <f>Table3[[#This Row],[2043 Length]]*Table3[[#This Row],[2043 Pipeline unit cost]]</f>
        <v>77410.469646709957</v>
      </c>
      <c r="P146" s="2">
        <f>MATCH(Table3[[#This Row],[Pipe_name]],'2022 pipes'!B:B,0)</f>
        <v>147</v>
      </c>
      <c r="Q146" s="2">
        <f>Table3[[#This Row],[2043 pipes]]-Table3[[#This Row],[Master Plan CAPEX Cost]]</f>
        <v>77410.469646709957</v>
      </c>
      <c r="R146" s="7">
        <f>Table3[[#This Row],[asdfa]]-Table3[[#This Row],[2022 total cost]]</f>
        <v>0</v>
      </c>
    </row>
    <row r="147" spans="1:18" x14ac:dyDescent="0.25">
      <c r="A147" s="1">
        <v>145</v>
      </c>
      <c r="B147" t="s">
        <v>163</v>
      </c>
      <c r="C147">
        <v>141</v>
      </c>
      <c r="D147">
        <v>6.3784000000000001</v>
      </c>
      <c r="E147">
        <f>VLOOKUP(Table3[[#This Row],[Pipe_name]],Table2[[Pipe_name]:[Original_Diameter]],2,FALSE)</f>
        <v>141</v>
      </c>
      <c r="F147">
        <f>VLOOKUP(Table3[[#This Row],[Pipe_name]],Table2[[Pipe_name]:[Length]],3,FALSE)</f>
        <v>6.3784000000000001</v>
      </c>
      <c r="G147" t="s">
        <v>331</v>
      </c>
      <c r="H147" t="str">
        <f>IF(Table3[[#This Row],[2043 Diameter]]=Table3[[#This Row],[2022 Diameter]],"No","Yes")</f>
        <v>No</v>
      </c>
      <c r="I147" t="str">
        <f>IF(Table3[[#This Row],[2043 Length]]=Table3[[#This Row],[2022 length]],"No","Yes")</f>
        <v>No</v>
      </c>
      <c r="J147" s="8">
        <f>VLOOKUP(Table3[[#This Row],[2043 Diameter]],[1]Pipes!$A:$B,2,FALSE)</f>
        <v>433.89080378537034</v>
      </c>
      <c r="K147" s="8">
        <f>VLOOKUP(Table3[[#This Row],[2022 Diameter]],[1]Pipes!$A:$B,2,FALSE)</f>
        <v>433.89080378537034</v>
      </c>
      <c r="L147" s="8">
        <f>IF(OR(IFERROR(Table3[[#This Row],[Diameter Change?]]="Yes","Yes"),Table3[[#This Row],[Pipe Added?]]="Yes"),Table3[[#This Row],[2043 Pipeline unit cost]]*Table3[[#This Row],[2043 Length]],0)</f>
        <v>0</v>
      </c>
      <c r="M147" s="2">
        <f>VLOOKUP(Table3[[#This Row],[Pipe_name]],[2]!Table1[[id3]:[Cost]],8,FALSE)</f>
        <v>0</v>
      </c>
      <c r="N147" s="2">
        <f>IFERROR(Table3[[#This Row],[2022 length]]*Table3[[#This Row],[2022 Pipeline unit cost]],0)</f>
        <v>2767.5291028646061</v>
      </c>
      <c r="O147" s="2">
        <f>Table3[[#This Row],[2043 Length]]*Table3[[#This Row],[2043 Pipeline unit cost]]</f>
        <v>2767.5291028646061</v>
      </c>
      <c r="P147" s="2">
        <f>MATCH(Table3[[#This Row],[Pipe_name]],'2022 pipes'!B:B,0)</f>
        <v>148</v>
      </c>
      <c r="Q147" s="2">
        <f>Table3[[#This Row],[2043 pipes]]-Table3[[#This Row],[Master Plan CAPEX Cost]]</f>
        <v>2767.5291028646061</v>
      </c>
      <c r="R147" s="7">
        <f>Table3[[#This Row],[asdfa]]-Table3[[#This Row],[2022 total cost]]</f>
        <v>0</v>
      </c>
    </row>
    <row r="148" spans="1:18" x14ac:dyDescent="0.25">
      <c r="A148" s="1">
        <v>146</v>
      </c>
      <c r="B148" t="s">
        <v>164</v>
      </c>
      <c r="C148">
        <v>143</v>
      </c>
      <c r="D148">
        <v>67.242821000000006</v>
      </c>
      <c r="E148">
        <f>VLOOKUP(Table3[[#This Row],[Pipe_name]],Table2[[Pipe_name]:[Original_Diameter]],2,FALSE)</f>
        <v>143</v>
      </c>
      <c r="F148">
        <f>VLOOKUP(Table3[[#This Row],[Pipe_name]],Table2[[Pipe_name]:[Length]],3,FALSE)</f>
        <v>67.242821000000006</v>
      </c>
      <c r="G148" t="s">
        <v>331</v>
      </c>
      <c r="H148" t="str">
        <f>IF(Table3[[#This Row],[2043 Diameter]]=Table3[[#This Row],[2022 Diameter]],"No","Yes")</f>
        <v>No</v>
      </c>
      <c r="I148" t="str">
        <f>IF(Table3[[#This Row],[2043 Length]]=Table3[[#This Row],[2022 length]],"No","Yes")</f>
        <v>No</v>
      </c>
      <c r="J148" s="8">
        <f>VLOOKUP(Table3[[#This Row],[2043 Diameter]],[1]Pipes!$A:$B,2,FALSE)</f>
        <v>433.89080378537034</v>
      </c>
      <c r="K148" s="8">
        <f>VLOOKUP(Table3[[#This Row],[2022 Diameter]],[1]Pipes!$A:$B,2,FALSE)</f>
        <v>433.89080378537034</v>
      </c>
      <c r="L148" s="8">
        <f>IF(OR(IFERROR(Table3[[#This Row],[Diameter Change?]]="Yes","Yes"),Table3[[#This Row],[Pipe Added?]]="Yes"),Table3[[#This Row],[2043 Pipeline unit cost]]*Table3[[#This Row],[2043 Length]],0)</f>
        <v>0</v>
      </c>
      <c r="M148" s="2">
        <f>VLOOKUP(Table3[[#This Row],[Pipe_name]],[2]!Table1[[id3]:[Cost]],8,FALSE)</f>
        <v>0</v>
      </c>
      <c r="N148" s="2">
        <f>IFERROR(Table3[[#This Row],[2022 length]]*Table3[[#This Row],[2022 Pipeline unit cost]],0)</f>
        <v>29176.041652485783</v>
      </c>
      <c r="O148" s="2">
        <f>Table3[[#This Row],[2043 Length]]*Table3[[#This Row],[2043 Pipeline unit cost]]</f>
        <v>29176.041652485783</v>
      </c>
      <c r="P148" s="2">
        <f>MATCH(Table3[[#This Row],[Pipe_name]],'2022 pipes'!B:B,0)</f>
        <v>149</v>
      </c>
      <c r="Q148" s="2">
        <f>Table3[[#This Row],[2043 pipes]]-Table3[[#This Row],[Master Plan CAPEX Cost]]</f>
        <v>29176.041652485783</v>
      </c>
      <c r="R148" s="7">
        <f>Table3[[#This Row],[asdfa]]-Table3[[#This Row],[2022 total cost]]</f>
        <v>0</v>
      </c>
    </row>
    <row r="149" spans="1:18" x14ac:dyDescent="0.25">
      <c r="A149" s="1">
        <v>147</v>
      </c>
      <c r="B149" t="s">
        <v>165</v>
      </c>
      <c r="C149">
        <v>225</v>
      </c>
      <c r="D149">
        <v>3.2183989999999998</v>
      </c>
      <c r="E149">
        <f>VLOOKUP(Table3[[#This Row],[Pipe_name]],Table2[[Pipe_name]:[Original_Diameter]],2,FALSE)</f>
        <v>143</v>
      </c>
      <c r="F149">
        <f>VLOOKUP(Table3[[#This Row],[Pipe_name]],Table2[[Pipe_name]:[Length]],3,FALSE)</f>
        <v>3.2183989999999998</v>
      </c>
      <c r="G149" t="s">
        <v>331</v>
      </c>
      <c r="H149" t="str">
        <f>IF(Table3[[#This Row],[2043 Diameter]]=Table3[[#This Row],[2022 Diameter]],"No","Yes")</f>
        <v>Yes</v>
      </c>
      <c r="I149" t="str">
        <f>IF(Table3[[#This Row],[2043 Length]]=Table3[[#This Row],[2022 length]],"No","Yes")</f>
        <v>No</v>
      </c>
      <c r="J149" s="8">
        <f>VLOOKUP(Table3[[#This Row],[2043 Diameter]],[1]Pipes!$A:$B,2,FALSE)</f>
        <v>546.15625651305356</v>
      </c>
      <c r="K149" s="8">
        <f>VLOOKUP(Table3[[#This Row],[2022 Diameter]],[1]Pipes!$A:$B,2,FALSE)</f>
        <v>433.89080378537034</v>
      </c>
      <c r="L149" s="8">
        <f>IF(OR(IFERROR(Table3[[#This Row],[Diameter Change?]]="Yes","Yes"),Table3[[#This Row],[Pipe Added?]]="Yes"),Table3[[#This Row],[2043 Pipeline unit cost]]*Table3[[#This Row],[2043 Length]],0)</f>
        <v>1757.7487498053549</v>
      </c>
      <c r="M149" s="2">
        <f>VLOOKUP(Table3[[#This Row],[Pipe_name]],[2]!Table1[[id3]:[Cost]],8,FALSE)</f>
        <v>1758.0769897155194</v>
      </c>
      <c r="N149" s="2">
        <f>IFERROR(Table3[[#This Row],[2022 length]]*Table3[[#This Row],[2022 Pipeline unit cost]],0)</f>
        <v>1396.433729012032</v>
      </c>
      <c r="O149" s="2">
        <f>Table3[[#This Row],[2043 Length]]*Table3[[#This Row],[2043 Pipeline unit cost]]</f>
        <v>1757.7487498053549</v>
      </c>
      <c r="P149" s="2">
        <f>MATCH(Table3[[#This Row],[Pipe_name]],'2022 pipes'!B:B,0)</f>
        <v>150</v>
      </c>
      <c r="Q149" s="2">
        <f>Table3[[#This Row],[2043 pipes]]-Table3[[#This Row],[Master Plan CAPEX Cost]]</f>
        <v>0</v>
      </c>
      <c r="R149" s="7">
        <f>Table3[[#This Row],[asdfa]]-Table3[[#This Row],[2022 total cost]]</f>
        <v>-1396.433729012032</v>
      </c>
    </row>
    <row r="150" spans="1:18" x14ac:dyDescent="0.25">
      <c r="A150" s="1">
        <v>148</v>
      </c>
      <c r="B150" t="s">
        <v>166</v>
      </c>
      <c r="C150">
        <v>96</v>
      </c>
      <c r="D150">
        <v>2.6660560000000002</v>
      </c>
      <c r="E150">
        <f>VLOOKUP(Table3[[#This Row],[Pipe_name]],Table2[[Pipe_name]:[Original_Diameter]],2,FALSE)</f>
        <v>96</v>
      </c>
      <c r="F150">
        <f>VLOOKUP(Table3[[#This Row],[Pipe_name]],Table2[[Pipe_name]:[Length]],3,FALSE)</f>
        <v>2.6660560000000002</v>
      </c>
      <c r="G150" t="s">
        <v>331</v>
      </c>
      <c r="H150" t="str">
        <f>IF(Table3[[#This Row],[2043 Diameter]]=Table3[[#This Row],[2022 Diameter]],"No","Yes")</f>
        <v>No</v>
      </c>
      <c r="I150" t="str">
        <f>IF(Table3[[#This Row],[2043 Length]]=Table3[[#This Row],[2022 length]],"No","Yes")</f>
        <v>No</v>
      </c>
      <c r="J150" s="8">
        <f>VLOOKUP(Table3[[#This Row],[2043 Diameter]],[1]Pipes!$A:$B,2,FALSE)</f>
        <v>362.58707029616613</v>
      </c>
      <c r="K150" s="8">
        <f>VLOOKUP(Table3[[#This Row],[2022 Diameter]],[1]Pipes!$A:$B,2,FALSE)</f>
        <v>362.58707029616613</v>
      </c>
      <c r="L150" s="8">
        <f>IF(OR(IFERROR(Table3[[#This Row],[Diameter Change?]]="Yes","Yes"),Table3[[#This Row],[Pipe Added?]]="Yes"),Table3[[#This Row],[2043 Pipeline unit cost]]*Table3[[#This Row],[2043 Length]],0)</f>
        <v>0</v>
      </c>
      <c r="M150" s="2">
        <f>VLOOKUP(Table3[[#This Row],[Pipe_name]],[2]!Table1[[id3]:[Cost]],8,FALSE)</f>
        <v>0</v>
      </c>
      <c r="N150" s="2">
        <f>IFERROR(Table3[[#This Row],[2022 length]]*Table3[[#This Row],[2022 Pipeline unit cost]],0)</f>
        <v>966.67743428551557</v>
      </c>
      <c r="O150" s="2">
        <f>Table3[[#This Row],[2043 Length]]*Table3[[#This Row],[2043 Pipeline unit cost]]</f>
        <v>966.67743428551557</v>
      </c>
      <c r="P150" s="2">
        <f>MATCH(Table3[[#This Row],[Pipe_name]],'2022 pipes'!B:B,0)</f>
        <v>151</v>
      </c>
      <c r="Q150" s="2">
        <f>Table3[[#This Row],[2043 pipes]]-Table3[[#This Row],[Master Plan CAPEX Cost]]</f>
        <v>966.67743428551557</v>
      </c>
      <c r="R150" s="7">
        <f>Table3[[#This Row],[asdfa]]-Table3[[#This Row],[2022 total cost]]</f>
        <v>0</v>
      </c>
    </row>
    <row r="151" spans="1:18" x14ac:dyDescent="0.25">
      <c r="A151" s="1">
        <v>149</v>
      </c>
      <c r="B151" t="s">
        <v>167</v>
      </c>
      <c r="C151">
        <v>96</v>
      </c>
      <c r="D151">
        <v>7.7810860000000002</v>
      </c>
      <c r="E151">
        <f>VLOOKUP(Table3[[#This Row],[Pipe_name]],Table2[[Pipe_name]:[Original_Diameter]],2,FALSE)</f>
        <v>96</v>
      </c>
      <c r="F151">
        <f>VLOOKUP(Table3[[#This Row],[Pipe_name]],Table2[[Pipe_name]:[Length]],3,FALSE)</f>
        <v>7.7810860000000002</v>
      </c>
      <c r="G151" t="s">
        <v>331</v>
      </c>
      <c r="H151" t="str">
        <f>IF(Table3[[#This Row],[2043 Diameter]]=Table3[[#This Row],[2022 Diameter]],"No","Yes")</f>
        <v>No</v>
      </c>
      <c r="I151" t="str">
        <f>IF(Table3[[#This Row],[2043 Length]]=Table3[[#This Row],[2022 length]],"No","Yes")</f>
        <v>No</v>
      </c>
      <c r="J151" s="8">
        <f>VLOOKUP(Table3[[#This Row],[2043 Diameter]],[1]Pipes!$A:$B,2,FALSE)</f>
        <v>362.58707029616613</v>
      </c>
      <c r="K151" s="8">
        <f>VLOOKUP(Table3[[#This Row],[2022 Diameter]],[1]Pipes!$A:$B,2,FALSE)</f>
        <v>362.58707029616613</v>
      </c>
      <c r="L151" s="8">
        <f>IF(OR(IFERROR(Table3[[#This Row],[Diameter Change?]]="Yes","Yes"),Table3[[#This Row],[Pipe Added?]]="Yes"),Table3[[#This Row],[2043 Pipeline unit cost]]*Table3[[#This Row],[2043 Length]],0)</f>
        <v>0</v>
      </c>
      <c r="M151" s="2">
        <f>VLOOKUP(Table3[[#This Row],[Pipe_name]],[2]!Table1[[id3]:[Cost]],8,FALSE)</f>
        <v>0</v>
      </c>
      <c r="N151" s="2">
        <f>IFERROR(Table3[[#This Row],[2022 length]]*Table3[[#This Row],[2022 Pipeline unit cost]],0)</f>
        <v>2821.3211764625144</v>
      </c>
      <c r="O151" s="2">
        <f>Table3[[#This Row],[2043 Length]]*Table3[[#This Row],[2043 Pipeline unit cost]]</f>
        <v>2821.3211764625144</v>
      </c>
      <c r="P151" s="2">
        <f>MATCH(Table3[[#This Row],[Pipe_name]],'2022 pipes'!B:B,0)</f>
        <v>152</v>
      </c>
      <c r="Q151" s="2">
        <f>Table3[[#This Row],[2043 pipes]]-Table3[[#This Row],[Master Plan CAPEX Cost]]</f>
        <v>2821.3211764625144</v>
      </c>
      <c r="R151" s="7">
        <f>Table3[[#This Row],[asdfa]]-Table3[[#This Row],[2022 total cost]]</f>
        <v>0</v>
      </c>
    </row>
    <row r="152" spans="1:18" x14ac:dyDescent="0.25">
      <c r="A152" s="1">
        <v>150</v>
      </c>
      <c r="B152" t="s">
        <v>168</v>
      </c>
      <c r="C152">
        <v>101</v>
      </c>
      <c r="D152">
        <v>3.6073270000000002</v>
      </c>
      <c r="E152">
        <f>VLOOKUP(Table3[[#This Row],[Pipe_name]],Table2[[Pipe_name]:[Original_Diameter]],2,FALSE)</f>
        <v>101</v>
      </c>
      <c r="F152">
        <f>VLOOKUP(Table3[[#This Row],[Pipe_name]],Table2[[Pipe_name]:[Length]],3,FALSE)</f>
        <v>3.6073270000000002</v>
      </c>
      <c r="G152" t="s">
        <v>331</v>
      </c>
      <c r="H152" t="str">
        <f>IF(Table3[[#This Row],[2043 Diameter]]=Table3[[#This Row],[2022 Diameter]],"No","Yes")</f>
        <v>No</v>
      </c>
      <c r="I152" t="str">
        <f>IF(Table3[[#This Row],[2043 Length]]=Table3[[#This Row],[2022 length]],"No","Yes")</f>
        <v>No</v>
      </c>
      <c r="J152" s="8">
        <f>VLOOKUP(Table3[[#This Row],[2043 Diameter]],[1]Pipes!$A:$B,2,FALSE)</f>
        <v>362.58707029616613</v>
      </c>
      <c r="K152" s="8">
        <f>VLOOKUP(Table3[[#This Row],[2022 Diameter]],[1]Pipes!$A:$B,2,FALSE)</f>
        <v>362.58707029616613</v>
      </c>
      <c r="L152" s="8">
        <f>IF(OR(IFERROR(Table3[[#This Row],[Diameter Change?]]="Yes","Yes"),Table3[[#This Row],[Pipe Added?]]="Yes"),Table3[[#This Row],[2043 Pipeline unit cost]]*Table3[[#This Row],[2043 Length]],0)</f>
        <v>0</v>
      </c>
      <c r="M152" s="2">
        <f>VLOOKUP(Table3[[#This Row],[Pipe_name]],[2]!Table1[[id3]:[Cost]],8,FALSE)</f>
        <v>0</v>
      </c>
      <c r="N152" s="2">
        <f>IFERROR(Table3[[#This Row],[2022 length]]*Table3[[#This Row],[2022 Pipeline unit cost]],0)</f>
        <v>1307.9701285302581</v>
      </c>
      <c r="O152" s="2">
        <f>Table3[[#This Row],[2043 Length]]*Table3[[#This Row],[2043 Pipeline unit cost]]</f>
        <v>1307.9701285302581</v>
      </c>
      <c r="P152" s="2">
        <f>MATCH(Table3[[#This Row],[Pipe_name]],'2022 pipes'!B:B,0)</f>
        <v>153</v>
      </c>
      <c r="Q152" s="2">
        <f>Table3[[#This Row],[2043 pipes]]-Table3[[#This Row],[Master Plan CAPEX Cost]]</f>
        <v>1307.9701285302581</v>
      </c>
      <c r="R152" s="7">
        <f>Table3[[#This Row],[asdfa]]-Table3[[#This Row],[2022 total cost]]</f>
        <v>0</v>
      </c>
    </row>
    <row r="153" spans="1:18" x14ac:dyDescent="0.25">
      <c r="A153" s="1">
        <v>151</v>
      </c>
      <c r="B153" t="s">
        <v>169</v>
      </c>
      <c r="C153">
        <v>96</v>
      </c>
      <c r="D153">
        <v>2.6792189999999998</v>
      </c>
      <c r="E153">
        <f>VLOOKUP(Table3[[#This Row],[Pipe_name]],Table2[[Pipe_name]:[Original_Diameter]],2,FALSE)</f>
        <v>96</v>
      </c>
      <c r="F153">
        <f>VLOOKUP(Table3[[#This Row],[Pipe_name]],Table2[[Pipe_name]:[Length]],3,FALSE)</f>
        <v>2.6792189999999998</v>
      </c>
      <c r="G153" t="s">
        <v>331</v>
      </c>
      <c r="H153" t="str">
        <f>IF(Table3[[#This Row],[2043 Diameter]]=Table3[[#This Row],[2022 Diameter]],"No","Yes")</f>
        <v>No</v>
      </c>
      <c r="I153" t="str">
        <f>IF(Table3[[#This Row],[2043 Length]]=Table3[[#This Row],[2022 length]],"No","Yes")</f>
        <v>No</v>
      </c>
      <c r="J153" s="8">
        <f>VLOOKUP(Table3[[#This Row],[2043 Diameter]],[1]Pipes!$A:$B,2,FALSE)</f>
        <v>362.58707029616613</v>
      </c>
      <c r="K153" s="8">
        <f>VLOOKUP(Table3[[#This Row],[2022 Diameter]],[1]Pipes!$A:$B,2,FALSE)</f>
        <v>362.58707029616613</v>
      </c>
      <c r="L153" s="8">
        <f>IF(OR(IFERROR(Table3[[#This Row],[Diameter Change?]]="Yes","Yes"),Table3[[#This Row],[Pipe Added?]]="Yes"),Table3[[#This Row],[2043 Pipeline unit cost]]*Table3[[#This Row],[2043 Length]],0)</f>
        <v>0</v>
      </c>
      <c r="M153" s="2">
        <f>VLOOKUP(Table3[[#This Row],[Pipe_name]],[2]!Table1[[id3]:[Cost]],8,FALSE)</f>
        <v>0</v>
      </c>
      <c r="N153" s="2">
        <f>IFERROR(Table3[[#This Row],[2022 length]]*Table3[[#This Row],[2022 Pipeline unit cost]],0)</f>
        <v>971.45016789182387</v>
      </c>
      <c r="O153" s="2">
        <f>Table3[[#This Row],[2043 Length]]*Table3[[#This Row],[2043 Pipeline unit cost]]</f>
        <v>971.45016789182387</v>
      </c>
      <c r="P153" s="2">
        <f>MATCH(Table3[[#This Row],[Pipe_name]],'2022 pipes'!B:B,0)</f>
        <v>154</v>
      </c>
      <c r="Q153" s="2">
        <f>Table3[[#This Row],[2043 pipes]]-Table3[[#This Row],[Master Plan CAPEX Cost]]</f>
        <v>971.45016789182387</v>
      </c>
      <c r="R153" s="7">
        <f>Table3[[#This Row],[asdfa]]-Table3[[#This Row],[2022 total cost]]</f>
        <v>0</v>
      </c>
    </row>
    <row r="154" spans="1:18" x14ac:dyDescent="0.25">
      <c r="A154" s="1">
        <v>152</v>
      </c>
      <c r="B154" t="s">
        <v>170</v>
      </c>
      <c r="C154">
        <v>96</v>
      </c>
      <c r="D154">
        <v>2.6680459999999999</v>
      </c>
      <c r="E154">
        <f>VLOOKUP(Table3[[#This Row],[Pipe_name]],Table2[[Pipe_name]:[Original_Diameter]],2,FALSE)</f>
        <v>96</v>
      </c>
      <c r="F154">
        <f>VLOOKUP(Table3[[#This Row],[Pipe_name]],Table2[[Pipe_name]:[Length]],3,FALSE)</f>
        <v>2.6680459999999999</v>
      </c>
      <c r="G154" t="s">
        <v>331</v>
      </c>
      <c r="H154" t="str">
        <f>IF(Table3[[#This Row],[2043 Diameter]]=Table3[[#This Row],[2022 Diameter]],"No","Yes")</f>
        <v>No</v>
      </c>
      <c r="I154" t="str">
        <f>IF(Table3[[#This Row],[2043 Length]]=Table3[[#This Row],[2022 length]],"No","Yes")</f>
        <v>No</v>
      </c>
      <c r="J154" s="8">
        <f>VLOOKUP(Table3[[#This Row],[2043 Diameter]],[1]Pipes!$A:$B,2,FALSE)</f>
        <v>362.58707029616613</v>
      </c>
      <c r="K154" s="8">
        <f>VLOOKUP(Table3[[#This Row],[2022 Diameter]],[1]Pipes!$A:$B,2,FALSE)</f>
        <v>362.58707029616613</v>
      </c>
      <c r="L154" s="8">
        <f>IF(OR(IFERROR(Table3[[#This Row],[Diameter Change?]]="Yes","Yes"),Table3[[#This Row],[Pipe Added?]]="Yes"),Table3[[#This Row],[2043 Pipeline unit cost]]*Table3[[#This Row],[2043 Length]],0)</f>
        <v>0</v>
      </c>
      <c r="M154" s="2">
        <f>VLOOKUP(Table3[[#This Row],[Pipe_name]],[2]!Table1[[id3]:[Cost]],8,FALSE)</f>
        <v>0</v>
      </c>
      <c r="N154" s="2">
        <f>IFERROR(Table3[[#This Row],[2022 length]]*Table3[[#This Row],[2022 Pipeline unit cost]],0)</f>
        <v>967.39898255540481</v>
      </c>
      <c r="O154" s="2">
        <f>Table3[[#This Row],[2043 Length]]*Table3[[#This Row],[2043 Pipeline unit cost]]</f>
        <v>967.39898255540481</v>
      </c>
      <c r="P154" s="2">
        <f>MATCH(Table3[[#This Row],[Pipe_name]],'2022 pipes'!B:B,0)</f>
        <v>155</v>
      </c>
      <c r="Q154" s="2">
        <f>Table3[[#This Row],[2043 pipes]]-Table3[[#This Row],[Master Plan CAPEX Cost]]</f>
        <v>967.39898255540481</v>
      </c>
      <c r="R154" s="7">
        <f>Table3[[#This Row],[asdfa]]-Table3[[#This Row],[2022 total cost]]</f>
        <v>0</v>
      </c>
    </row>
    <row r="155" spans="1:18" x14ac:dyDescent="0.25">
      <c r="A155" s="1">
        <v>153</v>
      </c>
      <c r="B155" t="s">
        <v>171</v>
      </c>
      <c r="C155">
        <v>101</v>
      </c>
      <c r="D155">
        <v>12.919845</v>
      </c>
      <c r="E155">
        <f>VLOOKUP(Table3[[#This Row],[Pipe_name]],Table2[[Pipe_name]:[Original_Diameter]],2,FALSE)</f>
        <v>101</v>
      </c>
      <c r="F155">
        <f>VLOOKUP(Table3[[#This Row],[Pipe_name]],Table2[[Pipe_name]:[Length]],3,FALSE)</f>
        <v>12.919845</v>
      </c>
      <c r="G155" t="s">
        <v>331</v>
      </c>
      <c r="H155" t="str">
        <f>IF(Table3[[#This Row],[2043 Diameter]]=Table3[[#This Row],[2022 Diameter]],"No","Yes")</f>
        <v>No</v>
      </c>
      <c r="I155" t="str">
        <f>IF(Table3[[#This Row],[2043 Length]]=Table3[[#This Row],[2022 length]],"No","Yes")</f>
        <v>No</v>
      </c>
      <c r="J155" s="8">
        <f>VLOOKUP(Table3[[#This Row],[2043 Diameter]],[1]Pipes!$A:$B,2,FALSE)</f>
        <v>362.58707029616613</v>
      </c>
      <c r="K155" s="8">
        <f>VLOOKUP(Table3[[#This Row],[2022 Diameter]],[1]Pipes!$A:$B,2,FALSE)</f>
        <v>362.58707029616613</v>
      </c>
      <c r="L155" s="8">
        <f>IF(OR(IFERROR(Table3[[#This Row],[Diameter Change?]]="Yes","Yes"),Table3[[#This Row],[Pipe Added?]]="Yes"),Table3[[#This Row],[2043 Pipeline unit cost]]*Table3[[#This Row],[2043 Length]],0)</f>
        <v>0</v>
      </c>
      <c r="M155" s="2">
        <f>VLOOKUP(Table3[[#This Row],[Pipe_name]],[2]!Table1[[id3]:[Cost]],8,FALSE)</f>
        <v>0</v>
      </c>
      <c r="N155" s="2">
        <f>IFERROR(Table3[[#This Row],[2022 length]]*Table3[[#This Row],[2022 Pipeline unit cost]],0)</f>
        <v>4684.5687472305708</v>
      </c>
      <c r="O155" s="2">
        <f>Table3[[#This Row],[2043 Length]]*Table3[[#This Row],[2043 Pipeline unit cost]]</f>
        <v>4684.5687472305708</v>
      </c>
      <c r="P155" s="2">
        <f>MATCH(Table3[[#This Row],[Pipe_name]],'2022 pipes'!B:B,0)</f>
        <v>156</v>
      </c>
      <c r="Q155" s="2">
        <f>Table3[[#This Row],[2043 pipes]]-Table3[[#This Row],[Master Plan CAPEX Cost]]</f>
        <v>4684.5687472305708</v>
      </c>
      <c r="R155" s="7">
        <f>Table3[[#This Row],[asdfa]]-Table3[[#This Row],[2022 total cost]]</f>
        <v>0</v>
      </c>
    </row>
    <row r="156" spans="1:18" x14ac:dyDescent="0.25">
      <c r="A156" s="1">
        <v>154</v>
      </c>
      <c r="B156" t="s">
        <v>172</v>
      </c>
      <c r="C156">
        <v>101</v>
      </c>
      <c r="D156">
        <v>115.18137400000001</v>
      </c>
      <c r="E156">
        <f>VLOOKUP(Table3[[#This Row],[Pipe_name]],Table2[[Pipe_name]:[Original_Diameter]],2,FALSE)</f>
        <v>101</v>
      </c>
      <c r="F156">
        <f>VLOOKUP(Table3[[#This Row],[Pipe_name]],Table2[[Pipe_name]:[Length]],3,FALSE)</f>
        <v>115.18137400000001</v>
      </c>
      <c r="G156" t="s">
        <v>331</v>
      </c>
      <c r="H156" t="str">
        <f>IF(Table3[[#This Row],[2043 Diameter]]=Table3[[#This Row],[2022 Diameter]],"No","Yes")</f>
        <v>No</v>
      </c>
      <c r="I156" t="str">
        <f>IF(Table3[[#This Row],[2043 Length]]=Table3[[#This Row],[2022 length]],"No","Yes")</f>
        <v>No</v>
      </c>
      <c r="J156" s="8">
        <f>VLOOKUP(Table3[[#This Row],[2043 Diameter]],[1]Pipes!$A:$B,2,FALSE)</f>
        <v>362.58707029616613</v>
      </c>
      <c r="K156" s="8">
        <f>VLOOKUP(Table3[[#This Row],[2022 Diameter]],[1]Pipes!$A:$B,2,FALSE)</f>
        <v>362.58707029616613</v>
      </c>
      <c r="L156" s="8">
        <f>IF(OR(IFERROR(Table3[[#This Row],[Diameter Change?]]="Yes","Yes"),Table3[[#This Row],[Pipe Added?]]="Yes"),Table3[[#This Row],[2043 Pipeline unit cost]]*Table3[[#This Row],[2043 Length]],0)</f>
        <v>0</v>
      </c>
      <c r="M156" s="2">
        <f>VLOOKUP(Table3[[#This Row],[Pipe_name]],[2]!Table1[[id3]:[Cost]],8,FALSE)</f>
        <v>0</v>
      </c>
      <c r="N156" s="2">
        <f>IFERROR(Table3[[#This Row],[2022 length]]*Table3[[#This Row],[2022 Pipeline unit cost]],0)</f>
        <v>41763.276951347005</v>
      </c>
      <c r="O156" s="2">
        <f>Table3[[#This Row],[2043 Length]]*Table3[[#This Row],[2043 Pipeline unit cost]]</f>
        <v>41763.276951347005</v>
      </c>
      <c r="P156" s="2">
        <f>MATCH(Table3[[#This Row],[Pipe_name]],'2022 pipes'!B:B,0)</f>
        <v>157</v>
      </c>
      <c r="Q156" s="2">
        <f>Table3[[#This Row],[2043 pipes]]-Table3[[#This Row],[Master Plan CAPEX Cost]]</f>
        <v>41763.276951347005</v>
      </c>
      <c r="R156" s="7">
        <f>Table3[[#This Row],[asdfa]]-Table3[[#This Row],[2022 total cost]]</f>
        <v>0</v>
      </c>
    </row>
    <row r="157" spans="1:18" x14ac:dyDescent="0.25">
      <c r="A157" s="1">
        <v>155</v>
      </c>
      <c r="B157" t="s">
        <v>173</v>
      </c>
      <c r="C157">
        <v>96</v>
      </c>
      <c r="D157">
        <v>3.8705880000000001</v>
      </c>
      <c r="E157">
        <f>VLOOKUP(Table3[[#This Row],[Pipe_name]],Table2[[Pipe_name]:[Original_Diameter]],2,FALSE)</f>
        <v>96</v>
      </c>
      <c r="F157">
        <f>VLOOKUP(Table3[[#This Row],[Pipe_name]],Table2[[Pipe_name]:[Length]],3,FALSE)</f>
        <v>3.8705880000000001</v>
      </c>
      <c r="G157" t="s">
        <v>331</v>
      </c>
      <c r="H157" t="str">
        <f>IF(Table3[[#This Row],[2043 Diameter]]=Table3[[#This Row],[2022 Diameter]],"No","Yes")</f>
        <v>No</v>
      </c>
      <c r="I157" t="str">
        <f>IF(Table3[[#This Row],[2043 Length]]=Table3[[#This Row],[2022 length]],"No","Yes")</f>
        <v>No</v>
      </c>
      <c r="J157" s="8">
        <f>VLOOKUP(Table3[[#This Row],[2043 Diameter]],[1]Pipes!$A:$B,2,FALSE)</f>
        <v>362.58707029616613</v>
      </c>
      <c r="K157" s="8">
        <f>VLOOKUP(Table3[[#This Row],[2022 Diameter]],[1]Pipes!$A:$B,2,FALSE)</f>
        <v>362.58707029616613</v>
      </c>
      <c r="L157" s="8">
        <f>IF(OR(IFERROR(Table3[[#This Row],[Diameter Change?]]="Yes","Yes"),Table3[[#This Row],[Pipe Added?]]="Yes"),Table3[[#This Row],[2043 Pipeline unit cost]]*Table3[[#This Row],[2043 Length]],0)</f>
        <v>0</v>
      </c>
      <c r="M157" s="2">
        <f>VLOOKUP(Table3[[#This Row],[Pipe_name]],[2]!Table1[[id3]:[Cost]],8,FALSE)</f>
        <v>0</v>
      </c>
      <c r="N157" s="2">
        <f>IFERROR(Table3[[#This Row],[2022 length]]*Table3[[#This Row],[2022 Pipeline unit cost]],0)</f>
        <v>1403.4251632434971</v>
      </c>
      <c r="O157" s="2">
        <f>Table3[[#This Row],[2043 Length]]*Table3[[#This Row],[2043 Pipeline unit cost]]</f>
        <v>1403.4251632434971</v>
      </c>
      <c r="P157" s="2">
        <f>MATCH(Table3[[#This Row],[Pipe_name]],'2022 pipes'!B:B,0)</f>
        <v>158</v>
      </c>
      <c r="Q157" s="2">
        <f>Table3[[#This Row],[2043 pipes]]-Table3[[#This Row],[Master Plan CAPEX Cost]]</f>
        <v>1403.4251632434971</v>
      </c>
      <c r="R157" s="7">
        <f>Table3[[#This Row],[asdfa]]-Table3[[#This Row],[2022 total cost]]</f>
        <v>0</v>
      </c>
    </row>
    <row r="158" spans="1:18" x14ac:dyDescent="0.25">
      <c r="A158" s="1">
        <v>156</v>
      </c>
      <c r="B158" t="s">
        <v>174</v>
      </c>
      <c r="C158">
        <v>101</v>
      </c>
      <c r="D158">
        <v>124.045097</v>
      </c>
      <c r="E158">
        <f>VLOOKUP(Table3[[#This Row],[Pipe_name]],Table2[[Pipe_name]:[Original_Diameter]],2,FALSE)</f>
        <v>101</v>
      </c>
      <c r="F158">
        <f>VLOOKUP(Table3[[#This Row],[Pipe_name]],Table2[[Pipe_name]:[Length]],3,FALSE)</f>
        <v>124.045097</v>
      </c>
      <c r="G158" t="s">
        <v>331</v>
      </c>
      <c r="H158" t="str">
        <f>IF(Table3[[#This Row],[2043 Diameter]]=Table3[[#This Row],[2022 Diameter]],"No","Yes")</f>
        <v>No</v>
      </c>
      <c r="I158" t="str">
        <f>IF(Table3[[#This Row],[2043 Length]]=Table3[[#This Row],[2022 length]],"No","Yes")</f>
        <v>No</v>
      </c>
      <c r="J158" s="8">
        <f>VLOOKUP(Table3[[#This Row],[2043 Diameter]],[1]Pipes!$A:$B,2,FALSE)</f>
        <v>362.58707029616613</v>
      </c>
      <c r="K158" s="8">
        <f>VLOOKUP(Table3[[#This Row],[2022 Diameter]],[1]Pipes!$A:$B,2,FALSE)</f>
        <v>362.58707029616613</v>
      </c>
      <c r="L158" s="8">
        <f>IF(OR(IFERROR(Table3[[#This Row],[Diameter Change?]]="Yes","Yes"),Table3[[#This Row],[Pipe Added?]]="Yes"),Table3[[#This Row],[2043 Pipeline unit cost]]*Table3[[#This Row],[2043 Length]],0)</f>
        <v>0</v>
      </c>
      <c r="M158" s="2">
        <f>VLOOKUP(Table3[[#This Row],[Pipe_name]],[2]!Table1[[id3]:[Cost]],8,FALSE)</f>
        <v>0</v>
      </c>
      <c r="N158" s="2">
        <f>IFERROR(Table3[[#This Row],[2022 length]]*Table3[[#This Row],[2022 Pipeline unit cost]],0)</f>
        <v>44977.148305833747</v>
      </c>
      <c r="O158" s="2">
        <f>Table3[[#This Row],[2043 Length]]*Table3[[#This Row],[2043 Pipeline unit cost]]</f>
        <v>44977.148305833747</v>
      </c>
      <c r="P158" s="2">
        <f>MATCH(Table3[[#This Row],[Pipe_name]],'2022 pipes'!B:B,0)</f>
        <v>159</v>
      </c>
      <c r="Q158" s="2">
        <f>Table3[[#This Row],[2043 pipes]]-Table3[[#This Row],[Master Plan CAPEX Cost]]</f>
        <v>44977.148305833747</v>
      </c>
      <c r="R158" s="7">
        <f>Table3[[#This Row],[asdfa]]-Table3[[#This Row],[2022 total cost]]</f>
        <v>0</v>
      </c>
    </row>
    <row r="159" spans="1:18" x14ac:dyDescent="0.25">
      <c r="A159" s="1">
        <v>157</v>
      </c>
      <c r="B159" t="s">
        <v>175</v>
      </c>
      <c r="C159">
        <v>200</v>
      </c>
      <c r="D159">
        <v>3.1112630000000001</v>
      </c>
      <c r="E159">
        <f>VLOOKUP(Table3[[#This Row],[Pipe_name]],Table2[[Pipe_name]:[Original_Diameter]],2,FALSE)</f>
        <v>200</v>
      </c>
      <c r="F159">
        <f>VLOOKUP(Table3[[#This Row],[Pipe_name]],Table2[[Pipe_name]:[Length]],3,FALSE)</f>
        <v>3.1112630000000001</v>
      </c>
      <c r="G159" t="s">
        <v>331</v>
      </c>
      <c r="H159" t="str">
        <f>IF(Table3[[#This Row],[2043 Diameter]]=Table3[[#This Row],[2022 Diameter]],"No","Yes")</f>
        <v>No</v>
      </c>
      <c r="I159" t="str">
        <f>IF(Table3[[#This Row],[2043 Length]]=Table3[[#This Row],[2022 length]],"No","Yes")</f>
        <v>No</v>
      </c>
      <c r="J159" s="8">
        <f>VLOOKUP(Table3[[#This Row],[2043 Diameter]],[1]Pipes!$A:$B,2,FALSE)</f>
        <v>546.15625651305356</v>
      </c>
      <c r="K159" s="8">
        <f>VLOOKUP(Table3[[#This Row],[2022 Diameter]],[1]Pipes!$A:$B,2,FALSE)</f>
        <v>546.15625651305356</v>
      </c>
      <c r="L159" s="8">
        <f>IF(OR(IFERROR(Table3[[#This Row],[Diameter Change?]]="Yes","Yes"),Table3[[#This Row],[Pipe Added?]]="Yes"),Table3[[#This Row],[2043 Pipeline unit cost]]*Table3[[#This Row],[2043 Length]],0)</f>
        <v>0</v>
      </c>
      <c r="M159" s="2">
        <f>VLOOKUP(Table3[[#This Row],[Pipe_name]],[2]!Table1[[id3]:[Cost]],8,FALSE)</f>
        <v>0</v>
      </c>
      <c r="N159" s="2">
        <f>IFERROR(Table3[[#This Row],[2022 length]]*Table3[[#This Row],[2022 Pipeline unit cost]],0)</f>
        <v>1699.2357531075727</v>
      </c>
      <c r="O159" s="2">
        <f>Table3[[#This Row],[2043 Length]]*Table3[[#This Row],[2043 Pipeline unit cost]]</f>
        <v>1699.2357531075727</v>
      </c>
      <c r="P159" s="2">
        <f>MATCH(Table3[[#This Row],[Pipe_name]],'2022 pipes'!B:B,0)</f>
        <v>160</v>
      </c>
      <c r="Q159" s="2">
        <f>Table3[[#This Row],[2043 pipes]]-Table3[[#This Row],[Master Plan CAPEX Cost]]</f>
        <v>1699.2357531075727</v>
      </c>
      <c r="R159" s="7">
        <f>Table3[[#This Row],[asdfa]]-Table3[[#This Row],[2022 total cost]]</f>
        <v>0</v>
      </c>
    </row>
    <row r="160" spans="1:18" x14ac:dyDescent="0.25">
      <c r="A160" s="1">
        <v>158</v>
      </c>
      <c r="B160" t="s">
        <v>176</v>
      </c>
      <c r="C160">
        <v>96</v>
      </c>
      <c r="D160">
        <v>9.9872010000000007</v>
      </c>
      <c r="E160">
        <f>VLOOKUP(Table3[[#This Row],[Pipe_name]],Table2[[Pipe_name]:[Original_Diameter]],2,FALSE)</f>
        <v>96</v>
      </c>
      <c r="F160">
        <f>VLOOKUP(Table3[[#This Row],[Pipe_name]],Table2[[Pipe_name]:[Length]],3,FALSE)</f>
        <v>9.9872010000000007</v>
      </c>
      <c r="G160" t="s">
        <v>331</v>
      </c>
      <c r="H160" t="str">
        <f>IF(Table3[[#This Row],[2043 Diameter]]=Table3[[#This Row],[2022 Diameter]],"No","Yes")</f>
        <v>No</v>
      </c>
      <c r="I160" t="str">
        <f>IF(Table3[[#This Row],[2043 Length]]=Table3[[#This Row],[2022 length]],"No","Yes")</f>
        <v>No</v>
      </c>
      <c r="J160" s="8">
        <f>VLOOKUP(Table3[[#This Row],[2043 Diameter]],[1]Pipes!$A:$B,2,FALSE)</f>
        <v>362.58707029616613</v>
      </c>
      <c r="K160" s="8">
        <f>VLOOKUP(Table3[[#This Row],[2022 Diameter]],[1]Pipes!$A:$B,2,FALSE)</f>
        <v>362.58707029616613</v>
      </c>
      <c r="L160" s="8">
        <f>IF(OR(IFERROR(Table3[[#This Row],[Diameter Change?]]="Yes","Yes"),Table3[[#This Row],[Pipe Added?]]="Yes"),Table3[[#This Row],[2043 Pipeline unit cost]]*Table3[[#This Row],[2043 Length]],0)</f>
        <v>0</v>
      </c>
      <c r="M160" s="2">
        <f>VLOOKUP(Table3[[#This Row],[Pipe_name]],[2]!Table1[[id3]:[Cost]],8,FALSE)</f>
        <v>0</v>
      </c>
      <c r="N160" s="2">
        <f>IFERROR(Table3[[#This Row],[2022 length]]*Table3[[#This Row],[2022 Pipeline unit cost]],0)</f>
        <v>3621.2299510489411</v>
      </c>
      <c r="O160" s="2">
        <f>Table3[[#This Row],[2043 Length]]*Table3[[#This Row],[2043 Pipeline unit cost]]</f>
        <v>3621.2299510489411</v>
      </c>
      <c r="P160" s="2">
        <f>MATCH(Table3[[#This Row],[Pipe_name]],'2022 pipes'!B:B,0)</f>
        <v>161</v>
      </c>
      <c r="Q160" s="2">
        <f>Table3[[#This Row],[2043 pipes]]-Table3[[#This Row],[Master Plan CAPEX Cost]]</f>
        <v>3621.2299510489411</v>
      </c>
      <c r="R160" s="7">
        <f>Table3[[#This Row],[asdfa]]-Table3[[#This Row],[2022 total cost]]</f>
        <v>0</v>
      </c>
    </row>
    <row r="161" spans="1:18" x14ac:dyDescent="0.25">
      <c r="A161" s="1">
        <v>159</v>
      </c>
      <c r="B161" t="s">
        <v>177</v>
      </c>
      <c r="C161">
        <v>96</v>
      </c>
      <c r="D161">
        <v>5.0449950000000001</v>
      </c>
      <c r="E161">
        <f>VLOOKUP(Table3[[#This Row],[Pipe_name]],Table2[[Pipe_name]:[Original_Diameter]],2,FALSE)</f>
        <v>96</v>
      </c>
      <c r="F161">
        <f>VLOOKUP(Table3[[#This Row],[Pipe_name]],Table2[[Pipe_name]:[Length]],3,FALSE)</f>
        <v>5.0449950000000001</v>
      </c>
      <c r="G161" t="s">
        <v>331</v>
      </c>
      <c r="H161" t="str">
        <f>IF(Table3[[#This Row],[2043 Diameter]]=Table3[[#This Row],[2022 Diameter]],"No","Yes")</f>
        <v>No</v>
      </c>
      <c r="I161" t="str">
        <f>IF(Table3[[#This Row],[2043 Length]]=Table3[[#This Row],[2022 length]],"No","Yes")</f>
        <v>No</v>
      </c>
      <c r="J161" s="8">
        <f>VLOOKUP(Table3[[#This Row],[2043 Diameter]],[1]Pipes!$A:$B,2,FALSE)</f>
        <v>362.58707029616613</v>
      </c>
      <c r="K161" s="8">
        <f>VLOOKUP(Table3[[#This Row],[2022 Diameter]],[1]Pipes!$A:$B,2,FALSE)</f>
        <v>362.58707029616613</v>
      </c>
      <c r="L161" s="8">
        <f>IF(OR(IFERROR(Table3[[#This Row],[Diameter Change?]]="Yes","Yes"),Table3[[#This Row],[Pipe Added?]]="Yes"),Table3[[#This Row],[2043 Pipeline unit cost]]*Table3[[#This Row],[2043 Length]],0)</f>
        <v>0</v>
      </c>
      <c r="M161" s="2">
        <f>VLOOKUP(Table3[[#This Row],[Pipe_name]],[2]!Table1[[id3]:[Cost]],8,FALSE)</f>
        <v>0</v>
      </c>
      <c r="N161" s="2">
        <f>IFERROR(Table3[[#This Row],[2022 length]]*Table3[[#This Row],[2022 Pipeline unit cost]],0)</f>
        <v>1829.2499567088066</v>
      </c>
      <c r="O161" s="2">
        <f>Table3[[#This Row],[2043 Length]]*Table3[[#This Row],[2043 Pipeline unit cost]]</f>
        <v>1829.2499567088066</v>
      </c>
      <c r="P161" s="2">
        <f>MATCH(Table3[[#This Row],[Pipe_name]],'2022 pipes'!B:B,0)</f>
        <v>162</v>
      </c>
      <c r="Q161" s="2">
        <f>Table3[[#This Row],[2043 pipes]]-Table3[[#This Row],[Master Plan CAPEX Cost]]</f>
        <v>1829.2499567088066</v>
      </c>
      <c r="R161" s="7">
        <f>Table3[[#This Row],[asdfa]]-Table3[[#This Row],[2022 total cost]]</f>
        <v>0</v>
      </c>
    </row>
    <row r="162" spans="1:18" x14ac:dyDescent="0.25">
      <c r="A162" s="1">
        <v>160</v>
      </c>
      <c r="B162" t="s">
        <v>284</v>
      </c>
      <c r="C162">
        <v>96</v>
      </c>
      <c r="D162">
        <v>23.800051</v>
      </c>
      <c r="E162">
        <f>VLOOKUP(Table3[[#This Row],[Pipe_name]],Table2[[Pipe_name]:[Original_Diameter]],2,FALSE)</f>
        <v>96</v>
      </c>
      <c r="F162">
        <f>VLOOKUP(Table3[[#This Row],[Pipe_name]],Table2[[Pipe_name]:[Length]],3,FALSE)</f>
        <v>23.800051</v>
      </c>
      <c r="G162" t="s">
        <v>331</v>
      </c>
      <c r="H162" t="str">
        <f>IF(Table3[[#This Row],[2043 Diameter]]=Table3[[#This Row],[2022 Diameter]],"No","Yes")</f>
        <v>No</v>
      </c>
      <c r="I162" t="str">
        <f>IF(Table3[[#This Row],[2043 Length]]=Table3[[#This Row],[2022 length]],"No","Yes")</f>
        <v>No</v>
      </c>
      <c r="J162" s="8">
        <f>VLOOKUP(Table3[[#This Row],[2043 Diameter]],[1]Pipes!$A:$B,2,FALSE)</f>
        <v>362.58707029616613</v>
      </c>
      <c r="K162" s="8">
        <f>VLOOKUP(Table3[[#This Row],[2022 Diameter]],[1]Pipes!$A:$B,2,FALSE)</f>
        <v>362.58707029616613</v>
      </c>
      <c r="L162" s="8">
        <f>IF(OR(IFERROR(Table3[[#This Row],[Diameter Change?]]="Yes","Yes"),Table3[[#This Row],[Pipe Added?]]="Yes"),Table3[[#This Row],[2043 Pipeline unit cost]]*Table3[[#This Row],[2043 Length]],0)</f>
        <v>0</v>
      </c>
      <c r="M162" s="2">
        <f>VLOOKUP(Table3[[#This Row],[Pipe_name]],[2]!Table1[[id3]:[Cost]],8,FALSE)</f>
        <v>0</v>
      </c>
      <c r="N162" s="2">
        <f>IFERROR(Table3[[#This Row],[2022 length]]*Table3[[#This Row],[2022 Pipeline unit cost]],0)</f>
        <v>8629.5907649893397</v>
      </c>
      <c r="O162" s="2">
        <f>Table3[[#This Row],[2043 Length]]*Table3[[#This Row],[2043 Pipeline unit cost]]</f>
        <v>8629.5907649893397</v>
      </c>
      <c r="P162" s="2">
        <f>MATCH(Table3[[#This Row],[Pipe_name]],'2022 pipes'!B:B,0)</f>
        <v>163</v>
      </c>
      <c r="Q162" s="2">
        <f>Table3[[#This Row],[2043 pipes]]-Table3[[#This Row],[Master Plan CAPEX Cost]]</f>
        <v>8629.5907649893397</v>
      </c>
      <c r="R162" s="7">
        <f>Table3[[#This Row],[asdfa]]-Table3[[#This Row],[2022 total cost]]</f>
        <v>0</v>
      </c>
    </row>
    <row r="163" spans="1:18" x14ac:dyDescent="0.25">
      <c r="A163" s="1">
        <v>161</v>
      </c>
      <c r="B163" t="s">
        <v>178</v>
      </c>
      <c r="C163">
        <v>96</v>
      </c>
      <c r="D163">
        <v>138.09229999999999</v>
      </c>
      <c r="E163">
        <f>VLOOKUP(Table3[[#This Row],[Pipe_name]],Table2[[Pipe_name]:[Original_Diameter]],2,FALSE)</f>
        <v>96</v>
      </c>
      <c r="F163">
        <f>VLOOKUP(Table3[[#This Row],[Pipe_name]],Table2[[Pipe_name]:[Length]],3,FALSE)</f>
        <v>138.09229999999999</v>
      </c>
      <c r="G163" t="s">
        <v>331</v>
      </c>
      <c r="H163" t="str">
        <f>IF(Table3[[#This Row],[2043 Diameter]]=Table3[[#This Row],[2022 Diameter]],"No","Yes")</f>
        <v>No</v>
      </c>
      <c r="I163" t="str">
        <f>IF(Table3[[#This Row],[2043 Length]]=Table3[[#This Row],[2022 length]],"No","Yes")</f>
        <v>No</v>
      </c>
      <c r="J163" s="8">
        <f>VLOOKUP(Table3[[#This Row],[2043 Diameter]],[1]Pipes!$A:$B,2,FALSE)</f>
        <v>362.58707029616613</v>
      </c>
      <c r="K163" s="8">
        <f>VLOOKUP(Table3[[#This Row],[2022 Diameter]],[1]Pipes!$A:$B,2,FALSE)</f>
        <v>362.58707029616613</v>
      </c>
      <c r="L163" s="8">
        <f>IF(OR(IFERROR(Table3[[#This Row],[Diameter Change?]]="Yes","Yes"),Table3[[#This Row],[Pipe Added?]]="Yes"),Table3[[#This Row],[2043 Pipeline unit cost]]*Table3[[#This Row],[2043 Length]],0)</f>
        <v>0</v>
      </c>
      <c r="M163" s="2">
        <f>VLOOKUP(Table3[[#This Row],[Pipe_name]],[2]!Table1[[id3]:[Cost]],8,FALSE)</f>
        <v>0</v>
      </c>
      <c r="N163" s="2">
        <f>IFERROR(Table3[[#This Row],[2022 length]]*Table3[[#This Row],[2022 Pipeline unit cost]],0)</f>
        <v>50070.48248745926</v>
      </c>
      <c r="O163" s="2">
        <f>Table3[[#This Row],[2043 Length]]*Table3[[#This Row],[2043 Pipeline unit cost]]</f>
        <v>50070.48248745926</v>
      </c>
      <c r="P163" s="2">
        <f>MATCH(Table3[[#This Row],[Pipe_name]],'2022 pipes'!B:B,0)</f>
        <v>164</v>
      </c>
      <c r="Q163" s="2">
        <f>Table3[[#This Row],[2043 pipes]]-Table3[[#This Row],[Master Plan CAPEX Cost]]</f>
        <v>50070.48248745926</v>
      </c>
      <c r="R163" s="7">
        <f>Table3[[#This Row],[asdfa]]-Table3[[#This Row],[2022 total cost]]</f>
        <v>0</v>
      </c>
    </row>
    <row r="164" spans="1:18" x14ac:dyDescent="0.25">
      <c r="A164" s="1">
        <v>162</v>
      </c>
      <c r="B164" t="s">
        <v>179</v>
      </c>
      <c r="C164">
        <v>101</v>
      </c>
      <c r="D164">
        <v>2.538627</v>
      </c>
      <c r="E164">
        <f>VLOOKUP(Table3[[#This Row],[Pipe_name]],Table2[[Pipe_name]:[Original_Diameter]],2,FALSE)</f>
        <v>101</v>
      </c>
      <c r="F164">
        <f>VLOOKUP(Table3[[#This Row],[Pipe_name]],Table2[[Pipe_name]:[Length]],3,FALSE)</f>
        <v>2.538627</v>
      </c>
      <c r="G164" t="s">
        <v>331</v>
      </c>
      <c r="H164" t="str">
        <f>IF(Table3[[#This Row],[2043 Diameter]]=Table3[[#This Row],[2022 Diameter]],"No","Yes")</f>
        <v>No</v>
      </c>
      <c r="I164" t="str">
        <f>IF(Table3[[#This Row],[2043 Length]]=Table3[[#This Row],[2022 length]],"No","Yes")</f>
        <v>No</v>
      </c>
      <c r="J164" s="8">
        <f>VLOOKUP(Table3[[#This Row],[2043 Diameter]],[1]Pipes!$A:$B,2,FALSE)</f>
        <v>362.58707029616613</v>
      </c>
      <c r="K164" s="8">
        <f>VLOOKUP(Table3[[#This Row],[2022 Diameter]],[1]Pipes!$A:$B,2,FALSE)</f>
        <v>362.58707029616613</v>
      </c>
      <c r="L164" s="8">
        <f>IF(OR(IFERROR(Table3[[#This Row],[Diameter Change?]]="Yes","Yes"),Table3[[#This Row],[Pipe Added?]]="Yes"),Table3[[#This Row],[2043 Pipeline unit cost]]*Table3[[#This Row],[2043 Length]],0)</f>
        <v>0</v>
      </c>
      <c r="M164" s="2">
        <f>VLOOKUP(Table3[[#This Row],[Pipe_name]],[2]!Table1[[id3]:[Cost]],8,FALSE)</f>
        <v>0</v>
      </c>
      <c r="N164" s="2">
        <f>IFERROR(Table3[[#This Row],[2022 length]]*Table3[[#This Row],[2022 Pipeline unit cost]],0)</f>
        <v>920.47332650474527</v>
      </c>
      <c r="O164" s="2">
        <f>Table3[[#This Row],[2043 Length]]*Table3[[#This Row],[2043 Pipeline unit cost]]</f>
        <v>920.47332650474527</v>
      </c>
      <c r="P164" s="2">
        <f>MATCH(Table3[[#This Row],[Pipe_name]],'2022 pipes'!B:B,0)</f>
        <v>165</v>
      </c>
      <c r="Q164" s="2">
        <f>Table3[[#This Row],[2043 pipes]]-Table3[[#This Row],[Master Plan CAPEX Cost]]</f>
        <v>920.47332650474527</v>
      </c>
      <c r="R164" s="7">
        <f>Table3[[#This Row],[asdfa]]-Table3[[#This Row],[2022 total cost]]</f>
        <v>0</v>
      </c>
    </row>
    <row r="165" spans="1:18" x14ac:dyDescent="0.25">
      <c r="A165" s="1">
        <v>163</v>
      </c>
      <c r="B165" t="s">
        <v>180</v>
      </c>
      <c r="C165">
        <v>101</v>
      </c>
      <c r="D165">
        <v>2.2279800000000001</v>
      </c>
      <c r="E165">
        <f>VLOOKUP(Table3[[#This Row],[Pipe_name]],Table2[[Pipe_name]:[Original_Diameter]],2,FALSE)</f>
        <v>101</v>
      </c>
      <c r="F165">
        <f>VLOOKUP(Table3[[#This Row],[Pipe_name]],Table2[[Pipe_name]:[Length]],3,FALSE)</f>
        <v>2.2279800000000001</v>
      </c>
      <c r="G165" t="s">
        <v>331</v>
      </c>
      <c r="H165" t="str">
        <f>IF(Table3[[#This Row],[2043 Diameter]]=Table3[[#This Row],[2022 Diameter]],"No","Yes")</f>
        <v>No</v>
      </c>
      <c r="I165" t="str">
        <f>IF(Table3[[#This Row],[2043 Length]]=Table3[[#This Row],[2022 length]],"No","Yes")</f>
        <v>No</v>
      </c>
      <c r="J165" s="8">
        <f>VLOOKUP(Table3[[#This Row],[2043 Diameter]],[1]Pipes!$A:$B,2,FALSE)</f>
        <v>362.58707029616613</v>
      </c>
      <c r="K165" s="8">
        <f>VLOOKUP(Table3[[#This Row],[2022 Diameter]],[1]Pipes!$A:$B,2,FALSE)</f>
        <v>362.58707029616613</v>
      </c>
      <c r="L165" s="8">
        <f>IF(OR(IFERROR(Table3[[#This Row],[Diameter Change?]]="Yes","Yes"),Table3[[#This Row],[Pipe Added?]]="Yes"),Table3[[#This Row],[2043 Pipeline unit cost]]*Table3[[#This Row],[2043 Length]],0)</f>
        <v>0</v>
      </c>
      <c r="M165" s="2">
        <f>VLOOKUP(Table3[[#This Row],[Pipe_name]],[2]!Table1[[id3]:[Cost]],8,FALSE)</f>
        <v>0</v>
      </c>
      <c r="N165" s="2">
        <f>IFERROR(Table3[[#This Row],[2022 length]]*Table3[[#This Row],[2022 Pipeline unit cost]],0)</f>
        <v>807.83674087845225</v>
      </c>
      <c r="O165" s="2">
        <f>Table3[[#This Row],[2043 Length]]*Table3[[#This Row],[2043 Pipeline unit cost]]</f>
        <v>807.83674087845225</v>
      </c>
      <c r="P165" s="2">
        <f>MATCH(Table3[[#This Row],[Pipe_name]],'2022 pipes'!B:B,0)</f>
        <v>166</v>
      </c>
      <c r="Q165" s="2">
        <f>Table3[[#This Row],[2043 pipes]]-Table3[[#This Row],[Master Plan CAPEX Cost]]</f>
        <v>807.83674087845225</v>
      </c>
      <c r="R165" s="7">
        <f>Table3[[#This Row],[asdfa]]-Table3[[#This Row],[2022 total cost]]</f>
        <v>0</v>
      </c>
    </row>
    <row r="166" spans="1:18" x14ac:dyDescent="0.25">
      <c r="A166" s="1">
        <v>164</v>
      </c>
      <c r="B166" t="s">
        <v>181</v>
      </c>
      <c r="C166">
        <v>63</v>
      </c>
      <c r="D166">
        <v>1.889615</v>
      </c>
      <c r="E166">
        <f>VLOOKUP(Table3[[#This Row],[Pipe_name]],Table2[[Pipe_name]:[Original_Diameter]],2,FALSE)</f>
        <v>63</v>
      </c>
      <c r="F166">
        <f>VLOOKUP(Table3[[#This Row],[Pipe_name]],Table2[[Pipe_name]:[Length]],3,FALSE)</f>
        <v>1.889615</v>
      </c>
      <c r="G166" t="s">
        <v>331</v>
      </c>
      <c r="H166" t="str">
        <f>IF(Table3[[#This Row],[2043 Diameter]]=Table3[[#This Row],[2022 Diameter]],"No","Yes")</f>
        <v>No</v>
      </c>
      <c r="I166" t="str">
        <f>IF(Table3[[#This Row],[2043 Length]]=Table3[[#This Row],[2022 length]],"No","Yes")</f>
        <v>No</v>
      </c>
      <c r="J166" s="8">
        <f>VLOOKUP(Table3[[#This Row],[2043 Diameter]],[1]Pipes!$A:$B,2,FALSE)</f>
        <v>362.58707029616613</v>
      </c>
      <c r="K166" s="8">
        <f>VLOOKUP(Table3[[#This Row],[2022 Diameter]],[1]Pipes!$A:$B,2,FALSE)</f>
        <v>362.58707029616613</v>
      </c>
      <c r="L166" s="8">
        <f>IF(OR(IFERROR(Table3[[#This Row],[Diameter Change?]]="Yes","Yes"),Table3[[#This Row],[Pipe Added?]]="Yes"),Table3[[#This Row],[2043 Pipeline unit cost]]*Table3[[#This Row],[2043 Length]],0)</f>
        <v>0</v>
      </c>
      <c r="M166" s="2">
        <f>VLOOKUP(Table3[[#This Row],[Pipe_name]],[2]!Table1[[id3]:[Cost]],8,FALSE)</f>
        <v>0</v>
      </c>
      <c r="N166" s="2">
        <f>IFERROR(Table3[[#This Row],[2022 length]]*Table3[[#This Row],[2022 Pipeline unit cost]],0)</f>
        <v>685.14996683768993</v>
      </c>
      <c r="O166" s="2">
        <f>Table3[[#This Row],[2043 Length]]*Table3[[#This Row],[2043 Pipeline unit cost]]</f>
        <v>685.14996683768993</v>
      </c>
      <c r="P166" s="2">
        <f>MATCH(Table3[[#This Row],[Pipe_name]],'2022 pipes'!B:B,0)</f>
        <v>167</v>
      </c>
      <c r="Q166" s="2">
        <f>Table3[[#This Row],[2043 pipes]]-Table3[[#This Row],[Master Plan CAPEX Cost]]</f>
        <v>685.14996683768993</v>
      </c>
      <c r="R166" s="7">
        <f>Table3[[#This Row],[asdfa]]-Table3[[#This Row],[2022 total cost]]</f>
        <v>0</v>
      </c>
    </row>
    <row r="167" spans="1:18" x14ac:dyDescent="0.25">
      <c r="A167" s="1">
        <v>165</v>
      </c>
      <c r="B167" t="s">
        <v>182</v>
      </c>
      <c r="C167">
        <v>63</v>
      </c>
      <c r="D167">
        <v>33.836829999999999</v>
      </c>
      <c r="E167">
        <f>VLOOKUP(Table3[[#This Row],[Pipe_name]],Table2[[Pipe_name]:[Original_Diameter]],2,FALSE)</f>
        <v>63</v>
      </c>
      <c r="F167">
        <f>VLOOKUP(Table3[[#This Row],[Pipe_name]],Table2[[Pipe_name]:[Length]],3,FALSE)</f>
        <v>33.836829999999999</v>
      </c>
      <c r="G167" t="s">
        <v>331</v>
      </c>
      <c r="H167" t="str">
        <f>IF(Table3[[#This Row],[2043 Diameter]]=Table3[[#This Row],[2022 Diameter]],"No","Yes")</f>
        <v>No</v>
      </c>
      <c r="I167" t="str">
        <f>IF(Table3[[#This Row],[2043 Length]]=Table3[[#This Row],[2022 length]],"No","Yes")</f>
        <v>No</v>
      </c>
      <c r="J167" s="8">
        <f>VLOOKUP(Table3[[#This Row],[2043 Diameter]],[1]Pipes!$A:$B,2,FALSE)</f>
        <v>362.58707029616613</v>
      </c>
      <c r="K167" s="8">
        <f>VLOOKUP(Table3[[#This Row],[2022 Diameter]],[1]Pipes!$A:$B,2,FALSE)</f>
        <v>362.58707029616613</v>
      </c>
      <c r="L167" s="8">
        <f>IF(OR(IFERROR(Table3[[#This Row],[Diameter Change?]]="Yes","Yes"),Table3[[#This Row],[Pipe Added?]]="Yes"),Table3[[#This Row],[2043 Pipeline unit cost]]*Table3[[#This Row],[2043 Length]],0)</f>
        <v>0</v>
      </c>
      <c r="M167" s="2">
        <f>VLOOKUP(Table3[[#This Row],[Pipe_name]],[2]!Table1[[id3]:[Cost]],8,FALSE)</f>
        <v>0</v>
      </c>
      <c r="N167" s="2">
        <f>IFERROR(Table3[[#This Row],[2022 length]]*Table3[[#This Row],[2022 Pipeline unit cost]],0)</f>
        <v>12268.797057809423</v>
      </c>
      <c r="O167" s="2">
        <f>Table3[[#This Row],[2043 Length]]*Table3[[#This Row],[2043 Pipeline unit cost]]</f>
        <v>12268.797057809423</v>
      </c>
      <c r="P167" s="2">
        <f>MATCH(Table3[[#This Row],[Pipe_name]],'2022 pipes'!B:B,0)</f>
        <v>168</v>
      </c>
      <c r="Q167" s="2">
        <f>Table3[[#This Row],[2043 pipes]]-Table3[[#This Row],[Master Plan CAPEX Cost]]</f>
        <v>12268.797057809423</v>
      </c>
      <c r="R167" s="7">
        <f>Table3[[#This Row],[asdfa]]-Table3[[#This Row],[2022 total cost]]</f>
        <v>0</v>
      </c>
    </row>
    <row r="168" spans="1:18" x14ac:dyDescent="0.25">
      <c r="A168" s="1">
        <v>166</v>
      </c>
      <c r="B168" t="s">
        <v>183</v>
      </c>
      <c r="C168">
        <v>101</v>
      </c>
      <c r="D168">
        <v>15.349275</v>
      </c>
      <c r="E168">
        <f>VLOOKUP(Table3[[#This Row],[Pipe_name]],Table2[[Pipe_name]:[Original_Diameter]],2,FALSE)</f>
        <v>101</v>
      </c>
      <c r="F168">
        <f>VLOOKUP(Table3[[#This Row],[Pipe_name]],Table2[[Pipe_name]:[Length]],3,FALSE)</f>
        <v>15.349275</v>
      </c>
      <c r="G168" t="s">
        <v>331</v>
      </c>
      <c r="H168" t="str">
        <f>IF(Table3[[#This Row],[2043 Diameter]]=Table3[[#This Row],[2022 Diameter]],"No","Yes")</f>
        <v>No</v>
      </c>
      <c r="I168" t="str">
        <f>IF(Table3[[#This Row],[2043 Length]]=Table3[[#This Row],[2022 length]],"No","Yes")</f>
        <v>No</v>
      </c>
      <c r="J168" s="8">
        <f>VLOOKUP(Table3[[#This Row],[2043 Diameter]],[1]Pipes!$A:$B,2,FALSE)</f>
        <v>362.58707029616613</v>
      </c>
      <c r="K168" s="8">
        <f>VLOOKUP(Table3[[#This Row],[2022 Diameter]],[1]Pipes!$A:$B,2,FALSE)</f>
        <v>362.58707029616613</v>
      </c>
      <c r="L168" s="8">
        <f>IF(OR(IFERROR(Table3[[#This Row],[Diameter Change?]]="Yes","Yes"),Table3[[#This Row],[Pipe Added?]]="Yes"),Table3[[#This Row],[2043 Pipeline unit cost]]*Table3[[#This Row],[2043 Length]],0)</f>
        <v>0</v>
      </c>
      <c r="M168" s="2">
        <f>VLOOKUP(Table3[[#This Row],[Pipe_name]],[2]!Table1[[id3]:[Cost]],8,FALSE)</f>
        <v>0</v>
      </c>
      <c r="N168" s="2">
        <f>IFERROR(Table3[[#This Row],[2022 length]]*Table3[[#This Row],[2022 Pipeline unit cost]],0)</f>
        <v>5565.448653420186</v>
      </c>
      <c r="O168" s="2">
        <f>Table3[[#This Row],[2043 Length]]*Table3[[#This Row],[2043 Pipeline unit cost]]</f>
        <v>5565.448653420186</v>
      </c>
      <c r="P168" s="2">
        <f>MATCH(Table3[[#This Row],[Pipe_name]],'2022 pipes'!B:B,0)</f>
        <v>169</v>
      </c>
      <c r="Q168" s="2">
        <f>Table3[[#This Row],[2043 pipes]]-Table3[[#This Row],[Master Plan CAPEX Cost]]</f>
        <v>5565.448653420186</v>
      </c>
      <c r="R168" s="7">
        <f>Table3[[#This Row],[asdfa]]-Table3[[#This Row],[2022 total cost]]</f>
        <v>0</v>
      </c>
    </row>
    <row r="169" spans="1:18" x14ac:dyDescent="0.25">
      <c r="A169" s="1">
        <v>167</v>
      </c>
      <c r="B169" t="s">
        <v>184</v>
      </c>
      <c r="C169">
        <v>101</v>
      </c>
      <c r="D169">
        <v>48.553196</v>
      </c>
      <c r="E169">
        <f>VLOOKUP(Table3[[#This Row],[Pipe_name]],Table2[[Pipe_name]:[Original_Diameter]],2,FALSE)</f>
        <v>101</v>
      </c>
      <c r="F169">
        <f>VLOOKUP(Table3[[#This Row],[Pipe_name]],Table2[[Pipe_name]:[Length]],3,FALSE)</f>
        <v>48.553196</v>
      </c>
      <c r="G169" t="s">
        <v>331</v>
      </c>
      <c r="H169" t="str">
        <f>IF(Table3[[#This Row],[2043 Diameter]]=Table3[[#This Row],[2022 Diameter]],"No","Yes")</f>
        <v>No</v>
      </c>
      <c r="I169" t="str">
        <f>IF(Table3[[#This Row],[2043 Length]]=Table3[[#This Row],[2022 length]],"No","Yes")</f>
        <v>No</v>
      </c>
      <c r="J169" s="8">
        <f>VLOOKUP(Table3[[#This Row],[2043 Diameter]],[1]Pipes!$A:$B,2,FALSE)</f>
        <v>362.58707029616613</v>
      </c>
      <c r="K169" s="8">
        <f>VLOOKUP(Table3[[#This Row],[2022 Diameter]],[1]Pipes!$A:$B,2,FALSE)</f>
        <v>362.58707029616613</v>
      </c>
      <c r="L169" s="8">
        <f>IF(OR(IFERROR(Table3[[#This Row],[Diameter Change?]]="Yes","Yes"),Table3[[#This Row],[Pipe Added?]]="Yes"),Table3[[#This Row],[2043 Pipeline unit cost]]*Table3[[#This Row],[2043 Length]],0)</f>
        <v>0</v>
      </c>
      <c r="M169" s="2">
        <f>VLOOKUP(Table3[[#This Row],[Pipe_name]],[2]!Table1[[id3]:[Cost]],8,FALSE)</f>
        <v>0</v>
      </c>
      <c r="N169" s="2">
        <f>IFERROR(Table3[[#This Row],[2022 length]]*Table3[[#This Row],[2022 Pipeline unit cost]],0)</f>
        <v>17604.761091155531</v>
      </c>
      <c r="O169" s="2">
        <f>Table3[[#This Row],[2043 Length]]*Table3[[#This Row],[2043 Pipeline unit cost]]</f>
        <v>17604.761091155531</v>
      </c>
      <c r="P169" s="2">
        <f>MATCH(Table3[[#This Row],[Pipe_name]],'2022 pipes'!B:B,0)</f>
        <v>170</v>
      </c>
      <c r="Q169" s="2">
        <f>Table3[[#This Row],[2043 pipes]]-Table3[[#This Row],[Master Plan CAPEX Cost]]</f>
        <v>17604.761091155531</v>
      </c>
      <c r="R169" s="7">
        <f>Table3[[#This Row],[asdfa]]-Table3[[#This Row],[2022 total cost]]</f>
        <v>0</v>
      </c>
    </row>
    <row r="170" spans="1:18" x14ac:dyDescent="0.25">
      <c r="A170" s="1">
        <v>168</v>
      </c>
      <c r="B170" t="s">
        <v>185</v>
      </c>
      <c r="C170">
        <v>150</v>
      </c>
      <c r="D170">
        <v>3.5177619999999998</v>
      </c>
      <c r="E170">
        <f>VLOOKUP(Table3[[#This Row],[Pipe_name]],Table2[[Pipe_name]:[Original_Diameter]],2,FALSE)</f>
        <v>75</v>
      </c>
      <c r="F170">
        <f>VLOOKUP(Table3[[#This Row],[Pipe_name]],Table2[[Pipe_name]:[Length]],3,FALSE)</f>
        <v>3.5177619999999998</v>
      </c>
      <c r="G170" t="s">
        <v>331</v>
      </c>
      <c r="H170" t="str">
        <f>IF(Table3[[#This Row],[2043 Diameter]]=Table3[[#This Row],[2022 Diameter]],"No","Yes")</f>
        <v>Yes</v>
      </c>
      <c r="I170" t="str">
        <f>IF(Table3[[#This Row],[2043 Length]]=Table3[[#This Row],[2022 length]],"No","Yes")</f>
        <v>No</v>
      </c>
      <c r="J170" s="8">
        <f>VLOOKUP(Table3[[#This Row],[2043 Diameter]],[1]Pipes!$A:$B,2,FALSE)</f>
        <v>433.89080378537034</v>
      </c>
      <c r="K170" s="8">
        <f>VLOOKUP(Table3[[#This Row],[2022 Diameter]],[1]Pipes!$A:$B,2,FALSE)</f>
        <v>362.58707029616613</v>
      </c>
      <c r="L170" s="8">
        <f>IF(OR(IFERROR(Table3[[#This Row],[Diameter Change?]]="Yes","Yes"),Table3[[#This Row],[Pipe Added?]]="Yes"),Table3[[#This Row],[2043 Pipeline unit cost]]*Table3[[#This Row],[2043 Length]],0)</f>
        <v>1526.3245817056318</v>
      </c>
      <c r="M170" s="2">
        <f>VLOOKUP(Table3[[#This Row],[Pipe_name]],[2]!Table1[[id3]:[Cost]],8,FALSE)</f>
        <v>1526.4278477169328</v>
      </c>
      <c r="N170" s="2">
        <f>IFERROR(Table3[[#This Row],[2022 length]]*Table3[[#This Row],[2022 Pipeline unit cost]],0)</f>
        <v>1275.4950175791819</v>
      </c>
      <c r="O170" s="2">
        <f>Table3[[#This Row],[2043 Length]]*Table3[[#This Row],[2043 Pipeline unit cost]]</f>
        <v>1526.3245817056318</v>
      </c>
      <c r="P170" s="2">
        <f>MATCH(Table3[[#This Row],[Pipe_name]],'2022 pipes'!B:B,0)</f>
        <v>171</v>
      </c>
      <c r="Q170" s="2">
        <f>Table3[[#This Row],[2043 pipes]]-Table3[[#This Row],[Master Plan CAPEX Cost]]</f>
        <v>0</v>
      </c>
      <c r="R170" s="7">
        <f>Table3[[#This Row],[asdfa]]-Table3[[#This Row],[2022 total cost]]</f>
        <v>-1275.4950175791819</v>
      </c>
    </row>
    <row r="171" spans="1:18" x14ac:dyDescent="0.25">
      <c r="A171" s="1">
        <v>169</v>
      </c>
      <c r="B171" t="s">
        <v>186</v>
      </c>
      <c r="C171">
        <v>96</v>
      </c>
      <c r="D171">
        <v>9.5849220000000006</v>
      </c>
      <c r="E171">
        <f>VLOOKUP(Table3[[#This Row],[Pipe_name]],Table2[[Pipe_name]:[Original_Diameter]],2,FALSE)</f>
        <v>96</v>
      </c>
      <c r="F171">
        <f>VLOOKUP(Table3[[#This Row],[Pipe_name]],Table2[[Pipe_name]:[Length]],3,FALSE)</f>
        <v>9.5849220000000006</v>
      </c>
      <c r="G171" t="s">
        <v>331</v>
      </c>
      <c r="H171" t="str">
        <f>IF(Table3[[#This Row],[2043 Diameter]]=Table3[[#This Row],[2022 Diameter]],"No","Yes")</f>
        <v>No</v>
      </c>
      <c r="I171" t="str">
        <f>IF(Table3[[#This Row],[2043 Length]]=Table3[[#This Row],[2022 length]],"No","Yes")</f>
        <v>No</v>
      </c>
      <c r="J171" s="8">
        <f>VLOOKUP(Table3[[#This Row],[2043 Diameter]],[1]Pipes!$A:$B,2,FALSE)</f>
        <v>362.58707029616613</v>
      </c>
      <c r="K171" s="8">
        <f>VLOOKUP(Table3[[#This Row],[2022 Diameter]],[1]Pipes!$A:$B,2,FALSE)</f>
        <v>362.58707029616613</v>
      </c>
      <c r="L171" s="8">
        <f>IF(OR(IFERROR(Table3[[#This Row],[Diameter Change?]]="Yes","Yes"),Table3[[#This Row],[Pipe Added?]]="Yes"),Table3[[#This Row],[2043 Pipeline unit cost]]*Table3[[#This Row],[2043 Length]],0)</f>
        <v>0</v>
      </c>
      <c r="M171" s="2">
        <f>VLOOKUP(Table3[[#This Row],[Pipe_name]],[2]!Table1[[id3]:[Cost]],8,FALSE)</f>
        <v>0</v>
      </c>
      <c r="N171" s="2">
        <f>IFERROR(Table3[[#This Row],[2022 length]]*Table3[[#This Row],[2022 Pipeline unit cost]],0)</f>
        <v>3475.3687869972696</v>
      </c>
      <c r="O171" s="2">
        <f>Table3[[#This Row],[2043 Length]]*Table3[[#This Row],[2043 Pipeline unit cost]]</f>
        <v>3475.3687869972696</v>
      </c>
      <c r="P171" s="2">
        <f>MATCH(Table3[[#This Row],[Pipe_name]],'2022 pipes'!B:B,0)</f>
        <v>172</v>
      </c>
      <c r="Q171" s="2">
        <f>Table3[[#This Row],[2043 pipes]]-Table3[[#This Row],[Master Plan CAPEX Cost]]</f>
        <v>3475.3687869972696</v>
      </c>
      <c r="R171" s="7">
        <f>Table3[[#This Row],[asdfa]]-Table3[[#This Row],[2022 total cost]]</f>
        <v>0</v>
      </c>
    </row>
    <row r="172" spans="1:18" x14ac:dyDescent="0.25">
      <c r="A172" s="1">
        <v>170</v>
      </c>
      <c r="B172" t="s">
        <v>187</v>
      </c>
      <c r="C172">
        <v>96</v>
      </c>
      <c r="D172">
        <v>2.2259570000000002</v>
      </c>
      <c r="E172">
        <f>VLOOKUP(Table3[[#This Row],[Pipe_name]],Table2[[Pipe_name]:[Original_Diameter]],2,FALSE)</f>
        <v>96</v>
      </c>
      <c r="F172">
        <f>VLOOKUP(Table3[[#This Row],[Pipe_name]],Table2[[Pipe_name]:[Length]],3,FALSE)</f>
        <v>2.2259570000000002</v>
      </c>
      <c r="G172" t="s">
        <v>331</v>
      </c>
      <c r="H172" t="str">
        <f>IF(Table3[[#This Row],[2043 Diameter]]=Table3[[#This Row],[2022 Diameter]],"No","Yes")</f>
        <v>No</v>
      </c>
      <c r="I172" t="str">
        <f>IF(Table3[[#This Row],[2043 Length]]=Table3[[#This Row],[2022 length]],"No","Yes")</f>
        <v>No</v>
      </c>
      <c r="J172" s="8">
        <f>VLOOKUP(Table3[[#This Row],[2043 Diameter]],[1]Pipes!$A:$B,2,FALSE)</f>
        <v>362.58707029616613</v>
      </c>
      <c r="K172" s="8">
        <f>VLOOKUP(Table3[[#This Row],[2022 Diameter]],[1]Pipes!$A:$B,2,FALSE)</f>
        <v>362.58707029616613</v>
      </c>
      <c r="L172" s="8">
        <f>IF(OR(IFERROR(Table3[[#This Row],[Diameter Change?]]="Yes","Yes"),Table3[[#This Row],[Pipe Added?]]="Yes"),Table3[[#This Row],[2043 Pipeline unit cost]]*Table3[[#This Row],[2043 Length]],0)</f>
        <v>0</v>
      </c>
      <c r="M172" s="2">
        <f>VLOOKUP(Table3[[#This Row],[Pipe_name]],[2]!Table1[[id3]:[Cost]],8,FALSE)</f>
        <v>0</v>
      </c>
      <c r="N172" s="2">
        <f>IFERROR(Table3[[#This Row],[2022 length]]*Table3[[#This Row],[2022 Pipeline unit cost]],0)</f>
        <v>807.10322723524314</v>
      </c>
      <c r="O172" s="2">
        <f>Table3[[#This Row],[2043 Length]]*Table3[[#This Row],[2043 Pipeline unit cost]]</f>
        <v>807.10322723524314</v>
      </c>
      <c r="P172" s="2">
        <f>MATCH(Table3[[#This Row],[Pipe_name]],'2022 pipes'!B:B,0)</f>
        <v>173</v>
      </c>
      <c r="Q172" s="2">
        <f>Table3[[#This Row],[2043 pipes]]-Table3[[#This Row],[Master Plan CAPEX Cost]]</f>
        <v>807.10322723524314</v>
      </c>
      <c r="R172" s="7">
        <f>Table3[[#This Row],[asdfa]]-Table3[[#This Row],[2022 total cost]]</f>
        <v>0</v>
      </c>
    </row>
    <row r="173" spans="1:18" x14ac:dyDescent="0.25">
      <c r="A173" s="1">
        <v>171</v>
      </c>
      <c r="B173" t="s">
        <v>188</v>
      </c>
      <c r="C173">
        <v>96</v>
      </c>
      <c r="D173">
        <v>178.84324599999999</v>
      </c>
      <c r="E173">
        <f>VLOOKUP(Table3[[#This Row],[Pipe_name]],Table2[[Pipe_name]:[Original_Diameter]],2,FALSE)</f>
        <v>96</v>
      </c>
      <c r="F173">
        <f>VLOOKUP(Table3[[#This Row],[Pipe_name]],Table2[[Pipe_name]:[Length]],3,FALSE)</f>
        <v>178.84324599999999</v>
      </c>
      <c r="G173" t="s">
        <v>331</v>
      </c>
      <c r="H173" t="str">
        <f>IF(Table3[[#This Row],[2043 Diameter]]=Table3[[#This Row],[2022 Diameter]],"No","Yes")</f>
        <v>No</v>
      </c>
      <c r="I173" t="str">
        <f>IF(Table3[[#This Row],[2043 Length]]=Table3[[#This Row],[2022 length]],"No","Yes")</f>
        <v>No</v>
      </c>
      <c r="J173" s="8">
        <f>VLOOKUP(Table3[[#This Row],[2043 Diameter]],[1]Pipes!$A:$B,2,FALSE)</f>
        <v>362.58707029616613</v>
      </c>
      <c r="K173" s="8">
        <f>VLOOKUP(Table3[[#This Row],[2022 Diameter]],[1]Pipes!$A:$B,2,FALSE)</f>
        <v>362.58707029616613</v>
      </c>
      <c r="L173" s="8">
        <f>IF(OR(IFERROR(Table3[[#This Row],[Diameter Change?]]="Yes","Yes"),Table3[[#This Row],[Pipe Added?]]="Yes"),Table3[[#This Row],[2043 Pipeline unit cost]]*Table3[[#This Row],[2043 Length]],0)</f>
        <v>0</v>
      </c>
      <c r="M173" s="2">
        <f>VLOOKUP(Table3[[#This Row],[Pipe_name]],[2]!Table1[[id3]:[Cost]],8,FALSE)</f>
        <v>0</v>
      </c>
      <c r="N173" s="2">
        <f>IFERROR(Table3[[#This Row],[2022 length]]*Table3[[#This Row],[2022 Pipeline unit cost]],0)</f>
        <v>64846.248609396527</v>
      </c>
      <c r="O173" s="2">
        <f>Table3[[#This Row],[2043 Length]]*Table3[[#This Row],[2043 Pipeline unit cost]]</f>
        <v>64846.248609396527</v>
      </c>
      <c r="P173" s="2">
        <f>MATCH(Table3[[#This Row],[Pipe_name]],'2022 pipes'!B:B,0)</f>
        <v>174</v>
      </c>
      <c r="Q173" s="2">
        <f>Table3[[#This Row],[2043 pipes]]-Table3[[#This Row],[Master Plan CAPEX Cost]]</f>
        <v>64846.248609396527</v>
      </c>
      <c r="R173" s="7">
        <f>Table3[[#This Row],[asdfa]]-Table3[[#This Row],[2022 total cost]]</f>
        <v>0</v>
      </c>
    </row>
    <row r="174" spans="1:18" x14ac:dyDescent="0.25">
      <c r="A174" s="1">
        <v>172</v>
      </c>
      <c r="B174" t="s">
        <v>189</v>
      </c>
      <c r="C174">
        <v>96</v>
      </c>
      <c r="D174">
        <v>127.177818</v>
      </c>
      <c r="E174">
        <f>VLOOKUP(Table3[[#This Row],[Pipe_name]],Table2[[Pipe_name]:[Original_Diameter]],2,FALSE)</f>
        <v>96</v>
      </c>
      <c r="F174">
        <f>VLOOKUP(Table3[[#This Row],[Pipe_name]],Table2[[Pipe_name]:[Length]],3,FALSE)</f>
        <v>127.177818</v>
      </c>
      <c r="G174" t="s">
        <v>331</v>
      </c>
      <c r="H174" t="str">
        <f>IF(Table3[[#This Row],[2043 Diameter]]=Table3[[#This Row],[2022 Diameter]],"No","Yes")</f>
        <v>No</v>
      </c>
      <c r="I174" t="str">
        <f>IF(Table3[[#This Row],[2043 Length]]=Table3[[#This Row],[2022 length]],"No","Yes")</f>
        <v>No</v>
      </c>
      <c r="J174" s="8">
        <f>VLOOKUP(Table3[[#This Row],[2043 Diameter]],[1]Pipes!$A:$B,2,FALSE)</f>
        <v>362.58707029616613</v>
      </c>
      <c r="K174" s="8">
        <f>VLOOKUP(Table3[[#This Row],[2022 Diameter]],[1]Pipes!$A:$B,2,FALSE)</f>
        <v>362.58707029616613</v>
      </c>
      <c r="L174" s="8">
        <f>IF(OR(IFERROR(Table3[[#This Row],[Diameter Change?]]="Yes","Yes"),Table3[[#This Row],[Pipe Added?]]="Yes"),Table3[[#This Row],[2043 Pipeline unit cost]]*Table3[[#This Row],[2043 Length]],0)</f>
        <v>0</v>
      </c>
      <c r="M174" s="2">
        <f>VLOOKUP(Table3[[#This Row],[Pipe_name]],[2]!Table1[[id3]:[Cost]],8,FALSE)</f>
        <v>0</v>
      </c>
      <c r="N174" s="2">
        <f>IFERROR(Table3[[#This Row],[2022 length]]*Table3[[#This Row],[2022 Pipeline unit cost]],0)</f>
        <v>46113.032435279027</v>
      </c>
      <c r="O174" s="2">
        <f>Table3[[#This Row],[2043 Length]]*Table3[[#This Row],[2043 Pipeline unit cost]]</f>
        <v>46113.032435279027</v>
      </c>
      <c r="P174" s="2">
        <f>MATCH(Table3[[#This Row],[Pipe_name]],'2022 pipes'!B:B,0)</f>
        <v>175</v>
      </c>
      <c r="Q174" s="2">
        <f>Table3[[#This Row],[2043 pipes]]-Table3[[#This Row],[Master Plan CAPEX Cost]]</f>
        <v>46113.032435279027</v>
      </c>
      <c r="R174" s="7">
        <f>Table3[[#This Row],[asdfa]]-Table3[[#This Row],[2022 total cost]]</f>
        <v>0</v>
      </c>
    </row>
    <row r="175" spans="1:18" x14ac:dyDescent="0.25">
      <c r="A175" s="1">
        <v>173</v>
      </c>
      <c r="B175" t="s">
        <v>190</v>
      </c>
      <c r="C175">
        <v>96</v>
      </c>
      <c r="D175">
        <v>12.743964</v>
      </c>
      <c r="E175">
        <f>VLOOKUP(Table3[[#This Row],[Pipe_name]],Table2[[Pipe_name]:[Original_Diameter]],2,FALSE)</f>
        <v>96</v>
      </c>
      <c r="F175">
        <f>VLOOKUP(Table3[[#This Row],[Pipe_name]],Table2[[Pipe_name]:[Length]],3,FALSE)</f>
        <v>12.743964</v>
      </c>
      <c r="G175" t="s">
        <v>331</v>
      </c>
      <c r="H175" t="str">
        <f>IF(Table3[[#This Row],[2043 Diameter]]=Table3[[#This Row],[2022 Diameter]],"No","Yes")</f>
        <v>No</v>
      </c>
      <c r="I175" t="str">
        <f>IF(Table3[[#This Row],[2043 Length]]=Table3[[#This Row],[2022 length]],"No","Yes")</f>
        <v>No</v>
      </c>
      <c r="J175" s="8">
        <f>VLOOKUP(Table3[[#This Row],[2043 Diameter]],[1]Pipes!$A:$B,2,FALSE)</f>
        <v>362.58707029616613</v>
      </c>
      <c r="K175" s="8">
        <f>VLOOKUP(Table3[[#This Row],[2022 Diameter]],[1]Pipes!$A:$B,2,FALSE)</f>
        <v>362.58707029616613</v>
      </c>
      <c r="L175" s="8">
        <f>IF(OR(IFERROR(Table3[[#This Row],[Diameter Change?]]="Yes","Yes"),Table3[[#This Row],[Pipe Added?]]="Yes"),Table3[[#This Row],[2043 Pipeline unit cost]]*Table3[[#This Row],[2043 Length]],0)</f>
        <v>0</v>
      </c>
      <c r="M175" s="2">
        <f>VLOOKUP(Table3[[#This Row],[Pipe_name]],[2]!Table1[[id3]:[Cost]],8,FALSE)</f>
        <v>0</v>
      </c>
      <c r="N175" s="2">
        <f>IFERROR(Table3[[#This Row],[2022 length]]*Table3[[#This Row],[2022 Pipeline unit cost]],0)</f>
        <v>4620.7965707198109</v>
      </c>
      <c r="O175" s="2">
        <f>Table3[[#This Row],[2043 Length]]*Table3[[#This Row],[2043 Pipeline unit cost]]</f>
        <v>4620.7965707198109</v>
      </c>
      <c r="P175" s="2">
        <f>MATCH(Table3[[#This Row],[Pipe_name]],'2022 pipes'!B:B,0)</f>
        <v>176</v>
      </c>
      <c r="Q175" s="2">
        <f>Table3[[#This Row],[2043 pipes]]-Table3[[#This Row],[Master Plan CAPEX Cost]]</f>
        <v>4620.7965707198109</v>
      </c>
      <c r="R175" s="7">
        <f>Table3[[#This Row],[asdfa]]-Table3[[#This Row],[2022 total cost]]</f>
        <v>0</v>
      </c>
    </row>
    <row r="176" spans="1:18" x14ac:dyDescent="0.25">
      <c r="A176" s="1">
        <v>174</v>
      </c>
      <c r="B176" t="s">
        <v>191</v>
      </c>
      <c r="C176">
        <v>101</v>
      </c>
      <c r="D176">
        <v>408.69790599999999</v>
      </c>
      <c r="E176">
        <f>VLOOKUP(Table3[[#This Row],[Pipe_name]],Table2[[Pipe_name]:[Original_Diameter]],2,FALSE)</f>
        <v>101</v>
      </c>
      <c r="F176">
        <f>VLOOKUP(Table3[[#This Row],[Pipe_name]],Table2[[Pipe_name]:[Length]],3,FALSE)</f>
        <v>408.69790599999999</v>
      </c>
      <c r="G176" t="s">
        <v>331</v>
      </c>
      <c r="H176" t="str">
        <f>IF(Table3[[#This Row],[2043 Diameter]]=Table3[[#This Row],[2022 Diameter]],"No","Yes")</f>
        <v>No</v>
      </c>
      <c r="I176" t="str">
        <f>IF(Table3[[#This Row],[2043 Length]]=Table3[[#This Row],[2022 length]],"No","Yes")</f>
        <v>No</v>
      </c>
      <c r="J176" s="8">
        <f>VLOOKUP(Table3[[#This Row],[2043 Diameter]],[1]Pipes!$A:$B,2,FALSE)</f>
        <v>362.58707029616613</v>
      </c>
      <c r="K176" s="8">
        <f>VLOOKUP(Table3[[#This Row],[2022 Diameter]],[1]Pipes!$A:$B,2,FALSE)</f>
        <v>362.58707029616613</v>
      </c>
      <c r="L176" s="8">
        <f>IF(OR(IFERROR(Table3[[#This Row],[Diameter Change?]]="Yes","Yes"),Table3[[#This Row],[Pipe Added?]]="Yes"),Table3[[#This Row],[2043 Pipeline unit cost]]*Table3[[#This Row],[2043 Length]],0)</f>
        <v>0</v>
      </c>
      <c r="M176" s="2">
        <f>VLOOKUP(Table3[[#This Row],[Pipe_name]],[2]!Table1[[id3]:[Cost]],8,FALSE)</f>
        <v>0</v>
      </c>
      <c r="N176" s="2">
        <f>IFERROR(Table3[[#This Row],[2022 length]]*Table3[[#This Row],[2022 Pipeline unit cost]],0)</f>
        <v>148188.57637271789</v>
      </c>
      <c r="O176" s="2">
        <f>Table3[[#This Row],[2043 Length]]*Table3[[#This Row],[2043 Pipeline unit cost]]</f>
        <v>148188.57637271789</v>
      </c>
      <c r="P176" s="2">
        <f>MATCH(Table3[[#This Row],[Pipe_name]],'2022 pipes'!B:B,0)</f>
        <v>177</v>
      </c>
      <c r="Q176" s="2">
        <f>Table3[[#This Row],[2043 pipes]]-Table3[[#This Row],[Master Plan CAPEX Cost]]</f>
        <v>148188.57637271789</v>
      </c>
      <c r="R176" s="7">
        <f>Table3[[#This Row],[asdfa]]-Table3[[#This Row],[2022 total cost]]</f>
        <v>0</v>
      </c>
    </row>
    <row r="177" spans="1:18" x14ac:dyDescent="0.25">
      <c r="A177" s="1">
        <v>175</v>
      </c>
      <c r="B177" t="s">
        <v>192</v>
      </c>
      <c r="C177">
        <v>96</v>
      </c>
      <c r="D177">
        <v>107.99260700000001</v>
      </c>
      <c r="E177">
        <f>VLOOKUP(Table3[[#This Row],[Pipe_name]],Table2[[Pipe_name]:[Original_Diameter]],2,FALSE)</f>
        <v>96</v>
      </c>
      <c r="F177">
        <f>VLOOKUP(Table3[[#This Row],[Pipe_name]],Table2[[Pipe_name]:[Length]],3,FALSE)</f>
        <v>107.99260700000001</v>
      </c>
      <c r="G177" t="s">
        <v>331</v>
      </c>
      <c r="H177" t="str">
        <f>IF(Table3[[#This Row],[2043 Diameter]]=Table3[[#This Row],[2022 Diameter]],"No","Yes")</f>
        <v>No</v>
      </c>
      <c r="I177" t="str">
        <f>IF(Table3[[#This Row],[2043 Length]]=Table3[[#This Row],[2022 length]],"No","Yes")</f>
        <v>No</v>
      </c>
      <c r="J177" s="8">
        <f>VLOOKUP(Table3[[#This Row],[2043 Diameter]],[1]Pipes!$A:$B,2,FALSE)</f>
        <v>362.58707029616613</v>
      </c>
      <c r="K177" s="8">
        <f>VLOOKUP(Table3[[#This Row],[2022 Diameter]],[1]Pipes!$A:$B,2,FALSE)</f>
        <v>362.58707029616613</v>
      </c>
      <c r="L177" s="8">
        <f>IF(OR(IFERROR(Table3[[#This Row],[Diameter Change?]]="Yes","Yes"),Table3[[#This Row],[Pipe Added?]]="Yes"),Table3[[#This Row],[2043 Pipeline unit cost]]*Table3[[#This Row],[2043 Length]],0)</f>
        <v>0</v>
      </c>
      <c r="M177" s="2">
        <f>VLOOKUP(Table3[[#This Row],[Pipe_name]],[2]!Table1[[id3]:[Cost]],8,FALSE)</f>
        <v>0</v>
      </c>
      <c r="N177" s="2">
        <f>IFERROR(Table3[[#This Row],[2022 length]]*Table3[[#This Row],[2022 Pipeline unit cost]],0)</f>
        <v>39156.722985775246</v>
      </c>
      <c r="O177" s="2">
        <f>Table3[[#This Row],[2043 Length]]*Table3[[#This Row],[2043 Pipeline unit cost]]</f>
        <v>39156.722985775246</v>
      </c>
      <c r="P177" s="2">
        <f>MATCH(Table3[[#This Row],[Pipe_name]],'2022 pipes'!B:B,0)</f>
        <v>178</v>
      </c>
      <c r="Q177" s="2">
        <f>Table3[[#This Row],[2043 pipes]]-Table3[[#This Row],[Master Plan CAPEX Cost]]</f>
        <v>39156.722985775246</v>
      </c>
      <c r="R177" s="7">
        <f>Table3[[#This Row],[asdfa]]-Table3[[#This Row],[2022 total cost]]</f>
        <v>0</v>
      </c>
    </row>
    <row r="178" spans="1:18" x14ac:dyDescent="0.25">
      <c r="A178" s="1">
        <v>176</v>
      </c>
      <c r="B178" t="s">
        <v>193</v>
      </c>
      <c r="C178">
        <v>96</v>
      </c>
      <c r="D178">
        <v>2.132644</v>
      </c>
      <c r="E178">
        <f>VLOOKUP(Table3[[#This Row],[Pipe_name]],Table2[[Pipe_name]:[Original_Diameter]],2,FALSE)</f>
        <v>96</v>
      </c>
      <c r="F178">
        <f>VLOOKUP(Table3[[#This Row],[Pipe_name]],Table2[[Pipe_name]:[Length]],3,FALSE)</f>
        <v>2.132644</v>
      </c>
      <c r="G178" t="s">
        <v>331</v>
      </c>
      <c r="H178" t="str">
        <f>IF(Table3[[#This Row],[2043 Diameter]]=Table3[[#This Row],[2022 Diameter]],"No","Yes")</f>
        <v>No</v>
      </c>
      <c r="I178" t="str">
        <f>IF(Table3[[#This Row],[2043 Length]]=Table3[[#This Row],[2022 length]],"No","Yes")</f>
        <v>No</v>
      </c>
      <c r="J178" s="8">
        <f>VLOOKUP(Table3[[#This Row],[2043 Diameter]],[1]Pipes!$A:$B,2,FALSE)</f>
        <v>362.58707029616613</v>
      </c>
      <c r="K178" s="8">
        <f>VLOOKUP(Table3[[#This Row],[2022 Diameter]],[1]Pipes!$A:$B,2,FALSE)</f>
        <v>362.58707029616613</v>
      </c>
      <c r="L178" s="8">
        <f>IF(OR(IFERROR(Table3[[#This Row],[Diameter Change?]]="Yes","Yes"),Table3[[#This Row],[Pipe Added?]]="Yes"),Table3[[#This Row],[2043 Pipeline unit cost]]*Table3[[#This Row],[2043 Length]],0)</f>
        <v>0</v>
      </c>
      <c r="M178" s="2">
        <f>VLOOKUP(Table3[[#This Row],[Pipe_name]],[2]!Table1[[id3]:[Cost]],8,FALSE)</f>
        <v>0</v>
      </c>
      <c r="N178" s="2">
        <f>IFERROR(Table3[[#This Row],[2022 length]]*Table3[[#This Row],[2022 Pipeline unit cost]],0)</f>
        <v>773.26913994469692</v>
      </c>
      <c r="O178" s="2">
        <f>Table3[[#This Row],[2043 Length]]*Table3[[#This Row],[2043 Pipeline unit cost]]</f>
        <v>773.26913994469692</v>
      </c>
      <c r="P178" s="2">
        <f>MATCH(Table3[[#This Row],[Pipe_name]],'2022 pipes'!B:B,0)</f>
        <v>179</v>
      </c>
      <c r="Q178" s="2">
        <f>Table3[[#This Row],[2043 pipes]]-Table3[[#This Row],[Master Plan CAPEX Cost]]</f>
        <v>773.26913994469692</v>
      </c>
      <c r="R178" s="7">
        <f>Table3[[#This Row],[asdfa]]-Table3[[#This Row],[2022 total cost]]</f>
        <v>0</v>
      </c>
    </row>
    <row r="179" spans="1:18" x14ac:dyDescent="0.25">
      <c r="A179" s="1">
        <v>177</v>
      </c>
      <c r="B179" t="s">
        <v>194</v>
      </c>
      <c r="C179">
        <v>96</v>
      </c>
      <c r="D179">
        <v>105.80323</v>
      </c>
      <c r="E179">
        <f>VLOOKUP(Table3[[#This Row],[Pipe_name]],Table2[[Pipe_name]:[Original_Diameter]],2,FALSE)</f>
        <v>96</v>
      </c>
      <c r="F179">
        <f>VLOOKUP(Table3[[#This Row],[Pipe_name]],Table2[[Pipe_name]:[Length]],3,FALSE)</f>
        <v>105.80323</v>
      </c>
      <c r="G179" t="s">
        <v>331</v>
      </c>
      <c r="H179" t="str">
        <f>IF(Table3[[#This Row],[2043 Diameter]]=Table3[[#This Row],[2022 Diameter]],"No","Yes")</f>
        <v>No</v>
      </c>
      <c r="I179" t="str">
        <f>IF(Table3[[#This Row],[2043 Length]]=Table3[[#This Row],[2022 length]],"No","Yes")</f>
        <v>No</v>
      </c>
      <c r="J179" s="8">
        <f>VLOOKUP(Table3[[#This Row],[2043 Diameter]],[1]Pipes!$A:$B,2,FALSE)</f>
        <v>362.58707029616613</v>
      </c>
      <c r="K179" s="8">
        <f>VLOOKUP(Table3[[#This Row],[2022 Diameter]],[1]Pipes!$A:$B,2,FALSE)</f>
        <v>362.58707029616613</v>
      </c>
      <c r="L179" s="8">
        <f>IF(OR(IFERROR(Table3[[#This Row],[Diameter Change?]]="Yes","Yes"),Table3[[#This Row],[Pipe Added?]]="Yes"),Table3[[#This Row],[2043 Pipeline unit cost]]*Table3[[#This Row],[2043 Length]],0)</f>
        <v>0</v>
      </c>
      <c r="M179" s="2">
        <f>VLOOKUP(Table3[[#This Row],[Pipe_name]],[2]!Table1[[id3]:[Cost]],8,FALSE)</f>
        <v>0</v>
      </c>
      <c r="N179" s="2">
        <f>IFERROR(Table3[[#This Row],[2022 length]]*Table3[[#This Row],[2022 Pipeline unit cost]],0)</f>
        <v>38362.883193571433</v>
      </c>
      <c r="O179" s="2">
        <f>Table3[[#This Row],[2043 Length]]*Table3[[#This Row],[2043 Pipeline unit cost]]</f>
        <v>38362.883193571433</v>
      </c>
      <c r="P179" s="2">
        <f>MATCH(Table3[[#This Row],[Pipe_name]],'2022 pipes'!B:B,0)</f>
        <v>180</v>
      </c>
      <c r="Q179" s="2">
        <f>Table3[[#This Row],[2043 pipes]]-Table3[[#This Row],[Master Plan CAPEX Cost]]</f>
        <v>38362.883193571433</v>
      </c>
      <c r="R179" s="7">
        <f>Table3[[#This Row],[asdfa]]-Table3[[#This Row],[2022 total cost]]</f>
        <v>0</v>
      </c>
    </row>
    <row r="180" spans="1:18" x14ac:dyDescent="0.25">
      <c r="A180" s="1">
        <v>178</v>
      </c>
      <c r="B180" t="s">
        <v>195</v>
      </c>
      <c r="C180">
        <v>101</v>
      </c>
      <c r="D180">
        <v>8.1444369999999999</v>
      </c>
      <c r="E180">
        <f>VLOOKUP(Table3[[#This Row],[Pipe_name]],Table2[[Pipe_name]:[Original_Diameter]],2,FALSE)</f>
        <v>101</v>
      </c>
      <c r="F180">
        <f>VLOOKUP(Table3[[#This Row],[Pipe_name]],Table2[[Pipe_name]:[Length]],3,FALSE)</f>
        <v>8.1444369999999999</v>
      </c>
      <c r="G180" t="s">
        <v>331</v>
      </c>
      <c r="H180" t="str">
        <f>IF(Table3[[#This Row],[2043 Diameter]]=Table3[[#This Row],[2022 Diameter]],"No","Yes")</f>
        <v>No</v>
      </c>
      <c r="I180" t="str">
        <f>IF(Table3[[#This Row],[2043 Length]]=Table3[[#This Row],[2022 length]],"No","Yes")</f>
        <v>No</v>
      </c>
      <c r="J180" s="8">
        <f>VLOOKUP(Table3[[#This Row],[2043 Diameter]],[1]Pipes!$A:$B,2,FALSE)</f>
        <v>362.58707029616613</v>
      </c>
      <c r="K180" s="8">
        <f>VLOOKUP(Table3[[#This Row],[2022 Diameter]],[1]Pipes!$A:$B,2,FALSE)</f>
        <v>362.58707029616613</v>
      </c>
      <c r="L180" s="8">
        <f>IF(OR(IFERROR(Table3[[#This Row],[Diameter Change?]]="Yes","Yes"),Table3[[#This Row],[Pipe Added?]]="Yes"),Table3[[#This Row],[2043 Pipeline unit cost]]*Table3[[#This Row],[2043 Length]],0)</f>
        <v>0</v>
      </c>
      <c r="M180" s="2">
        <f>VLOOKUP(Table3[[#This Row],[Pipe_name]],[2]!Table1[[id3]:[Cost]],8,FALSE)</f>
        <v>0</v>
      </c>
      <c r="N180" s="2">
        <f>IFERROR(Table3[[#This Row],[2022 length]]*Table3[[#This Row],[2022 Pipeline unit cost]],0)</f>
        <v>2953.0675510416963</v>
      </c>
      <c r="O180" s="2">
        <f>Table3[[#This Row],[2043 Length]]*Table3[[#This Row],[2043 Pipeline unit cost]]</f>
        <v>2953.0675510416963</v>
      </c>
      <c r="P180" s="2">
        <f>MATCH(Table3[[#This Row],[Pipe_name]],'2022 pipes'!B:B,0)</f>
        <v>181</v>
      </c>
      <c r="Q180" s="2">
        <f>Table3[[#This Row],[2043 pipes]]-Table3[[#This Row],[Master Plan CAPEX Cost]]</f>
        <v>2953.0675510416963</v>
      </c>
      <c r="R180" s="7">
        <f>Table3[[#This Row],[asdfa]]-Table3[[#This Row],[2022 total cost]]</f>
        <v>0</v>
      </c>
    </row>
    <row r="181" spans="1:18" x14ac:dyDescent="0.25">
      <c r="A181" s="1">
        <v>179</v>
      </c>
      <c r="B181" t="s">
        <v>196</v>
      </c>
      <c r="C181">
        <v>101</v>
      </c>
      <c r="D181">
        <v>211.655563</v>
      </c>
      <c r="E181">
        <f>VLOOKUP(Table3[[#This Row],[Pipe_name]],Table2[[Pipe_name]:[Original_Diameter]],2,FALSE)</f>
        <v>101</v>
      </c>
      <c r="F181">
        <f>VLOOKUP(Table3[[#This Row],[Pipe_name]],Table2[[Pipe_name]:[Length]],3,FALSE)</f>
        <v>211.655563</v>
      </c>
      <c r="G181" t="s">
        <v>331</v>
      </c>
      <c r="H181" t="str">
        <f>IF(Table3[[#This Row],[2043 Diameter]]=Table3[[#This Row],[2022 Diameter]],"No","Yes")</f>
        <v>No</v>
      </c>
      <c r="I181" t="str">
        <f>IF(Table3[[#This Row],[2043 Length]]=Table3[[#This Row],[2022 length]],"No","Yes")</f>
        <v>No</v>
      </c>
      <c r="J181" s="8">
        <f>VLOOKUP(Table3[[#This Row],[2043 Diameter]],[1]Pipes!$A:$B,2,FALSE)</f>
        <v>362.58707029616613</v>
      </c>
      <c r="K181" s="8">
        <f>VLOOKUP(Table3[[#This Row],[2022 Diameter]],[1]Pipes!$A:$B,2,FALSE)</f>
        <v>362.58707029616613</v>
      </c>
      <c r="L181" s="8">
        <f>IF(OR(IFERROR(Table3[[#This Row],[Diameter Change?]]="Yes","Yes"),Table3[[#This Row],[Pipe Added?]]="Yes"),Table3[[#This Row],[2043 Pipeline unit cost]]*Table3[[#This Row],[2043 Length]],0)</f>
        <v>0</v>
      </c>
      <c r="M181" s="2">
        <f>VLOOKUP(Table3[[#This Row],[Pipe_name]],[2]!Table1[[id3]:[Cost]],8,FALSE)</f>
        <v>0</v>
      </c>
      <c r="N181" s="2">
        <f>IFERROR(Table3[[#This Row],[2022 length]]*Table3[[#This Row],[2022 Pipeline unit cost]],0)</f>
        <v>76743.570500055619</v>
      </c>
      <c r="O181" s="2">
        <f>Table3[[#This Row],[2043 Length]]*Table3[[#This Row],[2043 Pipeline unit cost]]</f>
        <v>76743.570500055619</v>
      </c>
      <c r="P181" s="2">
        <f>MATCH(Table3[[#This Row],[Pipe_name]],'2022 pipes'!B:B,0)</f>
        <v>182</v>
      </c>
      <c r="Q181" s="2">
        <f>Table3[[#This Row],[2043 pipes]]-Table3[[#This Row],[Master Plan CAPEX Cost]]</f>
        <v>76743.570500055619</v>
      </c>
      <c r="R181" s="7">
        <f>Table3[[#This Row],[asdfa]]-Table3[[#This Row],[2022 total cost]]</f>
        <v>0</v>
      </c>
    </row>
    <row r="182" spans="1:18" x14ac:dyDescent="0.25">
      <c r="A182" s="1">
        <v>180</v>
      </c>
      <c r="B182" t="s">
        <v>197</v>
      </c>
      <c r="C182">
        <v>96</v>
      </c>
      <c r="D182">
        <v>8.5563300000000009</v>
      </c>
      <c r="E182">
        <f>VLOOKUP(Table3[[#This Row],[Pipe_name]],Table2[[Pipe_name]:[Original_Diameter]],2,FALSE)</f>
        <v>96</v>
      </c>
      <c r="F182">
        <f>VLOOKUP(Table3[[#This Row],[Pipe_name]],Table2[[Pipe_name]:[Length]],3,FALSE)</f>
        <v>8.5563300000000009</v>
      </c>
      <c r="G182" t="s">
        <v>331</v>
      </c>
      <c r="H182" t="str">
        <f>IF(Table3[[#This Row],[2043 Diameter]]=Table3[[#This Row],[2022 Diameter]],"No","Yes")</f>
        <v>No</v>
      </c>
      <c r="I182" t="str">
        <f>IF(Table3[[#This Row],[2043 Length]]=Table3[[#This Row],[2022 length]],"No","Yes")</f>
        <v>No</v>
      </c>
      <c r="J182" s="8">
        <f>VLOOKUP(Table3[[#This Row],[2043 Diameter]],[1]Pipes!$A:$B,2,FALSE)</f>
        <v>362.58707029616613</v>
      </c>
      <c r="K182" s="8">
        <f>VLOOKUP(Table3[[#This Row],[2022 Diameter]],[1]Pipes!$A:$B,2,FALSE)</f>
        <v>362.58707029616613</v>
      </c>
      <c r="L182" s="8">
        <f>IF(OR(IFERROR(Table3[[#This Row],[Diameter Change?]]="Yes","Yes"),Table3[[#This Row],[Pipe Added?]]="Yes"),Table3[[#This Row],[2043 Pipeline unit cost]]*Table3[[#This Row],[2043 Length]],0)</f>
        <v>0</v>
      </c>
      <c r="M182" s="2">
        <f>VLOOKUP(Table3[[#This Row],[Pipe_name]],[2]!Table1[[id3]:[Cost]],8,FALSE)</f>
        <v>0</v>
      </c>
      <c r="N182" s="2">
        <f>IFERROR(Table3[[#This Row],[2022 length]]*Table3[[#This Row],[2022 Pipeline unit cost]],0)</f>
        <v>3102.4146271871955</v>
      </c>
      <c r="O182" s="2">
        <f>Table3[[#This Row],[2043 Length]]*Table3[[#This Row],[2043 Pipeline unit cost]]</f>
        <v>3102.4146271871955</v>
      </c>
      <c r="P182" s="2">
        <f>MATCH(Table3[[#This Row],[Pipe_name]],'2022 pipes'!B:B,0)</f>
        <v>183</v>
      </c>
      <c r="Q182" s="2">
        <f>Table3[[#This Row],[2043 pipes]]-Table3[[#This Row],[Master Plan CAPEX Cost]]</f>
        <v>3102.4146271871955</v>
      </c>
      <c r="R182" s="7">
        <f>Table3[[#This Row],[asdfa]]-Table3[[#This Row],[2022 total cost]]</f>
        <v>0</v>
      </c>
    </row>
    <row r="183" spans="1:18" x14ac:dyDescent="0.25">
      <c r="A183" s="1">
        <v>181</v>
      </c>
      <c r="B183" t="s">
        <v>198</v>
      </c>
      <c r="C183">
        <v>101</v>
      </c>
      <c r="D183">
        <v>2.8590740000000001</v>
      </c>
      <c r="E183">
        <f>VLOOKUP(Table3[[#This Row],[Pipe_name]],Table2[[Pipe_name]:[Original_Diameter]],2,FALSE)</f>
        <v>101</v>
      </c>
      <c r="F183">
        <f>VLOOKUP(Table3[[#This Row],[Pipe_name]],Table2[[Pipe_name]:[Length]],3,FALSE)</f>
        <v>2.8590740000000001</v>
      </c>
      <c r="G183" t="s">
        <v>331</v>
      </c>
      <c r="H183" t="str">
        <f>IF(Table3[[#This Row],[2043 Diameter]]=Table3[[#This Row],[2022 Diameter]],"No","Yes")</f>
        <v>No</v>
      </c>
      <c r="I183" t="str">
        <f>IF(Table3[[#This Row],[2043 Length]]=Table3[[#This Row],[2022 length]],"No","Yes")</f>
        <v>No</v>
      </c>
      <c r="J183" s="8">
        <f>VLOOKUP(Table3[[#This Row],[2043 Diameter]],[1]Pipes!$A:$B,2,FALSE)</f>
        <v>362.58707029616613</v>
      </c>
      <c r="K183" s="8">
        <f>VLOOKUP(Table3[[#This Row],[2022 Diameter]],[1]Pipes!$A:$B,2,FALSE)</f>
        <v>362.58707029616613</v>
      </c>
      <c r="L183" s="8">
        <f>IF(OR(IFERROR(Table3[[#This Row],[Diameter Change?]]="Yes","Yes"),Table3[[#This Row],[Pipe Added?]]="Yes"),Table3[[#This Row],[2043 Pipeline unit cost]]*Table3[[#This Row],[2043 Length]],0)</f>
        <v>0</v>
      </c>
      <c r="M183" s="2">
        <f>VLOOKUP(Table3[[#This Row],[Pipe_name]],[2]!Table1[[id3]:[Cost]],8,FALSE)</f>
        <v>0</v>
      </c>
      <c r="N183" s="2">
        <f>IFERROR(Table3[[#This Row],[2022 length]]*Table3[[#This Row],[2022 Pipeline unit cost]],0)</f>
        <v>1036.6632654199409</v>
      </c>
      <c r="O183" s="2">
        <f>Table3[[#This Row],[2043 Length]]*Table3[[#This Row],[2043 Pipeline unit cost]]</f>
        <v>1036.6632654199409</v>
      </c>
      <c r="P183" s="2">
        <f>MATCH(Table3[[#This Row],[Pipe_name]],'2022 pipes'!B:B,0)</f>
        <v>184</v>
      </c>
      <c r="Q183" s="2">
        <f>Table3[[#This Row],[2043 pipes]]-Table3[[#This Row],[Master Plan CAPEX Cost]]</f>
        <v>1036.6632654199409</v>
      </c>
      <c r="R183" s="7">
        <f>Table3[[#This Row],[asdfa]]-Table3[[#This Row],[2022 total cost]]</f>
        <v>0</v>
      </c>
    </row>
    <row r="184" spans="1:18" x14ac:dyDescent="0.25">
      <c r="A184" s="1">
        <v>182</v>
      </c>
      <c r="B184" t="s">
        <v>199</v>
      </c>
      <c r="C184">
        <v>96</v>
      </c>
      <c r="D184">
        <v>1.647084</v>
      </c>
      <c r="E184">
        <f>VLOOKUP(Table3[[#This Row],[Pipe_name]],Table2[[Pipe_name]:[Original_Diameter]],2,FALSE)</f>
        <v>96</v>
      </c>
      <c r="F184">
        <f>VLOOKUP(Table3[[#This Row],[Pipe_name]],Table2[[Pipe_name]:[Length]],3,FALSE)</f>
        <v>1.647084</v>
      </c>
      <c r="G184" t="s">
        <v>331</v>
      </c>
      <c r="H184" t="str">
        <f>IF(Table3[[#This Row],[2043 Diameter]]=Table3[[#This Row],[2022 Diameter]],"No","Yes")</f>
        <v>No</v>
      </c>
      <c r="I184" t="str">
        <f>IF(Table3[[#This Row],[2043 Length]]=Table3[[#This Row],[2022 length]],"No","Yes")</f>
        <v>No</v>
      </c>
      <c r="J184" s="8">
        <f>VLOOKUP(Table3[[#This Row],[2043 Diameter]],[1]Pipes!$A:$B,2,FALSE)</f>
        <v>362.58707029616613</v>
      </c>
      <c r="K184" s="8">
        <f>VLOOKUP(Table3[[#This Row],[2022 Diameter]],[1]Pipes!$A:$B,2,FALSE)</f>
        <v>362.58707029616613</v>
      </c>
      <c r="L184" s="8">
        <f>IF(OR(IFERROR(Table3[[#This Row],[Diameter Change?]]="Yes","Yes"),Table3[[#This Row],[Pipe Added?]]="Yes"),Table3[[#This Row],[2043 Pipeline unit cost]]*Table3[[#This Row],[2043 Length]],0)</f>
        <v>0</v>
      </c>
      <c r="M184" s="2">
        <f>VLOOKUP(Table3[[#This Row],[Pipe_name]],[2]!Table1[[id3]:[Cost]],8,FALSE)</f>
        <v>0</v>
      </c>
      <c r="N184" s="2">
        <f>IFERROR(Table3[[#This Row],[2022 length]]*Table3[[#This Row],[2022 Pipeline unit cost]],0)</f>
        <v>597.21136209169049</v>
      </c>
      <c r="O184" s="2">
        <f>Table3[[#This Row],[2043 Length]]*Table3[[#This Row],[2043 Pipeline unit cost]]</f>
        <v>597.21136209169049</v>
      </c>
      <c r="P184" s="2">
        <f>MATCH(Table3[[#This Row],[Pipe_name]],'2022 pipes'!B:B,0)</f>
        <v>185</v>
      </c>
      <c r="Q184" s="2">
        <f>Table3[[#This Row],[2043 pipes]]-Table3[[#This Row],[Master Plan CAPEX Cost]]</f>
        <v>597.21136209169049</v>
      </c>
      <c r="R184" s="7">
        <f>Table3[[#This Row],[asdfa]]-Table3[[#This Row],[2022 total cost]]</f>
        <v>0</v>
      </c>
    </row>
    <row r="185" spans="1:18" x14ac:dyDescent="0.25">
      <c r="A185" s="1">
        <v>183</v>
      </c>
      <c r="B185" t="s">
        <v>200</v>
      </c>
      <c r="C185">
        <v>96</v>
      </c>
      <c r="D185">
        <v>59.371704000000001</v>
      </c>
      <c r="E185">
        <f>VLOOKUP(Table3[[#This Row],[Pipe_name]],Table2[[Pipe_name]:[Original_Diameter]],2,FALSE)</f>
        <v>96</v>
      </c>
      <c r="F185">
        <f>VLOOKUP(Table3[[#This Row],[Pipe_name]],Table2[[Pipe_name]:[Length]],3,FALSE)</f>
        <v>59.371704000000001</v>
      </c>
      <c r="G185" t="s">
        <v>331</v>
      </c>
      <c r="H185" t="str">
        <f>IF(Table3[[#This Row],[2043 Diameter]]=Table3[[#This Row],[2022 Diameter]],"No","Yes")</f>
        <v>No</v>
      </c>
      <c r="I185" t="str">
        <f>IF(Table3[[#This Row],[2043 Length]]=Table3[[#This Row],[2022 length]],"No","Yes")</f>
        <v>No</v>
      </c>
      <c r="J185" s="8">
        <f>VLOOKUP(Table3[[#This Row],[2043 Diameter]],[1]Pipes!$A:$B,2,FALSE)</f>
        <v>362.58707029616613</v>
      </c>
      <c r="K185" s="8">
        <f>VLOOKUP(Table3[[#This Row],[2022 Diameter]],[1]Pipes!$A:$B,2,FALSE)</f>
        <v>362.58707029616613</v>
      </c>
      <c r="L185" s="8">
        <f>IF(OR(IFERROR(Table3[[#This Row],[Diameter Change?]]="Yes","Yes"),Table3[[#This Row],[Pipe Added?]]="Yes"),Table3[[#This Row],[2043 Pipeline unit cost]]*Table3[[#This Row],[2043 Length]],0)</f>
        <v>0</v>
      </c>
      <c r="M185" s="2">
        <f>VLOOKUP(Table3[[#This Row],[Pipe_name]],[2]!Table1[[id3]:[Cost]],8,FALSE)</f>
        <v>0</v>
      </c>
      <c r="N185" s="2">
        <f>IFERROR(Table3[[#This Row],[2022 length]]*Table3[[#This Row],[2022 Pipeline unit cost]],0)</f>
        <v>21527.41221185117</v>
      </c>
      <c r="O185" s="2">
        <f>Table3[[#This Row],[2043 Length]]*Table3[[#This Row],[2043 Pipeline unit cost]]</f>
        <v>21527.41221185117</v>
      </c>
      <c r="P185" s="2">
        <f>MATCH(Table3[[#This Row],[Pipe_name]],'2022 pipes'!B:B,0)</f>
        <v>186</v>
      </c>
      <c r="Q185" s="2">
        <f>Table3[[#This Row],[2043 pipes]]-Table3[[#This Row],[Master Plan CAPEX Cost]]</f>
        <v>21527.41221185117</v>
      </c>
      <c r="R185" s="7">
        <f>Table3[[#This Row],[asdfa]]-Table3[[#This Row],[2022 total cost]]</f>
        <v>0</v>
      </c>
    </row>
    <row r="186" spans="1:18" x14ac:dyDescent="0.25">
      <c r="A186" s="1">
        <v>184</v>
      </c>
      <c r="B186" t="s">
        <v>201</v>
      </c>
      <c r="C186">
        <v>96</v>
      </c>
      <c r="D186">
        <v>265.91256700000002</v>
      </c>
      <c r="E186">
        <f>VLOOKUP(Table3[[#This Row],[Pipe_name]],Table2[[Pipe_name]:[Original_Diameter]],2,FALSE)</f>
        <v>96</v>
      </c>
      <c r="F186">
        <f>VLOOKUP(Table3[[#This Row],[Pipe_name]],Table2[[Pipe_name]:[Length]],3,FALSE)</f>
        <v>265.91256700000002</v>
      </c>
      <c r="G186" t="s">
        <v>331</v>
      </c>
      <c r="H186" t="str">
        <f>IF(Table3[[#This Row],[2043 Diameter]]=Table3[[#This Row],[2022 Diameter]],"No","Yes")</f>
        <v>No</v>
      </c>
      <c r="I186" t="str">
        <f>IF(Table3[[#This Row],[2043 Length]]=Table3[[#This Row],[2022 length]],"No","Yes")</f>
        <v>No</v>
      </c>
      <c r="J186" s="8">
        <f>VLOOKUP(Table3[[#This Row],[2043 Diameter]],[1]Pipes!$A:$B,2,FALSE)</f>
        <v>362.58707029616613</v>
      </c>
      <c r="K186" s="8">
        <f>VLOOKUP(Table3[[#This Row],[2022 Diameter]],[1]Pipes!$A:$B,2,FALSE)</f>
        <v>362.58707029616613</v>
      </c>
      <c r="L186" s="8">
        <f>IF(OR(IFERROR(Table3[[#This Row],[Diameter Change?]]="Yes","Yes"),Table3[[#This Row],[Pipe Added?]]="Yes"),Table3[[#This Row],[2043 Pipeline unit cost]]*Table3[[#This Row],[2043 Length]],0)</f>
        <v>0</v>
      </c>
      <c r="M186" s="2">
        <f>VLOOKUP(Table3[[#This Row],[Pipe_name]],[2]!Table1[[id3]:[Cost]],8,FALSE)</f>
        <v>0</v>
      </c>
      <c r="N186" s="2">
        <f>IFERROR(Table3[[#This Row],[2022 length]]*Table3[[#This Row],[2022 Pipeline unit cost]],0)</f>
        <v>96416.458623462997</v>
      </c>
      <c r="O186" s="2">
        <f>Table3[[#This Row],[2043 Length]]*Table3[[#This Row],[2043 Pipeline unit cost]]</f>
        <v>96416.458623462997</v>
      </c>
      <c r="P186" s="2">
        <f>MATCH(Table3[[#This Row],[Pipe_name]],'2022 pipes'!B:B,0)</f>
        <v>187</v>
      </c>
      <c r="Q186" s="2">
        <f>Table3[[#This Row],[2043 pipes]]-Table3[[#This Row],[Master Plan CAPEX Cost]]</f>
        <v>96416.458623462997</v>
      </c>
      <c r="R186" s="7">
        <f>Table3[[#This Row],[asdfa]]-Table3[[#This Row],[2022 total cost]]</f>
        <v>0</v>
      </c>
    </row>
    <row r="187" spans="1:18" x14ac:dyDescent="0.25">
      <c r="A187" s="1">
        <v>185</v>
      </c>
      <c r="B187" t="s">
        <v>202</v>
      </c>
      <c r="C187">
        <v>96</v>
      </c>
      <c r="D187">
        <v>5.6966479999999997</v>
      </c>
      <c r="E187">
        <f>VLOOKUP(Table3[[#This Row],[Pipe_name]],Table2[[Pipe_name]:[Original_Diameter]],2,FALSE)</f>
        <v>96</v>
      </c>
      <c r="F187">
        <f>VLOOKUP(Table3[[#This Row],[Pipe_name]],Table2[[Pipe_name]:[Length]],3,FALSE)</f>
        <v>5.6966479999999997</v>
      </c>
      <c r="G187" t="s">
        <v>331</v>
      </c>
      <c r="H187" t="str">
        <f>IF(Table3[[#This Row],[2043 Diameter]]=Table3[[#This Row],[2022 Diameter]],"No","Yes")</f>
        <v>No</v>
      </c>
      <c r="I187" t="str">
        <f>IF(Table3[[#This Row],[2043 Length]]=Table3[[#This Row],[2022 length]],"No","Yes")</f>
        <v>No</v>
      </c>
      <c r="J187" s="8">
        <f>VLOOKUP(Table3[[#This Row],[2043 Diameter]],[1]Pipes!$A:$B,2,FALSE)</f>
        <v>362.58707029616613</v>
      </c>
      <c r="K187" s="8">
        <f>VLOOKUP(Table3[[#This Row],[2022 Diameter]],[1]Pipes!$A:$B,2,FALSE)</f>
        <v>362.58707029616613</v>
      </c>
      <c r="L187" s="8">
        <f>IF(OR(IFERROR(Table3[[#This Row],[Diameter Change?]]="Yes","Yes"),Table3[[#This Row],[Pipe Added?]]="Yes"),Table3[[#This Row],[2043 Pipeline unit cost]]*Table3[[#This Row],[2043 Length]],0)</f>
        <v>0</v>
      </c>
      <c r="M187" s="2">
        <f>VLOOKUP(Table3[[#This Row],[Pipe_name]],[2]!Table1[[id3]:[Cost]],8,FALSE)</f>
        <v>0</v>
      </c>
      <c r="N187" s="2">
        <f>IFERROR(Table3[[#This Row],[2022 length]]*Table3[[#This Row],[2022 Pipeline unit cost]],0)</f>
        <v>2065.5309088285139</v>
      </c>
      <c r="O187" s="2">
        <f>Table3[[#This Row],[2043 Length]]*Table3[[#This Row],[2043 Pipeline unit cost]]</f>
        <v>2065.5309088285139</v>
      </c>
      <c r="P187" s="2">
        <f>MATCH(Table3[[#This Row],[Pipe_name]],'2022 pipes'!B:B,0)</f>
        <v>188</v>
      </c>
      <c r="Q187" s="2">
        <f>Table3[[#This Row],[2043 pipes]]-Table3[[#This Row],[Master Plan CAPEX Cost]]</f>
        <v>2065.5309088285139</v>
      </c>
      <c r="R187" s="7">
        <f>Table3[[#This Row],[asdfa]]-Table3[[#This Row],[2022 total cost]]</f>
        <v>0</v>
      </c>
    </row>
    <row r="188" spans="1:18" x14ac:dyDescent="0.25">
      <c r="A188" s="1">
        <v>186</v>
      </c>
      <c r="B188" t="s">
        <v>203</v>
      </c>
      <c r="C188">
        <v>96</v>
      </c>
      <c r="D188">
        <v>18.608585000000001</v>
      </c>
      <c r="E188">
        <f>VLOOKUP(Table3[[#This Row],[Pipe_name]],Table2[[Pipe_name]:[Original_Diameter]],2,FALSE)</f>
        <v>96</v>
      </c>
      <c r="F188">
        <f>VLOOKUP(Table3[[#This Row],[Pipe_name]],Table2[[Pipe_name]:[Length]],3,FALSE)</f>
        <v>18.608585000000001</v>
      </c>
      <c r="G188" t="s">
        <v>331</v>
      </c>
      <c r="H188" t="str">
        <f>IF(Table3[[#This Row],[2043 Diameter]]=Table3[[#This Row],[2022 Diameter]],"No","Yes")</f>
        <v>No</v>
      </c>
      <c r="I188" t="str">
        <f>IF(Table3[[#This Row],[2043 Length]]=Table3[[#This Row],[2022 length]],"No","Yes")</f>
        <v>No</v>
      </c>
      <c r="J188" s="8">
        <f>VLOOKUP(Table3[[#This Row],[2043 Diameter]],[1]Pipes!$A:$B,2,FALSE)</f>
        <v>362.58707029616613</v>
      </c>
      <c r="K188" s="8">
        <f>VLOOKUP(Table3[[#This Row],[2022 Diameter]],[1]Pipes!$A:$B,2,FALSE)</f>
        <v>362.58707029616613</v>
      </c>
      <c r="L188" s="8">
        <f>IF(OR(IFERROR(Table3[[#This Row],[Diameter Change?]]="Yes","Yes"),Table3[[#This Row],[Pipe Added?]]="Yes"),Table3[[#This Row],[2043 Pipeline unit cost]]*Table3[[#This Row],[2043 Length]],0)</f>
        <v>0</v>
      </c>
      <c r="M188" s="2">
        <f>VLOOKUP(Table3[[#This Row],[Pipe_name]],[2]!Table1[[id3]:[Cost]],8,FALSE)</f>
        <v>0</v>
      </c>
      <c r="N188" s="2">
        <f>IFERROR(Table3[[#This Row],[2022 length]]*Table3[[#This Row],[2022 Pipeline unit cost]],0)</f>
        <v>6747.2323175071833</v>
      </c>
      <c r="O188" s="2">
        <f>Table3[[#This Row],[2043 Length]]*Table3[[#This Row],[2043 Pipeline unit cost]]</f>
        <v>6747.2323175071833</v>
      </c>
      <c r="P188" s="2">
        <f>MATCH(Table3[[#This Row],[Pipe_name]],'2022 pipes'!B:B,0)</f>
        <v>189</v>
      </c>
      <c r="Q188" s="2">
        <f>Table3[[#This Row],[2043 pipes]]-Table3[[#This Row],[Master Plan CAPEX Cost]]</f>
        <v>6747.2323175071833</v>
      </c>
      <c r="R188" s="7">
        <f>Table3[[#This Row],[asdfa]]-Table3[[#This Row],[2022 total cost]]</f>
        <v>0</v>
      </c>
    </row>
    <row r="189" spans="1:18" x14ac:dyDescent="0.25">
      <c r="A189" s="1">
        <v>187</v>
      </c>
      <c r="B189" t="s">
        <v>204</v>
      </c>
      <c r="C189">
        <v>96</v>
      </c>
      <c r="D189">
        <v>6.4359479999999998</v>
      </c>
      <c r="E189">
        <f>VLOOKUP(Table3[[#This Row],[Pipe_name]],Table2[[Pipe_name]:[Original_Diameter]],2,FALSE)</f>
        <v>96</v>
      </c>
      <c r="F189">
        <f>VLOOKUP(Table3[[#This Row],[Pipe_name]],Table2[[Pipe_name]:[Length]],3,FALSE)</f>
        <v>6.4359479999999998</v>
      </c>
      <c r="G189" t="s">
        <v>331</v>
      </c>
      <c r="H189" t="str">
        <f>IF(Table3[[#This Row],[2043 Diameter]]=Table3[[#This Row],[2022 Diameter]],"No","Yes")</f>
        <v>No</v>
      </c>
      <c r="I189" t="str">
        <f>IF(Table3[[#This Row],[2043 Length]]=Table3[[#This Row],[2022 length]],"No","Yes")</f>
        <v>No</v>
      </c>
      <c r="J189" s="8">
        <f>VLOOKUP(Table3[[#This Row],[2043 Diameter]],[1]Pipes!$A:$B,2,FALSE)</f>
        <v>362.58707029616613</v>
      </c>
      <c r="K189" s="8">
        <f>VLOOKUP(Table3[[#This Row],[2022 Diameter]],[1]Pipes!$A:$B,2,FALSE)</f>
        <v>362.58707029616613</v>
      </c>
      <c r="L189" s="8">
        <f>IF(OR(IFERROR(Table3[[#This Row],[Diameter Change?]]="Yes","Yes"),Table3[[#This Row],[Pipe Added?]]="Yes"),Table3[[#This Row],[2043 Pipeline unit cost]]*Table3[[#This Row],[2043 Length]],0)</f>
        <v>0</v>
      </c>
      <c r="M189" s="2">
        <f>VLOOKUP(Table3[[#This Row],[Pipe_name]],[2]!Table1[[id3]:[Cost]],8,FALSE)</f>
        <v>0</v>
      </c>
      <c r="N189" s="2">
        <f>IFERROR(Table3[[#This Row],[2022 length]]*Table3[[#This Row],[2022 Pipeline unit cost]],0)</f>
        <v>2333.5915298984696</v>
      </c>
      <c r="O189" s="2">
        <f>Table3[[#This Row],[2043 Length]]*Table3[[#This Row],[2043 Pipeline unit cost]]</f>
        <v>2333.5915298984696</v>
      </c>
      <c r="P189" s="2">
        <f>MATCH(Table3[[#This Row],[Pipe_name]],'2022 pipes'!B:B,0)</f>
        <v>190</v>
      </c>
      <c r="Q189" s="2">
        <f>Table3[[#This Row],[2043 pipes]]-Table3[[#This Row],[Master Plan CAPEX Cost]]</f>
        <v>2333.5915298984696</v>
      </c>
      <c r="R189" s="7">
        <f>Table3[[#This Row],[asdfa]]-Table3[[#This Row],[2022 total cost]]</f>
        <v>0</v>
      </c>
    </row>
    <row r="190" spans="1:18" x14ac:dyDescent="0.25">
      <c r="A190" s="1">
        <v>188</v>
      </c>
      <c r="B190" t="s">
        <v>205</v>
      </c>
      <c r="C190">
        <v>96</v>
      </c>
      <c r="D190">
        <v>169.723679</v>
      </c>
      <c r="E190">
        <f>VLOOKUP(Table3[[#This Row],[Pipe_name]],Table2[[Pipe_name]:[Original_Diameter]],2,FALSE)</f>
        <v>96</v>
      </c>
      <c r="F190">
        <f>VLOOKUP(Table3[[#This Row],[Pipe_name]],Table2[[Pipe_name]:[Length]],3,FALSE)</f>
        <v>169.723679</v>
      </c>
      <c r="G190" t="s">
        <v>331</v>
      </c>
      <c r="H190" t="str">
        <f>IF(Table3[[#This Row],[2043 Diameter]]=Table3[[#This Row],[2022 Diameter]],"No","Yes")</f>
        <v>No</v>
      </c>
      <c r="I190" t="str">
        <f>IF(Table3[[#This Row],[2043 Length]]=Table3[[#This Row],[2022 length]],"No","Yes")</f>
        <v>No</v>
      </c>
      <c r="J190" s="8">
        <f>VLOOKUP(Table3[[#This Row],[2043 Diameter]],[1]Pipes!$A:$B,2,FALSE)</f>
        <v>362.58707029616613</v>
      </c>
      <c r="K190" s="8">
        <f>VLOOKUP(Table3[[#This Row],[2022 Diameter]],[1]Pipes!$A:$B,2,FALSE)</f>
        <v>362.58707029616613</v>
      </c>
      <c r="L190" s="8">
        <f>IF(OR(IFERROR(Table3[[#This Row],[Diameter Change?]]="Yes","Yes"),Table3[[#This Row],[Pipe Added?]]="Yes"),Table3[[#This Row],[2043 Pipeline unit cost]]*Table3[[#This Row],[2043 Length]],0)</f>
        <v>0</v>
      </c>
      <c r="M190" s="2">
        <f>VLOOKUP(Table3[[#This Row],[Pipe_name]],[2]!Table1[[id3]:[Cost]],8,FALSE)</f>
        <v>0</v>
      </c>
      <c r="N190" s="2">
        <f>IFERROR(Table3[[#This Row],[2022 length]]*Table3[[#This Row],[2022 Pipeline unit cost]],0)</f>
        <v>61539.611528496935</v>
      </c>
      <c r="O190" s="2">
        <f>Table3[[#This Row],[2043 Length]]*Table3[[#This Row],[2043 Pipeline unit cost]]</f>
        <v>61539.611528496935</v>
      </c>
      <c r="P190" s="2">
        <f>MATCH(Table3[[#This Row],[Pipe_name]],'2022 pipes'!B:B,0)</f>
        <v>191</v>
      </c>
      <c r="Q190" s="2">
        <f>Table3[[#This Row],[2043 pipes]]-Table3[[#This Row],[Master Plan CAPEX Cost]]</f>
        <v>61539.611528496935</v>
      </c>
      <c r="R190" s="7">
        <f>Table3[[#This Row],[asdfa]]-Table3[[#This Row],[2022 total cost]]</f>
        <v>0</v>
      </c>
    </row>
    <row r="191" spans="1:18" x14ac:dyDescent="0.25">
      <c r="A191" s="1">
        <v>189</v>
      </c>
      <c r="B191" t="s">
        <v>206</v>
      </c>
      <c r="C191">
        <v>96</v>
      </c>
      <c r="D191">
        <v>88.698639</v>
      </c>
      <c r="E191">
        <f>VLOOKUP(Table3[[#This Row],[Pipe_name]],Table2[[Pipe_name]:[Original_Diameter]],2,FALSE)</f>
        <v>96</v>
      </c>
      <c r="F191">
        <f>VLOOKUP(Table3[[#This Row],[Pipe_name]],Table2[[Pipe_name]:[Length]],3,FALSE)</f>
        <v>88.698639</v>
      </c>
      <c r="G191" t="s">
        <v>331</v>
      </c>
      <c r="H191" t="str">
        <f>IF(Table3[[#This Row],[2043 Diameter]]=Table3[[#This Row],[2022 Diameter]],"No","Yes")</f>
        <v>No</v>
      </c>
      <c r="I191" t="str">
        <f>IF(Table3[[#This Row],[2043 Length]]=Table3[[#This Row],[2022 length]],"No","Yes")</f>
        <v>No</v>
      </c>
      <c r="J191" s="8">
        <f>VLOOKUP(Table3[[#This Row],[2043 Diameter]],[1]Pipes!$A:$B,2,FALSE)</f>
        <v>362.58707029616613</v>
      </c>
      <c r="K191" s="8">
        <f>VLOOKUP(Table3[[#This Row],[2022 Diameter]],[1]Pipes!$A:$B,2,FALSE)</f>
        <v>362.58707029616613</v>
      </c>
      <c r="L191" s="8">
        <f>IF(OR(IFERROR(Table3[[#This Row],[Diameter Change?]]="Yes","Yes"),Table3[[#This Row],[Pipe Added?]]="Yes"),Table3[[#This Row],[2043 Pipeline unit cost]]*Table3[[#This Row],[2043 Length]],0)</f>
        <v>0</v>
      </c>
      <c r="M191" s="2">
        <f>VLOOKUP(Table3[[#This Row],[Pipe_name]],[2]!Table1[[id3]:[Cost]],8,FALSE)</f>
        <v>0</v>
      </c>
      <c r="N191" s="2">
        <f>IFERROR(Table3[[#This Row],[2022 length]]*Table3[[#This Row],[2022 Pipeline unit cost]],0)</f>
        <v>32160.979654267263</v>
      </c>
      <c r="O191" s="2">
        <f>Table3[[#This Row],[2043 Length]]*Table3[[#This Row],[2043 Pipeline unit cost]]</f>
        <v>32160.979654267263</v>
      </c>
      <c r="P191" s="2">
        <f>MATCH(Table3[[#This Row],[Pipe_name]],'2022 pipes'!B:B,0)</f>
        <v>192</v>
      </c>
      <c r="Q191" s="2">
        <f>Table3[[#This Row],[2043 pipes]]-Table3[[#This Row],[Master Plan CAPEX Cost]]</f>
        <v>32160.979654267263</v>
      </c>
      <c r="R191" s="7">
        <f>Table3[[#This Row],[asdfa]]-Table3[[#This Row],[2022 total cost]]</f>
        <v>0</v>
      </c>
    </row>
    <row r="192" spans="1:18" x14ac:dyDescent="0.25">
      <c r="A192" s="1">
        <v>190</v>
      </c>
      <c r="B192" t="s">
        <v>207</v>
      </c>
      <c r="C192">
        <v>375</v>
      </c>
      <c r="D192">
        <v>2.2138080000000002</v>
      </c>
      <c r="E192">
        <f>VLOOKUP(Table3[[#This Row],[Pipe_name]],Table2[[Pipe_name]:[Original_Diameter]],2,FALSE)</f>
        <v>141</v>
      </c>
      <c r="F192">
        <f>VLOOKUP(Table3[[#This Row],[Pipe_name]],Table2[[Pipe_name]:[Length]],3,FALSE)</f>
        <v>2.2138080000000002</v>
      </c>
      <c r="G192" t="s">
        <v>331</v>
      </c>
      <c r="H192" t="str">
        <f>IF(Table3[[#This Row],[2043 Diameter]]=Table3[[#This Row],[2022 Diameter]],"No","Yes")</f>
        <v>Yes</v>
      </c>
      <c r="I192" t="str">
        <f>IF(Table3[[#This Row],[2043 Length]]=Table3[[#This Row],[2022 length]],"No","Yes")</f>
        <v>No</v>
      </c>
      <c r="J192" s="8">
        <f>VLOOKUP(Table3[[#This Row],[2043 Diameter]],[1]Pipes!$A:$B,2,FALSE)</f>
        <v>1014.940376686758</v>
      </c>
      <c r="K192" s="8">
        <f>VLOOKUP(Table3[[#This Row],[2022 Diameter]],[1]Pipes!$A:$B,2,FALSE)</f>
        <v>433.89080378537034</v>
      </c>
      <c r="L192" s="8">
        <f>IF(OR(IFERROR(Table3[[#This Row],[Diameter Change?]]="Yes","Yes"),Table3[[#This Row],[Pipe Added?]]="Yes"),Table3[[#This Row],[2043 Pipeline unit cost]]*Table3[[#This Row],[2043 Length]],0)</f>
        <v>2246.8831254321585</v>
      </c>
      <c r="M192" s="2">
        <f>VLOOKUP(Table3[[#This Row],[Pipe_name]],[2]!Table1[[id3]:[Cost]],8,FALSE)</f>
        <v>2246.0630536077956</v>
      </c>
      <c r="N192" s="2">
        <f>IFERROR(Table3[[#This Row],[2022 length]]*Table3[[#This Row],[2022 Pipeline unit cost]],0)</f>
        <v>960.55093254648318</v>
      </c>
      <c r="O192" s="2">
        <f>Table3[[#This Row],[2043 Length]]*Table3[[#This Row],[2043 Pipeline unit cost]]</f>
        <v>2246.8831254321585</v>
      </c>
      <c r="P192" s="2">
        <f>MATCH(Table3[[#This Row],[Pipe_name]],'2022 pipes'!B:B,0)</f>
        <v>193</v>
      </c>
      <c r="Q192" s="2">
        <f>Table3[[#This Row],[2043 pipes]]-Table3[[#This Row],[Master Plan CAPEX Cost]]</f>
        <v>0</v>
      </c>
      <c r="R192" s="7">
        <f>Table3[[#This Row],[asdfa]]-Table3[[#This Row],[2022 total cost]]</f>
        <v>-960.55093254648318</v>
      </c>
    </row>
    <row r="193" spans="1:18" x14ac:dyDescent="0.25">
      <c r="A193" s="1">
        <v>191</v>
      </c>
      <c r="B193" t="s">
        <v>208</v>
      </c>
      <c r="C193">
        <v>186</v>
      </c>
      <c r="D193">
        <v>9.8886380000000003</v>
      </c>
      <c r="E193">
        <f>VLOOKUP(Table3[[#This Row],[Pipe_name]],Table2[[Pipe_name]:[Original_Diameter]],2,FALSE)</f>
        <v>186</v>
      </c>
      <c r="F193">
        <f>VLOOKUP(Table3[[#This Row],[Pipe_name]],Table2[[Pipe_name]:[Length]],3,FALSE)</f>
        <v>9.8886380000000003</v>
      </c>
      <c r="G193" t="s">
        <v>331</v>
      </c>
      <c r="H193" t="str">
        <f>IF(Table3[[#This Row],[2043 Diameter]]=Table3[[#This Row],[2022 Diameter]],"No","Yes")</f>
        <v>No</v>
      </c>
      <c r="I193" t="str">
        <f>IF(Table3[[#This Row],[2043 Length]]=Table3[[#This Row],[2022 length]],"No","Yes")</f>
        <v>No</v>
      </c>
      <c r="J193" s="8">
        <f>VLOOKUP(Table3[[#This Row],[2043 Diameter]],[1]Pipes!$A:$B,2,FALSE)</f>
        <v>546.15625651305356</v>
      </c>
      <c r="K193" s="8">
        <f>VLOOKUP(Table3[[#This Row],[2022 Diameter]],[1]Pipes!$A:$B,2,FALSE)</f>
        <v>546.15625651305356</v>
      </c>
      <c r="L193" s="8">
        <f>IF(OR(IFERROR(Table3[[#This Row],[Diameter Change?]]="Yes","Yes"),Table3[[#This Row],[Pipe Added?]]="Yes"),Table3[[#This Row],[2043 Pipeline unit cost]]*Table3[[#This Row],[2043 Length]],0)</f>
        <v>0</v>
      </c>
      <c r="M193" s="2">
        <f>VLOOKUP(Table3[[#This Row],[Pipe_name]],[2]!Table1[[id3]:[Cost]],8,FALSE)</f>
        <v>0</v>
      </c>
      <c r="N193" s="2">
        <f>IFERROR(Table3[[#This Row],[2022 length]]*Table3[[#This Row],[2022 Pipeline unit cost]],0)</f>
        <v>5400.741512092729</v>
      </c>
      <c r="O193" s="2">
        <f>Table3[[#This Row],[2043 Length]]*Table3[[#This Row],[2043 Pipeline unit cost]]</f>
        <v>5400.741512092729</v>
      </c>
      <c r="P193" s="2">
        <f>MATCH(Table3[[#This Row],[Pipe_name]],'2022 pipes'!B:B,0)</f>
        <v>194</v>
      </c>
      <c r="Q193" s="2">
        <f>Table3[[#This Row],[2043 pipes]]-Table3[[#This Row],[Master Plan CAPEX Cost]]</f>
        <v>5400.741512092729</v>
      </c>
      <c r="R193" s="7">
        <f>Table3[[#This Row],[asdfa]]-Table3[[#This Row],[2022 total cost]]</f>
        <v>0</v>
      </c>
    </row>
    <row r="194" spans="1:18" x14ac:dyDescent="0.25">
      <c r="A194" s="1">
        <v>192</v>
      </c>
      <c r="B194" t="s">
        <v>209</v>
      </c>
      <c r="C194">
        <v>225</v>
      </c>
      <c r="D194">
        <v>3.1140629999999998</v>
      </c>
      <c r="E194">
        <f>VLOOKUP(Table3[[#This Row],[Pipe_name]],Table2[[Pipe_name]:[Original_Diameter]],2,FALSE)</f>
        <v>96</v>
      </c>
      <c r="F194">
        <f>VLOOKUP(Table3[[#This Row],[Pipe_name]],Table2[[Pipe_name]:[Length]],3,FALSE)</f>
        <v>3.1140629999999998</v>
      </c>
      <c r="G194" t="s">
        <v>331</v>
      </c>
      <c r="H194" t="str">
        <f>IF(Table3[[#This Row],[2043 Diameter]]=Table3[[#This Row],[2022 Diameter]],"No","Yes")</f>
        <v>Yes</v>
      </c>
      <c r="I194" t="str">
        <f>IF(Table3[[#This Row],[2043 Length]]=Table3[[#This Row],[2022 length]],"No","Yes")</f>
        <v>No</v>
      </c>
      <c r="J194" s="8">
        <f>VLOOKUP(Table3[[#This Row],[2043 Diameter]],[1]Pipes!$A:$B,2,FALSE)</f>
        <v>546.15625651305356</v>
      </c>
      <c r="K194" s="8">
        <f>VLOOKUP(Table3[[#This Row],[2022 Diameter]],[1]Pipes!$A:$B,2,FALSE)</f>
        <v>362.58707029616613</v>
      </c>
      <c r="L194" s="8">
        <f>IF(OR(IFERROR(Table3[[#This Row],[Diameter Change?]]="Yes","Yes"),Table3[[#This Row],[Pipe Added?]]="Yes"),Table3[[#This Row],[2043 Pipeline unit cost]]*Table3[[#This Row],[2043 Length]],0)</f>
        <v>1700.7649906258091</v>
      </c>
      <c r="M194" s="2">
        <f>VLOOKUP(Table3[[#This Row],[Pipe_name]],[2]!Table1[[id3]:[Cost]],8,FALSE)</f>
        <v>1701.2767390381621</v>
      </c>
      <c r="N194" s="2">
        <f>IFERROR(Table3[[#This Row],[2022 length]]*Table3[[#This Row],[2022 Pipeline unit cost]],0)</f>
        <v>1129.1189798876899</v>
      </c>
      <c r="O194" s="2">
        <f>Table3[[#This Row],[2043 Length]]*Table3[[#This Row],[2043 Pipeline unit cost]]</f>
        <v>1700.7649906258091</v>
      </c>
      <c r="P194" s="2">
        <f>MATCH(Table3[[#This Row],[Pipe_name]],'2022 pipes'!B:B,0)</f>
        <v>195</v>
      </c>
      <c r="Q194" s="2">
        <f>Table3[[#This Row],[2043 pipes]]-Table3[[#This Row],[Master Plan CAPEX Cost]]</f>
        <v>0</v>
      </c>
      <c r="R194" s="7">
        <f>Table3[[#This Row],[asdfa]]-Table3[[#This Row],[2022 total cost]]</f>
        <v>-1129.1189798876899</v>
      </c>
    </row>
    <row r="195" spans="1:18" x14ac:dyDescent="0.25">
      <c r="A195" s="1">
        <v>193</v>
      </c>
      <c r="B195" t="s">
        <v>210</v>
      </c>
      <c r="C195">
        <v>50</v>
      </c>
      <c r="D195">
        <v>10.343946000000001</v>
      </c>
      <c r="E195">
        <f>VLOOKUP(Table3[[#This Row],[Pipe_name]],Table2[[Pipe_name]:[Original_Diameter]],2,FALSE)</f>
        <v>50</v>
      </c>
      <c r="F195">
        <f>VLOOKUP(Table3[[#This Row],[Pipe_name]],Table2[[Pipe_name]:[Length]],3,FALSE)</f>
        <v>10.343946000000001</v>
      </c>
      <c r="G195" t="s">
        <v>331</v>
      </c>
      <c r="H195" t="str">
        <f>IF(Table3[[#This Row],[2043 Diameter]]=Table3[[#This Row],[2022 Diameter]],"No","Yes")</f>
        <v>No</v>
      </c>
      <c r="I195" t="str">
        <f>IF(Table3[[#This Row],[2043 Length]]=Table3[[#This Row],[2022 length]],"No","Yes")</f>
        <v>No</v>
      </c>
      <c r="J195" s="8">
        <f>VLOOKUP(Table3[[#This Row],[2043 Diameter]],[1]Pipes!$A:$B,2,FALSE)</f>
        <v>362.58707029616613</v>
      </c>
      <c r="K195" s="8">
        <f>VLOOKUP(Table3[[#This Row],[2022 Diameter]],[1]Pipes!$A:$B,2,FALSE)</f>
        <v>362.58707029616613</v>
      </c>
      <c r="L195" s="8">
        <f>IF(OR(IFERROR(Table3[[#This Row],[Diameter Change?]]="Yes","Yes"),Table3[[#This Row],[Pipe Added?]]="Yes"),Table3[[#This Row],[2043 Pipeline unit cost]]*Table3[[#This Row],[2043 Length]],0)</f>
        <v>0</v>
      </c>
      <c r="M195" s="2">
        <f>VLOOKUP(Table3[[#This Row],[Pipe_name]],[2]!Table1[[id3]:[Cost]],8,FALSE)</f>
        <v>0</v>
      </c>
      <c r="N195" s="2">
        <f>IFERROR(Table3[[#This Row],[2022 length]]*Table3[[#This Row],[2022 Pipeline unit cost]],0)</f>
        <v>3750.5810754417466</v>
      </c>
      <c r="O195" s="2">
        <f>Table3[[#This Row],[2043 Length]]*Table3[[#This Row],[2043 Pipeline unit cost]]</f>
        <v>3750.5810754417466</v>
      </c>
      <c r="P195" s="2">
        <f>MATCH(Table3[[#This Row],[Pipe_name]],'2022 pipes'!B:B,0)</f>
        <v>196</v>
      </c>
      <c r="Q195" s="2">
        <f>Table3[[#This Row],[2043 pipes]]-Table3[[#This Row],[Master Plan CAPEX Cost]]</f>
        <v>3750.5810754417466</v>
      </c>
      <c r="R195" s="7">
        <f>Table3[[#This Row],[asdfa]]-Table3[[#This Row],[2022 total cost]]</f>
        <v>0</v>
      </c>
    </row>
    <row r="196" spans="1:18" x14ac:dyDescent="0.25">
      <c r="A196" s="1">
        <v>194</v>
      </c>
      <c r="B196" t="s">
        <v>211</v>
      </c>
      <c r="C196">
        <v>96</v>
      </c>
      <c r="D196">
        <v>13.780590999999999</v>
      </c>
      <c r="E196">
        <f>VLOOKUP(Table3[[#This Row],[Pipe_name]],Table2[[Pipe_name]:[Original_Diameter]],2,FALSE)</f>
        <v>96</v>
      </c>
      <c r="F196">
        <f>VLOOKUP(Table3[[#This Row],[Pipe_name]],Table2[[Pipe_name]:[Length]],3,FALSE)</f>
        <v>13.780590999999999</v>
      </c>
      <c r="G196" t="s">
        <v>331</v>
      </c>
      <c r="H196" t="str">
        <f>IF(Table3[[#This Row],[2043 Diameter]]=Table3[[#This Row],[2022 Diameter]],"No","Yes")</f>
        <v>No</v>
      </c>
      <c r="I196" t="str">
        <f>IF(Table3[[#This Row],[2043 Length]]=Table3[[#This Row],[2022 length]],"No","Yes")</f>
        <v>No</v>
      </c>
      <c r="J196" s="8">
        <f>VLOOKUP(Table3[[#This Row],[2043 Diameter]],[1]Pipes!$A:$B,2,FALSE)</f>
        <v>362.58707029616613</v>
      </c>
      <c r="K196" s="8">
        <f>VLOOKUP(Table3[[#This Row],[2022 Diameter]],[1]Pipes!$A:$B,2,FALSE)</f>
        <v>362.58707029616613</v>
      </c>
      <c r="L196" s="8">
        <f>IF(OR(IFERROR(Table3[[#This Row],[Diameter Change?]]="Yes","Yes"),Table3[[#This Row],[Pipe Added?]]="Yes"),Table3[[#This Row],[2043 Pipeline unit cost]]*Table3[[#This Row],[2043 Length]],0)</f>
        <v>0</v>
      </c>
      <c r="M196" s="2">
        <f>VLOOKUP(Table3[[#This Row],[Pipe_name]],[2]!Table1[[id3]:[Cost]],8,FALSE)</f>
        <v>0</v>
      </c>
      <c r="N196" s="2">
        <f>IFERROR(Table3[[#This Row],[2022 length]]*Table3[[#This Row],[2022 Pipeline unit cost]],0)</f>
        <v>4996.6641176397143</v>
      </c>
      <c r="O196" s="2">
        <f>Table3[[#This Row],[2043 Length]]*Table3[[#This Row],[2043 Pipeline unit cost]]</f>
        <v>4996.6641176397143</v>
      </c>
      <c r="P196" s="2">
        <f>MATCH(Table3[[#This Row],[Pipe_name]],'2022 pipes'!B:B,0)</f>
        <v>197</v>
      </c>
      <c r="Q196" s="2">
        <f>Table3[[#This Row],[2043 pipes]]-Table3[[#This Row],[Master Plan CAPEX Cost]]</f>
        <v>4996.6641176397143</v>
      </c>
      <c r="R196" s="7">
        <f>Table3[[#This Row],[asdfa]]-Table3[[#This Row],[2022 total cost]]</f>
        <v>0</v>
      </c>
    </row>
    <row r="197" spans="1:18" x14ac:dyDescent="0.25">
      <c r="A197" s="1">
        <v>195</v>
      </c>
      <c r="B197" t="s">
        <v>212</v>
      </c>
      <c r="C197">
        <v>141</v>
      </c>
      <c r="D197">
        <v>77.768242000000001</v>
      </c>
      <c r="E197">
        <f>VLOOKUP(Table3[[#This Row],[Pipe_name]],Table2[[Pipe_name]:[Original_Diameter]],2,FALSE)</f>
        <v>141</v>
      </c>
      <c r="F197">
        <f>VLOOKUP(Table3[[#This Row],[Pipe_name]],Table2[[Pipe_name]:[Length]],3,FALSE)</f>
        <v>77.768242000000001</v>
      </c>
      <c r="G197" t="s">
        <v>331</v>
      </c>
      <c r="H197" t="str">
        <f>IF(Table3[[#This Row],[2043 Diameter]]=Table3[[#This Row],[2022 Diameter]],"No","Yes")</f>
        <v>No</v>
      </c>
      <c r="I197" t="str">
        <f>IF(Table3[[#This Row],[2043 Length]]=Table3[[#This Row],[2022 length]],"No","Yes")</f>
        <v>No</v>
      </c>
      <c r="J197" s="8">
        <f>VLOOKUP(Table3[[#This Row],[2043 Diameter]],[1]Pipes!$A:$B,2,FALSE)</f>
        <v>433.89080378537034</v>
      </c>
      <c r="K197" s="8">
        <f>VLOOKUP(Table3[[#This Row],[2022 Diameter]],[1]Pipes!$A:$B,2,FALSE)</f>
        <v>433.89080378537034</v>
      </c>
      <c r="L197" s="8">
        <f>IF(OR(IFERROR(Table3[[#This Row],[Diameter Change?]]="Yes","Yes"),Table3[[#This Row],[Pipe Added?]]="Yes"),Table3[[#This Row],[2043 Pipeline unit cost]]*Table3[[#This Row],[2043 Length]],0)</f>
        <v>0</v>
      </c>
      <c r="M197" s="2">
        <f>VLOOKUP(Table3[[#This Row],[Pipe_name]],[2]!Table1[[id3]:[Cost]],8,FALSE)</f>
        <v>0</v>
      </c>
      <c r="N197" s="2">
        <f>IFERROR(Table3[[#This Row],[2022 length]]*Table3[[#This Row],[2022 Pipeline unit cost]],0)</f>
        <v>33742.925030355196</v>
      </c>
      <c r="O197" s="2">
        <f>Table3[[#This Row],[2043 Length]]*Table3[[#This Row],[2043 Pipeline unit cost]]</f>
        <v>33742.925030355196</v>
      </c>
      <c r="P197" s="2">
        <f>MATCH(Table3[[#This Row],[Pipe_name]],'2022 pipes'!B:B,0)</f>
        <v>198</v>
      </c>
      <c r="Q197" s="2">
        <f>Table3[[#This Row],[2043 pipes]]-Table3[[#This Row],[Master Plan CAPEX Cost]]</f>
        <v>33742.925030355196</v>
      </c>
      <c r="R197" s="7">
        <f>Table3[[#This Row],[asdfa]]-Table3[[#This Row],[2022 total cost]]</f>
        <v>0</v>
      </c>
    </row>
    <row r="198" spans="1:18" x14ac:dyDescent="0.25">
      <c r="A198" s="1">
        <v>196</v>
      </c>
      <c r="B198" t="s">
        <v>213</v>
      </c>
      <c r="C198">
        <v>141</v>
      </c>
      <c r="D198">
        <v>17.607697999999999</v>
      </c>
      <c r="E198">
        <f>VLOOKUP(Table3[[#This Row],[Pipe_name]],Table2[[Pipe_name]:[Original_Diameter]],2,FALSE)</f>
        <v>141</v>
      </c>
      <c r="F198">
        <f>VLOOKUP(Table3[[#This Row],[Pipe_name]],Table2[[Pipe_name]:[Length]],3,FALSE)</f>
        <v>17.607697999999999</v>
      </c>
      <c r="G198" t="s">
        <v>331</v>
      </c>
      <c r="H198" t="str">
        <f>IF(Table3[[#This Row],[2043 Diameter]]=Table3[[#This Row],[2022 Diameter]],"No","Yes")</f>
        <v>No</v>
      </c>
      <c r="I198" t="str">
        <f>IF(Table3[[#This Row],[2043 Length]]=Table3[[#This Row],[2022 length]],"No","Yes")</f>
        <v>No</v>
      </c>
      <c r="J198" s="8">
        <f>VLOOKUP(Table3[[#This Row],[2043 Diameter]],[1]Pipes!$A:$B,2,FALSE)</f>
        <v>433.89080378537034</v>
      </c>
      <c r="K198" s="8">
        <f>VLOOKUP(Table3[[#This Row],[2022 Diameter]],[1]Pipes!$A:$B,2,FALSE)</f>
        <v>433.89080378537034</v>
      </c>
      <c r="L198" s="8">
        <f>IF(OR(IFERROR(Table3[[#This Row],[Diameter Change?]]="Yes","Yes"),Table3[[#This Row],[Pipe Added?]]="Yes"),Table3[[#This Row],[2043 Pipeline unit cost]]*Table3[[#This Row],[2043 Length]],0)</f>
        <v>0</v>
      </c>
      <c r="M198" s="2">
        <f>VLOOKUP(Table3[[#This Row],[Pipe_name]],[2]!Table1[[id3]:[Cost]],8,FALSE)</f>
        <v>0</v>
      </c>
      <c r="N198" s="2">
        <f>IFERROR(Table3[[#This Row],[2022 length]]*Table3[[#This Row],[2022 Pipeline unit cost]],0)</f>
        <v>7639.8182380300577</v>
      </c>
      <c r="O198" s="2">
        <f>Table3[[#This Row],[2043 Length]]*Table3[[#This Row],[2043 Pipeline unit cost]]</f>
        <v>7639.8182380300577</v>
      </c>
      <c r="P198" s="2">
        <f>MATCH(Table3[[#This Row],[Pipe_name]],'2022 pipes'!B:B,0)</f>
        <v>199</v>
      </c>
      <c r="Q198" s="2">
        <f>Table3[[#This Row],[2043 pipes]]-Table3[[#This Row],[Master Plan CAPEX Cost]]</f>
        <v>7639.8182380300577</v>
      </c>
      <c r="R198" s="7">
        <f>Table3[[#This Row],[asdfa]]-Table3[[#This Row],[2022 total cost]]</f>
        <v>0</v>
      </c>
    </row>
    <row r="199" spans="1:18" x14ac:dyDescent="0.25">
      <c r="A199" s="1">
        <v>197</v>
      </c>
      <c r="B199" t="s">
        <v>214</v>
      </c>
      <c r="C199">
        <v>96</v>
      </c>
      <c r="D199">
        <v>15.820748999999999</v>
      </c>
      <c r="E199">
        <f>VLOOKUP(Table3[[#This Row],[Pipe_name]],Table2[[Pipe_name]:[Original_Diameter]],2,FALSE)</f>
        <v>96</v>
      </c>
      <c r="F199">
        <f>VLOOKUP(Table3[[#This Row],[Pipe_name]],Table2[[Pipe_name]:[Length]],3,FALSE)</f>
        <v>15.820748999999999</v>
      </c>
      <c r="G199" t="s">
        <v>331</v>
      </c>
      <c r="H199" t="str">
        <f>IF(Table3[[#This Row],[2043 Diameter]]=Table3[[#This Row],[2022 Diameter]],"No","Yes")</f>
        <v>No</v>
      </c>
      <c r="I199" t="str">
        <f>IF(Table3[[#This Row],[2043 Length]]=Table3[[#This Row],[2022 length]],"No","Yes")</f>
        <v>No</v>
      </c>
      <c r="J199" s="8">
        <f>VLOOKUP(Table3[[#This Row],[2043 Diameter]],[1]Pipes!$A:$B,2,FALSE)</f>
        <v>362.58707029616613</v>
      </c>
      <c r="K199" s="8">
        <f>VLOOKUP(Table3[[#This Row],[2022 Diameter]],[1]Pipes!$A:$B,2,FALSE)</f>
        <v>362.58707029616613</v>
      </c>
      <c r="L199" s="8">
        <f>IF(OR(IFERROR(Table3[[#This Row],[Diameter Change?]]="Yes","Yes"),Table3[[#This Row],[Pipe Added?]]="Yes"),Table3[[#This Row],[2043 Pipeline unit cost]]*Table3[[#This Row],[2043 Length]],0)</f>
        <v>0</v>
      </c>
      <c r="M199" s="2">
        <f>VLOOKUP(Table3[[#This Row],[Pipe_name]],[2]!Table1[[id3]:[Cost]],8,FALSE)</f>
        <v>0</v>
      </c>
      <c r="N199" s="2">
        <f>IFERROR(Table3[[#This Row],[2022 length]]*Table3[[#This Row],[2022 Pipeline unit cost]],0)</f>
        <v>5736.3990298009994</v>
      </c>
      <c r="O199" s="2">
        <f>Table3[[#This Row],[2043 Length]]*Table3[[#This Row],[2043 Pipeline unit cost]]</f>
        <v>5736.3990298009994</v>
      </c>
      <c r="P199" s="2">
        <f>MATCH(Table3[[#This Row],[Pipe_name]],'2022 pipes'!B:B,0)</f>
        <v>200</v>
      </c>
      <c r="Q199" s="2">
        <f>Table3[[#This Row],[2043 pipes]]-Table3[[#This Row],[Master Plan CAPEX Cost]]</f>
        <v>5736.3990298009994</v>
      </c>
      <c r="R199" s="7">
        <f>Table3[[#This Row],[asdfa]]-Table3[[#This Row],[2022 total cost]]</f>
        <v>0</v>
      </c>
    </row>
    <row r="200" spans="1:18" x14ac:dyDescent="0.25">
      <c r="A200" s="1">
        <v>198</v>
      </c>
      <c r="B200" t="s">
        <v>215</v>
      </c>
      <c r="C200">
        <v>200</v>
      </c>
      <c r="D200">
        <v>14.627209000000001</v>
      </c>
      <c r="E200">
        <f>VLOOKUP(Table3[[#This Row],[Pipe_name]],Table2[[Pipe_name]:[Original_Diameter]],2,FALSE)</f>
        <v>200</v>
      </c>
      <c r="F200">
        <f>VLOOKUP(Table3[[#This Row],[Pipe_name]],Table2[[Pipe_name]:[Length]],3,FALSE)</f>
        <v>14.627209000000001</v>
      </c>
      <c r="G200" t="s">
        <v>331</v>
      </c>
      <c r="H200" t="str">
        <f>IF(Table3[[#This Row],[2043 Diameter]]=Table3[[#This Row],[2022 Diameter]],"No","Yes")</f>
        <v>No</v>
      </c>
      <c r="I200" t="str">
        <f>IF(Table3[[#This Row],[2043 Length]]=Table3[[#This Row],[2022 length]],"No","Yes")</f>
        <v>No</v>
      </c>
      <c r="J200" s="8">
        <f>VLOOKUP(Table3[[#This Row],[2043 Diameter]],[1]Pipes!$A:$B,2,FALSE)</f>
        <v>546.15625651305356</v>
      </c>
      <c r="K200" s="8">
        <f>VLOOKUP(Table3[[#This Row],[2022 Diameter]],[1]Pipes!$A:$B,2,FALSE)</f>
        <v>546.15625651305356</v>
      </c>
      <c r="L200" s="8">
        <f>IF(OR(IFERROR(Table3[[#This Row],[Diameter Change?]]="Yes","Yes"),Table3[[#This Row],[Pipe Added?]]="Yes"),Table3[[#This Row],[2043 Pipeline unit cost]]*Table3[[#This Row],[2043 Length]],0)</f>
        <v>0</v>
      </c>
      <c r="M200" s="2">
        <f>VLOOKUP(Table3[[#This Row],[Pipe_name]],[2]!Table1[[id3]:[Cost]],8,FALSE)</f>
        <v>0</v>
      </c>
      <c r="N200" s="2">
        <f>IFERROR(Table3[[#This Row],[2022 length]]*Table3[[#This Row],[2022 Pipeline unit cost]],0)</f>
        <v>7988.7417106740459</v>
      </c>
      <c r="O200" s="2">
        <f>Table3[[#This Row],[2043 Length]]*Table3[[#This Row],[2043 Pipeline unit cost]]</f>
        <v>7988.7417106740459</v>
      </c>
      <c r="P200" s="2">
        <f>MATCH(Table3[[#This Row],[Pipe_name]],'2022 pipes'!B:B,0)</f>
        <v>201</v>
      </c>
      <c r="Q200" s="2">
        <f>Table3[[#This Row],[2043 pipes]]-Table3[[#This Row],[Master Plan CAPEX Cost]]</f>
        <v>7988.7417106740459</v>
      </c>
      <c r="R200" s="7">
        <f>Table3[[#This Row],[asdfa]]-Table3[[#This Row],[2022 total cost]]</f>
        <v>0</v>
      </c>
    </row>
    <row r="201" spans="1:18" x14ac:dyDescent="0.25">
      <c r="A201" s="1">
        <v>199</v>
      </c>
      <c r="B201" t="s">
        <v>216</v>
      </c>
      <c r="C201">
        <v>96</v>
      </c>
      <c r="D201">
        <v>2.9762409999999999</v>
      </c>
      <c r="E201">
        <f>VLOOKUP(Table3[[#This Row],[Pipe_name]],Table2[[Pipe_name]:[Original_Diameter]],2,FALSE)</f>
        <v>96</v>
      </c>
      <c r="F201">
        <f>VLOOKUP(Table3[[#This Row],[Pipe_name]],Table2[[Pipe_name]:[Length]],3,FALSE)</f>
        <v>2.9762409999999999</v>
      </c>
      <c r="G201" t="s">
        <v>331</v>
      </c>
      <c r="H201" t="str">
        <f>IF(Table3[[#This Row],[2043 Diameter]]=Table3[[#This Row],[2022 Diameter]],"No","Yes")</f>
        <v>No</v>
      </c>
      <c r="I201" t="str">
        <f>IF(Table3[[#This Row],[2043 Length]]=Table3[[#This Row],[2022 length]],"No","Yes")</f>
        <v>No</v>
      </c>
      <c r="J201" s="8">
        <f>VLOOKUP(Table3[[#This Row],[2043 Diameter]],[1]Pipes!$A:$B,2,FALSE)</f>
        <v>362.58707029616613</v>
      </c>
      <c r="K201" s="8">
        <f>VLOOKUP(Table3[[#This Row],[2022 Diameter]],[1]Pipes!$A:$B,2,FALSE)</f>
        <v>362.58707029616613</v>
      </c>
      <c r="L201" s="8">
        <f>IF(OR(IFERROR(Table3[[#This Row],[Diameter Change?]]="Yes","Yes"),Table3[[#This Row],[Pipe Added?]]="Yes"),Table3[[#This Row],[2043 Pipeline unit cost]]*Table3[[#This Row],[2043 Length]],0)</f>
        <v>0</v>
      </c>
      <c r="M201" s="2">
        <f>VLOOKUP(Table3[[#This Row],[Pipe_name]],[2]!Table1[[id3]:[Cost]],8,FALSE)</f>
        <v>0</v>
      </c>
      <c r="N201" s="2">
        <f>IFERROR(Table3[[#This Row],[2022 length]]*Table3[[#This Row],[2022 Pipeline unit cost]],0)</f>
        <v>1079.1465046853318</v>
      </c>
      <c r="O201" s="2">
        <f>Table3[[#This Row],[2043 Length]]*Table3[[#This Row],[2043 Pipeline unit cost]]</f>
        <v>1079.1465046853318</v>
      </c>
      <c r="P201" s="2">
        <f>MATCH(Table3[[#This Row],[Pipe_name]],'2022 pipes'!B:B,0)</f>
        <v>202</v>
      </c>
      <c r="Q201" s="2">
        <f>Table3[[#This Row],[2043 pipes]]-Table3[[#This Row],[Master Plan CAPEX Cost]]</f>
        <v>1079.1465046853318</v>
      </c>
      <c r="R201" s="7">
        <f>Table3[[#This Row],[asdfa]]-Table3[[#This Row],[2022 total cost]]</f>
        <v>0</v>
      </c>
    </row>
    <row r="202" spans="1:18" x14ac:dyDescent="0.25">
      <c r="A202" s="1">
        <v>200</v>
      </c>
      <c r="B202" t="s">
        <v>217</v>
      </c>
      <c r="C202">
        <v>50</v>
      </c>
      <c r="D202">
        <v>1.8843650000000001</v>
      </c>
      <c r="E202">
        <f>VLOOKUP(Table3[[#This Row],[Pipe_name]],Table2[[Pipe_name]:[Original_Diameter]],2,FALSE)</f>
        <v>50</v>
      </c>
      <c r="F202">
        <f>VLOOKUP(Table3[[#This Row],[Pipe_name]],Table2[[Pipe_name]:[Length]],3,FALSE)</f>
        <v>1.8843650000000001</v>
      </c>
      <c r="G202" t="s">
        <v>331</v>
      </c>
      <c r="H202" t="str">
        <f>IF(Table3[[#This Row],[2043 Diameter]]=Table3[[#This Row],[2022 Diameter]],"No","Yes")</f>
        <v>No</v>
      </c>
      <c r="I202" t="str">
        <f>IF(Table3[[#This Row],[2043 Length]]=Table3[[#This Row],[2022 length]],"No","Yes")</f>
        <v>No</v>
      </c>
      <c r="J202" s="8">
        <f>VLOOKUP(Table3[[#This Row],[2043 Diameter]],[1]Pipes!$A:$B,2,FALSE)</f>
        <v>362.58707029616613</v>
      </c>
      <c r="K202" s="8">
        <f>VLOOKUP(Table3[[#This Row],[2022 Diameter]],[1]Pipes!$A:$B,2,FALSE)</f>
        <v>362.58707029616613</v>
      </c>
      <c r="L202" s="8">
        <f>IF(OR(IFERROR(Table3[[#This Row],[Diameter Change?]]="Yes","Yes"),Table3[[#This Row],[Pipe Added?]]="Yes"),Table3[[#This Row],[2043 Pipeline unit cost]]*Table3[[#This Row],[2043 Length]],0)</f>
        <v>0</v>
      </c>
      <c r="M202" s="2">
        <f>VLOOKUP(Table3[[#This Row],[Pipe_name]],[2]!Table1[[id3]:[Cost]],8,FALSE)</f>
        <v>0</v>
      </c>
      <c r="N202" s="2">
        <f>IFERROR(Table3[[#This Row],[2022 length]]*Table3[[#This Row],[2022 Pipeline unit cost]],0)</f>
        <v>683.24638471863511</v>
      </c>
      <c r="O202" s="2">
        <f>Table3[[#This Row],[2043 Length]]*Table3[[#This Row],[2043 Pipeline unit cost]]</f>
        <v>683.24638471863511</v>
      </c>
      <c r="P202" s="2">
        <f>MATCH(Table3[[#This Row],[Pipe_name]],'2022 pipes'!B:B,0)</f>
        <v>203</v>
      </c>
      <c r="Q202" s="2">
        <f>Table3[[#This Row],[2043 pipes]]-Table3[[#This Row],[Master Plan CAPEX Cost]]</f>
        <v>683.24638471863511</v>
      </c>
      <c r="R202" s="7">
        <f>Table3[[#This Row],[asdfa]]-Table3[[#This Row],[2022 total cost]]</f>
        <v>0</v>
      </c>
    </row>
    <row r="203" spans="1:18" x14ac:dyDescent="0.25">
      <c r="A203" s="1">
        <v>201</v>
      </c>
      <c r="B203" t="s">
        <v>219</v>
      </c>
      <c r="C203">
        <v>101</v>
      </c>
      <c r="D203">
        <v>6.0571760000000001</v>
      </c>
      <c r="E203">
        <f>VLOOKUP(Table3[[#This Row],[Pipe_name]],Table2[[Pipe_name]:[Original_Diameter]],2,FALSE)</f>
        <v>101</v>
      </c>
      <c r="F203">
        <f>VLOOKUP(Table3[[#This Row],[Pipe_name]],Table2[[Pipe_name]:[Length]],3,FALSE)</f>
        <v>6.0571760000000001</v>
      </c>
      <c r="G203" t="s">
        <v>331</v>
      </c>
      <c r="H203" t="str">
        <f>IF(Table3[[#This Row],[2043 Diameter]]=Table3[[#This Row],[2022 Diameter]],"No","Yes")</f>
        <v>No</v>
      </c>
      <c r="I203" t="str">
        <f>IF(Table3[[#This Row],[2043 Length]]=Table3[[#This Row],[2022 length]],"No","Yes")</f>
        <v>No</v>
      </c>
      <c r="J203" s="8">
        <f>VLOOKUP(Table3[[#This Row],[2043 Diameter]],[1]Pipes!$A:$B,2,FALSE)</f>
        <v>362.58707029616613</v>
      </c>
      <c r="K203" s="8">
        <f>VLOOKUP(Table3[[#This Row],[2022 Diameter]],[1]Pipes!$A:$B,2,FALSE)</f>
        <v>362.58707029616613</v>
      </c>
      <c r="L203" s="8">
        <f>IF(OR(IFERROR(Table3[[#This Row],[Diameter Change?]]="Yes","Yes"),Table3[[#This Row],[Pipe Added?]]="Yes"),Table3[[#This Row],[2043 Pipeline unit cost]]*Table3[[#This Row],[2043 Length]],0)</f>
        <v>0</v>
      </c>
      <c r="M203" s="2">
        <f>VLOOKUP(Table3[[#This Row],[Pipe_name]],[2]!Table1[[id3]:[Cost]],8,FALSE)</f>
        <v>0</v>
      </c>
      <c r="N203" s="2">
        <f>IFERROR(Table3[[#This Row],[2022 length]]*Table3[[#This Row],[2022 Pipeline unit cost]],0)</f>
        <v>2196.2537001082505</v>
      </c>
      <c r="O203" s="2">
        <f>Table3[[#This Row],[2043 Length]]*Table3[[#This Row],[2043 Pipeline unit cost]]</f>
        <v>2196.2537001082505</v>
      </c>
      <c r="P203" s="2">
        <f>MATCH(Table3[[#This Row],[Pipe_name]],'2022 pipes'!B:B,0)</f>
        <v>205</v>
      </c>
      <c r="Q203" s="2">
        <f>Table3[[#This Row],[2043 pipes]]-Table3[[#This Row],[Master Plan CAPEX Cost]]</f>
        <v>2196.2537001082505</v>
      </c>
      <c r="R203" s="7">
        <f>Table3[[#This Row],[asdfa]]-Table3[[#This Row],[2022 total cost]]</f>
        <v>0</v>
      </c>
    </row>
    <row r="204" spans="1:18" x14ac:dyDescent="0.25">
      <c r="A204" s="1">
        <v>202</v>
      </c>
      <c r="B204" t="s">
        <v>220</v>
      </c>
      <c r="C204">
        <v>225</v>
      </c>
      <c r="D204">
        <v>3.2423299999999999</v>
      </c>
      <c r="E204">
        <f>VLOOKUP(Table3[[#This Row],[Pipe_name]],Table2[[Pipe_name]:[Original_Diameter]],2,FALSE)</f>
        <v>96</v>
      </c>
      <c r="F204">
        <f>VLOOKUP(Table3[[#This Row],[Pipe_name]],Table2[[Pipe_name]:[Length]],3,FALSE)</f>
        <v>3.2423299999999999</v>
      </c>
      <c r="G204" t="s">
        <v>331</v>
      </c>
      <c r="H204" t="str">
        <f>IF(Table3[[#This Row],[2043 Diameter]]=Table3[[#This Row],[2022 Diameter]],"No","Yes")</f>
        <v>Yes</v>
      </c>
      <c r="I204" t="str">
        <f>IF(Table3[[#This Row],[2043 Length]]=Table3[[#This Row],[2022 length]],"No","Yes")</f>
        <v>No</v>
      </c>
      <c r="J204" s="8">
        <f>VLOOKUP(Table3[[#This Row],[2043 Diameter]],[1]Pipes!$A:$B,2,FALSE)</f>
        <v>546.15625651305356</v>
      </c>
      <c r="K204" s="8">
        <f>VLOOKUP(Table3[[#This Row],[2022 Diameter]],[1]Pipes!$A:$B,2,FALSE)</f>
        <v>362.58707029616613</v>
      </c>
      <c r="L204" s="8">
        <f>IF(OR(IFERROR(Table3[[#This Row],[Diameter Change?]]="Yes","Yes"),Table3[[#This Row],[Pipe Added?]]="Yes"),Table3[[#This Row],[2043 Pipeline unit cost]]*Table3[[#This Row],[2043 Length]],0)</f>
        <v>1770.8188151799689</v>
      </c>
      <c r="M204" s="2">
        <f>VLOOKUP(Table3[[#This Row],[Pipe_name]],[2]!Table1[[id3]:[Cost]],8,FALSE)</f>
        <v>1770.6385836153197</v>
      </c>
      <c r="N204" s="2">
        <f>IFERROR(Table3[[#This Row],[2022 length]]*Table3[[#This Row],[2022 Pipeline unit cost]],0)</f>
        <v>1175.6269356333682</v>
      </c>
      <c r="O204" s="2">
        <f>Table3[[#This Row],[2043 Length]]*Table3[[#This Row],[2043 Pipeline unit cost]]</f>
        <v>1770.8188151799689</v>
      </c>
      <c r="P204" s="2">
        <f>MATCH(Table3[[#This Row],[Pipe_name]],'2022 pipes'!B:B,0)</f>
        <v>206</v>
      </c>
      <c r="Q204" s="2">
        <f>Table3[[#This Row],[2043 pipes]]-Table3[[#This Row],[Master Plan CAPEX Cost]]</f>
        <v>0</v>
      </c>
      <c r="R204" s="7">
        <f>Table3[[#This Row],[asdfa]]-Table3[[#This Row],[2022 total cost]]</f>
        <v>-1175.6269356333682</v>
      </c>
    </row>
    <row r="205" spans="1:18" x14ac:dyDescent="0.25">
      <c r="A205" s="1">
        <v>203</v>
      </c>
      <c r="B205" t="s">
        <v>221</v>
      </c>
      <c r="C205">
        <v>143</v>
      </c>
      <c r="D205">
        <v>0.5</v>
      </c>
      <c r="E205">
        <f>VLOOKUP(Table3[[#This Row],[Pipe_name]],Table2[[Pipe_name]:[Original_Diameter]],2,FALSE)</f>
        <v>143</v>
      </c>
      <c r="F205">
        <f>VLOOKUP(Table3[[#This Row],[Pipe_name]],Table2[[Pipe_name]:[Length]],3,FALSE)</f>
        <v>0.5</v>
      </c>
      <c r="G205" t="s">
        <v>331</v>
      </c>
      <c r="H205" t="str">
        <f>IF(Table3[[#This Row],[2043 Diameter]]=Table3[[#This Row],[2022 Diameter]],"No","Yes")</f>
        <v>No</v>
      </c>
      <c r="I205" t="str">
        <f>IF(Table3[[#This Row],[2043 Length]]=Table3[[#This Row],[2022 length]],"No","Yes")</f>
        <v>No</v>
      </c>
      <c r="J205" s="8">
        <f>VLOOKUP(Table3[[#This Row],[2043 Diameter]],[1]Pipes!$A:$B,2,FALSE)</f>
        <v>433.89080378537034</v>
      </c>
      <c r="K205" s="8">
        <f>VLOOKUP(Table3[[#This Row],[2022 Diameter]],[1]Pipes!$A:$B,2,FALSE)</f>
        <v>433.89080378537034</v>
      </c>
      <c r="L205" s="8">
        <f>IF(OR(IFERROR(Table3[[#This Row],[Diameter Change?]]="Yes","Yes"),Table3[[#This Row],[Pipe Added?]]="Yes"),Table3[[#This Row],[2043 Pipeline unit cost]]*Table3[[#This Row],[2043 Length]],0)</f>
        <v>0</v>
      </c>
      <c r="M205" s="2">
        <f>VLOOKUP(Table3[[#This Row],[Pipe_name]],[2]!Table1[[id3]:[Cost]],8,FALSE)</f>
        <v>0</v>
      </c>
      <c r="N205" s="2">
        <f>IFERROR(Table3[[#This Row],[2022 length]]*Table3[[#This Row],[2022 Pipeline unit cost]],0)</f>
        <v>216.94540189268517</v>
      </c>
      <c r="O205" s="2">
        <f>Table3[[#This Row],[2043 Length]]*Table3[[#This Row],[2043 Pipeline unit cost]]</f>
        <v>216.94540189268517</v>
      </c>
      <c r="P205" s="2">
        <f>MATCH(Table3[[#This Row],[Pipe_name]],'2022 pipes'!B:B,0)</f>
        <v>207</v>
      </c>
      <c r="Q205" s="2">
        <f>Table3[[#This Row],[2043 pipes]]-Table3[[#This Row],[Master Plan CAPEX Cost]]</f>
        <v>216.94540189268517</v>
      </c>
      <c r="R205" s="7">
        <f>Table3[[#This Row],[asdfa]]-Table3[[#This Row],[2022 total cost]]</f>
        <v>0</v>
      </c>
    </row>
    <row r="206" spans="1:18" x14ac:dyDescent="0.25">
      <c r="A206" s="1">
        <v>204</v>
      </c>
      <c r="B206" t="s">
        <v>222</v>
      </c>
      <c r="C206">
        <v>143</v>
      </c>
      <c r="D206">
        <v>237.08828700000001</v>
      </c>
      <c r="E206">
        <f>VLOOKUP(Table3[[#This Row],[Pipe_name]],Table2[[Pipe_name]:[Original_Diameter]],2,FALSE)</f>
        <v>143</v>
      </c>
      <c r="F206">
        <f>VLOOKUP(Table3[[#This Row],[Pipe_name]],Table2[[Pipe_name]:[Length]],3,FALSE)</f>
        <v>237.08828700000001</v>
      </c>
      <c r="G206" t="s">
        <v>331</v>
      </c>
      <c r="H206" t="str">
        <f>IF(Table3[[#This Row],[2043 Diameter]]=Table3[[#This Row],[2022 Diameter]],"No","Yes")</f>
        <v>No</v>
      </c>
      <c r="I206" t="str">
        <f>IF(Table3[[#This Row],[2043 Length]]=Table3[[#This Row],[2022 length]],"No","Yes")</f>
        <v>No</v>
      </c>
      <c r="J206" s="8">
        <f>VLOOKUP(Table3[[#This Row],[2043 Diameter]],[1]Pipes!$A:$B,2,FALSE)</f>
        <v>433.89080378537034</v>
      </c>
      <c r="K206" s="8">
        <f>VLOOKUP(Table3[[#This Row],[2022 Diameter]],[1]Pipes!$A:$B,2,FALSE)</f>
        <v>433.89080378537034</v>
      </c>
      <c r="L206" s="8">
        <f>IF(OR(IFERROR(Table3[[#This Row],[Diameter Change?]]="Yes","Yes"),Table3[[#This Row],[Pipe Added?]]="Yes"),Table3[[#This Row],[2043 Pipeline unit cost]]*Table3[[#This Row],[2043 Length]],0)</f>
        <v>0</v>
      </c>
      <c r="M206" s="2">
        <f>VLOOKUP(Table3[[#This Row],[Pipe_name]],[2]!Table1[[id3]:[Cost]],8,FALSE)</f>
        <v>0</v>
      </c>
      <c r="N206" s="2">
        <f>IFERROR(Table3[[#This Row],[2022 length]]*Table3[[#This Row],[2022 Pipeline unit cost]],0)</f>
        <v>102870.42741452657</v>
      </c>
      <c r="O206" s="2">
        <f>Table3[[#This Row],[2043 Length]]*Table3[[#This Row],[2043 Pipeline unit cost]]</f>
        <v>102870.42741452657</v>
      </c>
      <c r="P206" s="2">
        <f>MATCH(Table3[[#This Row],[Pipe_name]],'2022 pipes'!B:B,0)</f>
        <v>208</v>
      </c>
      <c r="Q206" s="2">
        <f>Table3[[#This Row],[2043 pipes]]-Table3[[#This Row],[Master Plan CAPEX Cost]]</f>
        <v>102870.42741452657</v>
      </c>
      <c r="R206" s="7">
        <f>Table3[[#This Row],[asdfa]]-Table3[[#This Row],[2022 total cost]]</f>
        <v>0</v>
      </c>
    </row>
    <row r="207" spans="1:18" x14ac:dyDescent="0.25">
      <c r="A207" s="1">
        <v>205</v>
      </c>
      <c r="B207" t="s">
        <v>285</v>
      </c>
      <c r="C207">
        <v>143</v>
      </c>
      <c r="D207">
        <v>531.27282700000001</v>
      </c>
      <c r="E207">
        <f>VLOOKUP(Table3[[#This Row],[Pipe_name]],Table2[[Pipe_name]:[Original_Diameter]],2,FALSE)</f>
        <v>143</v>
      </c>
      <c r="F207">
        <f>VLOOKUP(Table3[[#This Row],[Pipe_name]],Table2[[Pipe_name]:[Length]],3,FALSE)</f>
        <v>531.27282700000001</v>
      </c>
      <c r="G207" t="s">
        <v>331</v>
      </c>
      <c r="H207" t="str">
        <f>IF(Table3[[#This Row],[2043 Diameter]]=Table3[[#This Row],[2022 Diameter]],"No","Yes")</f>
        <v>No</v>
      </c>
      <c r="I207" t="str">
        <f>IF(Table3[[#This Row],[2043 Length]]=Table3[[#This Row],[2022 length]],"No","Yes")</f>
        <v>No</v>
      </c>
      <c r="J207" s="8">
        <f>VLOOKUP(Table3[[#This Row],[2043 Diameter]],[1]Pipes!$A:$B,2,FALSE)</f>
        <v>433.89080378537034</v>
      </c>
      <c r="K207" s="8">
        <f>VLOOKUP(Table3[[#This Row],[2022 Diameter]],[1]Pipes!$A:$B,2,FALSE)</f>
        <v>433.89080378537034</v>
      </c>
      <c r="L207" s="8">
        <f>IF(OR(IFERROR(Table3[[#This Row],[Diameter Change?]]="Yes","Yes"),Table3[[#This Row],[Pipe Added?]]="Yes"),Table3[[#This Row],[2043 Pipeline unit cost]]*Table3[[#This Row],[2043 Length]],0)</f>
        <v>0</v>
      </c>
      <c r="M207" s="2">
        <f>VLOOKUP(Table3[[#This Row],[Pipe_name]],[2]!Table1[[id3]:[Cost]],8,FALSE)</f>
        <v>0</v>
      </c>
      <c r="N207" s="2">
        <f>IFERROR(Table3[[#This Row],[2022 length]]*Table3[[#This Row],[2022 Pipeline unit cost]],0)</f>
        <v>230514.39393635601</v>
      </c>
      <c r="O207" s="2">
        <f>Table3[[#This Row],[2043 Length]]*Table3[[#This Row],[2043 Pipeline unit cost]]</f>
        <v>230514.39393635601</v>
      </c>
      <c r="P207" s="2">
        <f>MATCH(Table3[[#This Row],[Pipe_name]],'2022 pipes'!B:B,0)</f>
        <v>209</v>
      </c>
      <c r="Q207" s="2">
        <f>Table3[[#This Row],[2043 pipes]]-Table3[[#This Row],[Master Plan CAPEX Cost]]</f>
        <v>230514.39393635601</v>
      </c>
      <c r="R207" s="7">
        <f>Table3[[#This Row],[asdfa]]-Table3[[#This Row],[2022 total cost]]</f>
        <v>0</v>
      </c>
    </row>
    <row r="208" spans="1:18" x14ac:dyDescent="0.25">
      <c r="A208" s="1">
        <v>206</v>
      </c>
      <c r="B208" t="s">
        <v>223</v>
      </c>
      <c r="C208">
        <v>143</v>
      </c>
      <c r="D208">
        <v>21.585718</v>
      </c>
      <c r="E208">
        <f>VLOOKUP(Table3[[#This Row],[Pipe_name]],Table2[[Pipe_name]:[Original_Diameter]],2,FALSE)</f>
        <v>143</v>
      </c>
      <c r="F208">
        <f>VLOOKUP(Table3[[#This Row],[Pipe_name]],Table2[[Pipe_name]:[Length]],3,FALSE)</f>
        <v>21.585718</v>
      </c>
      <c r="G208" t="s">
        <v>331</v>
      </c>
      <c r="H208" t="str">
        <f>IF(Table3[[#This Row],[2043 Diameter]]=Table3[[#This Row],[2022 Diameter]],"No","Yes")</f>
        <v>No</v>
      </c>
      <c r="I208" t="str">
        <f>IF(Table3[[#This Row],[2043 Length]]=Table3[[#This Row],[2022 length]],"No","Yes")</f>
        <v>No</v>
      </c>
      <c r="J208" s="8">
        <f>VLOOKUP(Table3[[#This Row],[2043 Diameter]],[1]Pipes!$A:$B,2,FALSE)</f>
        <v>433.89080378537034</v>
      </c>
      <c r="K208" s="8">
        <f>VLOOKUP(Table3[[#This Row],[2022 Diameter]],[1]Pipes!$A:$B,2,FALSE)</f>
        <v>433.89080378537034</v>
      </c>
      <c r="L208" s="8">
        <f>IF(OR(IFERROR(Table3[[#This Row],[Diameter Change?]]="Yes","Yes"),Table3[[#This Row],[Pipe Added?]]="Yes"),Table3[[#This Row],[2043 Pipeline unit cost]]*Table3[[#This Row],[2043 Length]],0)</f>
        <v>0</v>
      </c>
      <c r="M208" s="2">
        <f>VLOOKUP(Table3[[#This Row],[Pipe_name]],[2]!Table1[[id3]:[Cost]],8,FALSE)</f>
        <v>0</v>
      </c>
      <c r="N208" s="2">
        <f>IFERROR(Table3[[#This Row],[2022 length]]*Table3[[#This Row],[2022 Pipeline unit cost]],0)</f>
        <v>9365.8445333043364</v>
      </c>
      <c r="O208" s="2">
        <f>Table3[[#This Row],[2043 Length]]*Table3[[#This Row],[2043 Pipeline unit cost]]</f>
        <v>9365.8445333043364</v>
      </c>
      <c r="P208" s="2">
        <f>MATCH(Table3[[#This Row],[Pipe_name]],'2022 pipes'!B:B,0)</f>
        <v>210</v>
      </c>
      <c r="Q208" s="2">
        <f>Table3[[#This Row],[2043 pipes]]-Table3[[#This Row],[Master Plan CAPEX Cost]]</f>
        <v>9365.8445333043364</v>
      </c>
      <c r="R208" s="7">
        <f>Table3[[#This Row],[asdfa]]-Table3[[#This Row],[2022 total cost]]</f>
        <v>0</v>
      </c>
    </row>
    <row r="209" spans="1:18" x14ac:dyDescent="0.25">
      <c r="A209" s="1">
        <v>207</v>
      </c>
      <c r="B209" t="s">
        <v>224</v>
      </c>
      <c r="C209">
        <v>200</v>
      </c>
      <c r="D209">
        <v>3.37114</v>
      </c>
      <c r="E209">
        <f>VLOOKUP(Table3[[#This Row],[Pipe_name]],Table2[[Pipe_name]:[Original_Diameter]],2,FALSE)</f>
        <v>200</v>
      </c>
      <c r="F209">
        <f>VLOOKUP(Table3[[#This Row],[Pipe_name]],Table2[[Pipe_name]:[Length]],3,FALSE)</f>
        <v>3.37114</v>
      </c>
      <c r="G209" t="s">
        <v>331</v>
      </c>
      <c r="H209" t="str">
        <f>IF(Table3[[#This Row],[2043 Diameter]]=Table3[[#This Row],[2022 Diameter]],"No","Yes")</f>
        <v>No</v>
      </c>
      <c r="I209" t="str">
        <f>IF(Table3[[#This Row],[2043 Length]]=Table3[[#This Row],[2022 length]],"No","Yes")</f>
        <v>No</v>
      </c>
      <c r="J209" s="8">
        <f>VLOOKUP(Table3[[#This Row],[2043 Diameter]],[1]Pipes!$A:$B,2,FALSE)</f>
        <v>546.15625651305356</v>
      </c>
      <c r="K209" s="8">
        <f>VLOOKUP(Table3[[#This Row],[2022 Diameter]],[1]Pipes!$A:$B,2,FALSE)</f>
        <v>546.15625651305356</v>
      </c>
      <c r="L209" s="8">
        <f>IF(OR(IFERROR(Table3[[#This Row],[Diameter Change?]]="Yes","Yes"),Table3[[#This Row],[Pipe Added?]]="Yes"),Table3[[#This Row],[2043 Pipeline unit cost]]*Table3[[#This Row],[2043 Length]],0)</f>
        <v>0</v>
      </c>
      <c r="M209" s="2">
        <f>VLOOKUP(Table3[[#This Row],[Pipe_name]],[2]!Table1[[id3]:[Cost]],8,FALSE)</f>
        <v>0</v>
      </c>
      <c r="N209" s="2">
        <f>IFERROR(Table3[[#This Row],[2022 length]]*Table3[[#This Row],[2022 Pipeline unit cost]],0)</f>
        <v>1841.1692025814154</v>
      </c>
      <c r="O209" s="2">
        <f>Table3[[#This Row],[2043 Length]]*Table3[[#This Row],[2043 Pipeline unit cost]]</f>
        <v>1841.1692025814154</v>
      </c>
      <c r="P209" s="2">
        <f>MATCH(Table3[[#This Row],[Pipe_name]],'2022 pipes'!B:B,0)</f>
        <v>211</v>
      </c>
      <c r="Q209" s="2">
        <f>Table3[[#This Row],[2043 pipes]]-Table3[[#This Row],[Master Plan CAPEX Cost]]</f>
        <v>1841.1692025814154</v>
      </c>
      <c r="R209" s="7">
        <f>Table3[[#This Row],[asdfa]]-Table3[[#This Row],[2022 total cost]]</f>
        <v>0</v>
      </c>
    </row>
    <row r="210" spans="1:18" x14ac:dyDescent="0.25">
      <c r="A210" s="1">
        <v>208</v>
      </c>
      <c r="B210" t="s">
        <v>225</v>
      </c>
      <c r="C210">
        <v>200</v>
      </c>
      <c r="D210">
        <v>133.029877</v>
      </c>
      <c r="E210">
        <f>VLOOKUP(Table3[[#This Row],[Pipe_name]],Table2[[Pipe_name]:[Original_Diameter]],2,FALSE)</f>
        <v>200</v>
      </c>
      <c r="F210">
        <f>VLOOKUP(Table3[[#This Row],[Pipe_name]],Table2[[Pipe_name]:[Length]],3,FALSE)</f>
        <v>133.029877</v>
      </c>
      <c r="G210" t="s">
        <v>331</v>
      </c>
      <c r="H210" t="str">
        <f>IF(Table3[[#This Row],[2043 Diameter]]=Table3[[#This Row],[2022 Diameter]],"No","Yes")</f>
        <v>No</v>
      </c>
      <c r="I210" t="str">
        <f>IF(Table3[[#This Row],[2043 Length]]=Table3[[#This Row],[2022 length]],"No","Yes")</f>
        <v>No</v>
      </c>
      <c r="J210" s="8">
        <f>VLOOKUP(Table3[[#This Row],[2043 Diameter]],[1]Pipes!$A:$B,2,FALSE)</f>
        <v>546.15625651305356</v>
      </c>
      <c r="K210" s="8">
        <f>VLOOKUP(Table3[[#This Row],[2022 Diameter]],[1]Pipes!$A:$B,2,FALSE)</f>
        <v>546.15625651305356</v>
      </c>
      <c r="L210" s="8">
        <f>IF(OR(IFERROR(Table3[[#This Row],[Diameter Change?]]="Yes","Yes"),Table3[[#This Row],[Pipe Added?]]="Yes"),Table3[[#This Row],[2043 Pipeline unit cost]]*Table3[[#This Row],[2043 Length]],0)</f>
        <v>0</v>
      </c>
      <c r="M210" s="2">
        <f>VLOOKUP(Table3[[#This Row],[Pipe_name]],[2]!Table1[[id3]:[Cost]],8,FALSE)</f>
        <v>0</v>
      </c>
      <c r="N210" s="2">
        <f>IFERROR(Table3[[#This Row],[2022 length]]*Table3[[#This Row],[2022 Pipeline unit cost]],0)</f>
        <v>72655.099626711963</v>
      </c>
      <c r="O210" s="2">
        <f>Table3[[#This Row],[2043 Length]]*Table3[[#This Row],[2043 Pipeline unit cost]]</f>
        <v>72655.099626711963</v>
      </c>
      <c r="P210" s="2">
        <f>MATCH(Table3[[#This Row],[Pipe_name]],'2022 pipes'!B:B,0)</f>
        <v>212</v>
      </c>
      <c r="Q210" s="2">
        <f>Table3[[#This Row],[2043 pipes]]-Table3[[#This Row],[Master Plan CAPEX Cost]]</f>
        <v>72655.099626711963</v>
      </c>
      <c r="R210" s="7">
        <f>Table3[[#This Row],[asdfa]]-Table3[[#This Row],[2022 total cost]]</f>
        <v>0</v>
      </c>
    </row>
    <row r="211" spans="1:18" x14ac:dyDescent="0.25">
      <c r="A211" s="1">
        <v>209</v>
      </c>
      <c r="B211" t="s">
        <v>226</v>
      </c>
      <c r="C211">
        <v>96</v>
      </c>
      <c r="D211">
        <v>32.550342999999998</v>
      </c>
      <c r="E211">
        <f>VLOOKUP(Table3[[#This Row],[Pipe_name]],Table2[[Pipe_name]:[Original_Diameter]],2,FALSE)</f>
        <v>96</v>
      </c>
      <c r="F211">
        <f>VLOOKUP(Table3[[#This Row],[Pipe_name]],Table2[[Pipe_name]:[Length]],3,FALSE)</f>
        <v>32.550342999999998</v>
      </c>
      <c r="G211" t="s">
        <v>331</v>
      </c>
      <c r="H211" t="str">
        <f>IF(Table3[[#This Row],[2043 Diameter]]=Table3[[#This Row],[2022 Diameter]],"No","Yes")</f>
        <v>No</v>
      </c>
      <c r="I211" t="str">
        <f>IF(Table3[[#This Row],[2043 Length]]=Table3[[#This Row],[2022 length]],"No","Yes")</f>
        <v>No</v>
      </c>
      <c r="J211" s="8">
        <f>VLOOKUP(Table3[[#This Row],[2043 Diameter]],[1]Pipes!$A:$B,2,FALSE)</f>
        <v>362.58707029616613</v>
      </c>
      <c r="K211" s="8">
        <f>VLOOKUP(Table3[[#This Row],[2022 Diameter]],[1]Pipes!$A:$B,2,FALSE)</f>
        <v>362.58707029616613</v>
      </c>
      <c r="L211" s="8">
        <f>IF(OR(IFERROR(Table3[[#This Row],[Diameter Change?]]="Yes","Yes"),Table3[[#This Row],[Pipe Added?]]="Yes"),Table3[[#This Row],[2043 Pipeline unit cost]]*Table3[[#This Row],[2043 Length]],0)</f>
        <v>0</v>
      </c>
      <c r="M211" s="2">
        <f>VLOOKUP(Table3[[#This Row],[Pipe_name]],[2]!Table1[[id3]:[Cost]],8,FALSE)</f>
        <v>0</v>
      </c>
      <c r="N211" s="2">
        <f>IFERROR(Table3[[#This Row],[2022 length]]*Table3[[#This Row],[2022 Pipeline unit cost]],0)</f>
        <v>11802.333505505318</v>
      </c>
      <c r="O211" s="2">
        <f>Table3[[#This Row],[2043 Length]]*Table3[[#This Row],[2043 Pipeline unit cost]]</f>
        <v>11802.333505505318</v>
      </c>
      <c r="P211" s="2">
        <f>MATCH(Table3[[#This Row],[Pipe_name]],'2022 pipes'!B:B,0)</f>
        <v>213</v>
      </c>
      <c r="Q211" s="2">
        <f>Table3[[#This Row],[2043 pipes]]-Table3[[#This Row],[Master Plan CAPEX Cost]]</f>
        <v>11802.333505505318</v>
      </c>
      <c r="R211" s="7">
        <f>Table3[[#This Row],[asdfa]]-Table3[[#This Row],[2022 total cost]]</f>
        <v>0</v>
      </c>
    </row>
    <row r="212" spans="1:18" x14ac:dyDescent="0.25">
      <c r="A212" s="1">
        <v>210</v>
      </c>
      <c r="B212" t="s">
        <v>227</v>
      </c>
      <c r="C212">
        <v>96</v>
      </c>
      <c r="D212">
        <v>151.75245699999999</v>
      </c>
      <c r="E212">
        <f>VLOOKUP(Table3[[#This Row],[Pipe_name]],Table2[[Pipe_name]:[Original_Diameter]],2,FALSE)</f>
        <v>96</v>
      </c>
      <c r="F212">
        <f>VLOOKUP(Table3[[#This Row],[Pipe_name]],Table2[[Pipe_name]:[Length]],3,FALSE)</f>
        <v>151.75245699999999</v>
      </c>
      <c r="G212" t="s">
        <v>331</v>
      </c>
      <c r="H212" t="str">
        <f>IF(Table3[[#This Row],[2043 Diameter]]=Table3[[#This Row],[2022 Diameter]],"No","Yes")</f>
        <v>No</v>
      </c>
      <c r="I212" t="str">
        <f>IF(Table3[[#This Row],[2043 Length]]=Table3[[#This Row],[2022 length]],"No","Yes")</f>
        <v>No</v>
      </c>
      <c r="J212" s="8">
        <f>VLOOKUP(Table3[[#This Row],[2043 Diameter]],[1]Pipes!$A:$B,2,FALSE)</f>
        <v>362.58707029616613</v>
      </c>
      <c r="K212" s="8">
        <f>VLOOKUP(Table3[[#This Row],[2022 Diameter]],[1]Pipes!$A:$B,2,FALSE)</f>
        <v>362.58707029616613</v>
      </c>
      <c r="L212" s="8">
        <f>IF(OR(IFERROR(Table3[[#This Row],[Diameter Change?]]="Yes","Yes"),Table3[[#This Row],[Pipe Added?]]="Yes"),Table3[[#This Row],[2043 Pipeline unit cost]]*Table3[[#This Row],[2043 Length]],0)</f>
        <v>0</v>
      </c>
      <c r="M212" s="2">
        <f>VLOOKUP(Table3[[#This Row],[Pipe_name]],[2]!Table1[[id3]:[Cost]],8,FALSE)</f>
        <v>0</v>
      </c>
      <c r="N212" s="2">
        <f>IFERROR(Table3[[#This Row],[2022 length]]*Table3[[#This Row],[2022 Pipeline unit cost]],0)</f>
        <v>55023.478793874929</v>
      </c>
      <c r="O212" s="2">
        <f>Table3[[#This Row],[2043 Length]]*Table3[[#This Row],[2043 Pipeline unit cost]]</f>
        <v>55023.478793874929</v>
      </c>
      <c r="P212" s="2">
        <f>MATCH(Table3[[#This Row],[Pipe_name]],'2022 pipes'!B:B,0)</f>
        <v>214</v>
      </c>
      <c r="Q212" s="2">
        <f>Table3[[#This Row],[2043 pipes]]-Table3[[#This Row],[Master Plan CAPEX Cost]]</f>
        <v>55023.478793874929</v>
      </c>
      <c r="R212" s="7">
        <f>Table3[[#This Row],[asdfa]]-Table3[[#This Row],[2022 total cost]]</f>
        <v>0</v>
      </c>
    </row>
    <row r="213" spans="1:18" x14ac:dyDescent="0.25">
      <c r="A213" s="1">
        <v>211</v>
      </c>
      <c r="B213" t="s">
        <v>228</v>
      </c>
      <c r="C213">
        <v>141</v>
      </c>
      <c r="D213">
        <v>104.470634</v>
      </c>
      <c r="E213">
        <f>VLOOKUP(Table3[[#This Row],[Pipe_name]],Table2[[Pipe_name]:[Original_Diameter]],2,FALSE)</f>
        <v>141</v>
      </c>
      <c r="F213">
        <f>VLOOKUP(Table3[[#This Row],[Pipe_name]],Table2[[Pipe_name]:[Length]],3,FALSE)</f>
        <v>104.470634</v>
      </c>
      <c r="G213" t="s">
        <v>331</v>
      </c>
      <c r="H213" t="str">
        <f>IF(Table3[[#This Row],[2043 Diameter]]=Table3[[#This Row],[2022 Diameter]],"No","Yes")</f>
        <v>No</v>
      </c>
      <c r="I213" t="str">
        <f>IF(Table3[[#This Row],[2043 Length]]=Table3[[#This Row],[2022 length]],"No","Yes")</f>
        <v>No</v>
      </c>
      <c r="J213" s="8">
        <f>VLOOKUP(Table3[[#This Row],[2043 Diameter]],[1]Pipes!$A:$B,2,FALSE)</f>
        <v>433.89080378537034</v>
      </c>
      <c r="K213" s="8">
        <f>VLOOKUP(Table3[[#This Row],[2022 Diameter]],[1]Pipes!$A:$B,2,FALSE)</f>
        <v>433.89080378537034</v>
      </c>
      <c r="L213" s="8">
        <f>IF(OR(IFERROR(Table3[[#This Row],[Diameter Change?]]="Yes","Yes"),Table3[[#This Row],[Pipe Added?]]="Yes"),Table3[[#This Row],[2043 Pipeline unit cost]]*Table3[[#This Row],[2043 Length]],0)</f>
        <v>0</v>
      </c>
      <c r="M213" s="2">
        <f>VLOOKUP(Table3[[#This Row],[Pipe_name]],[2]!Table1[[id3]:[Cost]],8,FALSE)</f>
        <v>0</v>
      </c>
      <c r="N213" s="2">
        <f>IFERROR(Table3[[#This Row],[2022 length]]*Table3[[#This Row],[2022 Pipeline unit cost]],0)</f>
        <v>45328.847358227242</v>
      </c>
      <c r="O213" s="2">
        <f>Table3[[#This Row],[2043 Length]]*Table3[[#This Row],[2043 Pipeline unit cost]]</f>
        <v>45328.847358227242</v>
      </c>
      <c r="P213" s="2">
        <f>MATCH(Table3[[#This Row],[Pipe_name]],'2022 pipes'!B:B,0)</f>
        <v>215</v>
      </c>
      <c r="Q213" s="2">
        <f>Table3[[#This Row],[2043 pipes]]-Table3[[#This Row],[Master Plan CAPEX Cost]]</f>
        <v>45328.847358227242</v>
      </c>
      <c r="R213" s="7">
        <f>Table3[[#This Row],[asdfa]]-Table3[[#This Row],[2022 total cost]]</f>
        <v>0</v>
      </c>
    </row>
    <row r="214" spans="1:18" x14ac:dyDescent="0.25">
      <c r="A214" s="1">
        <v>212</v>
      </c>
      <c r="B214" t="s">
        <v>229</v>
      </c>
      <c r="C214">
        <v>200</v>
      </c>
      <c r="D214">
        <v>19.450320999999999</v>
      </c>
      <c r="E214">
        <f>VLOOKUP(Table3[[#This Row],[Pipe_name]],Table2[[Pipe_name]:[Original_Diameter]],2,FALSE)</f>
        <v>200</v>
      </c>
      <c r="F214">
        <f>VLOOKUP(Table3[[#This Row],[Pipe_name]],Table2[[Pipe_name]:[Length]],3,FALSE)</f>
        <v>19.450320999999999</v>
      </c>
      <c r="G214" t="s">
        <v>331</v>
      </c>
      <c r="H214" t="str">
        <f>IF(Table3[[#This Row],[2043 Diameter]]=Table3[[#This Row],[2022 Diameter]],"No","Yes")</f>
        <v>No</v>
      </c>
      <c r="I214" t="str">
        <f>IF(Table3[[#This Row],[2043 Length]]=Table3[[#This Row],[2022 length]],"No","Yes")</f>
        <v>No</v>
      </c>
      <c r="J214" s="8">
        <f>VLOOKUP(Table3[[#This Row],[2043 Diameter]],[1]Pipes!$A:$B,2,FALSE)</f>
        <v>546.15625651305356</v>
      </c>
      <c r="K214" s="8">
        <f>VLOOKUP(Table3[[#This Row],[2022 Diameter]],[1]Pipes!$A:$B,2,FALSE)</f>
        <v>546.15625651305356</v>
      </c>
      <c r="L214" s="8">
        <f>IF(OR(IFERROR(Table3[[#This Row],[Diameter Change?]]="Yes","Yes"),Table3[[#This Row],[Pipe Added?]]="Yes"),Table3[[#This Row],[2043 Pipeline unit cost]]*Table3[[#This Row],[2043 Length]],0)</f>
        <v>0</v>
      </c>
      <c r="M214" s="2">
        <f>VLOOKUP(Table3[[#This Row],[Pipe_name]],[2]!Table1[[id3]:[Cost]],8,FALSE)</f>
        <v>0</v>
      </c>
      <c r="N214" s="2">
        <f>IFERROR(Table3[[#This Row],[2022 length]]*Table3[[#This Row],[2022 Pipeline unit cost]],0)</f>
        <v>10622.914505337232</v>
      </c>
      <c r="O214" s="2">
        <f>Table3[[#This Row],[2043 Length]]*Table3[[#This Row],[2043 Pipeline unit cost]]</f>
        <v>10622.914505337232</v>
      </c>
      <c r="P214" s="2">
        <f>MATCH(Table3[[#This Row],[Pipe_name]],'2022 pipes'!B:B,0)</f>
        <v>216</v>
      </c>
      <c r="Q214" s="2">
        <f>Table3[[#This Row],[2043 pipes]]-Table3[[#This Row],[Master Plan CAPEX Cost]]</f>
        <v>10622.914505337232</v>
      </c>
      <c r="R214" s="7">
        <f>Table3[[#This Row],[asdfa]]-Table3[[#This Row],[2022 total cost]]</f>
        <v>0</v>
      </c>
    </row>
    <row r="215" spans="1:18" x14ac:dyDescent="0.25">
      <c r="A215" s="1">
        <v>213</v>
      </c>
      <c r="B215" t="s">
        <v>230</v>
      </c>
      <c r="C215">
        <v>96</v>
      </c>
      <c r="D215">
        <v>77.813652000000005</v>
      </c>
      <c r="E215">
        <f>VLOOKUP(Table3[[#This Row],[Pipe_name]],Table2[[Pipe_name]:[Original_Diameter]],2,FALSE)</f>
        <v>96</v>
      </c>
      <c r="F215">
        <f>VLOOKUP(Table3[[#This Row],[Pipe_name]],Table2[[Pipe_name]:[Length]],3,FALSE)</f>
        <v>77.813652000000005</v>
      </c>
      <c r="G215" t="s">
        <v>331</v>
      </c>
      <c r="H215" t="str">
        <f>IF(Table3[[#This Row],[2043 Diameter]]=Table3[[#This Row],[2022 Diameter]],"No","Yes")</f>
        <v>No</v>
      </c>
      <c r="I215" t="str">
        <f>IF(Table3[[#This Row],[2043 Length]]=Table3[[#This Row],[2022 length]],"No","Yes")</f>
        <v>No</v>
      </c>
      <c r="J215" s="8">
        <f>VLOOKUP(Table3[[#This Row],[2043 Diameter]],[1]Pipes!$A:$B,2,FALSE)</f>
        <v>362.58707029616613</v>
      </c>
      <c r="K215" s="8">
        <f>VLOOKUP(Table3[[#This Row],[2022 Diameter]],[1]Pipes!$A:$B,2,FALSE)</f>
        <v>362.58707029616613</v>
      </c>
      <c r="L215" s="8">
        <f>IF(OR(IFERROR(Table3[[#This Row],[Diameter Change?]]="Yes","Yes"),Table3[[#This Row],[Pipe Added?]]="Yes"),Table3[[#This Row],[2043 Pipeline unit cost]]*Table3[[#This Row],[2043 Length]],0)</f>
        <v>0</v>
      </c>
      <c r="M215" s="2">
        <f>VLOOKUP(Table3[[#This Row],[Pipe_name]],[2]!Table1[[id3]:[Cost]],8,FALSE)</f>
        <v>0</v>
      </c>
      <c r="N215" s="2">
        <f>IFERROR(Table3[[#This Row],[2022 length]]*Table3[[#This Row],[2022 Pipeline unit cost]],0)</f>
        <v>28214.224107725411</v>
      </c>
      <c r="O215" s="2">
        <f>Table3[[#This Row],[2043 Length]]*Table3[[#This Row],[2043 Pipeline unit cost]]</f>
        <v>28214.224107725411</v>
      </c>
      <c r="P215" s="2">
        <f>MATCH(Table3[[#This Row],[Pipe_name]],'2022 pipes'!B:B,0)</f>
        <v>217</v>
      </c>
      <c r="Q215" s="2">
        <f>Table3[[#This Row],[2043 pipes]]-Table3[[#This Row],[Master Plan CAPEX Cost]]</f>
        <v>28214.224107725411</v>
      </c>
      <c r="R215" s="7">
        <f>Table3[[#This Row],[asdfa]]-Table3[[#This Row],[2022 total cost]]</f>
        <v>0</v>
      </c>
    </row>
    <row r="216" spans="1:18" x14ac:dyDescent="0.25">
      <c r="A216" s="1">
        <v>214</v>
      </c>
      <c r="B216" t="s">
        <v>231</v>
      </c>
      <c r="C216">
        <v>96</v>
      </c>
      <c r="D216">
        <v>5.7866929999999996</v>
      </c>
      <c r="E216">
        <f>VLOOKUP(Table3[[#This Row],[Pipe_name]],Table2[[Pipe_name]:[Original_Diameter]],2,FALSE)</f>
        <v>96</v>
      </c>
      <c r="F216">
        <f>VLOOKUP(Table3[[#This Row],[Pipe_name]],Table2[[Pipe_name]:[Length]],3,FALSE)</f>
        <v>5.7866929999999996</v>
      </c>
      <c r="G216" t="s">
        <v>331</v>
      </c>
      <c r="H216" t="str">
        <f>IF(Table3[[#This Row],[2043 Diameter]]=Table3[[#This Row],[2022 Diameter]],"No","Yes")</f>
        <v>No</v>
      </c>
      <c r="I216" t="str">
        <f>IF(Table3[[#This Row],[2043 Length]]=Table3[[#This Row],[2022 length]],"No","Yes")</f>
        <v>No</v>
      </c>
      <c r="J216" s="8">
        <f>VLOOKUP(Table3[[#This Row],[2043 Diameter]],[1]Pipes!$A:$B,2,FALSE)</f>
        <v>362.58707029616613</v>
      </c>
      <c r="K216" s="8">
        <f>VLOOKUP(Table3[[#This Row],[2022 Diameter]],[1]Pipes!$A:$B,2,FALSE)</f>
        <v>362.58707029616613</v>
      </c>
      <c r="L216" s="8">
        <f>IF(OR(IFERROR(Table3[[#This Row],[Diameter Change?]]="Yes","Yes"),Table3[[#This Row],[Pipe Added?]]="Yes"),Table3[[#This Row],[2043 Pipeline unit cost]]*Table3[[#This Row],[2043 Length]],0)</f>
        <v>0</v>
      </c>
      <c r="M216" s="2">
        <f>VLOOKUP(Table3[[#This Row],[Pipe_name]],[2]!Table1[[id3]:[Cost]],8,FALSE)</f>
        <v>0</v>
      </c>
      <c r="N216" s="2">
        <f>IFERROR(Table3[[#This Row],[2022 length]]*Table3[[#This Row],[2022 Pipeline unit cost]],0)</f>
        <v>2098.1800615733323</v>
      </c>
      <c r="O216" s="2">
        <f>Table3[[#This Row],[2043 Length]]*Table3[[#This Row],[2043 Pipeline unit cost]]</f>
        <v>2098.1800615733323</v>
      </c>
      <c r="P216" s="2">
        <f>MATCH(Table3[[#This Row],[Pipe_name]],'2022 pipes'!B:B,0)</f>
        <v>218</v>
      </c>
      <c r="Q216" s="2">
        <f>Table3[[#This Row],[2043 pipes]]-Table3[[#This Row],[Master Plan CAPEX Cost]]</f>
        <v>2098.1800615733323</v>
      </c>
      <c r="R216" s="7">
        <f>Table3[[#This Row],[asdfa]]-Table3[[#This Row],[2022 total cost]]</f>
        <v>0</v>
      </c>
    </row>
    <row r="217" spans="1:18" x14ac:dyDescent="0.25">
      <c r="A217" s="1">
        <v>215</v>
      </c>
      <c r="B217" t="s">
        <v>232</v>
      </c>
      <c r="C217">
        <v>96</v>
      </c>
      <c r="D217">
        <v>178.65176400000001</v>
      </c>
      <c r="E217">
        <f>VLOOKUP(Table3[[#This Row],[Pipe_name]],Table2[[Pipe_name]:[Original_Diameter]],2,FALSE)</f>
        <v>96</v>
      </c>
      <c r="F217">
        <f>VLOOKUP(Table3[[#This Row],[Pipe_name]],Table2[[Pipe_name]:[Length]],3,FALSE)</f>
        <v>178.65176400000001</v>
      </c>
      <c r="G217" t="s">
        <v>331</v>
      </c>
      <c r="H217" t="str">
        <f>IF(Table3[[#This Row],[2043 Diameter]]=Table3[[#This Row],[2022 Diameter]],"No","Yes")</f>
        <v>No</v>
      </c>
      <c r="I217" t="str">
        <f>IF(Table3[[#This Row],[2043 Length]]=Table3[[#This Row],[2022 length]],"No","Yes")</f>
        <v>No</v>
      </c>
      <c r="J217" s="8">
        <f>VLOOKUP(Table3[[#This Row],[2043 Diameter]],[1]Pipes!$A:$B,2,FALSE)</f>
        <v>362.58707029616613</v>
      </c>
      <c r="K217" s="8">
        <f>VLOOKUP(Table3[[#This Row],[2022 Diameter]],[1]Pipes!$A:$B,2,FALSE)</f>
        <v>362.58707029616613</v>
      </c>
      <c r="L217" s="8">
        <f>IF(OR(IFERROR(Table3[[#This Row],[Diameter Change?]]="Yes","Yes"),Table3[[#This Row],[Pipe Added?]]="Yes"),Table3[[#This Row],[2043 Pipeline unit cost]]*Table3[[#This Row],[2043 Length]],0)</f>
        <v>0</v>
      </c>
      <c r="M217" s="2">
        <f>VLOOKUP(Table3[[#This Row],[Pipe_name]],[2]!Table1[[id3]:[Cost]],8,FALSE)</f>
        <v>0</v>
      </c>
      <c r="N217" s="2">
        <f>IFERROR(Table3[[#This Row],[2022 length]]*Table3[[#This Row],[2022 Pipeline unit cost]],0)</f>
        <v>64776.819712002085</v>
      </c>
      <c r="O217" s="2">
        <f>Table3[[#This Row],[2043 Length]]*Table3[[#This Row],[2043 Pipeline unit cost]]</f>
        <v>64776.819712002085</v>
      </c>
      <c r="P217" s="2">
        <f>MATCH(Table3[[#This Row],[Pipe_name]],'2022 pipes'!B:B,0)</f>
        <v>219</v>
      </c>
      <c r="Q217" s="2">
        <f>Table3[[#This Row],[2043 pipes]]-Table3[[#This Row],[Master Plan CAPEX Cost]]</f>
        <v>64776.819712002085</v>
      </c>
      <c r="R217" s="7">
        <f>Table3[[#This Row],[asdfa]]-Table3[[#This Row],[2022 total cost]]</f>
        <v>0</v>
      </c>
    </row>
    <row r="218" spans="1:18" x14ac:dyDescent="0.25">
      <c r="A218" s="1">
        <v>216</v>
      </c>
      <c r="B218" t="s">
        <v>233</v>
      </c>
      <c r="C218">
        <v>96</v>
      </c>
      <c r="D218">
        <v>6.0543009999999997</v>
      </c>
      <c r="E218">
        <f>VLOOKUP(Table3[[#This Row],[Pipe_name]],Table2[[Pipe_name]:[Original_Diameter]],2,FALSE)</f>
        <v>96</v>
      </c>
      <c r="F218">
        <f>VLOOKUP(Table3[[#This Row],[Pipe_name]],Table2[[Pipe_name]:[Length]],3,FALSE)</f>
        <v>6.0543009999999997</v>
      </c>
      <c r="G218" t="s">
        <v>331</v>
      </c>
      <c r="H218" t="str">
        <f>IF(Table3[[#This Row],[2043 Diameter]]=Table3[[#This Row],[2022 Diameter]],"No","Yes")</f>
        <v>No</v>
      </c>
      <c r="I218" t="str">
        <f>IF(Table3[[#This Row],[2043 Length]]=Table3[[#This Row],[2022 length]],"No","Yes")</f>
        <v>No</v>
      </c>
      <c r="J218" s="8">
        <f>VLOOKUP(Table3[[#This Row],[2043 Diameter]],[1]Pipes!$A:$B,2,FALSE)</f>
        <v>362.58707029616613</v>
      </c>
      <c r="K218" s="8">
        <f>VLOOKUP(Table3[[#This Row],[2022 Diameter]],[1]Pipes!$A:$B,2,FALSE)</f>
        <v>362.58707029616613</v>
      </c>
      <c r="L218" s="8">
        <f>IF(OR(IFERROR(Table3[[#This Row],[Diameter Change?]]="Yes","Yes"),Table3[[#This Row],[Pipe Added?]]="Yes"),Table3[[#This Row],[2043 Pipeline unit cost]]*Table3[[#This Row],[2043 Length]],0)</f>
        <v>0</v>
      </c>
      <c r="M218" s="2">
        <f>VLOOKUP(Table3[[#This Row],[Pipe_name]],[2]!Table1[[id3]:[Cost]],8,FALSE)</f>
        <v>0</v>
      </c>
      <c r="N218" s="2">
        <f>IFERROR(Table3[[#This Row],[2022 length]]*Table3[[#This Row],[2022 Pipeline unit cost]],0)</f>
        <v>2195.2112622811487</v>
      </c>
      <c r="O218" s="2">
        <f>Table3[[#This Row],[2043 Length]]*Table3[[#This Row],[2043 Pipeline unit cost]]</f>
        <v>2195.2112622811487</v>
      </c>
      <c r="P218" s="2">
        <f>MATCH(Table3[[#This Row],[Pipe_name]],'2022 pipes'!B:B,0)</f>
        <v>220</v>
      </c>
      <c r="Q218" s="2">
        <f>Table3[[#This Row],[2043 pipes]]-Table3[[#This Row],[Master Plan CAPEX Cost]]</f>
        <v>2195.2112622811487</v>
      </c>
      <c r="R218" s="7">
        <f>Table3[[#This Row],[asdfa]]-Table3[[#This Row],[2022 total cost]]</f>
        <v>0</v>
      </c>
    </row>
    <row r="219" spans="1:18" x14ac:dyDescent="0.25">
      <c r="A219" s="1">
        <v>217</v>
      </c>
      <c r="B219" t="s">
        <v>234</v>
      </c>
      <c r="C219">
        <v>96</v>
      </c>
      <c r="D219">
        <v>4.3333640000000004</v>
      </c>
      <c r="E219">
        <f>VLOOKUP(Table3[[#This Row],[Pipe_name]],Table2[[Pipe_name]:[Original_Diameter]],2,FALSE)</f>
        <v>96</v>
      </c>
      <c r="F219">
        <f>VLOOKUP(Table3[[#This Row],[Pipe_name]],Table2[[Pipe_name]:[Length]],3,FALSE)</f>
        <v>4.3333640000000004</v>
      </c>
      <c r="G219" t="s">
        <v>331</v>
      </c>
      <c r="H219" t="str">
        <f>IF(Table3[[#This Row],[2043 Diameter]]=Table3[[#This Row],[2022 Diameter]],"No","Yes")</f>
        <v>No</v>
      </c>
      <c r="I219" t="str">
        <f>IF(Table3[[#This Row],[2043 Length]]=Table3[[#This Row],[2022 length]],"No","Yes")</f>
        <v>No</v>
      </c>
      <c r="J219" s="8">
        <f>VLOOKUP(Table3[[#This Row],[2043 Diameter]],[1]Pipes!$A:$B,2,FALSE)</f>
        <v>362.58707029616613</v>
      </c>
      <c r="K219" s="8">
        <f>VLOOKUP(Table3[[#This Row],[2022 Diameter]],[1]Pipes!$A:$B,2,FALSE)</f>
        <v>362.58707029616613</v>
      </c>
      <c r="L219" s="8">
        <f>IF(OR(IFERROR(Table3[[#This Row],[Diameter Change?]]="Yes","Yes"),Table3[[#This Row],[Pipe Added?]]="Yes"),Table3[[#This Row],[2043 Pipeline unit cost]]*Table3[[#This Row],[2043 Length]],0)</f>
        <v>0</v>
      </c>
      <c r="M219" s="2">
        <f>VLOOKUP(Table3[[#This Row],[Pipe_name]],[2]!Table1[[id3]:[Cost]],8,FALSE)</f>
        <v>0</v>
      </c>
      <c r="N219" s="2">
        <f>IFERROR(Table3[[#This Row],[2022 length]]*Table3[[#This Row],[2022 Pipeline unit cost]],0)</f>
        <v>1571.2217572868758</v>
      </c>
      <c r="O219" s="2">
        <f>Table3[[#This Row],[2043 Length]]*Table3[[#This Row],[2043 Pipeline unit cost]]</f>
        <v>1571.2217572868758</v>
      </c>
      <c r="P219" s="2">
        <f>MATCH(Table3[[#This Row],[Pipe_name]],'2022 pipes'!B:B,0)</f>
        <v>221</v>
      </c>
      <c r="Q219" s="2">
        <f>Table3[[#This Row],[2043 pipes]]-Table3[[#This Row],[Master Plan CAPEX Cost]]</f>
        <v>1571.2217572868758</v>
      </c>
      <c r="R219" s="7">
        <f>Table3[[#This Row],[asdfa]]-Table3[[#This Row],[2022 total cost]]</f>
        <v>0</v>
      </c>
    </row>
    <row r="220" spans="1:18" x14ac:dyDescent="0.25">
      <c r="A220" s="1">
        <v>218</v>
      </c>
      <c r="B220" t="s">
        <v>235</v>
      </c>
      <c r="C220">
        <v>96</v>
      </c>
      <c r="D220">
        <v>56.578578999999998</v>
      </c>
      <c r="E220">
        <f>VLOOKUP(Table3[[#This Row],[Pipe_name]],Table2[[Pipe_name]:[Original_Diameter]],2,FALSE)</f>
        <v>96</v>
      </c>
      <c r="F220">
        <f>VLOOKUP(Table3[[#This Row],[Pipe_name]],Table2[[Pipe_name]:[Length]],3,FALSE)</f>
        <v>56.578578999999998</v>
      </c>
      <c r="G220" t="s">
        <v>331</v>
      </c>
      <c r="H220" t="str">
        <f>IF(Table3[[#This Row],[2043 Diameter]]=Table3[[#This Row],[2022 Diameter]],"No","Yes")</f>
        <v>No</v>
      </c>
      <c r="I220" t="str">
        <f>IF(Table3[[#This Row],[2043 Length]]=Table3[[#This Row],[2022 length]],"No","Yes")</f>
        <v>No</v>
      </c>
      <c r="J220" s="8">
        <f>VLOOKUP(Table3[[#This Row],[2043 Diameter]],[1]Pipes!$A:$B,2,FALSE)</f>
        <v>362.58707029616613</v>
      </c>
      <c r="K220" s="8">
        <f>VLOOKUP(Table3[[#This Row],[2022 Diameter]],[1]Pipes!$A:$B,2,FALSE)</f>
        <v>362.58707029616613</v>
      </c>
      <c r="L220" s="8">
        <f>IF(OR(IFERROR(Table3[[#This Row],[Diameter Change?]]="Yes","Yes"),Table3[[#This Row],[Pipe Added?]]="Yes"),Table3[[#This Row],[2043 Pipeline unit cost]]*Table3[[#This Row],[2043 Length]],0)</f>
        <v>0</v>
      </c>
      <c r="M220" s="2">
        <f>VLOOKUP(Table3[[#This Row],[Pipe_name]],[2]!Table1[[id3]:[Cost]],8,FALSE)</f>
        <v>0</v>
      </c>
      <c r="N220" s="2">
        <f>IFERROR(Table3[[#This Row],[2022 length]]*Table3[[#This Row],[2022 Pipeline unit cost]],0)</f>
        <v>20514.661201130188</v>
      </c>
      <c r="O220" s="2">
        <f>Table3[[#This Row],[2043 Length]]*Table3[[#This Row],[2043 Pipeline unit cost]]</f>
        <v>20514.661201130188</v>
      </c>
      <c r="P220" s="2">
        <f>MATCH(Table3[[#This Row],[Pipe_name]],'2022 pipes'!B:B,0)</f>
        <v>222</v>
      </c>
      <c r="Q220" s="2">
        <f>Table3[[#This Row],[2043 pipes]]-Table3[[#This Row],[Master Plan CAPEX Cost]]</f>
        <v>20514.661201130188</v>
      </c>
      <c r="R220" s="7">
        <f>Table3[[#This Row],[asdfa]]-Table3[[#This Row],[2022 total cost]]</f>
        <v>0</v>
      </c>
    </row>
    <row r="221" spans="1:18" x14ac:dyDescent="0.25">
      <c r="A221" s="1">
        <v>219</v>
      </c>
      <c r="B221" t="s">
        <v>236</v>
      </c>
      <c r="C221">
        <v>96</v>
      </c>
      <c r="D221">
        <v>7.6275779999999997</v>
      </c>
      <c r="E221">
        <f>VLOOKUP(Table3[[#This Row],[Pipe_name]],Table2[[Pipe_name]:[Original_Diameter]],2,FALSE)</f>
        <v>96</v>
      </c>
      <c r="F221">
        <f>VLOOKUP(Table3[[#This Row],[Pipe_name]],Table2[[Pipe_name]:[Length]],3,FALSE)</f>
        <v>7.6275779999999997</v>
      </c>
      <c r="G221" t="s">
        <v>331</v>
      </c>
      <c r="H221" t="str">
        <f>IF(Table3[[#This Row],[2043 Diameter]]=Table3[[#This Row],[2022 Diameter]],"No","Yes")</f>
        <v>No</v>
      </c>
      <c r="I221" t="str">
        <f>IF(Table3[[#This Row],[2043 Length]]=Table3[[#This Row],[2022 length]],"No","Yes")</f>
        <v>No</v>
      </c>
      <c r="J221" s="8">
        <f>VLOOKUP(Table3[[#This Row],[2043 Diameter]],[1]Pipes!$A:$B,2,FALSE)</f>
        <v>362.58707029616613</v>
      </c>
      <c r="K221" s="8">
        <f>VLOOKUP(Table3[[#This Row],[2022 Diameter]],[1]Pipes!$A:$B,2,FALSE)</f>
        <v>362.58707029616613</v>
      </c>
      <c r="L221" s="8">
        <f>IF(OR(IFERROR(Table3[[#This Row],[Diameter Change?]]="Yes","Yes"),Table3[[#This Row],[Pipe Added?]]="Yes"),Table3[[#This Row],[2043 Pipeline unit cost]]*Table3[[#This Row],[2043 Length]],0)</f>
        <v>0</v>
      </c>
      <c r="M221" s="2">
        <f>VLOOKUP(Table3[[#This Row],[Pipe_name]],[2]!Table1[[id3]:[Cost]],8,FALSE)</f>
        <v>0</v>
      </c>
      <c r="N221" s="2">
        <f>IFERROR(Table3[[#This Row],[2022 length]]*Table3[[#This Row],[2022 Pipeline unit cost]],0)</f>
        <v>2765.6611604754903</v>
      </c>
      <c r="O221" s="2">
        <f>Table3[[#This Row],[2043 Length]]*Table3[[#This Row],[2043 Pipeline unit cost]]</f>
        <v>2765.6611604754903</v>
      </c>
      <c r="P221" s="2">
        <f>MATCH(Table3[[#This Row],[Pipe_name]],'2022 pipes'!B:B,0)</f>
        <v>223</v>
      </c>
      <c r="Q221" s="2">
        <f>Table3[[#This Row],[2043 pipes]]-Table3[[#This Row],[Master Plan CAPEX Cost]]</f>
        <v>2765.6611604754903</v>
      </c>
      <c r="R221" s="7">
        <f>Table3[[#This Row],[asdfa]]-Table3[[#This Row],[2022 total cost]]</f>
        <v>0</v>
      </c>
    </row>
    <row r="222" spans="1:18" x14ac:dyDescent="0.25">
      <c r="A222" s="1">
        <v>220</v>
      </c>
      <c r="B222" t="s">
        <v>237</v>
      </c>
      <c r="C222">
        <v>96</v>
      </c>
      <c r="D222">
        <v>183.88240099999999</v>
      </c>
      <c r="E222">
        <f>VLOOKUP(Table3[[#This Row],[Pipe_name]],Table2[[Pipe_name]:[Original_Diameter]],2,FALSE)</f>
        <v>96</v>
      </c>
      <c r="F222">
        <f>VLOOKUP(Table3[[#This Row],[Pipe_name]],Table2[[Pipe_name]:[Length]],3,FALSE)</f>
        <v>183.88240099999999</v>
      </c>
      <c r="G222" t="s">
        <v>331</v>
      </c>
      <c r="H222" t="str">
        <f>IF(Table3[[#This Row],[2043 Diameter]]=Table3[[#This Row],[2022 Diameter]],"No","Yes")</f>
        <v>No</v>
      </c>
      <c r="I222" t="str">
        <f>IF(Table3[[#This Row],[2043 Length]]=Table3[[#This Row],[2022 length]],"No","Yes")</f>
        <v>No</v>
      </c>
      <c r="J222" s="8">
        <f>VLOOKUP(Table3[[#This Row],[2043 Diameter]],[1]Pipes!$A:$B,2,FALSE)</f>
        <v>362.58707029616613</v>
      </c>
      <c r="K222" s="8">
        <f>VLOOKUP(Table3[[#This Row],[2022 Diameter]],[1]Pipes!$A:$B,2,FALSE)</f>
        <v>362.58707029616613</v>
      </c>
      <c r="L222" s="8">
        <f>IF(OR(IFERROR(Table3[[#This Row],[Diameter Change?]]="Yes","Yes"),Table3[[#This Row],[Pipe Added?]]="Yes"),Table3[[#This Row],[2043 Pipeline unit cost]]*Table3[[#This Row],[2043 Length]],0)</f>
        <v>0</v>
      </c>
      <c r="M222" s="2">
        <f>VLOOKUP(Table3[[#This Row],[Pipe_name]],[2]!Table1[[id3]:[Cost]],8,FALSE)</f>
        <v>0</v>
      </c>
      <c r="N222" s="2">
        <f>IFERROR(Table3[[#This Row],[2022 length]]*Table3[[#This Row],[2022 Pipeline unit cost]],0)</f>
        <v>66673.38105761481</v>
      </c>
      <c r="O222" s="2">
        <f>Table3[[#This Row],[2043 Length]]*Table3[[#This Row],[2043 Pipeline unit cost]]</f>
        <v>66673.38105761481</v>
      </c>
      <c r="P222" s="2">
        <f>MATCH(Table3[[#This Row],[Pipe_name]],'2022 pipes'!B:B,0)</f>
        <v>224</v>
      </c>
      <c r="Q222" s="2">
        <f>Table3[[#This Row],[2043 pipes]]-Table3[[#This Row],[Master Plan CAPEX Cost]]</f>
        <v>66673.38105761481</v>
      </c>
      <c r="R222" s="7">
        <f>Table3[[#This Row],[asdfa]]-Table3[[#This Row],[2022 total cost]]</f>
        <v>0</v>
      </c>
    </row>
    <row r="223" spans="1:18" x14ac:dyDescent="0.25">
      <c r="A223" s="1">
        <v>221</v>
      </c>
      <c r="B223" t="s">
        <v>286</v>
      </c>
      <c r="C223">
        <v>96</v>
      </c>
      <c r="D223">
        <v>28.616304</v>
      </c>
      <c r="E223">
        <f>VLOOKUP(Table3[[#This Row],[Pipe_name]],Table2[[Pipe_name]:[Original_Diameter]],2,FALSE)</f>
        <v>96</v>
      </c>
      <c r="F223">
        <f>VLOOKUP(Table3[[#This Row],[Pipe_name]],Table2[[Pipe_name]:[Length]],3,FALSE)</f>
        <v>28.616304</v>
      </c>
      <c r="G223" t="s">
        <v>331</v>
      </c>
      <c r="H223" t="str">
        <f>IF(Table3[[#This Row],[2043 Diameter]]=Table3[[#This Row],[2022 Diameter]],"No","Yes")</f>
        <v>No</v>
      </c>
      <c r="I223" t="str">
        <f>IF(Table3[[#This Row],[2043 Length]]=Table3[[#This Row],[2022 length]],"No","Yes")</f>
        <v>No</v>
      </c>
      <c r="J223" s="8">
        <f>VLOOKUP(Table3[[#This Row],[2043 Diameter]],[1]Pipes!$A:$B,2,FALSE)</f>
        <v>362.58707029616613</v>
      </c>
      <c r="K223" s="8">
        <f>VLOOKUP(Table3[[#This Row],[2022 Diameter]],[1]Pipes!$A:$B,2,FALSE)</f>
        <v>362.58707029616613</v>
      </c>
      <c r="L223" s="8">
        <f>IF(OR(IFERROR(Table3[[#This Row],[Diameter Change?]]="Yes","Yes"),Table3[[#This Row],[Pipe Added?]]="Yes"),Table3[[#This Row],[2043 Pipeline unit cost]]*Table3[[#This Row],[2043 Length]],0)</f>
        <v>0</v>
      </c>
      <c r="M223" s="2">
        <f>VLOOKUP(Table3[[#This Row],[Pipe_name]],[2]!Table1[[id3]:[Cost]],8,FALSE)</f>
        <v>0</v>
      </c>
      <c r="N223" s="2">
        <f>IFERROR(Table3[[#This Row],[2022 length]]*Table3[[#This Row],[2022 Pipeline unit cost]],0)</f>
        <v>10375.90183006446</v>
      </c>
      <c r="O223" s="2">
        <f>Table3[[#This Row],[2043 Length]]*Table3[[#This Row],[2043 Pipeline unit cost]]</f>
        <v>10375.90183006446</v>
      </c>
      <c r="P223" s="2">
        <f>MATCH(Table3[[#This Row],[Pipe_name]],'2022 pipes'!B:B,0)</f>
        <v>225</v>
      </c>
      <c r="Q223" s="2">
        <f>Table3[[#This Row],[2043 pipes]]-Table3[[#This Row],[Master Plan CAPEX Cost]]</f>
        <v>10375.90183006446</v>
      </c>
      <c r="R223" s="7">
        <f>Table3[[#This Row],[asdfa]]-Table3[[#This Row],[2022 total cost]]</f>
        <v>0</v>
      </c>
    </row>
    <row r="224" spans="1:18" x14ac:dyDescent="0.25">
      <c r="A224" s="1">
        <v>222</v>
      </c>
      <c r="B224" t="s">
        <v>238</v>
      </c>
      <c r="C224">
        <v>96</v>
      </c>
      <c r="D224">
        <v>9.4125019999999999</v>
      </c>
      <c r="E224">
        <f>VLOOKUP(Table3[[#This Row],[Pipe_name]],Table2[[Pipe_name]:[Original_Diameter]],2,FALSE)</f>
        <v>96</v>
      </c>
      <c r="F224">
        <f>VLOOKUP(Table3[[#This Row],[Pipe_name]],Table2[[Pipe_name]:[Length]],3,FALSE)</f>
        <v>9.4125019999999999</v>
      </c>
      <c r="G224" t="s">
        <v>331</v>
      </c>
      <c r="H224" t="str">
        <f>IF(Table3[[#This Row],[2043 Diameter]]=Table3[[#This Row],[2022 Diameter]],"No","Yes")</f>
        <v>No</v>
      </c>
      <c r="I224" t="str">
        <f>IF(Table3[[#This Row],[2043 Length]]=Table3[[#This Row],[2022 length]],"No","Yes")</f>
        <v>No</v>
      </c>
      <c r="J224" s="8">
        <f>VLOOKUP(Table3[[#This Row],[2043 Diameter]],[1]Pipes!$A:$B,2,FALSE)</f>
        <v>362.58707029616613</v>
      </c>
      <c r="K224" s="8">
        <f>VLOOKUP(Table3[[#This Row],[2022 Diameter]],[1]Pipes!$A:$B,2,FALSE)</f>
        <v>362.58707029616613</v>
      </c>
      <c r="L224" s="8">
        <f>IF(OR(IFERROR(Table3[[#This Row],[Diameter Change?]]="Yes","Yes"),Table3[[#This Row],[Pipe Added?]]="Yes"),Table3[[#This Row],[2043 Pipeline unit cost]]*Table3[[#This Row],[2043 Length]],0)</f>
        <v>0</v>
      </c>
      <c r="M224" s="2">
        <f>VLOOKUP(Table3[[#This Row],[Pipe_name]],[2]!Table1[[id3]:[Cost]],8,FALSE)</f>
        <v>0</v>
      </c>
      <c r="N224" s="2">
        <f>IFERROR(Table3[[#This Row],[2022 length]]*Table3[[#This Row],[2022 Pipeline unit cost]],0)</f>
        <v>3412.8515243368042</v>
      </c>
      <c r="O224" s="2">
        <f>Table3[[#This Row],[2043 Length]]*Table3[[#This Row],[2043 Pipeline unit cost]]</f>
        <v>3412.8515243368042</v>
      </c>
      <c r="P224" s="2">
        <f>MATCH(Table3[[#This Row],[Pipe_name]],'2022 pipes'!B:B,0)</f>
        <v>226</v>
      </c>
      <c r="Q224" s="2">
        <f>Table3[[#This Row],[2043 pipes]]-Table3[[#This Row],[Master Plan CAPEX Cost]]</f>
        <v>3412.8515243368042</v>
      </c>
      <c r="R224" s="7">
        <f>Table3[[#This Row],[asdfa]]-Table3[[#This Row],[2022 total cost]]</f>
        <v>0</v>
      </c>
    </row>
    <row r="225" spans="1:18" x14ac:dyDescent="0.25">
      <c r="A225" s="1">
        <v>223</v>
      </c>
      <c r="B225" t="s">
        <v>239</v>
      </c>
      <c r="C225">
        <v>141</v>
      </c>
      <c r="D225">
        <v>120.852097</v>
      </c>
      <c r="E225">
        <f>VLOOKUP(Table3[[#This Row],[Pipe_name]],Table2[[Pipe_name]:[Original_Diameter]],2,FALSE)</f>
        <v>141</v>
      </c>
      <c r="F225">
        <f>VLOOKUP(Table3[[#This Row],[Pipe_name]],Table2[[Pipe_name]:[Length]],3,FALSE)</f>
        <v>120.852097</v>
      </c>
      <c r="G225" t="s">
        <v>331</v>
      </c>
      <c r="H225" t="str">
        <f>IF(Table3[[#This Row],[2043 Diameter]]=Table3[[#This Row],[2022 Diameter]],"No","Yes")</f>
        <v>No</v>
      </c>
      <c r="I225" t="str">
        <f>IF(Table3[[#This Row],[2043 Length]]=Table3[[#This Row],[2022 length]],"No","Yes")</f>
        <v>No</v>
      </c>
      <c r="J225" s="8">
        <f>VLOOKUP(Table3[[#This Row],[2043 Diameter]],[1]Pipes!$A:$B,2,FALSE)</f>
        <v>433.89080378537034</v>
      </c>
      <c r="K225" s="8">
        <f>VLOOKUP(Table3[[#This Row],[2022 Diameter]],[1]Pipes!$A:$B,2,FALSE)</f>
        <v>433.89080378537034</v>
      </c>
      <c r="L225" s="8">
        <f>IF(OR(IFERROR(Table3[[#This Row],[Diameter Change?]]="Yes","Yes"),Table3[[#This Row],[Pipe Added?]]="Yes"),Table3[[#This Row],[2043 Pipeline unit cost]]*Table3[[#This Row],[2043 Length]],0)</f>
        <v>0</v>
      </c>
      <c r="M225" s="2">
        <f>VLOOKUP(Table3[[#This Row],[Pipe_name]],[2]!Table1[[id3]:[Cost]],8,FALSE)</f>
        <v>0</v>
      </c>
      <c r="N225" s="2">
        <f>IFERROR(Table3[[#This Row],[2022 length]]*Table3[[#This Row],[2022 Pipeline unit cost]],0)</f>
        <v>52436.613506477544</v>
      </c>
      <c r="O225" s="2">
        <f>Table3[[#This Row],[2043 Length]]*Table3[[#This Row],[2043 Pipeline unit cost]]</f>
        <v>52436.613506477544</v>
      </c>
      <c r="P225" s="2">
        <f>MATCH(Table3[[#This Row],[Pipe_name]],'2022 pipes'!B:B,0)</f>
        <v>227</v>
      </c>
      <c r="Q225" s="2">
        <f>Table3[[#This Row],[2043 pipes]]-Table3[[#This Row],[Master Plan CAPEX Cost]]</f>
        <v>52436.613506477544</v>
      </c>
      <c r="R225" s="7">
        <f>Table3[[#This Row],[asdfa]]-Table3[[#This Row],[2022 total cost]]</f>
        <v>0</v>
      </c>
    </row>
    <row r="226" spans="1:18" x14ac:dyDescent="0.25">
      <c r="A226" s="1">
        <v>224</v>
      </c>
      <c r="B226" t="s">
        <v>240</v>
      </c>
      <c r="C226">
        <v>96</v>
      </c>
      <c r="D226">
        <v>4.6956889999999998</v>
      </c>
      <c r="E226">
        <f>VLOOKUP(Table3[[#This Row],[Pipe_name]],Table2[[Pipe_name]:[Original_Diameter]],2,FALSE)</f>
        <v>96</v>
      </c>
      <c r="F226">
        <f>VLOOKUP(Table3[[#This Row],[Pipe_name]],Table2[[Pipe_name]:[Length]],3,FALSE)</f>
        <v>4.6956889999999998</v>
      </c>
      <c r="G226" t="s">
        <v>331</v>
      </c>
      <c r="H226" t="str">
        <f>IF(Table3[[#This Row],[2043 Diameter]]=Table3[[#This Row],[2022 Diameter]],"No","Yes")</f>
        <v>No</v>
      </c>
      <c r="I226" t="str">
        <f>IF(Table3[[#This Row],[2043 Length]]=Table3[[#This Row],[2022 length]],"No","Yes")</f>
        <v>No</v>
      </c>
      <c r="J226" s="8">
        <f>VLOOKUP(Table3[[#This Row],[2043 Diameter]],[1]Pipes!$A:$B,2,FALSE)</f>
        <v>362.58707029616613</v>
      </c>
      <c r="K226" s="8">
        <f>VLOOKUP(Table3[[#This Row],[2022 Diameter]],[1]Pipes!$A:$B,2,FALSE)</f>
        <v>362.58707029616613</v>
      </c>
      <c r="L226" s="8">
        <f>IF(OR(IFERROR(Table3[[#This Row],[Diameter Change?]]="Yes","Yes"),Table3[[#This Row],[Pipe Added?]]="Yes"),Table3[[#This Row],[2043 Pipeline unit cost]]*Table3[[#This Row],[2043 Length]],0)</f>
        <v>0</v>
      </c>
      <c r="M226" s="2">
        <f>VLOOKUP(Table3[[#This Row],[Pipe_name]],[2]!Table1[[id3]:[Cost]],8,FALSE)</f>
        <v>0</v>
      </c>
      <c r="N226" s="2">
        <f>IFERROR(Table3[[#This Row],[2022 length]]*Table3[[#This Row],[2022 Pipeline unit cost]],0)</f>
        <v>1702.5961175319339</v>
      </c>
      <c r="O226" s="2">
        <f>Table3[[#This Row],[2043 Length]]*Table3[[#This Row],[2043 Pipeline unit cost]]</f>
        <v>1702.5961175319339</v>
      </c>
      <c r="P226" s="2">
        <f>MATCH(Table3[[#This Row],[Pipe_name]],'2022 pipes'!B:B,0)</f>
        <v>228</v>
      </c>
      <c r="Q226" s="2">
        <f>Table3[[#This Row],[2043 pipes]]-Table3[[#This Row],[Master Plan CAPEX Cost]]</f>
        <v>1702.5961175319339</v>
      </c>
      <c r="R226" s="7">
        <f>Table3[[#This Row],[asdfa]]-Table3[[#This Row],[2022 total cost]]</f>
        <v>0</v>
      </c>
    </row>
    <row r="227" spans="1:18" x14ac:dyDescent="0.25">
      <c r="A227" s="1">
        <v>225</v>
      </c>
      <c r="B227" t="s">
        <v>241</v>
      </c>
      <c r="C227">
        <v>96</v>
      </c>
      <c r="D227">
        <v>5.2222499999999998</v>
      </c>
      <c r="E227">
        <f>VLOOKUP(Table3[[#This Row],[Pipe_name]],Table2[[Pipe_name]:[Original_Diameter]],2,FALSE)</f>
        <v>96</v>
      </c>
      <c r="F227">
        <f>VLOOKUP(Table3[[#This Row],[Pipe_name]],Table2[[Pipe_name]:[Length]],3,FALSE)</f>
        <v>5.2222499999999998</v>
      </c>
      <c r="G227" t="s">
        <v>331</v>
      </c>
      <c r="H227" t="str">
        <f>IF(Table3[[#This Row],[2043 Diameter]]=Table3[[#This Row],[2022 Diameter]],"No","Yes")</f>
        <v>No</v>
      </c>
      <c r="I227" t="str">
        <f>IF(Table3[[#This Row],[2043 Length]]=Table3[[#This Row],[2022 length]],"No","Yes")</f>
        <v>No</v>
      </c>
      <c r="J227" s="8">
        <f>VLOOKUP(Table3[[#This Row],[2043 Diameter]],[1]Pipes!$A:$B,2,FALSE)</f>
        <v>362.58707029616613</v>
      </c>
      <c r="K227" s="8">
        <f>VLOOKUP(Table3[[#This Row],[2022 Diameter]],[1]Pipes!$A:$B,2,FALSE)</f>
        <v>362.58707029616613</v>
      </c>
      <c r="L227" s="8">
        <f>IF(OR(IFERROR(Table3[[#This Row],[Diameter Change?]]="Yes","Yes"),Table3[[#This Row],[Pipe Added?]]="Yes"),Table3[[#This Row],[2043 Pipeline unit cost]]*Table3[[#This Row],[2043 Length]],0)</f>
        <v>0</v>
      </c>
      <c r="M227" s="2">
        <f>VLOOKUP(Table3[[#This Row],[Pipe_name]],[2]!Table1[[id3]:[Cost]],8,FALSE)</f>
        <v>0</v>
      </c>
      <c r="N227" s="2">
        <f>IFERROR(Table3[[#This Row],[2022 length]]*Table3[[#This Row],[2022 Pipeline unit cost]],0)</f>
        <v>1893.5203278541535</v>
      </c>
      <c r="O227" s="2">
        <f>Table3[[#This Row],[2043 Length]]*Table3[[#This Row],[2043 Pipeline unit cost]]</f>
        <v>1893.5203278541535</v>
      </c>
      <c r="P227" s="2">
        <f>MATCH(Table3[[#This Row],[Pipe_name]],'2022 pipes'!B:B,0)</f>
        <v>229</v>
      </c>
      <c r="Q227" s="2">
        <f>Table3[[#This Row],[2043 pipes]]-Table3[[#This Row],[Master Plan CAPEX Cost]]</f>
        <v>1893.5203278541535</v>
      </c>
      <c r="R227" s="7">
        <f>Table3[[#This Row],[asdfa]]-Table3[[#This Row],[2022 total cost]]</f>
        <v>0</v>
      </c>
    </row>
    <row r="228" spans="1:18" x14ac:dyDescent="0.25">
      <c r="A228" s="1">
        <v>226</v>
      </c>
      <c r="B228" t="s">
        <v>242</v>
      </c>
      <c r="C228">
        <v>103</v>
      </c>
      <c r="D228">
        <v>135.89176900000001</v>
      </c>
      <c r="E228">
        <f>VLOOKUP(Table3[[#This Row],[Pipe_name]],Table2[[Pipe_name]:[Original_Diameter]],2,FALSE)</f>
        <v>103</v>
      </c>
      <c r="F228">
        <f>VLOOKUP(Table3[[#This Row],[Pipe_name]],Table2[[Pipe_name]:[Length]],3,FALSE)</f>
        <v>135.89176900000001</v>
      </c>
      <c r="G228" t="s">
        <v>331</v>
      </c>
      <c r="H228" t="str">
        <f>IF(Table3[[#This Row],[2043 Diameter]]=Table3[[#This Row],[2022 Diameter]],"No","Yes")</f>
        <v>No</v>
      </c>
      <c r="I228" t="str">
        <f>IF(Table3[[#This Row],[2043 Length]]=Table3[[#This Row],[2022 length]],"No","Yes")</f>
        <v>No</v>
      </c>
      <c r="J228" s="8">
        <f>VLOOKUP(Table3[[#This Row],[2043 Diameter]],[1]Pipes!$A:$B,2,FALSE)</f>
        <v>362.58707029616613</v>
      </c>
      <c r="K228" s="8">
        <f>VLOOKUP(Table3[[#This Row],[2022 Diameter]],[1]Pipes!$A:$B,2,FALSE)</f>
        <v>362.58707029616613</v>
      </c>
      <c r="L228" s="8">
        <f>IF(OR(IFERROR(Table3[[#This Row],[Diameter Change?]]="Yes","Yes"),Table3[[#This Row],[Pipe Added?]]="Yes"),Table3[[#This Row],[2043 Pipeline unit cost]]*Table3[[#This Row],[2043 Length]],0)</f>
        <v>0</v>
      </c>
      <c r="M228" s="2">
        <f>VLOOKUP(Table3[[#This Row],[Pipe_name]],[2]!Table1[[id3]:[Cost]],8,FALSE)</f>
        <v>0</v>
      </c>
      <c r="N228" s="2">
        <f>IFERROR(Table3[[#This Row],[2022 length]]*Table3[[#This Row],[2022 Pipeline unit cost]],0)</f>
        <v>49272.598399073373</v>
      </c>
      <c r="O228" s="2">
        <f>Table3[[#This Row],[2043 Length]]*Table3[[#This Row],[2043 Pipeline unit cost]]</f>
        <v>49272.598399073373</v>
      </c>
      <c r="P228" s="2">
        <f>MATCH(Table3[[#This Row],[Pipe_name]],'2022 pipes'!B:B,0)</f>
        <v>230</v>
      </c>
      <c r="Q228" s="2">
        <f>Table3[[#This Row],[2043 pipes]]-Table3[[#This Row],[Master Plan CAPEX Cost]]</f>
        <v>49272.598399073373</v>
      </c>
      <c r="R228" s="7">
        <f>Table3[[#This Row],[asdfa]]-Table3[[#This Row],[2022 total cost]]</f>
        <v>0</v>
      </c>
    </row>
    <row r="229" spans="1:18" x14ac:dyDescent="0.25">
      <c r="A229" s="1">
        <v>227</v>
      </c>
      <c r="B229" t="s">
        <v>243</v>
      </c>
      <c r="C229">
        <v>96</v>
      </c>
      <c r="D229">
        <v>18.747032000000001</v>
      </c>
      <c r="E229">
        <f>VLOOKUP(Table3[[#This Row],[Pipe_name]],Table2[[Pipe_name]:[Original_Diameter]],2,FALSE)</f>
        <v>96</v>
      </c>
      <c r="F229">
        <f>VLOOKUP(Table3[[#This Row],[Pipe_name]],Table2[[Pipe_name]:[Length]],3,FALSE)</f>
        <v>18.747032000000001</v>
      </c>
      <c r="G229" t="s">
        <v>331</v>
      </c>
      <c r="H229" t="str">
        <f>IF(Table3[[#This Row],[2043 Diameter]]=Table3[[#This Row],[2022 Diameter]],"No","Yes")</f>
        <v>No</v>
      </c>
      <c r="I229" t="str">
        <f>IF(Table3[[#This Row],[2043 Length]]=Table3[[#This Row],[2022 length]],"No","Yes")</f>
        <v>No</v>
      </c>
      <c r="J229" s="8">
        <f>VLOOKUP(Table3[[#This Row],[2043 Diameter]],[1]Pipes!$A:$B,2,FALSE)</f>
        <v>362.58707029616613</v>
      </c>
      <c r="K229" s="8">
        <f>VLOOKUP(Table3[[#This Row],[2022 Diameter]],[1]Pipes!$A:$B,2,FALSE)</f>
        <v>362.58707029616613</v>
      </c>
      <c r="L229" s="8">
        <f>IF(OR(IFERROR(Table3[[#This Row],[Diameter Change?]]="Yes","Yes"),Table3[[#This Row],[Pipe Added?]]="Yes"),Table3[[#This Row],[2043 Pipeline unit cost]]*Table3[[#This Row],[2043 Length]],0)</f>
        <v>0</v>
      </c>
      <c r="M229" s="2">
        <f>VLOOKUP(Table3[[#This Row],[Pipe_name]],[2]!Table1[[id3]:[Cost]],8,FALSE)</f>
        <v>0</v>
      </c>
      <c r="N229" s="2">
        <f>IFERROR(Table3[[#This Row],[2022 length]]*Table3[[#This Row],[2022 Pipeline unit cost]],0)</f>
        <v>6797.4314096284761</v>
      </c>
      <c r="O229" s="2">
        <f>Table3[[#This Row],[2043 Length]]*Table3[[#This Row],[2043 Pipeline unit cost]]</f>
        <v>6797.4314096284761</v>
      </c>
      <c r="P229" s="2">
        <f>MATCH(Table3[[#This Row],[Pipe_name]],'2022 pipes'!B:B,0)</f>
        <v>231</v>
      </c>
      <c r="Q229" s="2">
        <f>Table3[[#This Row],[2043 pipes]]-Table3[[#This Row],[Master Plan CAPEX Cost]]</f>
        <v>6797.4314096284761</v>
      </c>
      <c r="R229" s="7">
        <f>Table3[[#This Row],[asdfa]]-Table3[[#This Row],[2022 total cost]]</f>
        <v>0</v>
      </c>
    </row>
    <row r="230" spans="1:18" x14ac:dyDescent="0.25">
      <c r="A230" s="1">
        <v>228</v>
      </c>
      <c r="B230" t="s">
        <v>244</v>
      </c>
      <c r="C230">
        <v>96</v>
      </c>
      <c r="D230">
        <v>152.29994199999999</v>
      </c>
      <c r="E230">
        <f>VLOOKUP(Table3[[#This Row],[Pipe_name]],Table2[[Pipe_name]:[Original_Diameter]],2,FALSE)</f>
        <v>96</v>
      </c>
      <c r="F230">
        <f>VLOOKUP(Table3[[#This Row],[Pipe_name]],Table2[[Pipe_name]:[Length]],3,FALSE)</f>
        <v>152.29994199999999</v>
      </c>
      <c r="G230" t="s">
        <v>331</v>
      </c>
      <c r="H230" t="str">
        <f>IF(Table3[[#This Row],[2043 Diameter]]=Table3[[#This Row],[2022 Diameter]],"No","Yes")</f>
        <v>No</v>
      </c>
      <c r="I230" t="str">
        <f>IF(Table3[[#This Row],[2043 Length]]=Table3[[#This Row],[2022 length]],"No","Yes")</f>
        <v>No</v>
      </c>
      <c r="J230" s="8">
        <f>VLOOKUP(Table3[[#This Row],[2043 Diameter]],[1]Pipes!$A:$B,2,FALSE)</f>
        <v>362.58707029616613</v>
      </c>
      <c r="K230" s="8">
        <f>VLOOKUP(Table3[[#This Row],[2022 Diameter]],[1]Pipes!$A:$B,2,FALSE)</f>
        <v>362.58707029616613</v>
      </c>
      <c r="L230" s="8">
        <f>IF(OR(IFERROR(Table3[[#This Row],[Diameter Change?]]="Yes","Yes"),Table3[[#This Row],[Pipe Added?]]="Yes"),Table3[[#This Row],[2043 Pipeline unit cost]]*Table3[[#This Row],[2043 Length]],0)</f>
        <v>0</v>
      </c>
      <c r="M230" s="2">
        <f>VLOOKUP(Table3[[#This Row],[Pipe_name]],[2]!Table1[[id3]:[Cost]],8,FALSE)</f>
        <v>0</v>
      </c>
      <c r="N230" s="2">
        <f>IFERROR(Table3[[#This Row],[2022 length]]*Table3[[#This Row],[2022 Pipeline unit cost]],0)</f>
        <v>55221.98977605602</v>
      </c>
      <c r="O230" s="2">
        <f>Table3[[#This Row],[2043 Length]]*Table3[[#This Row],[2043 Pipeline unit cost]]</f>
        <v>55221.98977605602</v>
      </c>
      <c r="P230" s="2">
        <f>MATCH(Table3[[#This Row],[Pipe_name]],'2022 pipes'!B:B,0)</f>
        <v>232</v>
      </c>
      <c r="Q230" s="2">
        <f>Table3[[#This Row],[2043 pipes]]-Table3[[#This Row],[Master Plan CAPEX Cost]]</f>
        <v>55221.98977605602</v>
      </c>
      <c r="R230" s="7">
        <f>Table3[[#This Row],[asdfa]]-Table3[[#This Row],[2022 total cost]]</f>
        <v>0</v>
      </c>
    </row>
    <row r="231" spans="1:18" x14ac:dyDescent="0.25">
      <c r="A231" s="1">
        <v>229</v>
      </c>
      <c r="B231" t="s">
        <v>245</v>
      </c>
      <c r="C231">
        <v>96</v>
      </c>
      <c r="D231">
        <v>31.321936000000001</v>
      </c>
      <c r="E231">
        <f>VLOOKUP(Table3[[#This Row],[Pipe_name]],Table2[[Pipe_name]:[Original_Diameter]],2,FALSE)</f>
        <v>96</v>
      </c>
      <c r="F231">
        <f>VLOOKUP(Table3[[#This Row],[Pipe_name]],Table2[[Pipe_name]:[Length]],3,FALSE)</f>
        <v>31.321936000000001</v>
      </c>
      <c r="G231" t="s">
        <v>331</v>
      </c>
      <c r="H231" t="str">
        <f>IF(Table3[[#This Row],[2043 Diameter]]=Table3[[#This Row],[2022 Diameter]],"No","Yes")</f>
        <v>No</v>
      </c>
      <c r="I231" t="str">
        <f>IF(Table3[[#This Row],[2043 Length]]=Table3[[#This Row],[2022 length]],"No","Yes")</f>
        <v>No</v>
      </c>
      <c r="J231" s="8">
        <f>VLOOKUP(Table3[[#This Row],[2043 Diameter]],[1]Pipes!$A:$B,2,FALSE)</f>
        <v>362.58707029616613</v>
      </c>
      <c r="K231" s="8">
        <f>VLOOKUP(Table3[[#This Row],[2022 Diameter]],[1]Pipes!$A:$B,2,FALSE)</f>
        <v>362.58707029616613</v>
      </c>
      <c r="L231" s="8">
        <f>IF(OR(IFERROR(Table3[[#This Row],[Diameter Change?]]="Yes","Yes"),Table3[[#This Row],[Pipe Added?]]="Yes"),Table3[[#This Row],[2043 Pipeline unit cost]]*Table3[[#This Row],[2043 Length]],0)</f>
        <v>0</v>
      </c>
      <c r="M231" s="2">
        <f>VLOOKUP(Table3[[#This Row],[Pipe_name]],[2]!Table1[[id3]:[Cost]],8,FALSE)</f>
        <v>0</v>
      </c>
      <c r="N231" s="2">
        <f>IFERROR(Table3[[#This Row],[2022 length]]*Table3[[#This Row],[2022 Pipeline unit cost]],0)</f>
        <v>11356.929010244017</v>
      </c>
      <c r="O231" s="2">
        <f>Table3[[#This Row],[2043 Length]]*Table3[[#This Row],[2043 Pipeline unit cost]]</f>
        <v>11356.929010244017</v>
      </c>
      <c r="P231" s="2">
        <f>MATCH(Table3[[#This Row],[Pipe_name]],'2022 pipes'!B:B,0)</f>
        <v>233</v>
      </c>
      <c r="Q231" s="2">
        <f>Table3[[#This Row],[2043 pipes]]-Table3[[#This Row],[Master Plan CAPEX Cost]]</f>
        <v>11356.929010244017</v>
      </c>
      <c r="R231" s="7">
        <f>Table3[[#This Row],[asdfa]]-Table3[[#This Row],[2022 total cost]]</f>
        <v>0</v>
      </c>
    </row>
    <row r="232" spans="1:18" x14ac:dyDescent="0.25">
      <c r="A232" s="1">
        <v>230</v>
      </c>
      <c r="B232" t="s">
        <v>246</v>
      </c>
      <c r="C232">
        <v>150</v>
      </c>
      <c r="D232">
        <v>13.222408</v>
      </c>
      <c r="E232">
        <f>VLOOKUP(Table3[[#This Row],[Pipe_name]],Table2[[Pipe_name]:[Original_Diameter]],2,FALSE)</f>
        <v>101</v>
      </c>
      <c r="F232">
        <f>VLOOKUP(Table3[[#This Row],[Pipe_name]],Table2[[Pipe_name]:[Length]],3,FALSE)</f>
        <v>13.222408</v>
      </c>
      <c r="G232" t="s">
        <v>331</v>
      </c>
      <c r="H232" t="str">
        <f>IF(Table3[[#This Row],[2043 Diameter]]=Table3[[#This Row],[2022 Diameter]],"No","Yes")</f>
        <v>Yes</v>
      </c>
      <c r="I232" t="str">
        <f>IF(Table3[[#This Row],[2043 Length]]=Table3[[#This Row],[2022 length]],"No","Yes")</f>
        <v>No</v>
      </c>
      <c r="J232" s="8">
        <f>VLOOKUP(Table3[[#This Row],[2043 Diameter]],[1]Pipes!$A:$B,2,FALSE)</f>
        <v>433.89080378537034</v>
      </c>
      <c r="K232" s="8">
        <f>VLOOKUP(Table3[[#This Row],[2022 Diameter]],[1]Pipes!$A:$B,2,FALSE)</f>
        <v>362.58707029616613</v>
      </c>
      <c r="L232" s="8">
        <f>IF(OR(IFERROR(Table3[[#This Row],[Diameter Change?]]="Yes","Yes"),Table3[[#This Row],[Pipe Added?]]="Yes"),Table3[[#This Row],[2043 Pipeline unit cost]]*Table3[[#This Row],[2043 Length]],0)</f>
        <v>5737.0812350981105</v>
      </c>
      <c r="M232" s="2">
        <f>VLOOKUP(Table3[[#This Row],[Pipe_name]],[2]!Table1[[id3]:[Cost]],8,FALSE)</f>
        <v>5736.9042076501664</v>
      </c>
      <c r="N232" s="2">
        <f>IFERROR(Table3[[#This Row],[2022 length]]*Table3[[#This Row],[2022 Pipeline unit cost]],0)</f>
        <v>4794.2741789805896</v>
      </c>
      <c r="O232" s="2">
        <f>Table3[[#This Row],[2043 Length]]*Table3[[#This Row],[2043 Pipeline unit cost]]</f>
        <v>5737.0812350981105</v>
      </c>
      <c r="P232" s="2">
        <f>MATCH(Table3[[#This Row],[Pipe_name]],'2022 pipes'!B:B,0)</f>
        <v>234</v>
      </c>
      <c r="Q232" s="2">
        <f>Table3[[#This Row],[2043 pipes]]-Table3[[#This Row],[Master Plan CAPEX Cost]]</f>
        <v>0</v>
      </c>
      <c r="R232" s="7">
        <f>Table3[[#This Row],[asdfa]]-Table3[[#This Row],[2022 total cost]]</f>
        <v>-4794.2741789805896</v>
      </c>
    </row>
    <row r="233" spans="1:18" x14ac:dyDescent="0.25">
      <c r="A233" s="1">
        <v>231</v>
      </c>
      <c r="B233" t="s">
        <v>247</v>
      </c>
      <c r="C233">
        <v>101</v>
      </c>
      <c r="D233">
        <v>2.447422</v>
      </c>
      <c r="E233">
        <f>VLOOKUP(Table3[[#This Row],[Pipe_name]],Table2[[Pipe_name]:[Original_Diameter]],2,FALSE)</f>
        <v>101</v>
      </c>
      <c r="F233">
        <f>VLOOKUP(Table3[[#This Row],[Pipe_name]],Table2[[Pipe_name]:[Length]],3,FALSE)</f>
        <v>2.447422</v>
      </c>
      <c r="G233" t="s">
        <v>331</v>
      </c>
      <c r="H233" t="str">
        <f>IF(Table3[[#This Row],[2043 Diameter]]=Table3[[#This Row],[2022 Diameter]],"No","Yes")</f>
        <v>No</v>
      </c>
      <c r="I233" t="str">
        <f>IF(Table3[[#This Row],[2043 Length]]=Table3[[#This Row],[2022 length]],"No","Yes")</f>
        <v>No</v>
      </c>
      <c r="J233" s="8">
        <f>VLOOKUP(Table3[[#This Row],[2043 Diameter]],[1]Pipes!$A:$B,2,FALSE)</f>
        <v>362.58707029616613</v>
      </c>
      <c r="K233" s="8">
        <f>VLOOKUP(Table3[[#This Row],[2022 Diameter]],[1]Pipes!$A:$B,2,FALSE)</f>
        <v>362.58707029616613</v>
      </c>
      <c r="L233" s="8">
        <f>IF(OR(IFERROR(Table3[[#This Row],[Diameter Change?]]="Yes","Yes"),Table3[[#This Row],[Pipe Added?]]="Yes"),Table3[[#This Row],[2043 Pipeline unit cost]]*Table3[[#This Row],[2043 Length]],0)</f>
        <v>0</v>
      </c>
      <c r="M233" s="2">
        <f>VLOOKUP(Table3[[#This Row],[Pipe_name]],[2]!Table1[[id3]:[Cost]],8,FALSE)</f>
        <v>0</v>
      </c>
      <c r="N233" s="2">
        <f>IFERROR(Table3[[#This Row],[2022 length]]*Table3[[#This Row],[2022 Pipeline unit cost]],0)</f>
        <v>887.40357275838346</v>
      </c>
      <c r="O233" s="2">
        <f>Table3[[#This Row],[2043 Length]]*Table3[[#This Row],[2043 Pipeline unit cost]]</f>
        <v>887.40357275838346</v>
      </c>
      <c r="P233" s="2">
        <f>MATCH(Table3[[#This Row],[Pipe_name]],'2022 pipes'!B:B,0)</f>
        <v>235</v>
      </c>
      <c r="Q233" s="2">
        <f>Table3[[#This Row],[2043 pipes]]-Table3[[#This Row],[Master Plan CAPEX Cost]]</f>
        <v>887.40357275838346</v>
      </c>
      <c r="R233" s="7">
        <f>Table3[[#This Row],[asdfa]]-Table3[[#This Row],[2022 total cost]]</f>
        <v>0</v>
      </c>
    </row>
    <row r="234" spans="1:18" x14ac:dyDescent="0.25">
      <c r="A234" s="1">
        <v>232</v>
      </c>
      <c r="B234" t="s">
        <v>248</v>
      </c>
      <c r="C234">
        <v>143</v>
      </c>
      <c r="D234">
        <v>45.584454000000001</v>
      </c>
      <c r="E234">
        <f>VLOOKUP(Table3[[#This Row],[Pipe_name]],Table2[[Pipe_name]:[Original_Diameter]],2,FALSE)</f>
        <v>143</v>
      </c>
      <c r="F234">
        <f>VLOOKUP(Table3[[#This Row],[Pipe_name]],Table2[[Pipe_name]:[Length]],3,FALSE)</f>
        <v>45.584454000000001</v>
      </c>
      <c r="G234" t="s">
        <v>331</v>
      </c>
      <c r="H234" t="str">
        <f>IF(Table3[[#This Row],[2043 Diameter]]=Table3[[#This Row],[2022 Diameter]],"No","Yes")</f>
        <v>No</v>
      </c>
      <c r="I234" t="str">
        <f>IF(Table3[[#This Row],[2043 Length]]=Table3[[#This Row],[2022 length]],"No","Yes")</f>
        <v>No</v>
      </c>
      <c r="J234" s="8">
        <f>VLOOKUP(Table3[[#This Row],[2043 Diameter]],[1]Pipes!$A:$B,2,FALSE)</f>
        <v>433.89080378537034</v>
      </c>
      <c r="K234" s="8">
        <f>VLOOKUP(Table3[[#This Row],[2022 Diameter]],[1]Pipes!$A:$B,2,FALSE)</f>
        <v>433.89080378537034</v>
      </c>
      <c r="L234" s="8">
        <f>IF(OR(IFERROR(Table3[[#This Row],[Diameter Change?]]="Yes","Yes"),Table3[[#This Row],[Pipe Added?]]="Yes"),Table3[[#This Row],[2043 Pipeline unit cost]]*Table3[[#This Row],[2043 Length]],0)</f>
        <v>0</v>
      </c>
      <c r="M234" s="2">
        <f>VLOOKUP(Table3[[#This Row],[Pipe_name]],[2]!Table1[[id3]:[Cost]],8,FALSE)</f>
        <v>0</v>
      </c>
      <c r="N234" s="2">
        <f>IFERROR(Table3[[#This Row],[2022 length]]*Table3[[#This Row],[2022 Pipeline unit cost]],0)</f>
        <v>19778.675386177241</v>
      </c>
      <c r="O234" s="2">
        <f>Table3[[#This Row],[2043 Length]]*Table3[[#This Row],[2043 Pipeline unit cost]]</f>
        <v>19778.675386177241</v>
      </c>
      <c r="P234" s="2">
        <f>MATCH(Table3[[#This Row],[Pipe_name]],'2022 pipes'!B:B,0)</f>
        <v>236</v>
      </c>
      <c r="Q234" s="2">
        <f>Table3[[#This Row],[2043 pipes]]-Table3[[#This Row],[Master Plan CAPEX Cost]]</f>
        <v>19778.675386177241</v>
      </c>
      <c r="R234" s="7">
        <f>Table3[[#This Row],[asdfa]]-Table3[[#This Row],[2022 total cost]]</f>
        <v>0</v>
      </c>
    </row>
    <row r="235" spans="1:18" x14ac:dyDescent="0.25">
      <c r="A235" s="1">
        <v>233</v>
      </c>
      <c r="B235" t="s">
        <v>249</v>
      </c>
      <c r="C235">
        <v>32</v>
      </c>
      <c r="D235">
        <v>1.3970180000000001</v>
      </c>
      <c r="E235">
        <f>VLOOKUP(Table3[[#This Row],[Pipe_name]],Table2[[Pipe_name]:[Original_Diameter]],2,FALSE)</f>
        <v>32</v>
      </c>
      <c r="F235">
        <f>VLOOKUP(Table3[[#This Row],[Pipe_name]],Table2[[Pipe_name]:[Length]],3,FALSE)</f>
        <v>1.3970180000000001</v>
      </c>
      <c r="G235" t="s">
        <v>331</v>
      </c>
      <c r="H235" t="str">
        <f>IF(Table3[[#This Row],[2043 Diameter]]=Table3[[#This Row],[2022 Diameter]],"No","Yes")</f>
        <v>No</v>
      </c>
      <c r="I235" t="str">
        <f>IF(Table3[[#This Row],[2043 Length]]=Table3[[#This Row],[2022 length]],"No","Yes")</f>
        <v>No</v>
      </c>
      <c r="J235" s="8">
        <f>VLOOKUP(Table3[[#This Row],[2043 Diameter]],[1]Pipes!$A:$B,2,FALSE)</f>
        <v>362.58707029616613</v>
      </c>
      <c r="K235" s="8">
        <f>VLOOKUP(Table3[[#This Row],[2022 Diameter]],[1]Pipes!$A:$B,2,FALSE)</f>
        <v>362.58707029616613</v>
      </c>
      <c r="L235" s="8">
        <f>IF(OR(IFERROR(Table3[[#This Row],[Diameter Change?]]="Yes","Yes"),Table3[[#This Row],[Pipe Added?]]="Yes"),Table3[[#This Row],[2043 Pipeline unit cost]]*Table3[[#This Row],[2043 Length]],0)</f>
        <v>0</v>
      </c>
      <c r="M235" s="2">
        <f>VLOOKUP(Table3[[#This Row],[Pipe_name]],[2]!Table1[[id3]:[Cost]],8,FALSE)</f>
        <v>0</v>
      </c>
      <c r="N235" s="2">
        <f>IFERROR(Table3[[#This Row],[2022 length]]*Table3[[#This Row],[2022 Pipeline unit cost]],0)</f>
        <v>506.54066377100946</v>
      </c>
      <c r="O235" s="2">
        <f>Table3[[#This Row],[2043 Length]]*Table3[[#This Row],[2043 Pipeline unit cost]]</f>
        <v>506.54066377100946</v>
      </c>
      <c r="P235" s="2">
        <f>MATCH(Table3[[#This Row],[Pipe_name]],'2022 pipes'!B:B,0)</f>
        <v>237</v>
      </c>
      <c r="Q235" s="2">
        <f>Table3[[#This Row],[2043 pipes]]-Table3[[#This Row],[Master Plan CAPEX Cost]]</f>
        <v>506.54066377100946</v>
      </c>
      <c r="R235" s="7">
        <f>Table3[[#This Row],[asdfa]]-Table3[[#This Row],[2022 total cost]]</f>
        <v>0</v>
      </c>
    </row>
    <row r="236" spans="1:18" x14ac:dyDescent="0.25">
      <c r="A236" s="1">
        <v>234</v>
      </c>
      <c r="B236" t="s">
        <v>250</v>
      </c>
      <c r="C236">
        <v>32</v>
      </c>
      <c r="D236">
        <v>6.0119499999999997</v>
      </c>
      <c r="E236">
        <f>VLOOKUP(Table3[[#This Row],[Pipe_name]],Table2[[Pipe_name]:[Original_Diameter]],2,FALSE)</f>
        <v>32</v>
      </c>
      <c r="F236">
        <f>VLOOKUP(Table3[[#This Row],[Pipe_name]],Table2[[Pipe_name]:[Length]],3,FALSE)</f>
        <v>6.0119499999999997</v>
      </c>
      <c r="G236" t="s">
        <v>331</v>
      </c>
      <c r="H236" t="str">
        <f>IF(Table3[[#This Row],[2043 Diameter]]=Table3[[#This Row],[2022 Diameter]],"No","Yes")</f>
        <v>No</v>
      </c>
      <c r="I236" t="str">
        <f>IF(Table3[[#This Row],[2043 Length]]=Table3[[#This Row],[2022 length]],"No","Yes")</f>
        <v>No</v>
      </c>
      <c r="J236" s="8">
        <f>VLOOKUP(Table3[[#This Row],[2043 Diameter]],[1]Pipes!$A:$B,2,FALSE)</f>
        <v>362.58707029616613</v>
      </c>
      <c r="K236" s="8">
        <f>VLOOKUP(Table3[[#This Row],[2022 Diameter]],[1]Pipes!$A:$B,2,FALSE)</f>
        <v>362.58707029616613</v>
      </c>
      <c r="L236" s="8">
        <f>IF(OR(IFERROR(Table3[[#This Row],[Diameter Change?]]="Yes","Yes"),Table3[[#This Row],[Pipe Added?]]="Yes"),Table3[[#This Row],[2043 Pipeline unit cost]]*Table3[[#This Row],[2043 Length]],0)</f>
        <v>0</v>
      </c>
      <c r="M236" s="2">
        <f>VLOOKUP(Table3[[#This Row],[Pipe_name]],[2]!Table1[[id3]:[Cost]],8,FALSE)</f>
        <v>0</v>
      </c>
      <c r="N236" s="2">
        <f>IFERROR(Table3[[#This Row],[2022 length]]*Table3[[#This Row],[2022 Pipeline unit cost]],0)</f>
        <v>2179.8553372670358</v>
      </c>
      <c r="O236" s="2">
        <f>Table3[[#This Row],[2043 Length]]*Table3[[#This Row],[2043 Pipeline unit cost]]</f>
        <v>2179.8553372670358</v>
      </c>
      <c r="P236" s="2">
        <f>MATCH(Table3[[#This Row],[Pipe_name]],'2022 pipes'!B:B,0)</f>
        <v>238</v>
      </c>
      <c r="Q236" s="2">
        <f>Table3[[#This Row],[2043 pipes]]-Table3[[#This Row],[Master Plan CAPEX Cost]]</f>
        <v>2179.8553372670358</v>
      </c>
      <c r="R236" s="7">
        <f>Table3[[#This Row],[asdfa]]-Table3[[#This Row],[2022 total cost]]</f>
        <v>0</v>
      </c>
    </row>
    <row r="237" spans="1:18" x14ac:dyDescent="0.25">
      <c r="A237" s="1">
        <v>235</v>
      </c>
      <c r="B237" t="s">
        <v>287</v>
      </c>
      <c r="C237">
        <v>101</v>
      </c>
      <c r="D237">
        <v>52.372627000000001</v>
      </c>
      <c r="E237">
        <f>VLOOKUP(Table3[[#This Row],[Pipe_name]],Table2[[Pipe_name]:[Original_Diameter]],2,FALSE)</f>
        <v>101</v>
      </c>
      <c r="F237">
        <f>VLOOKUP(Table3[[#This Row],[Pipe_name]],Table2[[Pipe_name]:[Length]],3,FALSE)</f>
        <v>52.372627000000001</v>
      </c>
      <c r="G237" t="s">
        <v>331</v>
      </c>
      <c r="H237" t="str">
        <f>IF(Table3[[#This Row],[2043 Diameter]]=Table3[[#This Row],[2022 Diameter]],"No","Yes")</f>
        <v>No</v>
      </c>
      <c r="I237" t="str">
        <f>IF(Table3[[#This Row],[2043 Length]]=Table3[[#This Row],[2022 length]],"No","Yes")</f>
        <v>No</v>
      </c>
      <c r="J237" s="8">
        <f>VLOOKUP(Table3[[#This Row],[2043 Diameter]],[1]Pipes!$A:$B,2,FALSE)</f>
        <v>362.58707029616613</v>
      </c>
      <c r="K237" s="8">
        <f>VLOOKUP(Table3[[#This Row],[2022 Diameter]],[1]Pipes!$A:$B,2,FALSE)</f>
        <v>362.58707029616613</v>
      </c>
      <c r="L237" s="8">
        <f>IF(OR(IFERROR(Table3[[#This Row],[Diameter Change?]]="Yes","Yes"),Table3[[#This Row],[Pipe Added?]]="Yes"),Table3[[#This Row],[2043 Pipeline unit cost]]*Table3[[#This Row],[2043 Length]],0)</f>
        <v>0</v>
      </c>
      <c r="M237" s="2">
        <f>VLOOKUP(Table3[[#This Row],[Pipe_name]],[2]!Table1[[id3]:[Cost]],8,FALSE)</f>
        <v>0</v>
      </c>
      <c r="N237" s="2">
        <f>IFERROR(Table3[[#This Row],[2022 length]]*Table3[[#This Row],[2022 Pipeline unit cost]],0)</f>
        <v>18989.637387643888</v>
      </c>
      <c r="O237" s="2">
        <f>Table3[[#This Row],[2043 Length]]*Table3[[#This Row],[2043 Pipeline unit cost]]</f>
        <v>18989.637387643888</v>
      </c>
      <c r="P237" s="2">
        <f>MATCH(Table3[[#This Row],[Pipe_name]],'2022 pipes'!B:B,0)</f>
        <v>239</v>
      </c>
      <c r="Q237" s="2">
        <f>Table3[[#This Row],[2043 pipes]]-Table3[[#This Row],[Master Plan CAPEX Cost]]</f>
        <v>18989.637387643888</v>
      </c>
      <c r="R237" s="7">
        <f>Table3[[#This Row],[asdfa]]-Table3[[#This Row],[2022 total cost]]</f>
        <v>0</v>
      </c>
    </row>
    <row r="238" spans="1:18" x14ac:dyDescent="0.25">
      <c r="A238" s="1">
        <v>236</v>
      </c>
      <c r="B238" t="s">
        <v>251</v>
      </c>
      <c r="C238">
        <v>158</v>
      </c>
      <c r="D238">
        <v>1.3417950000000001</v>
      </c>
      <c r="E238">
        <f>VLOOKUP(Table3[[#This Row],[Pipe_name]],Table2[[Pipe_name]:[Original_Diameter]],2,FALSE)</f>
        <v>158</v>
      </c>
      <c r="F238">
        <f>VLOOKUP(Table3[[#This Row],[Pipe_name]],Table2[[Pipe_name]:[Length]],3,FALSE)</f>
        <v>1.3417950000000001</v>
      </c>
      <c r="G238" t="s">
        <v>331</v>
      </c>
      <c r="H238" t="str">
        <f>IF(Table3[[#This Row],[2043 Diameter]]=Table3[[#This Row],[2022 Diameter]],"No","Yes")</f>
        <v>No</v>
      </c>
      <c r="I238" t="str">
        <f>IF(Table3[[#This Row],[2043 Length]]=Table3[[#This Row],[2022 length]],"No","Yes")</f>
        <v>No</v>
      </c>
      <c r="J238" s="8">
        <f>VLOOKUP(Table3[[#This Row],[2043 Diameter]],[1]Pipes!$A:$B,2,FALSE)</f>
        <v>433.89080378537034</v>
      </c>
      <c r="K238" s="8">
        <f>VLOOKUP(Table3[[#This Row],[2022 Diameter]],[1]Pipes!$A:$B,2,FALSE)</f>
        <v>433.89080378537034</v>
      </c>
      <c r="L238" s="8">
        <f>IF(OR(IFERROR(Table3[[#This Row],[Diameter Change?]]="Yes","Yes"),Table3[[#This Row],[Pipe Added?]]="Yes"),Table3[[#This Row],[2043 Pipeline unit cost]]*Table3[[#This Row],[2043 Length]],0)</f>
        <v>0</v>
      </c>
      <c r="M238" s="2">
        <f>VLOOKUP(Table3[[#This Row],[Pipe_name]],[2]!Table1[[id3]:[Cost]],8,FALSE)</f>
        <v>0</v>
      </c>
      <c r="N238" s="2">
        <f>IFERROR(Table3[[#This Row],[2022 length]]*Table3[[#This Row],[2022 Pipeline unit cost]],0)</f>
        <v>582.19251106519107</v>
      </c>
      <c r="O238" s="2">
        <f>Table3[[#This Row],[2043 Length]]*Table3[[#This Row],[2043 Pipeline unit cost]]</f>
        <v>582.19251106519107</v>
      </c>
      <c r="P238" s="2">
        <f>MATCH(Table3[[#This Row],[Pipe_name]],'2022 pipes'!B:B,0)</f>
        <v>240</v>
      </c>
      <c r="Q238" s="2">
        <f>Table3[[#This Row],[2043 pipes]]-Table3[[#This Row],[Master Plan CAPEX Cost]]</f>
        <v>582.19251106519107</v>
      </c>
      <c r="R238" s="7">
        <f>Table3[[#This Row],[asdfa]]-Table3[[#This Row],[2022 total cost]]</f>
        <v>0</v>
      </c>
    </row>
    <row r="239" spans="1:18" x14ac:dyDescent="0.25">
      <c r="A239" s="1">
        <v>237</v>
      </c>
      <c r="B239" t="s">
        <v>252</v>
      </c>
      <c r="C239">
        <v>143</v>
      </c>
      <c r="D239">
        <v>28.180826</v>
      </c>
      <c r="E239">
        <f>VLOOKUP(Table3[[#This Row],[Pipe_name]],Table2[[Pipe_name]:[Original_Diameter]],2,FALSE)</f>
        <v>143</v>
      </c>
      <c r="F239">
        <f>VLOOKUP(Table3[[#This Row],[Pipe_name]],Table2[[Pipe_name]:[Length]],3,FALSE)</f>
        <v>28.180826</v>
      </c>
      <c r="G239" t="s">
        <v>331</v>
      </c>
      <c r="H239" t="str">
        <f>IF(Table3[[#This Row],[2043 Diameter]]=Table3[[#This Row],[2022 Diameter]],"No","Yes")</f>
        <v>No</v>
      </c>
      <c r="I239" t="str">
        <f>IF(Table3[[#This Row],[2043 Length]]=Table3[[#This Row],[2022 length]],"No","Yes")</f>
        <v>No</v>
      </c>
      <c r="J239" s="8">
        <f>VLOOKUP(Table3[[#This Row],[2043 Diameter]],[1]Pipes!$A:$B,2,FALSE)</f>
        <v>433.89080378537034</v>
      </c>
      <c r="K239" s="8">
        <f>VLOOKUP(Table3[[#This Row],[2022 Diameter]],[1]Pipes!$A:$B,2,FALSE)</f>
        <v>433.89080378537034</v>
      </c>
      <c r="L239" s="8">
        <f>IF(OR(IFERROR(Table3[[#This Row],[Diameter Change?]]="Yes","Yes"),Table3[[#This Row],[Pipe Added?]]="Yes"),Table3[[#This Row],[2043 Pipeline unit cost]]*Table3[[#This Row],[2043 Length]],0)</f>
        <v>0</v>
      </c>
      <c r="M239" s="2">
        <f>VLOOKUP(Table3[[#This Row],[Pipe_name]],[2]!Table1[[id3]:[Cost]],8,FALSE)</f>
        <v>0</v>
      </c>
      <c r="N239" s="2">
        <f>IFERROR(Table3[[#This Row],[2022 length]]*Table3[[#This Row],[2022 Pipeline unit cost]],0)</f>
        <v>12227.401244475663</v>
      </c>
      <c r="O239" s="2">
        <f>Table3[[#This Row],[2043 Length]]*Table3[[#This Row],[2043 Pipeline unit cost]]</f>
        <v>12227.401244475663</v>
      </c>
      <c r="P239" s="2">
        <f>MATCH(Table3[[#This Row],[Pipe_name]],'2022 pipes'!B:B,0)</f>
        <v>241</v>
      </c>
      <c r="Q239" s="2">
        <f>Table3[[#This Row],[2043 pipes]]-Table3[[#This Row],[Master Plan CAPEX Cost]]</f>
        <v>12227.401244475663</v>
      </c>
      <c r="R239" s="7">
        <f>Table3[[#This Row],[asdfa]]-Table3[[#This Row],[2022 total cost]]</f>
        <v>0</v>
      </c>
    </row>
    <row r="240" spans="1:18" x14ac:dyDescent="0.25">
      <c r="A240" s="1">
        <v>238</v>
      </c>
      <c r="B240" t="s">
        <v>253</v>
      </c>
      <c r="C240">
        <v>158</v>
      </c>
      <c r="D240">
        <v>1.338984</v>
      </c>
      <c r="E240">
        <f>VLOOKUP(Table3[[#This Row],[Pipe_name]],Table2[[Pipe_name]:[Original_Diameter]],2,FALSE)</f>
        <v>158</v>
      </c>
      <c r="F240">
        <f>VLOOKUP(Table3[[#This Row],[Pipe_name]],Table2[[Pipe_name]:[Length]],3,FALSE)</f>
        <v>1.338984</v>
      </c>
      <c r="G240" t="s">
        <v>331</v>
      </c>
      <c r="H240" t="str">
        <f>IF(Table3[[#This Row],[2043 Diameter]]=Table3[[#This Row],[2022 Diameter]],"No","Yes")</f>
        <v>No</v>
      </c>
      <c r="I240" t="str">
        <f>IF(Table3[[#This Row],[2043 Length]]=Table3[[#This Row],[2022 length]],"No","Yes")</f>
        <v>No</v>
      </c>
      <c r="J240" s="8">
        <f>VLOOKUP(Table3[[#This Row],[2043 Diameter]],[1]Pipes!$A:$B,2,FALSE)</f>
        <v>433.89080378537034</v>
      </c>
      <c r="K240" s="8">
        <f>VLOOKUP(Table3[[#This Row],[2022 Diameter]],[1]Pipes!$A:$B,2,FALSE)</f>
        <v>433.89080378537034</v>
      </c>
      <c r="L240" s="8">
        <f>IF(OR(IFERROR(Table3[[#This Row],[Diameter Change?]]="Yes","Yes"),Table3[[#This Row],[Pipe Added?]]="Yes"),Table3[[#This Row],[2043 Pipeline unit cost]]*Table3[[#This Row],[2043 Length]],0)</f>
        <v>0</v>
      </c>
      <c r="M240" s="2">
        <f>VLOOKUP(Table3[[#This Row],[Pipe_name]],[2]!Table1[[id3]:[Cost]],8,FALSE)</f>
        <v>0</v>
      </c>
      <c r="N240" s="2">
        <f>IFERROR(Table3[[#This Row],[2022 length]]*Table3[[#This Row],[2022 Pipeline unit cost]],0)</f>
        <v>580.9728440157503</v>
      </c>
      <c r="O240" s="2">
        <f>Table3[[#This Row],[2043 Length]]*Table3[[#This Row],[2043 Pipeline unit cost]]</f>
        <v>580.9728440157503</v>
      </c>
      <c r="P240" s="2">
        <f>MATCH(Table3[[#This Row],[Pipe_name]],'2022 pipes'!B:B,0)</f>
        <v>242</v>
      </c>
      <c r="Q240" s="2">
        <f>Table3[[#This Row],[2043 pipes]]-Table3[[#This Row],[Master Plan CAPEX Cost]]</f>
        <v>580.9728440157503</v>
      </c>
      <c r="R240" s="7">
        <f>Table3[[#This Row],[asdfa]]-Table3[[#This Row],[2022 total cost]]</f>
        <v>0</v>
      </c>
    </row>
    <row r="241" spans="1:18" x14ac:dyDescent="0.25">
      <c r="A241" s="1">
        <v>239</v>
      </c>
      <c r="B241" t="s">
        <v>254</v>
      </c>
      <c r="C241">
        <v>150</v>
      </c>
      <c r="D241">
        <v>11.546052</v>
      </c>
      <c r="E241">
        <f>VLOOKUP(Table3[[#This Row],[Pipe_name]],Table2[[Pipe_name]:[Original_Diameter]],2,FALSE)</f>
        <v>96</v>
      </c>
      <c r="F241">
        <f>VLOOKUP(Table3[[#This Row],[Pipe_name]],Table2[[Pipe_name]:[Length]],3,FALSE)</f>
        <v>11.546052</v>
      </c>
      <c r="G241" t="s">
        <v>331</v>
      </c>
      <c r="H241" t="str">
        <f>IF(Table3[[#This Row],[2043 Diameter]]=Table3[[#This Row],[2022 Diameter]],"No","Yes")</f>
        <v>Yes</v>
      </c>
      <c r="I241" t="str">
        <f>IF(Table3[[#This Row],[2043 Length]]=Table3[[#This Row],[2022 length]],"No","Yes")</f>
        <v>No</v>
      </c>
      <c r="J241" s="8">
        <f>VLOOKUP(Table3[[#This Row],[2043 Diameter]],[1]Pipes!$A:$B,2,FALSE)</f>
        <v>433.89080378537034</v>
      </c>
      <c r="K241" s="8">
        <f>VLOOKUP(Table3[[#This Row],[2022 Diameter]],[1]Pipes!$A:$B,2,FALSE)</f>
        <v>362.58707029616613</v>
      </c>
      <c r="L241" s="8">
        <f>IF(OR(IFERROR(Table3[[#This Row],[Diameter Change?]]="Yes","Yes"),Table3[[#This Row],[Pipe Added?]]="Yes"),Table3[[#This Row],[2043 Pipeline unit cost]]*Table3[[#This Row],[2043 Length]],0)</f>
        <v>5009.7257828276825</v>
      </c>
      <c r="M241" s="2">
        <f>VLOOKUP(Table3[[#This Row],[Pipe_name]],[2]!Table1[[id3]:[Cost]],8,FALSE)</f>
        <v>5009.7032205058858</v>
      </c>
      <c r="N241" s="2">
        <f>IFERROR(Table3[[#This Row],[2022 length]]*Table3[[#This Row],[2022 Pipeline unit cost]],0)</f>
        <v>4186.4491681671898</v>
      </c>
      <c r="O241" s="2">
        <f>Table3[[#This Row],[2043 Length]]*Table3[[#This Row],[2043 Pipeline unit cost]]</f>
        <v>5009.7257828276825</v>
      </c>
      <c r="P241" s="2">
        <f>MATCH(Table3[[#This Row],[Pipe_name]],'2022 pipes'!B:B,0)</f>
        <v>243</v>
      </c>
      <c r="Q241" s="2">
        <f>Table3[[#This Row],[2043 pipes]]-Table3[[#This Row],[Master Plan CAPEX Cost]]</f>
        <v>0</v>
      </c>
      <c r="R241" s="7">
        <f>Table3[[#This Row],[asdfa]]-Table3[[#This Row],[2022 total cost]]</f>
        <v>-4186.4491681671898</v>
      </c>
    </row>
    <row r="242" spans="1:18" x14ac:dyDescent="0.25">
      <c r="A242" s="1">
        <v>240</v>
      </c>
      <c r="B242" t="s">
        <v>255</v>
      </c>
      <c r="C242">
        <v>158</v>
      </c>
      <c r="D242">
        <v>12.633649999999999</v>
      </c>
      <c r="E242">
        <f>VLOOKUP(Table3[[#This Row],[Pipe_name]],Table2[[Pipe_name]:[Original_Diameter]],2,FALSE)</f>
        <v>158</v>
      </c>
      <c r="F242">
        <f>VLOOKUP(Table3[[#This Row],[Pipe_name]],Table2[[Pipe_name]:[Length]],3,FALSE)</f>
        <v>12.633649999999999</v>
      </c>
      <c r="G242" t="s">
        <v>331</v>
      </c>
      <c r="H242" t="str">
        <f>IF(Table3[[#This Row],[2043 Diameter]]=Table3[[#This Row],[2022 Diameter]],"No","Yes")</f>
        <v>No</v>
      </c>
      <c r="I242" t="str">
        <f>IF(Table3[[#This Row],[2043 Length]]=Table3[[#This Row],[2022 length]],"No","Yes")</f>
        <v>No</v>
      </c>
      <c r="J242" s="8">
        <f>VLOOKUP(Table3[[#This Row],[2043 Diameter]],[1]Pipes!$A:$B,2,FALSE)</f>
        <v>433.89080378537034</v>
      </c>
      <c r="K242" s="8">
        <f>VLOOKUP(Table3[[#This Row],[2022 Diameter]],[1]Pipes!$A:$B,2,FALSE)</f>
        <v>433.89080378537034</v>
      </c>
      <c r="L242" s="8">
        <f>IF(OR(IFERROR(Table3[[#This Row],[Diameter Change?]]="Yes","Yes"),Table3[[#This Row],[Pipe Added?]]="Yes"),Table3[[#This Row],[2043 Pipeline unit cost]]*Table3[[#This Row],[2043 Length]],0)</f>
        <v>0</v>
      </c>
      <c r="M242" s="2">
        <f>VLOOKUP(Table3[[#This Row],[Pipe_name]],[2]!Table1[[id3]:[Cost]],8,FALSE)</f>
        <v>0</v>
      </c>
      <c r="N242" s="2">
        <f>IFERROR(Table3[[#This Row],[2022 length]]*Table3[[#This Row],[2022 Pipeline unit cost]],0)</f>
        <v>5481.6245532430439</v>
      </c>
      <c r="O242" s="2">
        <f>Table3[[#This Row],[2043 Length]]*Table3[[#This Row],[2043 Pipeline unit cost]]</f>
        <v>5481.6245532430439</v>
      </c>
      <c r="P242" s="2">
        <f>MATCH(Table3[[#This Row],[Pipe_name]],'2022 pipes'!B:B,0)</f>
        <v>244</v>
      </c>
      <c r="Q242" s="2">
        <f>Table3[[#This Row],[2043 pipes]]-Table3[[#This Row],[Master Plan CAPEX Cost]]</f>
        <v>5481.6245532430439</v>
      </c>
      <c r="R242" s="7">
        <f>Table3[[#This Row],[asdfa]]-Table3[[#This Row],[2022 total cost]]</f>
        <v>0</v>
      </c>
    </row>
    <row r="243" spans="1:18" x14ac:dyDescent="0.25">
      <c r="A243" s="1">
        <v>241</v>
      </c>
      <c r="B243" t="s">
        <v>256</v>
      </c>
      <c r="C243">
        <v>158</v>
      </c>
      <c r="D243">
        <v>18.525658</v>
      </c>
      <c r="E243">
        <f>VLOOKUP(Table3[[#This Row],[Pipe_name]],Table2[[Pipe_name]:[Original_Diameter]],2,FALSE)</f>
        <v>158</v>
      </c>
      <c r="F243">
        <f>VLOOKUP(Table3[[#This Row],[Pipe_name]],Table2[[Pipe_name]:[Length]],3,FALSE)</f>
        <v>18.525658</v>
      </c>
      <c r="G243" t="s">
        <v>331</v>
      </c>
      <c r="H243" t="str">
        <f>IF(Table3[[#This Row],[2043 Diameter]]=Table3[[#This Row],[2022 Diameter]],"No","Yes")</f>
        <v>No</v>
      </c>
      <c r="I243" t="str">
        <f>IF(Table3[[#This Row],[2043 Length]]=Table3[[#This Row],[2022 length]],"No","Yes")</f>
        <v>No</v>
      </c>
      <c r="J243" s="8">
        <f>VLOOKUP(Table3[[#This Row],[2043 Diameter]],[1]Pipes!$A:$B,2,FALSE)</f>
        <v>433.89080378537034</v>
      </c>
      <c r="K243" s="8">
        <f>VLOOKUP(Table3[[#This Row],[2022 Diameter]],[1]Pipes!$A:$B,2,FALSE)</f>
        <v>433.89080378537034</v>
      </c>
      <c r="L243" s="8">
        <f>IF(OR(IFERROR(Table3[[#This Row],[Diameter Change?]]="Yes","Yes"),Table3[[#This Row],[Pipe Added?]]="Yes"),Table3[[#This Row],[2043 Pipeline unit cost]]*Table3[[#This Row],[2043 Length]],0)</f>
        <v>0</v>
      </c>
      <c r="M243" s="2">
        <f>VLOOKUP(Table3[[#This Row],[Pipe_name]],[2]!Table1[[id3]:[Cost]],8,FALSE)</f>
        <v>0</v>
      </c>
      <c r="N243" s="2">
        <f>IFERROR(Table3[[#This Row],[2022 length]]*Table3[[#This Row],[2022 Pipeline unit cost]],0)</f>
        <v>8038.112640272876</v>
      </c>
      <c r="O243" s="2">
        <f>Table3[[#This Row],[2043 Length]]*Table3[[#This Row],[2043 Pipeline unit cost]]</f>
        <v>8038.112640272876</v>
      </c>
      <c r="P243" s="2">
        <f>MATCH(Table3[[#This Row],[Pipe_name]],'2022 pipes'!B:B,0)</f>
        <v>245</v>
      </c>
      <c r="Q243" s="2">
        <f>Table3[[#This Row],[2043 pipes]]-Table3[[#This Row],[Master Plan CAPEX Cost]]</f>
        <v>8038.112640272876</v>
      </c>
      <c r="R243" s="7">
        <f>Table3[[#This Row],[asdfa]]-Table3[[#This Row],[2022 total cost]]</f>
        <v>0</v>
      </c>
    </row>
    <row r="244" spans="1:18" x14ac:dyDescent="0.25">
      <c r="A244" s="1">
        <v>242</v>
      </c>
      <c r="B244" t="s">
        <v>257</v>
      </c>
      <c r="C244">
        <v>101</v>
      </c>
      <c r="D244">
        <v>56.233265000000003</v>
      </c>
      <c r="E244">
        <f>VLOOKUP(Table3[[#This Row],[Pipe_name]],Table2[[Pipe_name]:[Original_Diameter]],2,FALSE)</f>
        <v>101</v>
      </c>
      <c r="F244">
        <f>VLOOKUP(Table3[[#This Row],[Pipe_name]],Table2[[Pipe_name]:[Length]],3,FALSE)</f>
        <v>56.233265000000003</v>
      </c>
      <c r="G244" t="s">
        <v>331</v>
      </c>
      <c r="H244" t="str">
        <f>IF(Table3[[#This Row],[2043 Diameter]]=Table3[[#This Row],[2022 Diameter]],"No","Yes")</f>
        <v>No</v>
      </c>
      <c r="I244" t="str">
        <f>IF(Table3[[#This Row],[2043 Length]]=Table3[[#This Row],[2022 length]],"No","Yes")</f>
        <v>No</v>
      </c>
      <c r="J244" s="8">
        <f>VLOOKUP(Table3[[#This Row],[2043 Diameter]],[1]Pipes!$A:$B,2,FALSE)</f>
        <v>362.58707029616613</v>
      </c>
      <c r="K244" s="8">
        <f>VLOOKUP(Table3[[#This Row],[2022 Diameter]],[1]Pipes!$A:$B,2,FALSE)</f>
        <v>362.58707029616613</v>
      </c>
      <c r="L244" s="8">
        <f>IF(OR(IFERROR(Table3[[#This Row],[Diameter Change?]]="Yes","Yes"),Table3[[#This Row],[Pipe Added?]]="Yes"),Table3[[#This Row],[2043 Pipeline unit cost]]*Table3[[#This Row],[2043 Length]],0)</f>
        <v>0</v>
      </c>
      <c r="M244" s="2">
        <f>VLOOKUP(Table3[[#This Row],[Pipe_name]],[2]!Table1[[id3]:[Cost]],8,FALSE)</f>
        <v>0</v>
      </c>
      <c r="N244" s="2">
        <f>IFERROR(Table3[[#This Row],[2022 length]]*Table3[[#This Row],[2022 Pipeline unit cost]],0)</f>
        <v>20389.45480953794</v>
      </c>
      <c r="O244" s="2">
        <f>Table3[[#This Row],[2043 Length]]*Table3[[#This Row],[2043 Pipeline unit cost]]</f>
        <v>20389.45480953794</v>
      </c>
      <c r="P244" s="2">
        <f>MATCH(Table3[[#This Row],[Pipe_name]],'2022 pipes'!B:B,0)</f>
        <v>246</v>
      </c>
      <c r="Q244" s="2">
        <f>Table3[[#This Row],[2043 pipes]]-Table3[[#This Row],[Master Plan CAPEX Cost]]</f>
        <v>20389.45480953794</v>
      </c>
      <c r="R244" s="7">
        <f>Table3[[#This Row],[asdfa]]-Table3[[#This Row],[2022 total cost]]</f>
        <v>0</v>
      </c>
    </row>
    <row r="245" spans="1:18" x14ac:dyDescent="0.25">
      <c r="A245" s="1">
        <v>243</v>
      </c>
      <c r="B245" t="s">
        <v>258</v>
      </c>
      <c r="C245">
        <v>101</v>
      </c>
      <c r="D245">
        <v>107.44064299999999</v>
      </c>
      <c r="E245">
        <f>VLOOKUP(Table3[[#This Row],[Pipe_name]],Table2[[Pipe_name]:[Original_Diameter]],2,FALSE)</f>
        <v>101</v>
      </c>
      <c r="F245">
        <f>VLOOKUP(Table3[[#This Row],[Pipe_name]],Table2[[Pipe_name]:[Length]],3,FALSE)</f>
        <v>107.44064299999999</v>
      </c>
      <c r="G245" t="s">
        <v>331</v>
      </c>
      <c r="H245" t="str">
        <f>IF(Table3[[#This Row],[2043 Diameter]]=Table3[[#This Row],[2022 Diameter]],"No","Yes")</f>
        <v>No</v>
      </c>
      <c r="I245" t="str">
        <f>IF(Table3[[#This Row],[2043 Length]]=Table3[[#This Row],[2022 length]],"No","Yes")</f>
        <v>No</v>
      </c>
      <c r="J245" s="8">
        <f>VLOOKUP(Table3[[#This Row],[2043 Diameter]],[1]Pipes!$A:$B,2,FALSE)</f>
        <v>362.58707029616613</v>
      </c>
      <c r="K245" s="8">
        <f>VLOOKUP(Table3[[#This Row],[2022 Diameter]],[1]Pipes!$A:$B,2,FALSE)</f>
        <v>362.58707029616613</v>
      </c>
      <c r="L245" s="8">
        <f>IF(OR(IFERROR(Table3[[#This Row],[Diameter Change?]]="Yes","Yes"),Table3[[#This Row],[Pipe Added?]]="Yes"),Table3[[#This Row],[2043 Pipeline unit cost]]*Table3[[#This Row],[2043 Length]],0)</f>
        <v>0</v>
      </c>
      <c r="M245" s="2">
        <f>VLOOKUP(Table3[[#This Row],[Pipe_name]],[2]!Table1[[id3]:[Cost]],8,FALSE)</f>
        <v>0</v>
      </c>
      <c r="N245" s="2">
        <f>IFERROR(Table3[[#This Row],[2022 length]]*Table3[[#This Row],[2022 Pipeline unit cost]],0)</f>
        <v>38956.58797610629</v>
      </c>
      <c r="O245" s="2">
        <f>Table3[[#This Row],[2043 Length]]*Table3[[#This Row],[2043 Pipeline unit cost]]</f>
        <v>38956.58797610629</v>
      </c>
      <c r="P245" s="2">
        <f>MATCH(Table3[[#This Row],[Pipe_name]],'2022 pipes'!B:B,0)</f>
        <v>247</v>
      </c>
      <c r="Q245" s="2">
        <f>Table3[[#This Row],[2043 pipes]]-Table3[[#This Row],[Master Plan CAPEX Cost]]</f>
        <v>38956.58797610629</v>
      </c>
      <c r="R245" s="7">
        <f>Table3[[#This Row],[asdfa]]-Table3[[#This Row],[2022 total cost]]</f>
        <v>0</v>
      </c>
    </row>
    <row r="246" spans="1:18" x14ac:dyDescent="0.25">
      <c r="A246" s="1">
        <v>244</v>
      </c>
      <c r="B246" t="s">
        <v>259</v>
      </c>
      <c r="C246">
        <v>143</v>
      </c>
      <c r="D246">
        <v>80.059708000000001</v>
      </c>
      <c r="E246">
        <f>VLOOKUP(Table3[[#This Row],[Pipe_name]],Table2[[Pipe_name]:[Original_Diameter]],2,FALSE)</f>
        <v>143</v>
      </c>
      <c r="F246">
        <f>VLOOKUP(Table3[[#This Row],[Pipe_name]],Table2[[Pipe_name]:[Length]],3,FALSE)</f>
        <v>80.059708000000001</v>
      </c>
      <c r="G246" t="s">
        <v>331</v>
      </c>
      <c r="H246" t="str">
        <f>IF(Table3[[#This Row],[2043 Diameter]]=Table3[[#This Row],[2022 Diameter]],"No","Yes")</f>
        <v>No</v>
      </c>
      <c r="I246" t="str">
        <f>IF(Table3[[#This Row],[2043 Length]]=Table3[[#This Row],[2022 length]],"No","Yes")</f>
        <v>No</v>
      </c>
      <c r="J246" s="8">
        <f>VLOOKUP(Table3[[#This Row],[2043 Diameter]],[1]Pipes!$A:$B,2,FALSE)</f>
        <v>433.89080378537034</v>
      </c>
      <c r="K246" s="8">
        <f>VLOOKUP(Table3[[#This Row],[2022 Diameter]],[1]Pipes!$A:$B,2,FALSE)</f>
        <v>433.89080378537034</v>
      </c>
      <c r="L246" s="8">
        <f>IF(OR(IFERROR(Table3[[#This Row],[Diameter Change?]]="Yes","Yes"),Table3[[#This Row],[Pipe Added?]]="Yes"),Table3[[#This Row],[2043 Pipeline unit cost]]*Table3[[#This Row],[2043 Length]],0)</f>
        <v>0</v>
      </c>
      <c r="M246" s="2">
        <f>VLOOKUP(Table3[[#This Row],[Pipe_name]],[2]!Table1[[id3]:[Cost]],8,FALSE)</f>
        <v>0</v>
      </c>
      <c r="N246" s="2">
        <f>IFERROR(Table3[[#This Row],[2022 length]]*Table3[[#This Row],[2022 Pipeline unit cost]],0)</f>
        <v>34737.171054942046</v>
      </c>
      <c r="O246" s="2">
        <f>Table3[[#This Row],[2043 Length]]*Table3[[#This Row],[2043 Pipeline unit cost]]</f>
        <v>34737.171054942046</v>
      </c>
      <c r="P246" s="2">
        <f>MATCH(Table3[[#This Row],[Pipe_name]],'2022 pipes'!B:B,0)</f>
        <v>248</v>
      </c>
      <c r="Q246" s="2">
        <f>Table3[[#This Row],[2043 pipes]]-Table3[[#This Row],[Master Plan CAPEX Cost]]</f>
        <v>34737.171054942046</v>
      </c>
      <c r="R246" s="7">
        <f>Table3[[#This Row],[asdfa]]-Table3[[#This Row],[2022 total cost]]</f>
        <v>0</v>
      </c>
    </row>
    <row r="247" spans="1:18" x14ac:dyDescent="0.25">
      <c r="A247" s="1">
        <v>245</v>
      </c>
      <c r="B247" t="s">
        <v>260</v>
      </c>
      <c r="C247">
        <v>143</v>
      </c>
      <c r="D247">
        <v>51.326003999999998</v>
      </c>
      <c r="E247">
        <f>VLOOKUP(Table3[[#This Row],[Pipe_name]],Table2[[Pipe_name]:[Original_Diameter]],2,FALSE)</f>
        <v>143</v>
      </c>
      <c r="F247">
        <f>VLOOKUP(Table3[[#This Row],[Pipe_name]],Table2[[Pipe_name]:[Length]],3,FALSE)</f>
        <v>51.326003999999998</v>
      </c>
      <c r="G247" t="s">
        <v>331</v>
      </c>
      <c r="H247" t="str">
        <f>IF(Table3[[#This Row],[2043 Diameter]]=Table3[[#This Row],[2022 Diameter]],"No","Yes")</f>
        <v>No</v>
      </c>
      <c r="I247" t="str">
        <f>IF(Table3[[#This Row],[2043 Length]]=Table3[[#This Row],[2022 length]],"No","Yes")</f>
        <v>No</v>
      </c>
      <c r="J247" s="8">
        <f>VLOOKUP(Table3[[#This Row],[2043 Diameter]],[1]Pipes!$A:$B,2,FALSE)</f>
        <v>433.89080378537034</v>
      </c>
      <c r="K247" s="8">
        <f>VLOOKUP(Table3[[#This Row],[2022 Diameter]],[1]Pipes!$A:$B,2,FALSE)</f>
        <v>433.89080378537034</v>
      </c>
      <c r="L247" s="8">
        <f>IF(OR(IFERROR(Table3[[#This Row],[Diameter Change?]]="Yes","Yes"),Table3[[#This Row],[Pipe Added?]]="Yes"),Table3[[#This Row],[2043 Pipeline unit cost]]*Table3[[#This Row],[2043 Length]],0)</f>
        <v>0</v>
      </c>
      <c r="M247" s="2">
        <f>VLOOKUP(Table3[[#This Row],[Pipe_name]],[2]!Table1[[id3]:[Cost]],8,FALSE)</f>
        <v>0</v>
      </c>
      <c r="N247" s="2">
        <f>IFERROR(Table3[[#This Row],[2022 length]]*Table3[[#This Row],[2022 Pipeline unit cost]],0)</f>
        <v>22269.881130651131</v>
      </c>
      <c r="O247" s="2">
        <f>Table3[[#This Row],[2043 Length]]*Table3[[#This Row],[2043 Pipeline unit cost]]</f>
        <v>22269.881130651131</v>
      </c>
      <c r="P247" s="2">
        <f>MATCH(Table3[[#This Row],[Pipe_name]],'2022 pipes'!B:B,0)</f>
        <v>249</v>
      </c>
      <c r="Q247" s="2">
        <f>Table3[[#This Row],[2043 pipes]]-Table3[[#This Row],[Master Plan CAPEX Cost]]</f>
        <v>22269.881130651131</v>
      </c>
      <c r="R247" s="7">
        <f>Table3[[#This Row],[asdfa]]-Table3[[#This Row],[2022 total cost]]</f>
        <v>0</v>
      </c>
    </row>
    <row r="248" spans="1:18" x14ac:dyDescent="0.25">
      <c r="A248" s="1">
        <v>246</v>
      </c>
      <c r="B248" t="s">
        <v>261</v>
      </c>
      <c r="C248">
        <v>150</v>
      </c>
      <c r="D248">
        <v>5.0134449999999999</v>
      </c>
      <c r="E248">
        <f>VLOOKUP(Table3[[#This Row],[Pipe_name]],Table2[[Pipe_name]:[Original_Diameter]],2,FALSE)</f>
        <v>103</v>
      </c>
      <c r="F248">
        <f>VLOOKUP(Table3[[#This Row],[Pipe_name]],Table2[[Pipe_name]:[Length]],3,FALSE)</f>
        <v>5.0134449999999999</v>
      </c>
      <c r="G248" t="s">
        <v>331</v>
      </c>
      <c r="H248" t="str">
        <f>IF(Table3[[#This Row],[2043 Diameter]]=Table3[[#This Row],[2022 Diameter]],"No","Yes")</f>
        <v>Yes</v>
      </c>
      <c r="I248" t="str">
        <f>IF(Table3[[#This Row],[2043 Length]]=Table3[[#This Row],[2022 length]],"No","Yes")</f>
        <v>No</v>
      </c>
      <c r="J248" s="8">
        <f>VLOOKUP(Table3[[#This Row],[2043 Diameter]],[1]Pipes!$A:$B,2,FALSE)</f>
        <v>433.89080378537034</v>
      </c>
      <c r="K248" s="8">
        <f>VLOOKUP(Table3[[#This Row],[2022 Diameter]],[1]Pipes!$A:$B,2,FALSE)</f>
        <v>362.58707029616613</v>
      </c>
      <c r="L248" s="8">
        <f>IF(OR(IFERROR(Table3[[#This Row],[Diameter Change?]]="Yes","Yes"),Table3[[#This Row],[Pipe Added?]]="Yes"),Table3[[#This Row],[2043 Pipeline unit cost]]*Table3[[#This Row],[2043 Length]],0)</f>
        <v>2175.2876807837461</v>
      </c>
      <c r="M248" s="2">
        <f>VLOOKUP(Table3[[#This Row],[Pipe_name]],[2]!Table1[[id3]:[Cost]],8,FALSE)</f>
        <v>2175.5284901798468</v>
      </c>
      <c r="N248" s="2">
        <f>IFERROR(Table3[[#This Row],[2022 length]]*Table3[[#This Row],[2022 Pipeline unit cost]],0)</f>
        <v>1817.8103346409625</v>
      </c>
      <c r="O248" s="2">
        <f>Table3[[#This Row],[2043 Length]]*Table3[[#This Row],[2043 Pipeline unit cost]]</f>
        <v>2175.2876807837461</v>
      </c>
      <c r="P248" s="2">
        <f>MATCH(Table3[[#This Row],[Pipe_name]],'2022 pipes'!B:B,0)</f>
        <v>250</v>
      </c>
      <c r="Q248" s="2">
        <f>Table3[[#This Row],[2043 pipes]]-Table3[[#This Row],[Master Plan CAPEX Cost]]</f>
        <v>0</v>
      </c>
      <c r="R248" s="7">
        <f>Table3[[#This Row],[asdfa]]-Table3[[#This Row],[2022 total cost]]</f>
        <v>-1817.8103346409625</v>
      </c>
    </row>
    <row r="249" spans="1:18" x14ac:dyDescent="0.25">
      <c r="A249" s="1">
        <v>247</v>
      </c>
      <c r="B249" t="s">
        <v>302</v>
      </c>
      <c r="C249">
        <v>96</v>
      </c>
      <c r="D249">
        <v>227.553101</v>
      </c>
      <c r="E249" t="e">
        <f>VLOOKUP(Table3[[#This Row],[Pipe_name]],Table2[[Pipe_name]:[Original_Diameter]],2,FALSE)</f>
        <v>#N/A</v>
      </c>
      <c r="F249" t="e">
        <f>VLOOKUP(Table3[[#This Row],[Pipe_name]],Table2[[Pipe_name]:[Length]],3,FALSE)</f>
        <v>#N/A</v>
      </c>
      <c r="G249" t="s">
        <v>330</v>
      </c>
      <c r="H249" t="e">
        <f>IF(Table3[[#This Row],[2043 Diameter]]=Table3[[#This Row],[2022 Diameter]],"No","Yes")</f>
        <v>#N/A</v>
      </c>
      <c r="I249" t="e">
        <f>IF(Table3[[#This Row],[2043 Length]]=Table3[[#This Row],[2022 length]],"No","Yes")</f>
        <v>#N/A</v>
      </c>
      <c r="J249" s="8">
        <f>VLOOKUP(Table3[[#This Row],[2043 Diameter]],[1]Pipes!$A:$B,2,FALSE)</f>
        <v>362.58707029616613</v>
      </c>
      <c r="K249" s="8" t="e">
        <f>VLOOKUP(Table3[[#This Row],[2022 Diameter]],[1]Pipes!$A:$B,2,FALSE)</f>
        <v>#N/A</v>
      </c>
      <c r="L249" s="8">
        <f>IF(OR(IFERROR(Table3[[#This Row],[Diameter Change?]]="Yes","Yes"),Table3[[#This Row],[Pipe Added?]]="Yes"),Table3[[#This Row],[2043 Pipeline unit cost]]*Table3[[#This Row],[2043 Length]],0)</f>
        <v>82507.812228397597</v>
      </c>
      <c r="M249" s="2">
        <f>VLOOKUP(Table3[[#This Row],[Pipe_name]],[2]!Table1[[id3]:[Cost]],8,FALSE)</f>
        <v>82503.787149330237</v>
      </c>
      <c r="N249" s="2">
        <f>IFERROR(Table3[[#This Row],[2022 length]]*Table3[[#This Row],[2022 Pipeline unit cost]],0)</f>
        <v>0</v>
      </c>
      <c r="O249" s="2">
        <f>Table3[[#This Row],[2043 Length]]*Table3[[#This Row],[2043 Pipeline unit cost]]</f>
        <v>82507.812228397597</v>
      </c>
      <c r="P249" s="2" t="e">
        <f>MATCH(Table3[[#This Row],[Pipe_name]],'2022 pipes'!B:B,0)</f>
        <v>#N/A</v>
      </c>
      <c r="Q249" s="2">
        <f>Table3[[#This Row],[2043 pipes]]-Table3[[#This Row],[Master Plan CAPEX Cost]]</f>
        <v>0</v>
      </c>
      <c r="R249" s="7">
        <f>Table3[[#This Row],[asdfa]]-Table3[[#This Row],[2022 total cost]]</f>
        <v>0</v>
      </c>
    </row>
    <row r="250" spans="1:18" x14ac:dyDescent="0.25">
      <c r="A250" s="1">
        <v>248</v>
      </c>
      <c r="B250" t="s">
        <v>263</v>
      </c>
      <c r="C250">
        <v>141</v>
      </c>
      <c r="D250">
        <v>29.650137000000001</v>
      </c>
      <c r="E250">
        <f>VLOOKUP(Table3[[#This Row],[Pipe_name]],Table2[[Pipe_name]:[Original_Diameter]],2,FALSE)</f>
        <v>141</v>
      </c>
      <c r="F250">
        <f>VLOOKUP(Table3[[#This Row],[Pipe_name]],Table2[[Pipe_name]:[Length]],3,FALSE)</f>
        <v>29.650137000000001</v>
      </c>
      <c r="G250" t="s">
        <v>331</v>
      </c>
      <c r="H250" t="str">
        <f>IF(Table3[[#This Row],[2043 Diameter]]=Table3[[#This Row],[2022 Diameter]],"No","Yes")</f>
        <v>No</v>
      </c>
      <c r="I250" t="str">
        <f>IF(Table3[[#This Row],[2043 Length]]=Table3[[#This Row],[2022 length]],"No","Yes")</f>
        <v>No</v>
      </c>
      <c r="J250" s="8">
        <f>VLOOKUP(Table3[[#This Row],[2043 Diameter]],[1]Pipes!$A:$B,2,FALSE)</f>
        <v>433.89080378537034</v>
      </c>
      <c r="K250" s="8">
        <f>VLOOKUP(Table3[[#This Row],[2022 Diameter]],[1]Pipes!$A:$B,2,FALSE)</f>
        <v>433.89080378537034</v>
      </c>
      <c r="L250" s="8">
        <f>IF(OR(IFERROR(Table3[[#This Row],[Diameter Change?]]="Yes","Yes"),Table3[[#This Row],[Pipe Added?]]="Yes"),Table3[[#This Row],[2043 Pipeline unit cost]]*Table3[[#This Row],[2043 Length]],0)</f>
        <v>0</v>
      </c>
      <c r="M250" s="2">
        <f>VLOOKUP(Table3[[#This Row],[Pipe_name]],[2]!Table1[[id3]:[Cost]],8,FALSE)</f>
        <v>0</v>
      </c>
      <c r="N250" s="2">
        <f>IFERROR(Table3[[#This Row],[2022 length]]*Table3[[#This Row],[2022 Pipeline unit cost]],0)</f>
        <v>12864.921775276349</v>
      </c>
      <c r="O250" s="2">
        <f>Table3[[#This Row],[2043 Length]]*Table3[[#This Row],[2043 Pipeline unit cost]]</f>
        <v>12864.921775276349</v>
      </c>
      <c r="P250" s="2">
        <f>MATCH(Table3[[#This Row],[Pipe_name]],'2022 pipes'!B:B,0)</f>
        <v>252</v>
      </c>
      <c r="Q250" s="2">
        <f>Table3[[#This Row],[2043 pipes]]-Table3[[#This Row],[Master Plan CAPEX Cost]]</f>
        <v>12864.921775276349</v>
      </c>
      <c r="R250" s="7">
        <f>Table3[[#This Row],[asdfa]]-Table3[[#This Row],[2022 total cost]]</f>
        <v>0</v>
      </c>
    </row>
    <row r="251" spans="1:18" x14ac:dyDescent="0.25">
      <c r="A251" s="1">
        <v>249</v>
      </c>
      <c r="B251" t="s">
        <v>264</v>
      </c>
      <c r="C251">
        <v>158</v>
      </c>
      <c r="D251">
        <v>1.7149490000000001</v>
      </c>
      <c r="E251">
        <f>VLOOKUP(Table3[[#This Row],[Pipe_name]],Table2[[Pipe_name]:[Original_Diameter]],2,FALSE)</f>
        <v>158</v>
      </c>
      <c r="F251">
        <f>VLOOKUP(Table3[[#This Row],[Pipe_name]],Table2[[Pipe_name]:[Length]],3,FALSE)</f>
        <v>1.7149490000000001</v>
      </c>
      <c r="G251" t="s">
        <v>331</v>
      </c>
      <c r="H251" t="str">
        <f>IF(Table3[[#This Row],[2043 Diameter]]=Table3[[#This Row],[2022 Diameter]],"No","Yes")</f>
        <v>No</v>
      </c>
      <c r="I251" t="str">
        <f>IF(Table3[[#This Row],[2043 Length]]=Table3[[#This Row],[2022 length]],"No","Yes")</f>
        <v>No</v>
      </c>
      <c r="J251" s="8">
        <f>VLOOKUP(Table3[[#This Row],[2043 Diameter]],[1]Pipes!$A:$B,2,FALSE)</f>
        <v>433.89080378537034</v>
      </c>
      <c r="K251" s="8">
        <f>VLOOKUP(Table3[[#This Row],[2022 Diameter]],[1]Pipes!$A:$B,2,FALSE)</f>
        <v>433.89080378537034</v>
      </c>
      <c r="L251" s="8">
        <f>IF(OR(IFERROR(Table3[[#This Row],[Diameter Change?]]="Yes","Yes"),Table3[[#This Row],[Pipe Added?]]="Yes"),Table3[[#This Row],[2043 Pipeline unit cost]]*Table3[[#This Row],[2043 Length]],0)</f>
        <v>0</v>
      </c>
      <c r="M251" s="2">
        <f>VLOOKUP(Table3[[#This Row],[Pipe_name]],[2]!Table1[[id3]:[Cost]],8,FALSE)</f>
        <v>0</v>
      </c>
      <c r="N251" s="2">
        <f>IFERROR(Table3[[#This Row],[2022 length]]*Table3[[#This Row],[2022 Pipeline unit cost]],0)</f>
        <v>744.10060006091715</v>
      </c>
      <c r="O251" s="2">
        <f>Table3[[#This Row],[2043 Length]]*Table3[[#This Row],[2043 Pipeline unit cost]]</f>
        <v>744.10060006091715</v>
      </c>
      <c r="P251" s="2">
        <f>MATCH(Table3[[#This Row],[Pipe_name]],'2022 pipes'!B:B,0)</f>
        <v>253</v>
      </c>
      <c r="Q251" s="2">
        <f>Table3[[#This Row],[2043 pipes]]-Table3[[#This Row],[Master Plan CAPEX Cost]]</f>
        <v>744.10060006091715</v>
      </c>
      <c r="R251" s="7">
        <f>Table3[[#This Row],[asdfa]]-Table3[[#This Row],[2022 total cost]]</f>
        <v>0</v>
      </c>
    </row>
    <row r="252" spans="1:18" x14ac:dyDescent="0.25">
      <c r="A252" s="1">
        <v>250</v>
      </c>
      <c r="B252" t="s">
        <v>265</v>
      </c>
      <c r="C252">
        <v>141</v>
      </c>
      <c r="D252">
        <v>2.9948290000000002</v>
      </c>
      <c r="E252">
        <f>VLOOKUP(Table3[[#This Row],[Pipe_name]],Table2[[Pipe_name]:[Original_Diameter]],2,FALSE)</f>
        <v>141</v>
      </c>
      <c r="F252">
        <f>VLOOKUP(Table3[[#This Row],[Pipe_name]],Table2[[Pipe_name]:[Length]],3,FALSE)</f>
        <v>2.9948290000000002</v>
      </c>
      <c r="G252" t="s">
        <v>331</v>
      </c>
      <c r="H252" t="str">
        <f>IF(Table3[[#This Row],[2043 Diameter]]=Table3[[#This Row],[2022 Diameter]],"No","Yes")</f>
        <v>No</v>
      </c>
      <c r="I252" t="str">
        <f>IF(Table3[[#This Row],[2043 Length]]=Table3[[#This Row],[2022 length]],"No","Yes")</f>
        <v>No</v>
      </c>
      <c r="J252" s="8">
        <f>VLOOKUP(Table3[[#This Row],[2043 Diameter]],[1]Pipes!$A:$B,2,FALSE)</f>
        <v>433.89080378537034</v>
      </c>
      <c r="K252" s="8">
        <f>VLOOKUP(Table3[[#This Row],[2022 Diameter]],[1]Pipes!$A:$B,2,FALSE)</f>
        <v>433.89080378537034</v>
      </c>
      <c r="L252" s="8">
        <f>IF(OR(IFERROR(Table3[[#This Row],[Diameter Change?]]="Yes","Yes"),Table3[[#This Row],[Pipe Added?]]="Yes"),Table3[[#This Row],[2043 Pipeline unit cost]]*Table3[[#This Row],[2043 Length]],0)</f>
        <v>0</v>
      </c>
      <c r="M252" s="2">
        <f>VLOOKUP(Table3[[#This Row],[Pipe_name]],[2]!Table1[[id3]:[Cost]],8,FALSE)</f>
        <v>0</v>
      </c>
      <c r="N252" s="2">
        <f>IFERROR(Table3[[#This Row],[2022 length]]*Table3[[#This Row],[2022 Pipeline unit cost]],0)</f>
        <v>1299.4287620097371</v>
      </c>
      <c r="O252" s="2">
        <f>Table3[[#This Row],[2043 Length]]*Table3[[#This Row],[2043 Pipeline unit cost]]</f>
        <v>1299.4287620097371</v>
      </c>
      <c r="P252" s="2">
        <f>MATCH(Table3[[#This Row],[Pipe_name]],'2022 pipes'!B:B,0)</f>
        <v>254</v>
      </c>
      <c r="Q252" s="2">
        <f>Table3[[#This Row],[2043 pipes]]-Table3[[#This Row],[Master Plan CAPEX Cost]]</f>
        <v>1299.4287620097371</v>
      </c>
      <c r="R252" s="7">
        <f>Table3[[#This Row],[asdfa]]-Table3[[#This Row],[2022 total cost]]</f>
        <v>0</v>
      </c>
    </row>
    <row r="253" spans="1:18" x14ac:dyDescent="0.25">
      <c r="A253" s="1">
        <v>251</v>
      </c>
      <c r="B253" t="s">
        <v>266</v>
      </c>
      <c r="C253">
        <v>101</v>
      </c>
      <c r="D253">
        <v>152.173126</v>
      </c>
      <c r="E253">
        <f>VLOOKUP(Table3[[#This Row],[Pipe_name]],Table2[[Pipe_name]:[Original_Diameter]],2,FALSE)</f>
        <v>101</v>
      </c>
      <c r="F253">
        <f>VLOOKUP(Table3[[#This Row],[Pipe_name]],Table2[[Pipe_name]:[Length]],3,FALSE)</f>
        <v>152.173126</v>
      </c>
      <c r="G253" t="s">
        <v>331</v>
      </c>
      <c r="H253" t="str">
        <f>IF(Table3[[#This Row],[2043 Diameter]]=Table3[[#This Row],[2022 Diameter]],"No","Yes")</f>
        <v>No</v>
      </c>
      <c r="I253" t="str">
        <f>IF(Table3[[#This Row],[2043 Length]]=Table3[[#This Row],[2022 length]],"No","Yes")</f>
        <v>No</v>
      </c>
      <c r="J253" s="8">
        <f>VLOOKUP(Table3[[#This Row],[2043 Diameter]],[1]Pipes!$A:$B,2,FALSE)</f>
        <v>362.58707029616613</v>
      </c>
      <c r="K253" s="8">
        <f>VLOOKUP(Table3[[#This Row],[2022 Diameter]],[1]Pipes!$A:$B,2,FALSE)</f>
        <v>362.58707029616613</v>
      </c>
      <c r="L253" s="8">
        <f>IF(OR(IFERROR(Table3[[#This Row],[Diameter Change?]]="Yes","Yes"),Table3[[#This Row],[Pipe Added?]]="Yes"),Table3[[#This Row],[2043 Pipeline unit cost]]*Table3[[#This Row],[2043 Length]],0)</f>
        <v>0</v>
      </c>
      <c r="M253" s="2">
        <f>VLOOKUP(Table3[[#This Row],[Pipe_name]],[2]!Table1[[id3]:[Cost]],8,FALSE)</f>
        <v>0</v>
      </c>
      <c r="N253" s="2">
        <f>IFERROR(Table3[[#This Row],[2022 length]]*Table3[[#This Row],[2022 Pipeline unit cost]],0)</f>
        <v>55176.007934149347</v>
      </c>
      <c r="O253" s="2">
        <f>Table3[[#This Row],[2043 Length]]*Table3[[#This Row],[2043 Pipeline unit cost]]</f>
        <v>55176.007934149347</v>
      </c>
      <c r="P253" s="2">
        <f>MATCH(Table3[[#This Row],[Pipe_name]],'2022 pipes'!B:B,0)</f>
        <v>255</v>
      </c>
      <c r="Q253" s="2">
        <f>Table3[[#This Row],[2043 pipes]]-Table3[[#This Row],[Master Plan CAPEX Cost]]</f>
        <v>55176.007934149347</v>
      </c>
      <c r="R253" s="7">
        <f>Table3[[#This Row],[asdfa]]-Table3[[#This Row],[2022 total cost]]</f>
        <v>0</v>
      </c>
    </row>
    <row r="254" spans="1:18" x14ac:dyDescent="0.25">
      <c r="A254" s="1">
        <v>252</v>
      </c>
      <c r="B254" t="s">
        <v>267</v>
      </c>
      <c r="C254">
        <v>103</v>
      </c>
      <c r="D254">
        <v>77.749145999999996</v>
      </c>
      <c r="E254">
        <f>VLOOKUP(Table3[[#This Row],[Pipe_name]],Table2[[Pipe_name]:[Original_Diameter]],2,FALSE)</f>
        <v>103</v>
      </c>
      <c r="F254">
        <f>VLOOKUP(Table3[[#This Row],[Pipe_name]],Table2[[Pipe_name]:[Length]],3,FALSE)</f>
        <v>77.749145999999996</v>
      </c>
      <c r="G254" t="s">
        <v>331</v>
      </c>
      <c r="H254" t="str">
        <f>IF(Table3[[#This Row],[2043 Diameter]]=Table3[[#This Row],[2022 Diameter]],"No","Yes")</f>
        <v>No</v>
      </c>
      <c r="I254" t="str">
        <f>IF(Table3[[#This Row],[2043 Length]]=Table3[[#This Row],[2022 length]],"No","Yes")</f>
        <v>No</v>
      </c>
      <c r="J254" s="8">
        <f>VLOOKUP(Table3[[#This Row],[2043 Diameter]],[1]Pipes!$A:$B,2,FALSE)</f>
        <v>362.58707029616613</v>
      </c>
      <c r="K254" s="8">
        <f>VLOOKUP(Table3[[#This Row],[2022 Diameter]],[1]Pipes!$A:$B,2,FALSE)</f>
        <v>362.58707029616613</v>
      </c>
      <c r="L254" s="8">
        <f>IF(OR(IFERROR(Table3[[#This Row],[Diameter Change?]]="Yes","Yes"),Table3[[#This Row],[Pipe Added?]]="Yes"),Table3[[#This Row],[2043 Pipeline unit cost]]*Table3[[#This Row],[2043 Length]],0)</f>
        <v>0</v>
      </c>
      <c r="M254" s="2">
        <f>VLOOKUP(Table3[[#This Row],[Pipe_name]],[2]!Table1[[id3]:[Cost]],8,FALSE)</f>
        <v>0</v>
      </c>
      <c r="N254" s="2">
        <f>IFERROR(Table3[[#This Row],[2022 length]]*Table3[[#This Row],[2022 Pipeline unit cost]],0)</f>
        <v>28190.835066168882</v>
      </c>
      <c r="O254" s="2">
        <f>Table3[[#This Row],[2043 Length]]*Table3[[#This Row],[2043 Pipeline unit cost]]</f>
        <v>28190.835066168882</v>
      </c>
      <c r="P254" s="2">
        <f>MATCH(Table3[[#This Row],[Pipe_name]],'2022 pipes'!B:B,0)</f>
        <v>256</v>
      </c>
      <c r="Q254" s="2">
        <f>Table3[[#This Row],[2043 pipes]]-Table3[[#This Row],[Master Plan CAPEX Cost]]</f>
        <v>28190.835066168882</v>
      </c>
      <c r="R254" s="7">
        <f>Table3[[#This Row],[asdfa]]-Table3[[#This Row],[2022 total cost]]</f>
        <v>0</v>
      </c>
    </row>
    <row r="255" spans="1:18" x14ac:dyDescent="0.25">
      <c r="A255" s="1">
        <v>253</v>
      </c>
      <c r="B255" t="s">
        <v>268</v>
      </c>
      <c r="C255">
        <v>103</v>
      </c>
      <c r="D255">
        <v>11.192435</v>
      </c>
      <c r="E255">
        <f>VLOOKUP(Table3[[#This Row],[Pipe_name]],Table2[[Pipe_name]:[Original_Diameter]],2,FALSE)</f>
        <v>103</v>
      </c>
      <c r="F255">
        <f>VLOOKUP(Table3[[#This Row],[Pipe_name]],Table2[[Pipe_name]:[Length]],3,FALSE)</f>
        <v>11.192435</v>
      </c>
      <c r="G255" t="s">
        <v>331</v>
      </c>
      <c r="H255" t="str">
        <f>IF(Table3[[#This Row],[2043 Diameter]]=Table3[[#This Row],[2022 Diameter]],"No","Yes")</f>
        <v>No</v>
      </c>
      <c r="I255" t="str">
        <f>IF(Table3[[#This Row],[2043 Length]]=Table3[[#This Row],[2022 length]],"No","Yes")</f>
        <v>No</v>
      </c>
      <c r="J255" s="8">
        <f>VLOOKUP(Table3[[#This Row],[2043 Diameter]],[1]Pipes!$A:$B,2,FALSE)</f>
        <v>362.58707029616613</v>
      </c>
      <c r="K255" s="8">
        <f>VLOOKUP(Table3[[#This Row],[2022 Diameter]],[1]Pipes!$A:$B,2,FALSE)</f>
        <v>362.58707029616613</v>
      </c>
      <c r="L255" s="8">
        <f>IF(OR(IFERROR(Table3[[#This Row],[Diameter Change?]]="Yes","Yes"),Table3[[#This Row],[Pipe Added?]]="Yes"),Table3[[#This Row],[2043 Pipeline unit cost]]*Table3[[#This Row],[2043 Length]],0)</f>
        <v>0</v>
      </c>
      <c r="M255" s="2">
        <f>VLOOKUP(Table3[[#This Row],[Pipe_name]],[2]!Table1[[id3]:[Cost]],8,FALSE)</f>
        <v>0</v>
      </c>
      <c r="N255" s="2">
        <f>IFERROR(Table3[[#This Row],[2022 length]]*Table3[[#This Row],[2022 Pipeline unit cost]],0)</f>
        <v>4058.23221613027</v>
      </c>
      <c r="O255" s="2">
        <f>Table3[[#This Row],[2043 Length]]*Table3[[#This Row],[2043 Pipeline unit cost]]</f>
        <v>4058.23221613027</v>
      </c>
      <c r="P255" s="2">
        <f>MATCH(Table3[[#This Row],[Pipe_name]],'2022 pipes'!B:B,0)</f>
        <v>257</v>
      </c>
      <c r="Q255" s="2">
        <f>Table3[[#This Row],[2043 pipes]]-Table3[[#This Row],[Master Plan CAPEX Cost]]</f>
        <v>4058.23221613027</v>
      </c>
      <c r="R255" s="7">
        <f>Table3[[#This Row],[asdfa]]-Table3[[#This Row],[2022 total cost]]</f>
        <v>0</v>
      </c>
    </row>
    <row r="256" spans="1:18" x14ac:dyDescent="0.25">
      <c r="A256" s="1">
        <v>254</v>
      </c>
      <c r="B256" t="s">
        <v>269</v>
      </c>
      <c r="C256">
        <v>101</v>
      </c>
      <c r="D256">
        <v>6.8283459999999998</v>
      </c>
      <c r="E256">
        <f>VLOOKUP(Table3[[#This Row],[Pipe_name]],Table2[[Pipe_name]:[Original_Diameter]],2,FALSE)</f>
        <v>101</v>
      </c>
      <c r="F256">
        <f>VLOOKUP(Table3[[#This Row],[Pipe_name]],Table2[[Pipe_name]:[Length]],3,FALSE)</f>
        <v>6.8283459999999998</v>
      </c>
      <c r="G256" t="s">
        <v>331</v>
      </c>
      <c r="H256" t="str">
        <f>IF(Table3[[#This Row],[2043 Diameter]]=Table3[[#This Row],[2022 Diameter]],"No","Yes")</f>
        <v>No</v>
      </c>
      <c r="I256" t="str">
        <f>IF(Table3[[#This Row],[2043 Length]]=Table3[[#This Row],[2022 length]],"No","Yes")</f>
        <v>No</v>
      </c>
      <c r="J256" s="8">
        <f>VLOOKUP(Table3[[#This Row],[2043 Diameter]],[1]Pipes!$A:$B,2,FALSE)</f>
        <v>362.58707029616613</v>
      </c>
      <c r="K256" s="8">
        <f>VLOOKUP(Table3[[#This Row],[2022 Diameter]],[1]Pipes!$A:$B,2,FALSE)</f>
        <v>362.58707029616613</v>
      </c>
      <c r="L256" s="8">
        <f>IF(OR(IFERROR(Table3[[#This Row],[Diameter Change?]]="Yes","Yes"),Table3[[#This Row],[Pipe Added?]]="Yes"),Table3[[#This Row],[2043 Pipeline unit cost]]*Table3[[#This Row],[2043 Length]],0)</f>
        <v>0</v>
      </c>
      <c r="M256" s="2">
        <f>VLOOKUP(Table3[[#This Row],[Pipe_name]],[2]!Table1[[id3]:[Cost]],8,FALSE)</f>
        <v>0</v>
      </c>
      <c r="N256" s="2">
        <f>IFERROR(Table3[[#This Row],[2022 length]]*Table3[[#This Row],[2022 Pipeline unit cost]],0)</f>
        <v>2475.8699711085446</v>
      </c>
      <c r="O256" s="2">
        <f>Table3[[#This Row],[2043 Length]]*Table3[[#This Row],[2043 Pipeline unit cost]]</f>
        <v>2475.8699711085446</v>
      </c>
      <c r="P256" s="2">
        <f>MATCH(Table3[[#This Row],[Pipe_name]],'2022 pipes'!B:B,0)</f>
        <v>258</v>
      </c>
      <c r="Q256" s="2">
        <f>Table3[[#This Row],[2043 pipes]]-Table3[[#This Row],[Master Plan CAPEX Cost]]</f>
        <v>2475.8699711085446</v>
      </c>
      <c r="R256" s="7">
        <f>Table3[[#This Row],[asdfa]]-Table3[[#This Row],[2022 total cost]]</f>
        <v>0</v>
      </c>
    </row>
    <row r="257" spans="1:18" x14ac:dyDescent="0.25">
      <c r="A257" s="1">
        <v>255</v>
      </c>
      <c r="B257" t="s">
        <v>270</v>
      </c>
      <c r="C257">
        <v>63</v>
      </c>
      <c r="D257">
        <v>1.2608189999999999</v>
      </c>
      <c r="E257">
        <f>VLOOKUP(Table3[[#This Row],[Pipe_name]],Table2[[Pipe_name]:[Original_Diameter]],2,FALSE)</f>
        <v>63</v>
      </c>
      <c r="F257">
        <f>VLOOKUP(Table3[[#This Row],[Pipe_name]],Table2[[Pipe_name]:[Length]],3,FALSE)</f>
        <v>1.2608189999999999</v>
      </c>
      <c r="G257" t="s">
        <v>331</v>
      </c>
      <c r="H257" t="str">
        <f>IF(Table3[[#This Row],[2043 Diameter]]=Table3[[#This Row],[2022 Diameter]],"No","Yes")</f>
        <v>No</v>
      </c>
      <c r="I257" t="str">
        <f>IF(Table3[[#This Row],[2043 Length]]=Table3[[#This Row],[2022 length]],"No","Yes")</f>
        <v>No</v>
      </c>
      <c r="J257" s="8">
        <f>VLOOKUP(Table3[[#This Row],[2043 Diameter]],[1]Pipes!$A:$B,2,FALSE)</f>
        <v>362.58707029616613</v>
      </c>
      <c r="K257" s="8">
        <f>VLOOKUP(Table3[[#This Row],[2022 Diameter]],[1]Pipes!$A:$B,2,FALSE)</f>
        <v>362.58707029616613</v>
      </c>
      <c r="L257" s="8">
        <f>IF(OR(IFERROR(Table3[[#This Row],[Diameter Change?]]="Yes","Yes"),Table3[[#This Row],[Pipe Added?]]="Yes"),Table3[[#This Row],[2043 Pipeline unit cost]]*Table3[[#This Row],[2043 Length]],0)</f>
        <v>0</v>
      </c>
      <c r="M257" s="2">
        <f>VLOOKUP(Table3[[#This Row],[Pipe_name]],[2]!Table1[[id3]:[Cost]],8,FALSE)</f>
        <v>0</v>
      </c>
      <c r="N257" s="2">
        <f>IFERROR(Table3[[#This Row],[2022 length]]*Table3[[#This Row],[2022 Pipeline unit cost]],0)</f>
        <v>457.15666738374188</v>
      </c>
      <c r="O257" s="2">
        <f>Table3[[#This Row],[2043 Length]]*Table3[[#This Row],[2043 Pipeline unit cost]]</f>
        <v>457.15666738374188</v>
      </c>
      <c r="P257" s="2">
        <f>MATCH(Table3[[#This Row],[Pipe_name]],'2022 pipes'!B:B,0)</f>
        <v>259</v>
      </c>
      <c r="Q257" s="2">
        <f>Table3[[#This Row],[2043 pipes]]-Table3[[#This Row],[Master Plan CAPEX Cost]]</f>
        <v>457.15666738374188</v>
      </c>
      <c r="R257" s="7">
        <f>Table3[[#This Row],[asdfa]]-Table3[[#This Row],[2022 total cost]]</f>
        <v>0</v>
      </c>
    </row>
    <row r="258" spans="1:18" x14ac:dyDescent="0.25">
      <c r="A258" s="1">
        <v>256</v>
      </c>
      <c r="B258" t="s">
        <v>271</v>
      </c>
      <c r="C258">
        <v>63</v>
      </c>
      <c r="D258">
        <v>77.493949999999998</v>
      </c>
      <c r="E258">
        <f>VLOOKUP(Table3[[#This Row],[Pipe_name]],Table2[[Pipe_name]:[Original_Diameter]],2,FALSE)</f>
        <v>63</v>
      </c>
      <c r="F258">
        <f>VLOOKUP(Table3[[#This Row],[Pipe_name]],Table2[[Pipe_name]:[Length]],3,FALSE)</f>
        <v>77.493949999999998</v>
      </c>
      <c r="G258" t="s">
        <v>331</v>
      </c>
      <c r="H258" t="str">
        <f>IF(Table3[[#This Row],[2043 Diameter]]=Table3[[#This Row],[2022 Diameter]],"No","Yes")</f>
        <v>No</v>
      </c>
      <c r="I258" t="str">
        <f>IF(Table3[[#This Row],[2043 Length]]=Table3[[#This Row],[2022 length]],"No","Yes")</f>
        <v>No</v>
      </c>
      <c r="J258" s="8">
        <f>VLOOKUP(Table3[[#This Row],[2043 Diameter]],[1]Pipes!$A:$B,2,FALSE)</f>
        <v>362.58707029616613</v>
      </c>
      <c r="K258" s="8">
        <f>VLOOKUP(Table3[[#This Row],[2022 Diameter]],[1]Pipes!$A:$B,2,FALSE)</f>
        <v>362.58707029616613</v>
      </c>
      <c r="L258" s="8">
        <f>IF(OR(IFERROR(Table3[[#This Row],[Diameter Change?]]="Yes","Yes"),Table3[[#This Row],[Pipe Added?]]="Yes"),Table3[[#This Row],[2043 Pipeline unit cost]]*Table3[[#This Row],[2043 Length]],0)</f>
        <v>0</v>
      </c>
      <c r="M258" s="2">
        <f>VLOOKUP(Table3[[#This Row],[Pipe_name]],[2]!Table1[[id3]:[Cost]],8,FALSE)</f>
        <v>0</v>
      </c>
      <c r="N258" s="2">
        <f>IFERROR(Table3[[#This Row],[2022 length]]*Table3[[#This Row],[2022 Pipeline unit cost]],0)</f>
        <v>28098.304296177583</v>
      </c>
      <c r="O258" s="2">
        <f>Table3[[#This Row],[2043 Length]]*Table3[[#This Row],[2043 Pipeline unit cost]]</f>
        <v>28098.304296177583</v>
      </c>
      <c r="P258" s="2">
        <f>MATCH(Table3[[#This Row],[Pipe_name]],'2022 pipes'!B:B,0)</f>
        <v>260</v>
      </c>
      <c r="Q258" s="2">
        <f>Table3[[#This Row],[2043 pipes]]-Table3[[#This Row],[Master Plan CAPEX Cost]]</f>
        <v>28098.304296177583</v>
      </c>
      <c r="R258" s="7">
        <f>Table3[[#This Row],[asdfa]]-Table3[[#This Row],[2022 total cost]]</f>
        <v>0</v>
      </c>
    </row>
    <row r="259" spans="1:18" x14ac:dyDescent="0.25">
      <c r="A259" s="1">
        <v>257</v>
      </c>
      <c r="B259" t="s">
        <v>272</v>
      </c>
      <c r="C259">
        <v>375</v>
      </c>
      <c r="D259">
        <v>9.5805980000000002</v>
      </c>
      <c r="E259">
        <f>VLOOKUP(Table3[[#This Row],[Pipe_name]],Table2[[Pipe_name]:[Original_Diameter]],2,FALSE)</f>
        <v>141</v>
      </c>
      <c r="F259">
        <f>VLOOKUP(Table3[[#This Row],[Pipe_name]],Table2[[Pipe_name]:[Length]],3,FALSE)</f>
        <v>9.5805980000000002</v>
      </c>
      <c r="G259" t="s">
        <v>331</v>
      </c>
      <c r="H259" t="str">
        <f>IF(Table3[[#This Row],[2043 Diameter]]=Table3[[#This Row],[2022 Diameter]],"No","Yes")</f>
        <v>Yes</v>
      </c>
      <c r="I259" t="str">
        <f>IF(Table3[[#This Row],[2043 Length]]=Table3[[#This Row],[2022 length]],"No","Yes")</f>
        <v>No</v>
      </c>
      <c r="J259" s="8">
        <f>VLOOKUP(Table3[[#This Row],[2043 Diameter]],[1]Pipes!$A:$B,2,FALSE)</f>
        <v>1014.940376686758</v>
      </c>
      <c r="K259" s="8">
        <f>VLOOKUP(Table3[[#This Row],[2022 Diameter]],[1]Pipes!$A:$B,2,FALSE)</f>
        <v>433.89080378537034</v>
      </c>
      <c r="L259" s="8">
        <f>IF(OR(IFERROR(Table3[[#This Row],[Diameter Change?]]="Yes","Yes"),Table3[[#This Row],[Pipe Added?]]="Yes"),Table3[[#This Row],[2043 Pipeline unit cost]]*Table3[[#This Row],[2043 Length]],0)</f>
        <v>9723.7357430044012</v>
      </c>
      <c r="M259" s="2">
        <f>VLOOKUP(Table3[[#This Row],[Pipe_name]],[2]!Table1[[id3]:[Cost]],8,FALSE)</f>
        <v>9724.1437490358276</v>
      </c>
      <c r="N259" s="2">
        <f>IFERROR(Table3[[#This Row],[2022 length]]*Table3[[#This Row],[2022 Pipeline unit cost]],0)</f>
        <v>4156.9333669645112</v>
      </c>
      <c r="O259" s="2">
        <f>Table3[[#This Row],[2043 Length]]*Table3[[#This Row],[2043 Pipeline unit cost]]</f>
        <v>9723.7357430044012</v>
      </c>
      <c r="P259" s="2">
        <f>MATCH(Table3[[#This Row],[Pipe_name]],'2022 pipes'!B:B,0)</f>
        <v>261</v>
      </c>
      <c r="Q259" s="2">
        <f>Table3[[#This Row],[2043 pipes]]-Table3[[#This Row],[Master Plan CAPEX Cost]]</f>
        <v>0</v>
      </c>
      <c r="R259" s="7">
        <f>Table3[[#This Row],[asdfa]]-Table3[[#This Row],[2022 total cost]]</f>
        <v>-4156.9333669645112</v>
      </c>
    </row>
    <row r="260" spans="1:18" x14ac:dyDescent="0.25">
      <c r="A260" s="1">
        <v>258</v>
      </c>
      <c r="B260" t="s">
        <v>288</v>
      </c>
      <c r="C260">
        <v>235</v>
      </c>
      <c r="D260">
        <v>66.746032999999997</v>
      </c>
      <c r="E260">
        <f>VLOOKUP(Table3[[#This Row],[Pipe_name]],Table2[[Pipe_name]:[Original_Diameter]],2,FALSE)</f>
        <v>235</v>
      </c>
      <c r="F260">
        <f>VLOOKUP(Table3[[#This Row],[Pipe_name]],Table2[[Pipe_name]:[Length]],3,FALSE)</f>
        <v>66.746032999999997</v>
      </c>
      <c r="G260" t="s">
        <v>331</v>
      </c>
      <c r="H260" t="str">
        <f>IF(Table3[[#This Row],[2043 Diameter]]=Table3[[#This Row],[2022 Diameter]],"No","Yes")</f>
        <v>No</v>
      </c>
      <c r="I260" t="str">
        <f>IF(Table3[[#This Row],[2043 Length]]=Table3[[#This Row],[2022 length]],"No","Yes")</f>
        <v>No</v>
      </c>
      <c r="J260" s="8">
        <f>VLOOKUP(Table3[[#This Row],[2043 Diameter]],[1]Pipes!$A:$B,2,FALSE)</f>
        <v>546.15625651305356</v>
      </c>
      <c r="K260" s="8">
        <f>VLOOKUP(Table3[[#This Row],[2022 Diameter]],[1]Pipes!$A:$B,2,FALSE)</f>
        <v>546.15625651305356</v>
      </c>
      <c r="L260" s="8">
        <f>IF(OR(IFERROR(Table3[[#This Row],[Diameter Change?]]="Yes","Yes"),Table3[[#This Row],[Pipe Added?]]="Yes"),Table3[[#This Row],[2043 Pipeline unit cost]]*Table3[[#This Row],[2043 Length]],0)</f>
        <v>0</v>
      </c>
      <c r="M260" s="2">
        <f>VLOOKUP(Table3[[#This Row],[Pipe_name]],[2]!Table1[[id3]:[Cost]],8,FALSE)</f>
        <v>0</v>
      </c>
      <c r="N260" s="2">
        <f>IFERROR(Table3[[#This Row],[2022 length]]*Table3[[#This Row],[2022 Pipeline unit cost]],0)</f>
        <v>36453.763520376735</v>
      </c>
      <c r="O260" s="2">
        <f>Table3[[#This Row],[2043 Length]]*Table3[[#This Row],[2043 Pipeline unit cost]]</f>
        <v>36453.763520376735</v>
      </c>
      <c r="P260" s="2">
        <f>MATCH(Table3[[#This Row],[Pipe_name]],'2022 pipes'!B:B,0)</f>
        <v>262</v>
      </c>
      <c r="Q260" s="2">
        <f>Table3[[#This Row],[2043 pipes]]-Table3[[#This Row],[Master Plan CAPEX Cost]]</f>
        <v>36453.763520376735</v>
      </c>
      <c r="R260" s="7">
        <f>Table3[[#This Row],[asdfa]]-Table3[[#This Row],[2022 total cost]]</f>
        <v>0</v>
      </c>
    </row>
    <row r="261" spans="1:18" x14ac:dyDescent="0.25">
      <c r="A261" s="1">
        <v>259</v>
      </c>
      <c r="B261" t="s">
        <v>289</v>
      </c>
      <c r="C261">
        <v>375</v>
      </c>
      <c r="D261">
        <v>14.871316999999999</v>
      </c>
      <c r="E261">
        <f>VLOOKUP(Table3[[#This Row],[Pipe_name]],Table2[[Pipe_name]:[Original_Diameter]],2,FALSE)</f>
        <v>186</v>
      </c>
      <c r="F261">
        <f>VLOOKUP(Table3[[#This Row],[Pipe_name]],Table2[[Pipe_name]:[Length]],3,FALSE)</f>
        <v>14.871316999999999</v>
      </c>
      <c r="G261" t="s">
        <v>331</v>
      </c>
      <c r="H261" t="str">
        <f>IF(Table3[[#This Row],[2043 Diameter]]=Table3[[#This Row],[2022 Diameter]],"No","Yes")</f>
        <v>Yes</v>
      </c>
      <c r="I261" t="str">
        <f>IF(Table3[[#This Row],[2043 Length]]=Table3[[#This Row],[2022 length]],"No","Yes")</f>
        <v>No</v>
      </c>
      <c r="J261" s="8">
        <f>VLOOKUP(Table3[[#This Row],[2043 Diameter]],[1]Pipes!$A:$B,2,FALSE)</f>
        <v>1014.940376686758</v>
      </c>
      <c r="K261" s="8">
        <f>VLOOKUP(Table3[[#This Row],[2022 Diameter]],[1]Pipes!$A:$B,2,FALSE)</f>
        <v>546.15625651305356</v>
      </c>
      <c r="L261" s="8">
        <f>IF(OR(IFERROR(Table3[[#This Row],[Diameter Change?]]="Yes","Yes"),Table3[[#This Row],[Pipe Added?]]="Yes"),Table3[[#This Row],[2043 Pipeline unit cost]]*Table3[[#This Row],[2043 Length]],0)</f>
        <v>15093.500077808187</v>
      </c>
      <c r="M261" s="2">
        <f>VLOOKUP(Table3[[#This Row],[Pipe_name]],[2]!Table1[[id3]:[Cost]],8,FALSE)</f>
        <v>15093.178341708779</v>
      </c>
      <c r="N261" s="2">
        <f>IFERROR(Table3[[#This Row],[2022 length]]*Table3[[#This Row],[2022 Pipeline unit cost]],0)</f>
        <v>8122.0628221389343</v>
      </c>
      <c r="O261" s="2">
        <f>Table3[[#This Row],[2043 Length]]*Table3[[#This Row],[2043 Pipeline unit cost]]</f>
        <v>15093.500077808187</v>
      </c>
      <c r="P261" s="2">
        <f>MATCH(Table3[[#This Row],[Pipe_name]],'2022 pipes'!B:B,0)</f>
        <v>263</v>
      </c>
      <c r="Q261" s="2">
        <f>Table3[[#This Row],[2043 pipes]]-Table3[[#This Row],[Master Plan CAPEX Cost]]</f>
        <v>0</v>
      </c>
      <c r="R261" s="7">
        <f>Table3[[#This Row],[asdfa]]-Table3[[#This Row],[2022 total cost]]</f>
        <v>-8122.0628221389343</v>
      </c>
    </row>
    <row r="262" spans="1:18" x14ac:dyDescent="0.25">
      <c r="A262" s="1">
        <v>260</v>
      </c>
      <c r="B262" t="s">
        <v>290</v>
      </c>
      <c r="C262">
        <v>235</v>
      </c>
      <c r="D262">
        <v>20.254999000000002</v>
      </c>
      <c r="E262">
        <f>VLOOKUP(Table3[[#This Row],[Pipe_name]],Table2[[Pipe_name]:[Original_Diameter]],2,FALSE)</f>
        <v>235</v>
      </c>
      <c r="F262">
        <f>VLOOKUP(Table3[[#This Row],[Pipe_name]],Table2[[Pipe_name]:[Length]],3,FALSE)</f>
        <v>20.254999000000002</v>
      </c>
      <c r="G262" t="s">
        <v>331</v>
      </c>
      <c r="H262" t="str">
        <f>IF(Table3[[#This Row],[2043 Diameter]]=Table3[[#This Row],[2022 Diameter]],"No","Yes")</f>
        <v>No</v>
      </c>
      <c r="I262" t="str">
        <f>IF(Table3[[#This Row],[2043 Length]]=Table3[[#This Row],[2022 length]],"No","Yes")</f>
        <v>No</v>
      </c>
      <c r="J262" s="8">
        <f>VLOOKUP(Table3[[#This Row],[2043 Diameter]],[1]Pipes!$A:$B,2,FALSE)</f>
        <v>546.15625651305356</v>
      </c>
      <c r="K262" s="8">
        <f>VLOOKUP(Table3[[#This Row],[2022 Diameter]],[1]Pipes!$A:$B,2,FALSE)</f>
        <v>546.15625651305356</v>
      </c>
      <c r="L262" s="8">
        <f>IF(OR(IFERROR(Table3[[#This Row],[Diameter Change?]]="Yes","Yes"),Table3[[#This Row],[Pipe Added?]]="Yes"),Table3[[#This Row],[2043 Pipeline unit cost]]*Table3[[#This Row],[2043 Length]],0)</f>
        <v>0</v>
      </c>
      <c r="M262" s="2">
        <f>VLOOKUP(Table3[[#This Row],[Pipe_name]],[2]!Table1[[id3]:[Cost]],8,FALSE)</f>
        <v>0</v>
      </c>
      <c r="N262" s="2">
        <f>IFERROR(Table3[[#This Row],[2022 length]]*Table3[[#This Row],[2022 Pipeline unit cost]],0)</f>
        <v>11062.394429515643</v>
      </c>
      <c r="O262" s="2">
        <f>Table3[[#This Row],[2043 Length]]*Table3[[#This Row],[2043 Pipeline unit cost]]</f>
        <v>11062.394429515643</v>
      </c>
      <c r="P262" s="2">
        <f>MATCH(Table3[[#This Row],[Pipe_name]],'2022 pipes'!B:B,0)</f>
        <v>264</v>
      </c>
      <c r="Q262" s="2">
        <f>Table3[[#This Row],[2043 pipes]]-Table3[[#This Row],[Master Plan CAPEX Cost]]</f>
        <v>11062.394429515643</v>
      </c>
      <c r="R262" s="7">
        <f>Table3[[#This Row],[asdfa]]-Table3[[#This Row],[2022 total cost]]</f>
        <v>0</v>
      </c>
    </row>
    <row r="263" spans="1:18" x14ac:dyDescent="0.25">
      <c r="A263" s="1">
        <v>261</v>
      </c>
      <c r="B263" t="s">
        <v>291</v>
      </c>
      <c r="C263">
        <v>96</v>
      </c>
      <c r="D263">
        <v>115.147903</v>
      </c>
      <c r="E263">
        <f>VLOOKUP(Table3[[#This Row],[Pipe_name]],Table2[[Pipe_name]:[Original_Diameter]],2,FALSE)</f>
        <v>96</v>
      </c>
      <c r="F263">
        <f>VLOOKUP(Table3[[#This Row],[Pipe_name]],Table2[[Pipe_name]:[Length]],3,FALSE)</f>
        <v>115.147903</v>
      </c>
      <c r="G263" t="s">
        <v>331</v>
      </c>
      <c r="H263" t="str">
        <f>IF(Table3[[#This Row],[2043 Diameter]]=Table3[[#This Row],[2022 Diameter]],"No","Yes")</f>
        <v>No</v>
      </c>
      <c r="I263" t="str">
        <f>IF(Table3[[#This Row],[2043 Length]]=Table3[[#This Row],[2022 length]],"No","Yes")</f>
        <v>No</v>
      </c>
      <c r="J263" s="8">
        <f>VLOOKUP(Table3[[#This Row],[2043 Diameter]],[1]Pipes!$A:$B,2,FALSE)</f>
        <v>362.58707029616613</v>
      </c>
      <c r="K263" s="8">
        <f>VLOOKUP(Table3[[#This Row],[2022 Diameter]],[1]Pipes!$A:$B,2,FALSE)</f>
        <v>362.58707029616613</v>
      </c>
      <c r="L263" s="8">
        <f>IF(OR(IFERROR(Table3[[#This Row],[Diameter Change?]]="Yes","Yes"),Table3[[#This Row],[Pipe Added?]]="Yes"),Table3[[#This Row],[2043 Pipeline unit cost]]*Table3[[#This Row],[2043 Length]],0)</f>
        <v>0</v>
      </c>
      <c r="M263" s="2">
        <f>VLOOKUP(Table3[[#This Row],[Pipe_name]],[2]!Table1[[id3]:[Cost]],8,FALSE)</f>
        <v>0</v>
      </c>
      <c r="N263" s="2">
        <f>IFERROR(Table3[[#This Row],[2022 length]]*Table3[[#This Row],[2022 Pipeline unit cost]],0)</f>
        <v>41751.140799517118</v>
      </c>
      <c r="O263" s="2">
        <f>Table3[[#This Row],[2043 Length]]*Table3[[#This Row],[2043 Pipeline unit cost]]</f>
        <v>41751.140799517118</v>
      </c>
      <c r="P263" s="2">
        <f>MATCH(Table3[[#This Row],[Pipe_name]],'2022 pipes'!B:B,0)</f>
        <v>265</v>
      </c>
      <c r="Q263" s="2">
        <f>Table3[[#This Row],[2043 pipes]]-Table3[[#This Row],[Master Plan CAPEX Cost]]</f>
        <v>41751.140799517118</v>
      </c>
      <c r="R263" s="7">
        <f>Table3[[#This Row],[asdfa]]-Table3[[#This Row],[2022 total cost]]</f>
        <v>0</v>
      </c>
    </row>
    <row r="264" spans="1:18" x14ac:dyDescent="0.25">
      <c r="A264" s="1">
        <v>262</v>
      </c>
      <c r="B264" t="s">
        <v>292</v>
      </c>
      <c r="C264">
        <v>96</v>
      </c>
      <c r="D264">
        <v>16.094477000000001</v>
      </c>
      <c r="E264">
        <f>VLOOKUP(Table3[[#This Row],[Pipe_name]],Table2[[Pipe_name]:[Original_Diameter]],2,FALSE)</f>
        <v>96</v>
      </c>
      <c r="F264">
        <f>VLOOKUP(Table3[[#This Row],[Pipe_name]],Table2[[Pipe_name]:[Length]],3,FALSE)</f>
        <v>16.094477000000001</v>
      </c>
      <c r="G264" t="s">
        <v>331</v>
      </c>
      <c r="H264" t="str">
        <f>IF(Table3[[#This Row],[2043 Diameter]]=Table3[[#This Row],[2022 Diameter]],"No","Yes")</f>
        <v>No</v>
      </c>
      <c r="I264" t="str">
        <f>IF(Table3[[#This Row],[2043 Length]]=Table3[[#This Row],[2022 length]],"No","Yes")</f>
        <v>No</v>
      </c>
      <c r="J264" s="8">
        <f>VLOOKUP(Table3[[#This Row],[2043 Diameter]],[1]Pipes!$A:$B,2,FALSE)</f>
        <v>362.58707029616613</v>
      </c>
      <c r="K264" s="8">
        <f>VLOOKUP(Table3[[#This Row],[2022 Diameter]],[1]Pipes!$A:$B,2,FALSE)</f>
        <v>362.58707029616613</v>
      </c>
      <c r="L264" s="8">
        <f>IF(OR(IFERROR(Table3[[#This Row],[Diameter Change?]]="Yes","Yes"),Table3[[#This Row],[Pipe Added?]]="Yes"),Table3[[#This Row],[2043 Pipeline unit cost]]*Table3[[#This Row],[2043 Length]],0)</f>
        <v>0</v>
      </c>
      <c r="M264" s="2">
        <f>VLOOKUP(Table3[[#This Row],[Pipe_name]],[2]!Table1[[id3]:[Cost]],8,FALSE)</f>
        <v>0</v>
      </c>
      <c r="N264" s="2">
        <f>IFERROR(Table3[[#This Row],[2022 length]]*Table3[[#This Row],[2022 Pipeline unit cost]],0)</f>
        <v>5835.6492633790294</v>
      </c>
      <c r="O264" s="2">
        <f>Table3[[#This Row],[2043 Length]]*Table3[[#This Row],[2043 Pipeline unit cost]]</f>
        <v>5835.6492633790294</v>
      </c>
      <c r="P264" s="2">
        <f>MATCH(Table3[[#This Row],[Pipe_name]],'2022 pipes'!B:B,0)</f>
        <v>266</v>
      </c>
      <c r="Q264" s="2">
        <f>Table3[[#This Row],[2043 pipes]]-Table3[[#This Row],[Master Plan CAPEX Cost]]</f>
        <v>5835.6492633790294</v>
      </c>
      <c r="R264" s="7">
        <f>Table3[[#This Row],[asdfa]]-Table3[[#This Row],[2022 total cost]]</f>
        <v>0</v>
      </c>
    </row>
    <row r="265" spans="1:18" x14ac:dyDescent="0.25">
      <c r="A265" s="1">
        <v>263</v>
      </c>
      <c r="B265" t="s">
        <v>293</v>
      </c>
      <c r="C265">
        <v>96</v>
      </c>
      <c r="D265">
        <v>51.294006000000003</v>
      </c>
      <c r="E265">
        <f>VLOOKUP(Table3[[#This Row],[Pipe_name]],Table2[[Pipe_name]:[Original_Diameter]],2,FALSE)</f>
        <v>96</v>
      </c>
      <c r="F265">
        <f>VLOOKUP(Table3[[#This Row],[Pipe_name]],Table2[[Pipe_name]:[Length]],3,FALSE)</f>
        <v>51.294006000000003</v>
      </c>
      <c r="G265" t="s">
        <v>331</v>
      </c>
      <c r="H265" t="str">
        <f>IF(Table3[[#This Row],[2043 Diameter]]=Table3[[#This Row],[2022 Diameter]],"No","Yes")</f>
        <v>No</v>
      </c>
      <c r="I265" t="str">
        <f>IF(Table3[[#This Row],[2043 Length]]=Table3[[#This Row],[2022 length]],"No","Yes")</f>
        <v>No</v>
      </c>
      <c r="J265" s="8">
        <f>VLOOKUP(Table3[[#This Row],[2043 Diameter]],[1]Pipes!$A:$B,2,FALSE)</f>
        <v>362.58707029616613</v>
      </c>
      <c r="K265" s="8">
        <f>VLOOKUP(Table3[[#This Row],[2022 Diameter]],[1]Pipes!$A:$B,2,FALSE)</f>
        <v>362.58707029616613</v>
      </c>
      <c r="L265" s="8">
        <f>IF(OR(IFERROR(Table3[[#This Row],[Diameter Change?]]="Yes","Yes"),Table3[[#This Row],[Pipe Added?]]="Yes"),Table3[[#This Row],[2043 Pipeline unit cost]]*Table3[[#This Row],[2043 Length]],0)</f>
        <v>0</v>
      </c>
      <c r="M265" s="2">
        <f>VLOOKUP(Table3[[#This Row],[Pipe_name]],[2]!Table1[[id3]:[Cost]],8,FALSE)</f>
        <v>0</v>
      </c>
      <c r="N265" s="2">
        <f>IFERROR(Table3[[#This Row],[2022 length]]*Table3[[#This Row],[2022 Pipeline unit cost]],0)</f>
        <v>18598.54335929397</v>
      </c>
      <c r="O265" s="2">
        <f>Table3[[#This Row],[2043 Length]]*Table3[[#This Row],[2043 Pipeline unit cost]]</f>
        <v>18598.54335929397</v>
      </c>
      <c r="P265" s="2">
        <f>MATCH(Table3[[#This Row],[Pipe_name]],'2022 pipes'!B:B,0)</f>
        <v>267</v>
      </c>
      <c r="Q265" s="2">
        <f>Table3[[#This Row],[2043 pipes]]-Table3[[#This Row],[Master Plan CAPEX Cost]]</f>
        <v>18598.54335929397</v>
      </c>
      <c r="R265" s="7">
        <f>Table3[[#This Row],[asdfa]]-Table3[[#This Row],[2022 total cost]]</f>
        <v>0</v>
      </c>
    </row>
    <row r="266" spans="1:18" x14ac:dyDescent="0.25">
      <c r="A266" s="1">
        <v>264</v>
      </c>
      <c r="B266" t="s">
        <v>294</v>
      </c>
      <c r="C266">
        <v>200</v>
      </c>
      <c r="D266">
        <v>135.68473800000001</v>
      </c>
      <c r="E266">
        <f>VLOOKUP(Table3[[#This Row],[Pipe_name]],Table2[[Pipe_name]:[Original_Diameter]],2,FALSE)</f>
        <v>200</v>
      </c>
      <c r="F266">
        <f>VLOOKUP(Table3[[#This Row],[Pipe_name]],Table2[[Pipe_name]:[Length]],3,FALSE)</f>
        <v>135.68473800000001</v>
      </c>
      <c r="G266" t="s">
        <v>331</v>
      </c>
      <c r="H266" t="str">
        <f>IF(Table3[[#This Row],[2043 Diameter]]=Table3[[#This Row],[2022 Diameter]],"No","Yes")</f>
        <v>No</v>
      </c>
      <c r="I266" t="str">
        <f>IF(Table3[[#This Row],[2043 Length]]=Table3[[#This Row],[2022 length]],"No","Yes")</f>
        <v>No</v>
      </c>
      <c r="J266" s="8">
        <f>VLOOKUP(Table3[[#This Row],[2043 Diameter]],[1]Pipes!$A:$B,2,FALSE)</f>
        <v>546.15625651305356</v>
      </c>
      <c r="K266" s="8">
        <f>VLOOKUP(Table3[[#This Row],[2022 Diameter]],[1]Pipes!$A:$B,2,FALSE)</f>
        <v>546.15625651305356</v>
      </c>
      <c r="L266" s="8">
        <f>IF(OR(IFERROR(Table3[[#This Row],[Diameter Change?]]="Yes","Yes"),Table3[[#This Row],[Pipe Added?]]="Yes"),Table3[[#This Row],[2043 Pipeline unit cost]]*Table3[[#This Row],[2043 Length]],0)</f>
        <v>0</v>
      </c>
      <c r="M266" s="2">
        <f>VLOOKUP(Table3[[#This Row],[Pipe_name]],[2]!Table1[[id3]:[Cost]],8,FALSE)</f>
        <v>0</v>
      </c>
      <c r="N266" s="2">
        <f>IFERROR(Table3[[#This Row],[2022 length]]*Table3[[#This Row],[2022 Pipeline unit cost]],0)</f>
        <v>74105.068572034477</v>
      </c>
      <c r="O266" s="2">
        <f>Table3[[#This Row],[2043 Length]]*Table3[[#This Row],[2043 Pipeline unit cost]]</f>
        <v>74105.068572034477</v>
      </c>
      <c r="P266" s="2">
        <f>MATCH(Table3[[#This Row],[Pipe_name]],'2022 pipes'!B:B,0)</f>
        <v>268</v>
      </c>
      <c r="Q266" s="2">
        <f>Table3[[#This Row],[2043 pipes]]-Table3[[#This Row],[Master Plan CAPEX Cost]]</f>
        <v>74105.068572034477</v>
      </c>
      <c r="R266" s="7">
        <f>Table3[[#This Row],[asdfa]]-Table3[[#This Row],[2022 total cost]]</f>
        <v>0</v>
      </c>
    </row>
    <row r="267" spans="1:18" x14ac:dyDescent="0.25">
      <c r="A267" s="1">
        <v>265</v>
      </c>
      <c r="B267" t="s">
        <v>295</v>
      </c>
      <c r="C267">
        <v>101</v>
      </c>
      <c r="D267">
        <v>139.79331999999999</v>
      </c>
      <c r="E267">
        <f>VLOOKUP(Table3[[#This Row],[Pipe_name]],Table2[[Pipe_name]:[Original_Diameter]],2,FALSE)</f>
        <v>101</v>
      </c>
      <c r="F267">
        <f>VLOOKUP(Table3[[#This Row],[Pipe_name]],Table2[[Pipe_name]:[Length]],3,FALSE)</f>
        <v>139.79331999999999</v>
      </c>
      <c r="G267" t="s">
        <v>331</v>
      </c>
      <c r="H267" t="str">
        <f>IF(Table3[[#This Row],[2043 Diameter]]=Table3[[#This Row],[2022 Diameter]],"No","Yes")</f>
        <v>No</v>
      </c>
      <c r="I267" t="str">
        <f>IF(Table3[[#This Row],[2043 Length]]=Table3[[#This Row],[2022 length]],"No","Yes")</f>
        <v>No</v>
      </c>
      <c r="J267" s="8">
        <f>VLOOKUP(Table3[[#This Row],[2043 Diameter]],[1]Pipes!$A:$B,2,FALSE)</f>
        <v>362.58707029616613</v>
      </c>
      <c r="K267" s="8">
        <f>VLOOKUP(Table3[[#This Row],[2022 Diameter]],[1]Pipes!$A:$B,2,FALSE)</f>
        <v>362.58707029616613</v>
      </c>
      <c r="L267" s="8">
        <f>IF(OR(IFERROR(Table3[[#This Row],[Diameter Change?]]="Yes","Yes"),Table3[[#This Row],[Pipe Added?]]="Yes"),Table3[[#This Row],[2043 Pipeline unit cost]]*Table3[[#This Row],[2043 Length]],0)</f>
        <v>0</v>
      </c>
      <c r="M267" s="2">
        <f>VLOOKUP(Table3[[#This Row],[Pipe_name]],[2]!Table1[[id3]:[Cost]],8,FALSE)</f>
        <v>0</v>
      </c>
      <c r="N267" s="2">
        <f>IFERROR(Table3[[#This Row],[2022 length]]*Table3[[#This Row],[2022 Pipeline unit cost]],0)</f>
        <v>50687.250345774446</v>
      </c>
      <c r="O267" s="2">
        <f>Table3[[#This Row],[2043 Length]]*Table3[[#This Row],[2043 Pipeline unit cost]]</f>
        <v>50687.250345774446</v>
      </c>
      <c r="P267" s="2">
        <f>MATCH(Table3[[#This Row],[Pipe_name]],'2022 pipes'!B:B,0)</f>
        <v>269</v>
      </c>
      <c r="Q267" s="2">
        <f>Table3[[#This Row],[2043 pipes]]-Table3[[#This Row],[Master Plan CAPEX Cost]]</f>
        <v>50687.250345774446</v>
      </c>
      <c r="R267" s="7">
        <f>Table3[[#This Row],[asdfa]]-Table3[[#This Row],[2022 total cost]]</f>
        <v>0</v>
      </c>
    </row>
    <row r="268" spans="1:18" x14ac:dyDescent="0.25">
      <c r="A268" s="1">
        <v>266</v>
      </c>
      <c r="B268" t="s">
        <v>296</v>
      </c>
      <c r="C268">
        <v>143</v>
      </c>
      <c r="D268">
        <v>250.00984199999999</v>
      </c>
      <c r="E268">
        <f>VLOOKUP(Table3[[#This Row],[Pipe_name]],Table2[[Pipe_name]:[Original_Diameter]],2,FALSE)</f>
        <v>143</v>
      </c>
      <c r="F268">
        <f>VLOOKUP(Table3[[#This Row],[Pipe_name]],Table2[[Pipe_name]:[Length]],3,FALSE)</f>
        <v>250.00984199999999</v>
      </c>
      <c r="G268" t="s">
        <v>331</v>
      </c>
      <c r="H268" t="str">
        <f>IF(Table3[[#This Row],[2043 Diameter]]=Table3[[#This Row],[2022 Diameter]],"No","Yes")</f>
        <v>No</v>
      </c>
      <c r="I268" t="str">
        <f>IF(Table3[[#This Row],[2043 Length]]=Table3[[#This Row],[2022 length]],"No","Yes")</f>
        <v>No</v>
      </c>
      <c r="J268" s="8">
        <f>VLOOKUP(Table3[[#This Row],[2043 Diameter]],[1]Pipes!$A:$B,2,FALSE)</f>
        <v>433.89080378537034</v>
      </c>
      <c r="K268" s="8">
        <f>VLOOKUP(Table3[[#This Row],[2022 Diameter]],[1]Pipes!$A:$B,2,FALSE)</f>
        <v>433.89080378537034</v>
      </c>
      <c r="L268" s="8">
        <f>IF(OR(IFERROR(Table3[[#This Row],[Diameter Change?]]="Yes","Yes"),Table3[[#This Row],[Pipe Added?]]="Yes"),Table3[[#This Row],[2043 Pipeline unit cost]]*Table3[[#This Row],[2043 Length]],0)</f>
        <v>0</v>
      </c>
      <c r="M268" s="2">
        <f>VLOOKUP(Table3[[#This Row],[Pipe_name]],[2]!Table1[[id3]:[Cost]],8,FALSE)</f>
        <v>0</v>
      </c>
      <c r="N268" s="2">
        <f>IFERROR(Table3[[#This Row],[2022 length]]*Table3[[#This Row],[2022 Pipeline unit cost]],0)</f>
        <v>108476.97129963344</v>
      </c>
      <c r="O268" s="2">
        <f>Table3[[#This Row],[2043 Length]]*Table3[[#This Row],[2043 Pipeline unit cost]]</f>
        <v>108476.97129963344</v>
      </c>
      <c r="P268" s="2">
        <f>MATCH(Table3[[#This Row],[Pipe_name]],'2022 pipes'!B:B,0)</f>
        <v>270</v>
      </c>
      <c r="Q268" s="2">
        <f>Table3[[#This Row],[2043 pipes]]-Table3[[#This Row],[Master Plan CAPEX Cost]]</f>
        <v>108476.97129963344</v>
      </c>
      <c r="R268" s="7">
        <f>Table3[[#This Row],[asdfa]]-Table3[[#This Row],[2022 total cost]]</f>
        <v>0</v>
      </c>
    </row>
    <row r="269" spans="1:18" x14ac:dyDescent="0.25">
      <c r="A269" s="1">
        <v>267</v>
      </c>
      <c r="B269" t="s">
        <v>273</v>
      </c>
      <c r="C269">
        <v>186</v>
      </c>
      <c r="D269">
        <v>248.50402800000001</v>
      </c>
      <c r="E269">
        <f>VLOOKUP(Table3[[#This Row],[Pipe_name]],Table2[[Pipe_name]:[Original_Diameter]],2,FALSE)</f>
        <v>186</v>
      </c>
      <c r="F269">
        <f>VLOOKUP(Table3[[#This Row],[Pipe_name]],Table2[[Pipe_name]:[Length]],3,FALSE)</f>
        <v>248.50402800000001</v>
      </c>
      <c r="G269" t="s">
        <v>331</v>
      </c>
      <c r="H269" t="str">
        <f>IF(Table3[[#This Row],[2043 Diameter]]=Table3[[#This Row],[2022 Diameter]],"No","Yes")</f>
        <v>No</v>
      </c>
      <c r="I269" t="str">
        <f>IF(Table3[[#This Row],[2043 Length]]=Table3[[#This Row],[2022 length]],"No","Yes")</f>
        <v>No</v>
      </c>
      <c r="J269" s="8">
        <f>VLOOKUP(Table3[[#This Row],[2043 Diameter]],[1]Pipes!$A:$B,2,FALSE)</f>
        <v>546.15625651305356</v>
      </c>
      <c r="K269" s="8">
        <f>VLOOKUP(Table3[[#This Row],[2022 Diameter]],[1]Pipes!$A:$B,2,FALSE)</f>
        <v>546.15625651305356</v>
      </c>
      <c r="L269" s="8">
        <f>IF(OR(IFERROR(Table3[[#This Row],[Diameter Change?]]="Yes","Yes"),Table3[[#This Row],[Pipe Added?]]="Yes"),Table3[[#This Row],[2043 Pipeline unit cost]]*Table3[[#This Row],[2043 Length]],0)</f>
        <v>0</v>
      </c>
      <c r="M269" s="2">
        <f>VLOOKUP(Table3[[#This Row],[Pipe_name]],[2]!Table1[[id3]:[Cost]],8,FALSE)</f>
        <v>0</v>
      </c>
      <c r="N269" s="2">
        <f>IFERROR(Table3[[#This Row],[2022 length]]*Table3[[#This Row],[2022 Pipeline unit cost]],0)</f>
        <v>135722.02966089506</v>
      </c>
      <c r="O269" s="2">
        <f>Table3[[#This Row],[2043 Length]]*Table3[[#This Row],[2043 Pipeline unit cost]]</f>
        <v>135722.02966089506</v>
      </c>
      <c r="P269" s="2">
        <f>MATCH(Table3[[#This Row],[Pipe_name]],'2022 pipes'!B:B,0)</f>
        <v>271</v>
      </c>
      <c r="Q269" s="2">
        <f>Table3[[#This Row],[2043 pipes]]-Table3[[#This Row],[Master Plan CAPEX Cost]]</f>
        <v>135722.02966089506</v>
      </c>
      <c r="R269" s="7">
        <f>Table3[[#This Row],[asdfa]]-Table3[[#This Row],[2022 total cost]]</f>
        <v>0</v>
      </c>
    </row>
    <row r="270" spans="1:18" x14ac:dyDescent="0.25">
      <c r="A270" s="1">
        <v>268</v>
      </c>
      <c r="B270" t="s">
        <v>274</v>
      </c>
      <c r="C270">
        <v>141</v>
      </c>
      <c r="D270">
        <v>290.42849699999999</v>
      </c>
      <c r="E270">
        <f>VLOOKUP(Table3[[#This Row],[Pipe_name]],Table2[[Pipe_name]:[Original_Diameter]],2,FALSE)</f>
        <v>141</v>
      </c>
      <c r="F270">
        <f>VLOOKUP(Table3[[#This Row],[Pipe_name]],Table2[[Pipe_name]:[Length]],3,FALSE)</f>
        <v>290.42849699999999</v>
      </c>
      <c r="G270" t="s">
        <v>331</v>
      </c>
      <c r="H270" t="str">
        <f>IF(Table3[[#This Row],[2043 Diameter]]=Table3[[#This Row],[2022 Diameter]],"No","Yes")</f>
        <v>No</v>
      </c>
      <c r="I270" t="str">
        <f>IF(Table3[[#This Row],[2043 Length]]=Table3[[#This Row],[2022 length]],"No","Yes")</f>
        <v>No</v>
      </c>
      <c r="J270" s="8">
        <f>VLOOKUP(Table3[[#This Row],[2043 Diameter]],[1]Pipes!$A:$B,2,FALSE)</f>
        <v>433.89080378537034</v>
      </c>
      <c r="K270" s="8">
        <f>VLOOKUP(Table3[[#This Row],[2022 Diameter]],[1]Pipes!$A:$B,2,FALSE)</f>
        <v>433.89080378537034</v>
      </c>
      <c r="L270" s="8">
        <f>IF(OR(IFERROR(Table3[[#This Row],[Diameter Change?]]="Yes","Yes"),Table3[[#This Row],[Pipe Added?]]="Yes"),Table3[[#This Row],[2043 Pipeline unit cost]]*Table3[[#This Row],[2043 Length]],0)</f>
        <v>0</v>
      </c>
      <c r="M270" s="2">
        <f>VLOOKUP(Table3[[#This Row],[Pipe_name]],[2]!Table1[[id3]:[Cost]],8,FALSE)</f>
        <v>0</v>
      </c>
      <c r="N270" s="2">
        <f>IFERROR(Table3[[#This Row],[2022 length]]*Table3[[#This Row],[2022 Pipeline unit cost]],0)</f>
        <v>126014.25400550701</v>
      </c>
      <c r="O270" s="2">
        <f>Table3[[#This Row],[2043 Length]]*Table3[[#This Row],[2043 Pipeline unit cost]]</f>
        <v>126014.25400550701</v>
      </c>
      <c r="P270" s="2">
        <f>MATCH(Table3[[#This Row],[Pipe_name]],'2022 pipes'!B:B,0)</f>
        <v>272</v>
      </c>
      <c r="Q270" s="2">
        <f>Table3[[#This Row],[2043 pipes]]-Table3[[#This Row],[Master Plan CAPEX Cost]]</f>
        <v>126014.25400550701</v>
      </c>
      <c r="R270" s="7">
        <f>Table3[[#This Row],[asdfa]]-Table3[[#This Row],[2022 total cost]]</f>
        <v>0</v>
      </c>
    </row>
    <row r="271" spans="1:18" x14ac:dyDescent="0.25">
      <c r="A271" s="1">
        <v>269</v>
      </c>
      <c r="B271" t="s">
        <v>297</v>
      </c>
      <c r="C271">
        <v>225</v>
      </c>
      <c r="D271">
        <v>181.532715</v>
      </c>
      <c r="E271">
        <f>VLOOKUP(Table3[[#This Row],[Pipe_name]],Table2[[Pipe_name]:[Original_Diameter]],2,FALSE)</f>
        <v>96</v>
      </c>
      <c r="F271">
        <f>VLOOKUP(Table3[[#This Row],[Pipe_name]],Table2[[Pipe_name]:[Length]],3,FALSE)</f>
        <v>181.532715</v>
      </c>
      <c r="G271" t="s">
        <v>331</v>
      </c>
      <c r="H271" t="str">
        <f>IF(Table3[[#This Row],[2043 Diameter]]=Table3[[#This Row],[2022 Diameter]],"No","Yes")</f>
        <v>Yes</v>
      </c>
      <c r="I271" t="str">
        <f>IF(Table3[[#This Row],[2043 Length]]=Table3[[#This Row],[2022 length]],"No","Yes")</f>
        <v>No</v>
      </c>
      <c r="J271" s="8">
        <f>VLOOKUP(Table3[[#This Row],[2043 Diameter]],[1]Pipes!$A:$B,2,FALSE)</f>
        <v>546.15625651305356</v>
      </c>
      <c r="K271" s="8">
        <f>VLOOKUP(Table3[[#This Row],[2022 Diameter]],[1]Pipes!$A:$B,2,FALSE)</f>
        <v>362.58707029616613</v>
      </c>
      <c r="L271" s="8">
        <f>IF(OR(IFERROR(Table3[[#This Row],[Diameter Change?]]="Yes","Yes"),Table3[[#This Row],[Pipe Added?]]="Yes"),Table3[[#This Row],[2043 Pipeline unit cost]]*Table3[[#This Row],[2043 Length]],0)</f>
        <v>99145.228059051049</v>
      </c>
      <c r="M271" s="2">
        <f>VLOOKUP(Table3[[#This Row],[Pipe_name]],[2]!Table1[[id3]:[Cost]],8,FALSE)</f>
        <v>99126.268244606195</v>
      </c>
      <c r="N271" s="2">
        <f>IFERROR(Table3[[#This Row],[2022 length]]*Table3[[#This Row],[2022 Pipeline unit cost]],0)</f>
        <v>65821.415294758888</v>
      </c>
      <c r="O271" s="2">
        <f>Table3[[#This Row],[2043 Length]]*Table3[[#This Row],[2043 Pipeline unit cost]]</f>
        <v>99145.228059051049</v>
      </c>
      <c r="P271" s="2">
        <f>MATCH(Table3[[#This Row],[Pipe_name]],'2022 pipes'!B:B,0)</f>
        <v>274</v>
      </c>
      <c r="Q271" s="2">
        <f>Table3[[#This Row],[2043 pipes]]-Table3[[#This Row],[Master Plan CAPEX Cost]]</f>
        <v>0</v>
      </c>
      <c r="R271" s="7">
        <f>Table3[[#This Row],[asdfa]]-Table3[[#This Row],[2022 total cost]]</f>
        <v>-65821.415294758888</v>
      </c>
    </row>
    <row r="272" spans="1:18" x14ac:dyDescent="0.25">
      <c r="A272" s="1">
        <v>270</v>
      </c>
      <c r="B272" t="s">
        <v>298</v>
      </c>
      <c r="C272">
        <v>225</v>
      </c>
      <c r="D272">
        <v>5.1496519999999997</v>
      </c>
      <c r="E272">
        <f>VLOOKUP(Table3[[#This Row],[Pipe_name]],Table2[[Pipe_name]:[Original_Diameter]],2,FALSE)</f>
        <v>96</v>
      </c>
      <c r="F272">
        <f>VLOOKUP(Table3[[#This Row],[Pipe_name]],Table2[[Pipe_name]:[Length]],3,FALSE)</f>
        <v>5.1496519999999997</v>
      </c>
      <c r="G272" t="s">
        <v>331</v>
      </c>
      <c r="H272" t="str">
        <f>IF(Table3[[#This Row],[2043 Diameter]]=Table3[[#This Row],[2022 Diameter]],"No","Yes")</f>
        <v>Yes</v>
      </c>
      <c r="I272" t="str">
        <f>IF(Table3[[#This Row],[2043 Length]]=Table3[[#This Row],[2022 length]],"No","Yes")</f>
        <v>No</v>
      </c>
      <c r="J272" s="8">
        <f>VLOOKUP(Table3[[#This Row],[2043 Diameter]],[1]Pipes!$A:$B,2,FALSE)</f>
        <v>546.15625651305356</v>
      </c>
      <c r="K272" s="8">
        <f>VLOOKUP(Table3[[#This Row],[2022 Diameter]],[1]Pipes!$A:$B,2,FALSE)</f>
        <v>362.58707029616613</v>
      </c>
      <c r="L272" s="8">
        <f>IF(OR(IFERROR(Table3[[#This Row],[Diameter Change?]]="Yes","Yes"),Table3[[#This Row],[Pipe Added?]]="Yes"),Table3[[#This Row],[2043 Pipeline unit cost]]*Table3[[#This Row],[2043 Length]],0)</f>
        <v>2812.5146586649589</v>
      </c>
      <c r="M272" s="2">
        <f>VLOOKUP(Table3[[#This Row],[Pipe_name]],[2]!Table1[[id3]:[Cost]],8,FALSE)</f>
        <v>2812.1585647857128</v>
      </c>
      <c r="N272" s="2">
        <f>IFERROR(Table3[[#This Row],[2022 length]]*Table3[[#This Row],[2022 Pipeline unit cost]],0)</f>
        <v>1867.1972317247923</v>
      </c>
      <c r="O272" s="2">
        <f>Table3[[#This Row],[2043 Length]]*Table3[[#This Row],[2043 Pipeline unit cost]]</f>
        <v>2812.5146586649589</v>
      </c>
      <c r="P272" s="2">
        <f>MATCH(Table3[[#This Row],[Pipe_name]],'2022 pipes'!B:B,0)</f>
        <v>275</v>
      </c>
      <c r="Q272" s="2">
        <f>Table3[[#This Row],[2043 pipes]]-Table3[[#This Row],[Master Plan CAPEX Cost]]</f>
        <v>0</v>
      </c>
      <c r="R272" s="7">
        <f>Table3[[#This Row],[asdfa]]-Table3[[#This Row],[2022 total cost]]</f>
        <v>-1867.1972317247923</v>
      </c>
    </row>
    <row r="273" spans="1:18" x14ac:dyDescent="0.25">
      <c r="A273" s="1">
        <v>271</v>
      </c>
      <c r="B273" t="s">
        <v>303</v>
      </c>
      <c r="C273">
        <v>225</v>
      </c>
      <c r="D273">
        <v>2.359858</v>
      </c>
      <c r="E273" t="e">
        <f>VLOOKUP(Table3[[#This Row],[Pipe_name]],Table2[[Pipe_name]:[Original_Diameter]],2,FALSE)</f>
        <v>#N/A</v>
      </c>
      <c r="F273" t="e">
        <f>VLOOKUP(Table3[[#This Row],[Pipe_name]],Table2[[Pipe_name]:[Length]],3,FALSE)</f>
        <v>#N/A</v>
      </c>
      <c r="G273" t="s">
        <v>330</v>
      </c>
      <c r="H273" t="e">
        <f>IF(Table3[[#This Row],[2043 Diameter]]=Table3[[#This Row],[2022 Diameter]],"No","Yes")</f>
        <v>#N/A</v>
      </c>
      <c r="I273" t="e">
        <f>IF(Table3[[#This Row],[2043 Length]]=Table3[[#This Row],[2022 length]],"No","Yes")</f>
        <v>#N/A</v>
      </c>
      <c r="J273" s="8">
        <f>VLOOKUP(Table3[[#This Row],[2043 Diameter]],[1]Pipes!$A:$B,2,FALSE)</f>
        <v>546.15625651305356</v>
      </c>
      <c r="K273" s="8" t="e">
        <f>VLOOKUP(Table3[[#This Row],[2022 Diameter]],[1]Pipes!$A:$B,2,FALSE)</f>
        <v>#N/A</v>
      </c>
      <c r="L273" s="8">
        <f>IF(OR(IFERROR(Table3[[#This Row],[Diameter Change?]]="Yes","Yes"),Table3[[#This Row],[Pipe Added?]]="Yes"),Table3[[#This Row],[2043 Pipeline unit cost]]*Table3[[#This Row],[2043 Length]],0)</f>
        <v>1288.8512111823816</v>
      </c>
      <c r="M273" s="2">
        <f>VLOOKUP(Table3[[#This Row],[Pipe_name]],[2]!Table1[[id3]:[Cost]],8,FALSE)</f>
        <v>1288.3826091142932</v>
      </c>
      <c r="N273" s="2">
        <f>IFERROR(Table3[[#This Row],[2022 length]]*Table3[[#This Row],[2022 Pipeline unit cost]],0)</f>
        <v>0</v>
      </c>
      <c r="O273" s="2">
        <f>Table3[[#This Row],[2043 Length]]*Table3[[#This Row],[2043 Pipeline unit cost]]</f>
        <v>1288.8512111823816</v>
      </c>
      <c r="P273" s="2" t="e">
        <f>MATCH(Table3[[#This Row],[Pipe_name]],'2022 pipes'!B:B,0)</f>
        <v>#N/A</v>
      </c>
      <c r="Q273" s="2">
        <f>Table3[[#This Row],[2043 pipes]]-Table3[[#This Row],[Master Plan CAPEX Cost]]</f>
        <v>0</v>
      </c>
      <c r="R273" s="7">
        <f>Table3[[#This Row],[asdfa]]-Table3[[#This Row],[2022 total cost]]</f>
        <v>0</v>
      </c>
    </row>
    <row r="274" spans="1:18" x14ac:dyDescent="0.25">
      <c r="A274" s="1">
        <v>272</v>
      </c>
      <c r="B274" t="s">
        <v>304</v>
      </c>
      <c r="C274">
        <v>225</v>
      </c>
      <c r="D274">
        <v>2.3643390000000002</v>
      </c>
      <c r="E274" t="e">
        <f>VLOOKUP(Table3[[#This Row],[Pipe_name]],Table2[[Pipe_name]:[Original_Diameter]],2,FALSE)</f>
        <v>#N/A</v>
      </c>
      <c r="F274" t="e">
        <f>VLOOKUP(Table3[[#This Row],[Pipe_name]],Table2[[Pipe_name]:[Length]],3,FALSE)</f>
        <v>#N/A</v>
      </c>
      <c r="G274" t="s">
        <v>330</v>
      </c>
      <c r="H274" t="e">
        <f>IF(Table3[[#This Row],[2043 Diameter]]=Table3[[#This Row],[2022 Diameter]],"No","Yes")</f>
        <v>#N/A</v>
      </c>
      <c r="I274" t="e">
        <f>IF(Table3[[#This Row],[2043 Length]]=Table3[[#This Row],[2022 length]],"No","Yes")</f>
        <v>#N/A</v>
      </c>
      <c r="J274" s="8">
        <f>VLOOKUP(Table3[[#This Row],[2043 Diameter]],[1]Pipes!$A:$B,2,FALSE)</f>
        <v>546.15625651305356</v>
      </c>
      <c r="K274" s="8" t="e">
        <f>VLOOKUP(Table3[[#This Row],[2022 Diameter]],[1]Pipes!$A:$B,2,FALSE)</f>
        <v>#N/A</v>
      </c>
      <c r="L274" s="8">
        <f>IF(OR(IFERROR(Table3[[#This Row],[Diameter Change?]]="Yes","Yes"),Table3[[#This Row],[Pipe Added?]]="Yes"),Table3[[#This Row],[2043 Pipeline unit cost]]*Table3[[#This Row],[2043 Length]],0)</f>
        <v>1291.2985373678166</v>
      </c>
      <c r="M274" s="2">
        <f>VLOOKUP(Table3[[#This Row],[Pipe_name]],[2]!Table1[[id3]:[Cost]],8,FALSE)</f>
        <v>1291.6595466533718</v>
      </c>
      <c r="N274" s="2">
        <f>IFERROR(Table3[[#This Row],[2022 length]]*Table3[[#This Row],[2022 Pipeline unit cost]],0)</f>
        <v>0</v>
      </c>
      <c r="O274" s="2">
        <f>Table3[[#This Row],[2043 Length]]*Table3[[#This Row],[2043 Pipeline unit cost]]</f>
        <v>1291.2985373678166</v>
      </c>
      <c r="P274" s="2" t="e">
        <f>MATCH(Table3[[#This Row],[Pipe_name]],'2022 pipes'!B:B,0)</f>
        <v>#N/A</v>
      </c>
      <c r="Q274" s="2">
        <f>Table3[[#This Row],[2043 pipes]]-Table3[[#This Row],[Master Plan CAPEX Cost]]</f>
        <v>0</v>
      </c>
      <c r="R274" s="7">
        <f>Table3[[#This Row],[asdfa]]-Table3[[#This Row],[2022 total cost]]</f>
        <v>0</v>
      </c>
    </row>
    <row r="275" spans="1:18" x14ac:dyDescent="0.25">
      <c r="A275" s="1">
        <v>273</v>
      </c>
      <c r="B275" t="s">
        <v>305</v>
      </c>
      <c r="C275">
        <v>141</v>
      </c>
      <c r="D275">
        <v>12.30372</v>
      </c>
      <c r="E275" t="e">
        <f>VLOOKUP(Table3[[#This Row],[Pipe_name]],Table2[[Pipe_name]:[Original_Diameter]],2,FALSE)</f>
        <v>#N/A</v>
      </c>
      <c r="F275" t="e">
        <f>VLOOKUP(Table3[[#This Row],[Pipe_name]],Table2[[Pipe_name]:[Length]],3,FALSE)</f>
        <v>#N/A</v>
      </c>
      <c r="G275" t="s">
        <v>330</v>
      </c>
      <c r="H275" t="e">
        <f>IF(Table3[[#This Row],[2043 Diameter]]=Table3[[#This Row],[2022 Diameter]],"No","Yes")</f>
        <v>#N/A</v>
      </c>
      <c r="I275" t="e">
        <f>IF(Table3[[#This Row],[2043 Length]]=Table3[[#This Row],[2022 length]],"No","Yes")</f>
        <v>#N/A</v>
      </c>
      <c r="J275" s="8">
        <f>VLOOKUP(Table3[[#This Row],[2043 Diameter]],[1]Pipes!$A:$B,2,FALSE)</f>
        <v>433.89080378537034</v>
      </c>
      <c r="K275" s="8" t="e">
        <f>VLOOKUP(Table3[[#This Row],[2022 Diameter]],[1]Pipes!$A:$B,2,FALSE)</f>
        <v>#N/A</v>
      </c>
      <c r="L275" s="8">
        <f>IF(OR(IFERROR(Table3[[#This Row],[Diameter Change?]]="Yes","Yes"),Table3[[#This Row],[Pipe Added?]]="Yes"),Table3[[#This Row],[2043 Pipeline unit cost]]*Table3[[#This Row],[2043 Length]],0)</f>
        <v>5338.4709603501369</v>
      </c>
      <c r="M275" s="2">
        <f>VLOOKUP(Table3[[#This Row],[Pipe_name]],[2]!Table1[[id3]:[Cost]],8,FALSE)</f>
        <v>5338.5924497751967</v>
      </c>
      <c r="N275" s="2">
        <f>IFERROR(Table3[[#This Row],[2022 length]]*Table3[[#This Row],[2022 Pipeline unit cost]],0)</f>
        <v>0</v>
      </c>
      <c r="O275" s="2">
        <f>Table3[[#This Row],[2043 Length]]*Table3[[#This Row],[2043 Pipeline unit cost]]</f>
        <v>5338.4709603501369</v>
      </c>
      <c r="P275" s="2" t="e">
        <f>MATCH(Table3[[#This Row],[Pipe_name]],'2022 pipes'!B:B,0)</f>
        <v>#N/A</v>
      </c>
      <c r="Q275" s="2">
        <f>Table3[[#This Row],[2043 pipes]]-Table3[[#This Row],[Master Plan CAPEX Cost]]</f>
        <v>0</v>
      </c>
      <c r="R275" s="7">
        <f>Table3[[#This Row],[asdfa]]-Table3[[#This Row],[2022 total cost]]</f>
        <v>0</v>
      </c>
    </row>
    <row r="276" spans="1:18" x14ac:dyDescent="0.25">
      <c r="A276" s="1">
        <v>274</v>
      </c>
      <c r="B276" t="s">
        <v>279</v>
      </c>
      <c r="C276">
        <v>225</v>
      </c>
      <c r="D276">
        <v>9.9129260000000006</v>
      </c>
      <c r="E276">
        <f>VLOOKUP(Table3[[#This Row],[Pipe_name]],Table2[[Pipe_name]:[Original_Diameter]],2,FALSE)</f>
        <v>96</v>
      </c>
      <c r="F276">
        <f>VLOOKUP(Table3[[#This Row],[Pipe_name]],Table2[[Pipe_name]:[Length]],3,FALSE)</f>
        <v>9.9129260000000006</v>
      </c>
      <c r="G276" t="s">
        <v>331</v>
      </c>
      <c r="H276" t="str">
        <f>IF(Table3[[#This Row],[2043 Diameter]]=Table3[[#This Row],[2022 Diameter]],"No","Yes")</f>
        <v>Yes</v>
      </c>
      <c r="I276" t="str">
        <f>IF(Table3[[#This Row],[2043 Length]]=Table3[[#This Row],[2022 length]],"No","Yes")</f>
        <v>No</v>
      </c>
      <c r="J276" s="8">
        <f>VLOOKUP(Table3[[#This Row],[2043 Diameter]],[1]Pipes!$A:$B,2,FALSE)</f>
        <v>546.15625651305356</v>
      </c>
      <c r="K276" s="8">
        <f>VLOOKUP(Table3[[#This Row],[2022 Diameter]],[1]Pipes!$A:$B,2,FALSE)</f>
        <v>362.58707029616613</v>
      </c>
      <c r="L276" s="8">
        <f>IF(OR(IFERROR(Table3[[#This Row],[Diameter Change?]]="Yes","Yes"),Table3[[#This Row],[Pipe Added?]]="Yes"),Table3[[#This Row],[2043 Pipeline unit cost]]*Table3[[#This Row],[2043 Length]],0)</f>
        <v>5414.0065552509186</v>
      </c>
      <c r="M276" s="2">
        <f>VLOOKUP(Table3[[#This Row],[Pipe_name]],[2]!Table1[[id3]:[Cost]],8,FALSE)</f>
        <v>5414.0469708138999</v>
      </c>
      <c r="N276" s="2">
        <f>IFERROR(Table3[[#This Row],[2022 length]]*Table3[[#This Row],[2022 Pipeline unit cost]],0)</f>
        <v>3594.2987964026934</v>
      </c>
      <c r="O276" s="2">
        <f>Table3[[#This Row],[2043 Length]]*Table3[[#This Row],[2043 Pipeline unit cost]]</f>
        <v>5414.0065552509186</v>
      </c>
      <c r="P276" s="2">
        <f>MATCH(Table3[[#This Row],[Pipe_name]],'2022 pipes'!B:B,0)</f>
        <v>279</v>
      </c>
      <c r="Q276" s="2">
        <f>Table3[[#This Row],[2043 pipes]]-Table3[[#This Row],[Master Plan CAPEX Cost]]</f>
        <v>0</v>
      </c>
      <c r="R276" s="7">
        <f>Table3[[#This Row],[asdfa]]-Table3[[#This Row],[2022 total cost]]</f>
        <v>-3594.2987964026934</v>
      </c>
    </row>
    <row r="277" spans="1:18" x14ac:dyDescent="0.25">
      <c r="A277" s="1">
        <v>275</v>
      </c>
      <c r="B277" t="s">
        <v>306</v>
      </c>
      <c r="C277">
        <v>150</v>
      </c>
      <c r="D277">
        <v>84.022598000000002</v>
      </c>
      <c r="E277" t="e">
        <f>VLOOKUP(Table3[[#This Row],[Pipe_name]],Table2[[Pipe_name]:[Original_Diameter]],2,FALSE)</f>
        <v>#N/A</v>
      </c>
      <c r="F277" t="e">
        <f>VLOOKUP(Table3[[#This Row],[Pipe_name]],Table2[[Pipe_name]:[Length]],3,FALSE)</f>
        <v>#N/A</v>
      </c>
      <c r="G277" t="s">
        <v>330</v>
      </c>
      <c r="H277" t="e">
        <f>IF(Table3[[#This Row],[2043 Diameter]]=Table3[[#This Row],[2022 Diameter]],"No","Yes")</f>
        <v>#N/A</v>
      </c>
      <c r="I277" t="e">
        <f>IF(Table3[[#This Row],[2043 Length]]=Table3[[#This Row],[2022 length]],"No","Yes")</f>
        <v>#N/A</v>
      </c>
      <c r="J277" s="8">
        <f>VLOOKUP(Table3[[#This Row],[2043 Diameter]],[1]Pipes!$A:$B,2,FALSE)</f>
        <v>433.89080378537034</v>
      </c>
      <c r="K277" s="8" t="e">
        <f>VLOOKUP(Table3[[#This Row],[2022 Diameter]],[1]Pipes!$A:$B,2,FALSE)</f>
        <v>#N/A</v>
      </c>
      <c r="L277" s="8">
        <f>IF(OR(IFERROR(Table3[[#This Row],[Diameter Change?]]="Yes","Yes"),Table3[[#This Row],[Pipe Added?]]="Yes"),Table3[[#This Row],[2043 Pipeline unit cost]]*Table3[[#This Row],[2043 Length]],0)</f>
        <v>36456.632582355051</v>
      </c>
      <c r="M277" s="2">
        <f>VLOOKUP(Table3[[#This Row],[Pipe_name]],[2]!Table1[[id3]:[Cost]],8,FALSE)</f>
        <v>36456.80700645817</v>
      </c>
      <c r="N277" s="2">
        <f>IFERROR(Table3[[#This Row],[2022 length]]*Table3[[#This Row],[2022 Pipeline unit cost]],0)</f>
        <v>0</v>
      </c>
      <c r="O277" s="2">
        <f>Table3[[#This Row],[2043 Length]]*Table3[[#This Row],[2043 Pipeline unit cost]]</f>
        <v>36456.632582355051</v>
      </c>
      <c r="P277" s="2" t="e">
        <f>MATCH(Table3[[#This Row],[Pipe_name]],'2022 pipes'!B:B,0)</f>
        <v>#N/A</v>
      </c>
      <c r="Q277" s="2">
        <f>Table3[[#This Row],[2043 pipes]]-Table3[[#This Row],[Master Plan CAPEX Cost]]</f>
        <v>0</v>
      </c>
      <c r="R277" s="7">
        <f>Table3[[#This Row],[asdfa]]-Table3[[#This Row],[2022 total cost]]</f>
        <v>0</v>
      </c>
    </row>
    <row r="278" spans="1:18" x14ac:dyDescent="0.25">
      <c r="A278" s="1">
        <v>276</v>
      </c>
      <c r="B278" t="s">
        <v>307</v>
      </c>
      <c r="C278">
        <v>100</v>
      </c>
      <c r="D278">
        <v>111.502083</v>
      </c>
      <c r="E278" t="e">
        <f>VLOOKUP(Table3[[#This Row],[Pipe_name]],Table2[[Pipe_name]:[Original_Diameter]],2,FALSE)</f>
        <v>#N/A</v>
      </c>
      <c r="F278" t="e">
        <f>VLOOKUP(Table3[[#This Row],[Pipe_name]],Table2[[Pipe_name]:[Length]],3,FALSE)</f>
        <v>#N/A</v>
      </c>
      <c r="G278" t="s">
        <v>330</v>
      </c>
      <c r="H278" t="e">
        <f>IF(Table3[[#This Row],[2043 Diameter]]=Table3[[#This Row],[2022 Diameter]],"No","Yes")</f>
        <v>#N/A</v>
      </c>
      <c r="I278" t="e">
        <f>IF(Table3[[#This Row],[2043 Length]]=Table3[[#This Row],[2022 length]],"No","Yes")</f>
        <v>#N/A</v>
      </c>
      <c r="J278" s="8">
        <f>VLOOKUP(Table3[[#This Row],[2043 Diameter]],[1]Pipes!$A:$B,2,FALSE)</f>
        <v>362.58707029616613</v>
      </c>
      <c r="K278" s="8" t="e">
        <f>VLOOKUP(Table3[[#This Row],[2022 Diameter]],[1]Pipes!$A:$B,2,FALSE)</f>
        <v>#N/A</v>
      </c>
      <c r="L278" s="8">
        <f>IF(OR(IFERROR(Table3[[#This Row],[Diameter Change?]]="Yes","Yes"),Table3[[#This Row],[Pipe Added?]]="Yes"),Table3[[#This Row],[2043 Pipeline unit cost]]*Table3[[#This Row],[2043 Length]],0)</f>
        <v>40429.213606889949</v>
      </c>
      <c r="M278" s="2">
        <f>VLOOKUP(Table3[[#This Row],[Pipe_name]],[2]!Table1[[id3]:[Cost]],8,FALSE)</f>
        <v>40429.183512163116</v>
      </c>
      <c r="N278" s="2">
        <f>IFERROR(Table3[[#This Row],[2022 length]]*Table3[[#This Row],[2022 Pipeline unit cost]],0)</f>
        <v>0</v>
      </c>
      <c r="O278" s="2">
        <f>Table3[[#This Row],[2043 Length]]*Table3[[#This Row],[2043 Pipeline unit cost]]</f>
        <v>40429.213606889949</v>
      </c>
      <c r="P278" s="2" t="e">
        <f>MATCH(Table3[[#This Row],[Pipe_name]],'2022 pipes'!B:B,0)</f>
        <v>#N/A</v>
      </c>
      <c r="Q278" s="2">
        <f>Table3[[#This Row],[2043 pipes]]-Table3[[#This Row],[Master Plan CAPEX Cost]]</f>
        <v>0</v>
      </c>
      <c r="R278" s="7">
        <f>Table3[[#This Row],[asdfa]]-Table3[[#This Row],[2022 total cost]]</f>
        <v>0</v>
      </c>
    </row>
    <row r="279" spans="1:18" x14ac:dyDescent="0.25">
      <c r="A279" s="1">
        <v>277</v>
      </c>
      <c r="B279" t="s">
        <v>308</v>
      </c>
      <c r="C279">
        <v>100</v>
      </c>
      <c r="D279">
        <v>105.92686500000001</v>
      </c>
      <c r="E279" t="e">
        <f>VLOOKUP(Table3[[#This Row],[Pipe_name]],Table2[[Pipe_name]:[Original_Diameter]],2,FALSE)</f>
        <v>#N/A</v>
      </c>
      <c r="F279" t="e">
        <f>VLOOKUP(Table3[[#This Row],[Pipe_name]],Table2[[Pipe_name]:[Length]],3,FALSE)</f>
        <v>#N/A</v>
      </c>
      <c r="G279" t="s">
        <v>330</v>
      </c>
      <c r="H279" t="e">
        <f>IF(Table3[[#This Row],[2043 Diameter]]=Table3[[#This Row],[2022 Diameter]],"No","Yes")</f>
        <v>#N/A</v>
      </c>
      <c r="I279" t="e">
        <f>IF(Table3[[#This Row],[2043 Length]]=Table3[[#This Row],[2022 length]],"No","Yes")</f>
        <v>#N/A</v>
      </c>
      <c r="J279" s="8">
        <f>VLOOKUP(Table3[[#This Row],[2043 Diameter]],[1]Pipes!$A:$B,2,FALSE)</f>
        <v>362.58707029616613</v>
      </c>
      <c r="K279" s="8" t="e">
        <f>VLOOKUP(Table3[[#This Row],[2022 Diameter]],[1]Pipes!$A:$B,2,FALSE)</f>
        <v>#N/A</v>
      </c>
      <c r="L279" s="8">
        <f>IF(OR(IFERROR(Table3[[#This Row],[Diameter Change?]]="Yes","Yes"),Table3[[#This Row],[Pipe Added?]]="Yes"),Table3[[#This Row],[2043 Pipeline unit cost]]*Table3[[#This Row],[2043 Length]],0)</f>
        <v>38407.711646007505</v>
      </c>
      <c r="M279" s="2">
        <f>VLOOKUP(Table3[[#This Row],[Pipe_name]],[2]!Table1[[id3]:[Cost]],8,FALSE)</f>
        <v>38407.760595261992</v>
      </c>
      <c r="N279" s="2">
        <f>IFERROR(Table3[[#This Row],[2022 length]]*Table3[[#This Row],[2022 Pipeline unit cost]],0)</f>
        <v>0</v>
      </c>
      <c r="O279" s="2">
        <f>Table3[[#This Row],[2043 Length]]*Table3[[#This Row],[2043 Pipeline unit cost]]</f>
        <v>38407.711646007505</v>
      </c>
      <c r="P279" s="2" t="e">
        <f>MATCH(Table3[[#This Row],[Pipe_name]],'2022 pipes'!B:B,0)</f>
        <v>#N/A</v>
      </c>
      <c r="Q279" s="2">
        <f>Table3[[#This Row],[2043 pipes]]-Table3[[#This Row],[Master Plan CAPEX Cost]]</f>
        <v>0</v>
      </c>
      <c r="R279" s="7">
        <f>Table3[[#This Row],[asdfa]]-Table3[[#This Row],[2022 total cost]]</f>
        <v>0</v>
      </c>
    </row>
    <row r="280" spans="1:18" x14ac:dyDescent="0.25">
      <c r="A280" s="1">
        <v>278</v>
      </c>
      <c r="B280" t="s">
        <v>309</v>
      </c>
      <c r="C280">
        <v>100</v>
      </c>
      <c r="D280">
        <v>44.480170999999999</v>
      </c>
      <c r="E280" t="e">
        <f>VLOOKUP(Table3[[#This Row],[Pipe_name]],Table2[[Pipe_name]:[Original_Diameter]],2,FALSE)</f>
        <v>#N/A</v>
      </c>
      <c r="F280" t="e">
        <f>VLOOKUP(Table3[[#This Row],[Pipe_name]],Table2[[Pipe_name]:[Length]],3,FALSE)</f>
        <v>#N/A</v>
      </c>
      <c r="G280" t="s">
        <v>330</v>
      </c>
      <c r="H280" t="e">
        <f>IF(Table3[[#This Row],[2043 Diameter]]=Table3[[#This Row],[2022 Diameter]],"No","Yes")</f>
        <v>#N/A</v>
      </c>
      <c r="I280" t="e">
        <f>IF(Table3[[#This Row],[2043 Length]]=Table3[[#This Row],[2022 length]],"No","Yes")</f>
        <v>#N/A</v>
      </c>
      <c r="J280" s="8">
        <f>VLOOKUP(Table3[[#This Row],[2043 Diameter]],[1]Pipes!$A:$B,2,FALSE)</f>
        <v>362.58707029616613</v>
      </c>
      <c r="K280" s="8" t="e">
        <f>VLOOKUP(Table3[[#This Row],[2022 Diameter]],[1]Pipes!$A:$B,2,FALSE)</f>
        <v>#N/A</v>
      </c>
      <c r="L280" s="8">
        <f>IF(OR(IFERROR(Table3[[#This Row],[Diameter Change?]]="Yes","Yes"),Table3[[#This Row],[Pipe Added?]]="Yes"),Table3[[#This Row],[2043 Pipeline unit cost]]*Table3[[#This Row],[2043 Length]],0)</f>
        <v>16127.93488916249</v>
      </c>
      <c r="M280" s="2">
        <f>VLOOKUP(Table3[[#This Row],[Pipe_name]],[2]!Table1[[id3]:[Cost]],8,FALSE)</f>
        <v>16127.872886773468</v>
      </c>
      <c r="N280" s="2">
        <f>IFERROR(Table3[[#This Row],[2022 length]]*Table3[[#This Row],[2022 Pipeline unit cost]],0)</f>
        <v>0</v>
      </c>
      <c r="O280" s="2">
        <f>Table3[[#This Row],[2043 Length]]*Table3[[#This Row],[2043 Pipeline unit cost]]</f>
        <v>16127.93488916249</v>
      </c>
      <c r="P280" s="2" t="e">
        <f>MATCH(Table3[[#This Row],[Pipe_name]],'2022 pipes'!B:B,0)</f>
        <v>#N/A</v>
      </c>
      <c r="Q280" s="2">
        <f>Table3[[#This Row],[2043 pipes]]-Table3[[#This Row],[Master Plan CAPEX Cost]]</f>
        <v>0</v>
      </c>
      <c r="R280" s="7">
        <f>Table3[[#This Row],[asdfa]]-Table3[[#This Row],[2022 total cost]]</f>
        <v>0</v>
      </c>
    </row>
    <row r="281" spans="1:18" x14ac:dyDescent="0.25">
      <c r="A281" s="1">
        <v>279</v>
      </c>
      <c r="B281" t="s">
        <v>310</v>
      </c>
      <c r="C281">
        <v>100</v>
      </c>
      <c r="D281">
        <v>89.281730999999994</v>
      </c>
      <c r="E281" t="e">
        <f>VLOOKUP(Table3[[#This Row],[Pipe_name]],Table2[[Pipe_name]:[Original_Diameter]],2,FALSE)</f>
        <v>#N/A</v>
      </c>
      <c r="F281" t="e">
        <f>VLOOKUP(Table3[[#This Row],[Pipe_name]],Table2[[Pipe_name]:[Length]],3,FALSE)</f>
        <v>#N/A</v>
      </c>
      <c r="G281" t="s">
        <v>330</v>
      </c>
      <c r="H281" t="e">
        <f>IF(Table3[[#This Row],[2043 Diameter]]=Table3[[#This Row],[2022 Diameter]],"No","Yes")</f>
        <v>#N/A</v>
      </c>
      <c r="I281" t="e">
        <f>IF(Table3[[#This Row],[2043 Length]]=Table3[[#This Row],[2022 length]],"No","Yes")</f>
        <v>#N/A</v>
      </c>
      <c r="J281" s="8">
        <f>VLOOKUP(Table3[[#This Row],[2043 Diameter]],[1]Pipes!$A:$B,2,FALSE)</f>
        <v>362.58707029616613</v>
      </c>
      <c r="K281" s="8" t="e">
        <f>VLOOKUP(Table3[[#This Row],[2022 Diameter]],[1]Pipes!$A:$B,2,FALSE)</f>
        <v>#N/A</v>
      </c>
      <c r="L281" s="8">
        <f>IF(OR(IFERROR(Table3[[#This Row],[Diameter Change?]]="Yes","Yes"),Table3[[#This Row],[Pipe Added?]]="Yes"),Table3[[#This Row],[2043 Pipeline unit cost]]*Table3[[#This Row],[2043 Length]],0)</f>
        <v>32372.401274260392</v>
      </c>
      <c r="M281" s="2">
        <f>VLOOKUP(Table3[[#This Row],[Pipe_name]],[2]!Table1[[id3]:[Cost]],8,FALSE)</f>
        <v>24254.536893321441</v>
      </c>
      <c r="N281" s="2">
        <f>IFERROR(Table3[[#This Row],[2022 length]]*Table3[[#This Row],[2022 Pipeline unit cost]],0)</f>
        <v>0</v>
      </c>
      <c r="O281" s="2">
        <f>Table3[[#This Row],[2043 Length]]*Table3[[#This Row],[2043 Pipeline unit cost]]</f>
        <v>32372.401274260392</v>
      </c>
      <c r="P281" s="2" t="e">
        <f>MATCH(Table3[[#This Row],[Pipe_name]],'2022 pipes'!B:B,0)</f>
        <v>#N/A</v>
      </c>
      <c r="Q281" s="2">
        <f>Table3[[#This Row],[2043 pipes]]-Table3[[#This Row],[Master Plan CAPEX Cost]]</f>
        <v>0</v>
      </c>
      <c r="R281" s="7">
        <f>Table3[[#This Row],[asdfa]]-Table3[[#This Row],[2022 total cost]]</f>
        <v>0</v>
      </c>
    </row>
    <row r="282" spans="1:18" x14ac:dyDescent="0.25">
      <c r="A282" s="1">
        <v>280</v>
      </c>
      <c r="B282" t="s">
        <v>311</v>
      </c>
      <c r="C282">
        <v>100</v>
      </c>
      <c r="D282">
        <v>62.160023000000002</v>
      </c>
      <c r="E282" t="e">
        <f>VLOOKUP(Table3[[#This Row],[Pipe_name]],Table2[[Pipe_name]:[Original_Diameter]],2,FALSE)</f>
        <v>#N/A</v>
      </c>
      <c r="F282" t="e">
        <f>VLOOKUP(Table3[[#This Row],[Pipe_name]],Table2[[Pipe_name]:[Length]],3,FALSE)</f>
        <v>#N/A</v>
      </c>
      <c r="G282" t="s">
        <v>330</v>
      </c>
      <c r="H282" t="e">
        <f>IF(Table3[[#This Row],[2043 Diameter]]=Table3[[#This Row],[2022 Diameter]],"No","Yes")</f>
        <v>#N/A</v>
      </c>
      <c r="I282" t="e">
        <f>IF(Table3[[#This Row],[2043 Length]]=Table3[[#This Row],[2022 length]],"No","Yes")</f>
        <v>#N/A</v>
      </c>
      <c r="J282" s="8">
        <f>VLOOKUP(Table3[[#This Row],[2043 Diameter]],[1]Pipes!$A:$B,2,FALSE)</f>
        <v>362.58707029616613</v>
      </c>
      <c r="K282" s="8" t="e">
        <f>VLOOKUP(Table3[[#This Row],[2022 Diameter]],[1]Pipes!$A:$B,2,FALSE)</f>
        <v>#N/A</v>
      </c>
      <c r="L282" s="8">
        <f>IF(OR(IFERROR(Table3[[#This Row],[Diameter Change?]]="Yes","Yes"),Table3[[#This Row],[Pipe Added?]]="Yes"),Table3[[#This Row],[2043 Pipeline unit cost]]*Table3[[#This Row],[2043 Length]],0)</f>
        <v>22538.420629112305</v>
      </c>
      <c r="M282" s="2">
        <f>VLOOKUP(Table3[[#This Row],[Pipe_name]],[2]!Table1[[id3]:[Cost]],8,FALSE)</f>
        <v>22538.412289609685</v>
      </c>
      <c r="N282" s="2">
        <f>IFERROR(Table3[[#This Row],[2022 length]]*Table3[[#This Row],[2022 Pipeline unit cost]],0)</f>
        <v>0</v>
      </c>
      <c r="O282" s="2">
        <f>Table3[[#This Row],[2043 Length]]*Table3[[#This Row],[2043 Pipeline unit cost]]</f>
        <v>22538.420629112305</v>
      </c>
      <c r="P282" s="2" t="e">
        <f>MATCH(Table3[[#This Row],[Pipe_name]],'2022 pipes'!B:B,0)</f>
        <v>#N/A</v>
      </c>
      <c r="Q282" s="2">
        <f>Table3[[#This Row],[2043 pipes]]-Table3[[#This Row],[Master Plan CAPEX Cost]]</f>
        <v>0</v>
      </c>
      <c r="R282" s="7">
        <f>Table3[[#This Row],[asdfa]]-Table3[[#This Row],[2022 total cost]]</f>
        <v>0</v>
      </c>
    </row>
    <row r="283" spans="1:18" x14ac:dyDescent="0.25">
      <c r="A283" s="1">
        <v>281</v>
      </c>
      <c r="B283" t="s">
        <v>312</v>
      </c>
      <c r="C283">
        <v>96</v>
      </c>
      <c r="D283">
        <v>28.204058</v>
      </c>
      <c r="E283" t="e">
        <f>VLOOKUP(Table3[[#This Row],[Pipe_name]],Table2[[Pipe_name]:[Original_Diameter]],2,FALSE)</f>
        <v>#N/A</v>
      </c>
      <c r="F283" t="e">
        <f>VLOOKUP(Table3[[#This Row],[Pipe_name]],Table2[[Pipe_name]:[Length]],3,FALSE)</f>
        <v>#N/A</v>
      </c>
      <c r="G283" t="s">
        <v>330</v>
      </c>
      <c r="H283" t="e">
        <f>IF(Table3[[#This Row],[2043 Diameter]]=Table3[[#This Row],[2022 Diameter]],"No","Yes")</f>
        <v>#N/A</v>
      </c>
      <c r="I283" t="e">
        <f>IF(Table3[[#This Row],[2043 Length]]=Table3[[#This Row],[2022 length]],"No","Yes")</f>
        <v>#N/A</v>
      </c>
      <c r="J283" s="8">
        <f>VLOOKUP(Table3[[#This Row],[2043 Diameter]],[1]Pipes!$A:$B,2,FALSE)</f>
        <v>362.58707029616613</v>
      </c>
      <c r="K283" s="8" t="e">
        <f>VLOOKUP(Table3[[#This Row],[2022 Diameter]],[1]Pipes!$A:$B,2,FALSE)</f>
        <v>#N/A</v>
      </c>
      <c r="L283" s="8">
        <f>IF(OR(IFERROR(Table3[[#This Row],[Diameter Change?]]="Yes","Yes"),Table3[[#This Row],[Pipe Added?]]="Yes"),Table3[[#This Row],[2043 Pipeline unit cost]]*Table3[[#This Row],[2043 Length]],0)</f>
        <v>10226.426760683147</v>
      </c>
      <c r="M283" s="2">
        <f>VLOOKUP(Table3[[#This Row],[Pipe_name]],[2]!Table1[[id3]:[Cost]],8,FALSE)</f>
        <v>10226.405730633071</v>
      </c>
      <c r="N283" s="2">
        <f>IFERROR(Table3[[#This Row],[2022 length]]*Table3[[#This Row],[2022 Pipeline unit cost]],0)</f>
        <v>0</v>
      </c>
      <c r="O283" s="2">
        <f>Table3[[#This Row],[2043 Length]]*Table3[[#This Row],[2043 Pipeline unit cost]]</f>
        <v>10226.426760683147</v>
      </c>
      <c r="P283" s="2" t="e">
        <f>MATCH(Table3[[#This Row],[Pipe_name]],'2022 pipes'!B:B,0)</f>
        <v>#N/A</v>
      </c>
      <c r="Q283" s="2">
        <f>Table3[[#This Row],[2043 pipes]]-Table3[[#This Row],[Master Plan CAPEX Cost]]</f>
        <v>0</v>
      </c>
      <c r="R283" s="7">
        <f>Table3[[#This Row],[asdfa]]-Table3[[#This Row],[2022 total cost]]</f>
        <v>0</v>
      </c>
    </row>
    <row r="284" spans="1:18" x14ac:dyDescent="0.25">
      <c r="A284" s="1">
        <v>282</v>
      </c>
      <c r="B284" t="s">
        <v>313</v>
      </c>
      <c r="C284">
        <v>100</v>
      </c>
      <c r="D284">
        <v>126.489136</v>
      </c>
      <c r="E284" t="e">
        <f>VLOOKUP(Table3[[#This Row],[Pipe_name]],Table2[[Pipe_name]:[Original_Diameter]],2,FALSE)</f>
        <v>#N/A</v>
      </c>
      <c r="F284" t="e">
        <f>VLOOKUP(Table3[[#This Row],[Pipe_name]],Table2[[Pipe_name]:[Length]],3,FALSE)</f>
        <v>#N/A</v>
      </c>
      <c r="G284" t="s">
        <v>330</v>
      </c>
      <c r="H284" t="e">
        <f>IF(Table3[[#This Row],[2043 Diameter]]=Table3[[#This Row],[2022 Diameter]],"No","Yes")</f>
        <v>#N/A</v>
      </c>
      <c r="I284" t="e">
        <f>IF(Table3[[#This Row],[2043 Length]]=Table3[[#This Row],[2022 length]],"No","Yes")</f>
        <v>#N/A</v>
      </c>
      <c r="J284" s="8">
        <f>VLOOKUP(Table3[[#This Row],[2043 Diameter]],[1]Pipes!$A:$B,2,FALSE)</f>
        <v>362.58707029616613</v>
      </c>
      <c r="K284" s="8" t="e">
        <f>VLOOKUP(Table3[[#This Row],[2022 Diameter]],[1]Pipes!$A:$B,2,FALSE)</f>
        <v>#N/A</v>
      </c>
      <c r="L284" s="8">
        <f>IF(OR(IFERROR(Table3[[#This Row],[Diameter Change?]]="Yes","Yes"),Table3[[#This Row],[Pipe Added?]]="Yes"),Table3[[#This Row],[2043 Pipeline unit cost]]*Table3[[#This Row],[2043 Length]],0)</f>
        <v>45863.325246533321</v>
      </c>
      <c r="M284" s="2">
        <f>VLOOKUP(Table3[[#This Row],[Pipe_name]],[2]!Table1[[id3]:[Cost]],8,FALSE)</f>
        <v>45863.275934691759</v>
      </c>
      <c r="N284" s="2">
        <f>IFERROR(Table3[[#This Row],[2022 length]]*Table3[[#This Row],[2022 Pipeline unit cost]],0)</f>
        <v>0</v>
      </c>
      <c r="O284" s="2">
        <f>Table3[[#This Row],[2043 Length]]*Table3[[#This Row],[2043 Pipeline unit cost]]</f>
        <v>45863.325246533321</v>
      </c>
      <c r="P284" s="2" t="e">
        <f>MATCH(Table3[[#This Row],[Pipe_name]],'2022 pipes'!B:B,0)</f>
        <v>#N/A</v>
      </c>
      <c r="Q284" s="2">
        <f>Table3[[#This Row],[2043 pipes]]-Table3[[#This Row],[Master Plan CAPEX Cost]]</f>
        <v>0</v>
      </c>
      <c r="R284" s="7">
        <f>Table3[[#This Row],[asdfa]]-Table3[[#This Row],[2022 total cost]]</f>
        <v>0</v>
      </c>
    </row>
    <row r="285" spans="1:18" x14ac:dyDescent="0.25">
      <c r="A285" s="1">
        <v>283</v>
      </c>
      <c r="B285" t="s">
        <v>314</v>
      </c>
      <c r="C285">
        <v>100</v>
      </c>
      <c r="D285">
        <v>107.27398700000001</v>
      </c>
      <c r="E285" t="e">
        <f>VLOOKUP(Table3[[#This Row],[Pipe_name]],Table2[[Pipe_name]:[Original_Diameter]],2,FALSE)</f>
        <v>#N/A</v>
      </c>
      <c r="F285" t="e">
        <f>VLOOKUP(Table3[[#This Row],[Pipe_name]],Table2[[Pipe_name]:[Length]],3,FALSE)</f>
        <v>#N/A</v>
      </c>
      <c r="G285" t="s">
        <v>330</v>
      </c>
      <c r="H285" t="e">
        <f>IF(Table3[[#This Row],[2043 Diameter]]=Table3[[#This Row],[2022 Diameter]],"No","Yes")</f>
        <v>#N/A</v>
      </c>
      <c r="I285" t="e">
        <f>IF(Table3[[#This Row],[2043 Length]]=Table3[[#This Row],[2022 length]],"No","Yes")</f>
        <v>#N/A</v>
      </c>
      <c r="J285" s="8">
        <f>VLOOKUP(Table3[[#This Row],[2043 Diameter]],[1]Pipes!$A:$B,2,FALSE)</f>
        <v>362.58707029616613</v>
      </c>
      <c r="K285" s="8" t="e">
        <f>VLOOKUP(Table3[[#This Row],[2022 Diameter]],[1]Pipes!$A:$B,2,FALSE)</f>
        <v>#N/A</v>
      </c>
      <c r="L285" s="8">
        <f>IF(OR(IFERROR(Table3[[#This Row],[Diameter Change?]]="Yes","Yes"),Table3[[#This Row],[Pipe Added?]]="Yes"),Table3[[#This Row],[2043 Pipeline unit cost]]*Table3[[#This Row],[2043 Length]],0)</f>
        <v>38896.16066531901</v>
      </c>
      <c r="M285" s="2">
        <f>VLOOKUP(Table3[[#This Row],[Pipe_name]],[2]!Table1[[id3]:[Cost]],8,FALSE)</f>
        <v>38239.520194644567</v>
      </c>
      <c r="N285" s="2">
        <f>IFERROR(Table3[[#This Row],[2022 length]]*Table3[[#This Row],[2022 Pipeline unit cost]],0)</f>
        <v>0</v>
      </c>
      <c r="O285" s="2">
        <f>Table3[[#This Row],[2043 Length]]*Table3[[#This Row],[2043 Pipeline unit cost]]</f>
        <v>38896.16066531901</v>
      </c>
      <c r="P285" s="2" t="e">
        <f>MATCH(Table3[[#This Row],[Pipe_name]],'2022 pipes'!B:B,0)</f>
        <v>#N/A</v>
      </c>
      <c r="Q285" s="2">
        <f>Table3[[#This Row],[2043 pipes]]-Table3[[#This Row],[Master Plan CAPEX Cost]]</f>
        <v>0</v>
      </c>
      <c r="R285" s="7">
        <f>Table3[[#This Row],[asdfa]]-Table3[[#This Row],[2022 total cost]]</f>
        <v>0</v>
      </c>
    </row>
    <row r="286" spans="1:18" x14ac:dyDescent="0.25">
      <c r="A286" s="1">
        <v>284</v>
      </c>
      <c r="B286" t="s">
        <v>315</v>
      </c>
      <c r="C286">
        <v>150</v>
      </c>
      <c r="D286">
        <v>160.850098</v>
      </c>
      <c r="E286" t="e">
        <f>VLOOKUP(Table3[[#This Row],[Pipe_name]],Table2[[Pipe_name]:[Original_Diameter]],2,FALSE)</f>
        <v>#N/A</v>
      </c>
      <c r="F286" t="e">
        <f>VLOOKUP(Table3[[#This Row],[Pipe_name]],Table2[[Pipe_name]:[Length]],3,FALSE)</f>
        <v>#N/A</v>
      </c>
      <c r="G286" t="s">
        <v>330</v>
      </c>
      <c r="H286" t="e">
        <f>IF(Table3[[#This Row],[2043 Diameter]]=Table3[[#This Row],[2022 Diameter]],"No","Yes")</f>
        <v>#N/A</v>
      </c>
      <c r="I286" t="e">
        <f>IF(Table3[[#This Row],[2043 Length]]=Table3[[#This Row],[2022 length]],"No","Yes")</f>
        <v>#N/A</v>
      </c>
      <c r="J286" s="8">
        <f>VLOOKUP(Table3[[#This Row],[2043 Diameter]],[1]Pipes!$A:$B,2,FALSE)</f>
        <v>433.89080378537034</v>
      </c>
      <c r="K286" s="8" t="e">
        <f>VLOOKUP(Table3[[#This Row],[2022 Diameter]],[1]Pipes!$A:$B,2,FALSE)</f>
        <v>#N/A</v>
      </c>
      <c r="L286" s="8">
        <f>IF(OR(IFERROR(Table3[[#This Row],[Diameter Change?]]="Yes","Yes"),Table3[[#This Row],[Pipe Added?]]="Yes"),Table3[[#This Row],[2043 Pipeline unit cost]]*Table3[[#This Row],[2043 Length]],0)</f>
        <v>69791.378310175598</v>
      </c>
      <c r="M286" s="2">
        <f>VLOOKUP(Table3[[#This Row],[Pipe_name]],[2]!Table1[[id3]:[Cost]],8,FALSE)</f>
        <v>69076.283744238521</v>
      </c>
      <c r="N286" s="2">
        <f>IFERROR(Table3[[#This Row],[2022 length]]*Table3[[#This Row],[2022 Pipeline unit cost]],0)</f>
        <v>0</v>
      </c>
      <c r="O286" s="2">
        <f>Table3[[#This Row],[2043 Length]]*Table3[[#This Row],[2043 Pipeline unit cost]]</f>
        <v>69791.378310175598</v>
      </c>
      <c r="P286" s="2" t="e">
        <f>MATCH(Table3[[#This Row],[Pipe_name]],'2022 pipes'!B:B,0)</f>
        <v>#N/A</v>
      </c>
      <c r="Q286" s="2">
        <f>Table3[[#This Row],[2043 pipes]]-Table3[[#This Row],[Master Plan CAPEX Cost]]</f>
        <v>0</v>
      </c>
      <c r="R286" s="7">
        <f>Table3[[#This Row],[asdfa]]-Table3[[#This Row],[2022 total cost]]</f>
        <v>0</v>
      </c>
    </row>
    <row r="287" spans="1:18" x14ac:dyDescent="0.25">
      <c r="A287" s="1">
        <v>285</v>
      </c>
      <c r="B287" t="s">
        <v>316</v>
      </c>
      <c r="C287">
        <v>150</v>
      </c>
      <c r="D287">
        <v>36.130146000000003</v>
      </c>
      <c r="E287" t="e">
        <f>VLOOKUP(Table3[[#This Row],[Pipe_name]],Table2[[Pipe_name]:[Original_Diameter]],2,FALSE)</f>
        <v>#N/A</v>
      </c>
      <c r="F287" t="e">
        <f>VLOOKUP(Table3[[#This Row],[Pipe_name]],Table2[[Pipe_name]:[Length]],3,FALSE)</f>
        <v>#N/A</v>
      </c>
      <c r="G287" t="s">
        <v>330</v>
      </c>
      <c r="H287" t="e">
        <f>IF(Table3[[#This Row],[2043 Diameter]]=Table3[[#This Row],[2022 Diameter]],"No","Yes")</f>
        <v>#N/A</v>
      </c>
      <c r="I287" t="e">
        <f>IF(Table3[[#This Row],[2043 Length]]=Table3[[#This Row],[2022 length]],"No","Yes")</f>
        <v>#N/A</v>
      </c>
      <c r="J287" s="8">
        <f>VLOOKUP(Table3[[#This Row],[2043 Diameter]],[1]Pipes!$A:$B,2,FALSE)</f>
        <v>433.89080378537034</v>
      </c>
      <c r="K287" s="8" t="e">
        <f>VLOOKUP(Table3[[#This Row],[2022 Diameter]],[1]Pipes!$A:$B,2,FALSE)</f>
        <v>#N/A</v>
      </c>
      <c r="L287" s="8">
        <f>IF(OR(IFERROR(Table3[[#This Row],[Diameter Change?]]="Yes","Yes"),Table3[[#This Row],[Pipe Added?]]="Yes"),Table3[[#This Row],[2043 Pipeline unit cost]]*Table3[[#This Row],[2043 Length]],0)</f>
        <v>15676.538088822785</v>
      </c>
      <c r="M287" s="2">
        <f>VLOOKUP(Table3[[#This Row],[Pipe_name]],[2]!Table1[[id3]:[Cost]],8,FALSE)</f>
        <v>15676.474740765432</v>
      </c>
      <c r="N287" s="2">
        <f>IFERROR(Table3[[#This Row],[2022 length]]*Table3[[#This Row],[2022 Pipeline unit cost]],0)</f>
        <v>0</v>
      </c>
      <c r="O287" s="2">
        <f>Table3[[#This Row],[2043 Length]]*Table3[[#This Row],[2043 Pipeline unit cost]]</f>
        <v>15676.538088822785</v>
      </c>
      <c r="P287" s="2" t="e">
        <f>MATCH(Table3[[#This Row],[Pipe_name]],'2022 pipes'!B:B,0)</f>
        <v>#N/A</v>
      </c>
      <c r="Q287" s="2">
        <f>Table3[[#This Row],[2043 pipes]]-Table3[[#This Row],[Master Plan CAPEX Cost]]</f>
        <v>0</v>
      </c>
      <c r="R287" s="7">
        <f>Table3[[#This Row],[asdfa]]-Table3[[#This Row],[2022 total cost]]</f>
        <v>0</v>
      </c>
    </row>
    <row r="288" spans="1:18" x14ac:dyDescent="0.25">
      <c r="A288" s="1">
        <v>286</v>
      </c>
      <c r="B288" t="s">
        <v>317</v>
      </c>
      <c r="C288">
        <v>225</v>
      </c>
      <c r="D288">
        <v>7.3119120000000004</v>
      </c>
      <c r="E288" t="e">
        <f>VLOOKUP(Table3[[#This Row],[Pipe_name]],Table2[[Pipe_name]:[Original_Diameter]],2,FALSE)</f>
        <v>#N/A</v>
      </c>
      <c r="F288" t="e">
        <f>VLOOKUP(Table3[[#This Row],[Pipe_name]],Table2[[Pipe_name]:[Length]],3,FALSE)</f>
        <v>#N/A</v>
      </c>
      <c r="G288" t="s">
        <v>330</v>
      </c>
      <c r="H288" t="e">
        <f>IF(Table3[[#This Row],[2043 Diameter]]=Table3[[#This Row],[2022 Diameter]],"No","Yes")</f>
        <v>#N/A</v>
      </c>
      <c r="I288" t="e">
        <f>IF(Table3[[#This Row],[2043 Length]]=Table3[[#This Row],[2022 length]],"No","Yes")</f>
        <v>#N/A</v>
      </c>
      <c r="J288" s="8">
        <f>VLOOKUP(Table3[[#This Row],[2043 Diameter]],[1]Pipes!$A:$B,2,FALSE)</f>
        <v>546.15625651305356</v>
      </c>
      <c r="K288" s="8" t="e">
        <f>VLOOKUP(Table3[[#This Row],[2022 Diameter]],[1]Pipes!$A:$B,2,FALSE)</f>
        <v>#N/A</v>
      </c>
      <c r="L288" s="8">
        <f>IF(OR(IFERROR(Table3[[#This Row],[Diameter Change?]]="Yes","Yes"),Table3[[#This Row],[Pipe Added?]]="Yes"),Table3[[#This Row],[2043 Pipeline unit cost]]*Table3[[#This Row],[2043 Length]],0)</f>
        <v>3993.4464858728747</v>
      </c>
      <c r="M288" s="2">
        <f>VLOOKUP(Table3[[#This Row],[Pipe_name]],[2]!Table1[[id3]:[Cost]],8,FALSE)</f>
        <v>3382.3456965853406</v>
      </c>
      <c r="N288" s="2">
        <f>IFERROR(Table3[[#This Row],[2022 length]]*Table3[[#This Row],[2022 Pipeline unit cost]],0)</f>
        <v>0</v>
      </c>
      <c r="O288" s="2">
        <f>Table3[[#This Row],[2043 Length]]*Table3[[#This Row],[2043 Pipeline unit cost]]</f>
        <v>3993.4464858728747</v>
      </c>
      <c r="P288" s="2" t="e">
        <f>MATCH(Table3[[#This Row],[Pipe_name]],'2022 pipes'!B:B,0)</f>
        <v>#N/A</v>
      </c>
      <c r="Q288" s="2">
        <f>Table3[[#This Row],[2043 pipes]]-Table3[[#This Row],[Master Plan CAPEX Cost]]</f>
        <v>0</v>
      </c>
      <c r="R288" s="7">
        <f>Table3[[#This Row],[asdfa]]-Table3[[#This Row],[2022 total cost]]</f>
        <v>0</v>
      </c>
    </row>
    <row r="289" spans="1:18" x14ac:dyDescent="0.25">
      <c r="A289" s="1">
        <v>287</v>
      </c>
      <c r="B289" t="s">
        <v>318</v>
      </c>
      <c r="C289">
        <v>141</v>
      </c>
      <c r="D289">
        <v>3.1286719999999999</v>
      </c>
      <c r="E289" t="e">
        <f>VLOOKUP(Table3[[#This Row],[Pipe_name]],Table2[[Pipe_name]:[Original_Diameter]],2,FALSE)</f>
        <v>#N/A</v>
      </c>
      <c r="F289" t="e">
        <f>VLOOKUP(Table3[[#This Row],[Pipe_name]],Table2[[Pipe_name]:[Length]],3,FALSE)</f>
        <v>#N/A</v>
      </c>
      <c r="G289" t="s">
        <v>330</v>
      </c>
      <c r="H289" t="e">
        <f>IF(Table3[[#This Row],[2043 Diameter]]=Table3[[#This Row],[2022 Diameter]],"No","Yes")</f>
        <v>#N/A</v>
      </c>
      <c r="I289" t="e">
        <f>IF(Table3[[#This Row],[2043 Length]]=Table3[[#This Row],[2022 length]],"No","Yes")</f>
        <v>#N/A</v>
      </c>
      <c r="J289" s="8">
        <f>VLOOKUP(Table3[[#This Row],[2043 Diameter]],[1]Pipes!$A:$B,2,FALSE)</f>
        <v>433.89080378537034</v>
      </c>
      <c r="K289" s="8" t="e">
        <f>VLOOKUP(Table3[[#This Row],[2022 Diameter]],[1]Pipes!$A:$B,2,FALSE)</f>
        <v>#N/A</v>
      </c>
      <c r="L289" s="8">
        <f>IF(OR(IFERROR(Table3[[#This Row],[Diameter Change?]]="Yes","Yes"),Table3[[#This Row],[Pipe Added?]]="Yes"),Table3[[#This Row],[2043 Pipeline unit cost]]*Table3[[#This Row],[2043 Length]],0)</f>
        <v>1357.5020088607821</v>
      </c>
      <c r="M289" s="2">
        <f>VLOOKUP(Table3[[#This Row],[Pipe_name]],[2]!Table1[[id3]:[Cost]],8,FALSE)</f>
        <v>1357.6443250444238</v>
      </c>
      <c r="N289" s="2">
        <f>IFERROR(Table3[[#This Row],[2022 length]]*Table3[[#This Row],[2022 Pipeline unit cost]],0)</f>
        <v>0</v>
      </c>
      <c r="O289" s="2">
        <f>Table3[[#This Row],[2043 Length]]*Table3[[#This Row],[2043 Pipeline unit cost]]</f>
        <v>1357.5020088607821</v>
      </c>
      <c r="P289" s="2" t="e">
        <f>MATCH(Table3[[#This Row],[Pipe_name]],'2022 pipes'!B:B,0)</f>
        <v>#N/A</v>
      </c>
      <c r="Q289" s="2">
        <f>Table3[[#This Row],[2043 pipes]]-Table3[[#This Row],[Master Plan CAPEX Cost]]</f>
        <v>0</v>
      </c>
      <c r="R289" s="7">
        <f>Table3[[#This Row],[asdfa]]-Table3[[#This Row],[2022 total cost]]</f>
        <v>0</v>
      </c>
    </row>
    <row r="290" spans="1:18" x14ac:dyDescent="0.25">
      <c r="A290" s="1">
        <v>288</v>
      </c>
      <c r="B290" t="s">
        <v>319</v>
      </c>
      <c r="C290">
        <v>225</v>
      </c>
      <c r="D290">
        <v>2.3851719999999998</v>
      </c>
      <c r="E290" t="e">
        <f>VLOOKUP(Table3[[#This Row],[Pipe_name]],Table2[[Pipe_name]:[Original_Diameter]],2,FALSE)</f>
        <v>#N/A</v>
      </c>
      <c r="F290" t="e">
        <f>VLOOKUP(Table3[[#This Row],[Pipe_name]],Table2[[Pipe_name]:[Length]],3,FALSE)</f>
        <v>#N/A</v>
      </c>
      <c r="G290" t="s">
        <v>330</v>
      </c>
      <c r="H290" t="e">
        <f>IF(Table3[[#This Row],[2043 Diameter]]=Table3[[#This Row],[2022 Diameter]],"No","Yes")</f>
        <v>#N/A</v>
      </c>
      <c r="I290" t="e">
        <f>IF(Table3[[#This Row],[2043 Length]]=Table3[[#This Row],[2022 length]],"No","Yes")</f>
        <v>#N/A</v>
      </c>
      <c r="J290" s="8">
        <f>VLOOKUP(Table3[[#This Row],[2043 Diameter]],[1]Pipes!$A:$B,2,FALSE)</f>
        <v>546.15625651305356</v>
      </c>
      <c r="K290" s="8" t="e">
        <f>VLOOKUP(Table3[[#This Row],[2022 Diameter]],[1]Pipes!$A:$B,2,FALSE)</f>
        <v>#N/A</v>
      </c>
      <c r="L290" s="8">
        <f>IF(OR(IFERROR(Table3[[#This Row],[Diameter Change?]]="Yes","Yes"),Table3[[#This Row],[Pipe Added?]]="Yes"),Table3[[#This Row],[2043 Pipeline unit cost]]*Table3[[#This Row],[2043 Length]],0)</f>
        <v>1302.6766106597529</v>
      </c>
      <c r="M290" s="2">
        <f>VLOOKUP(Table3[[#This Row],[Pipe_name]],[2]!Table1[[id3]:[Cost]],8,FALSE)</f>
        <v>1303.1288280401459</v>
      </c>
      <c r="N290" s="2">
        <f>IFERROR(Table3[[#This Row],[2022 length]]*Table3[[#This Row],[2022 Pipeline unit cost]],0)</f>
        <v>0</v>
      </c>
      <c r="O290" s="2">
        <f>Table3[[#This Row],[2043 Length]]*Table3[[#This Row],[2043 Pipeline unit cost]]</f>
        <v>1302.6766106597529</v>
      </c>
      <c r="P290" s="2" t="e">
        <f>MATCH(Table3[[#This Row],[Pipe_name]],'2022 pipes'!B:B,0)</f>
        <v>#N/A</v>
      </c>
      <c r="Q290" s="2">
        <f>Table3[[#This Row],[2043 pipes]]-Table3[[#This Row],[Master Plan CAPEX Cost]]</f>
        <v>0</v>
      </c>
      <c r="R290" s="7">
        <f>Table3[[#This Row],[asdfa]]-Table3[[#This Row],[2022 total cost]]</f>
        <v>0</v>
      </c>
    </row>
    <row r="291" spans="1:18" x14ac:dyDescent="0.25">
      <c r="A291" s="1">
        <v>289</v>
      </c>
      <c r="B291" t="s">
        <v>320</v>
      </c>
      <c r="C291">
        <v>150</v>
      </c>
      <c r="D291">
        <v>810.06555200000003</v>
      </c>
      <c r="E291" t="e">
        <f>VLOOKUP(Table3[[#This Row],[Pipe_name]],Table2[[Pipe_name]:[Original_Diameter]],2,FALSE)</f>
        <v>#N/A</v>
      </c>
      <c r="F291" t="e">
        <f>VLOOKUP(Table3[[#This Row],[Pipe_name]],Table2[[Pipe_name]:[Length]],3,FALSE)</f>
        <v>#N/A</v>
      </c>
      <c r="G291" t="s">
        <v>330</v>
      </c>
      <c r="H291" t="e">
        <f>IF(Table3[[#This Row],[2043 Diameter]]=Table3[[#This Row],[2022 Diameter]],"No","Yes")</f>
        <v>#N/A</v>
      </c>
      <c r="I291" t="e">
        <f>IF(Table3[[#This Row],[2043 Length]]=Table3[[#This Row],[2022 length]],"No","Yes")</f>
        <v>#N/A</v>
      </c>
      <c r="J291" s="8">
        <f>VLOOKUP(Table3[[#This Row],[2043 Diameter]],[1]Pipes!$A:$B,2,FALSE)</f>
        <v>433.89080378537034</v>
      </c>
      <c r="K291" s="8" t="e">
        <f>VLOOKUP(Table3[[#This Row],[2022 Diameter]],[1]Pipes!$A:$B,2,FALSE)</f>
        <v>#N/A</v>
      </c>
      <c r="L291" s="8">
        <f>IF(OR(IFERROR(Table3[[#This Row],[Diameter Change?]]="Yes","Yes"),Table3[[#This Row],[Pipe Added?]]="Yes"),Table3[[#This Row],[2043 Pipeline unit cost]]*Table3[[#This Row],[2043 Length]],0)</f>
        <v>351479.99347611971</v>
      </c>
      <c r="M291" s="2">
        <f>VLOOKUP(Table3[[#This Row],[Pipe_name]],[2]!Table1[[id3]:[Cost]],8,FALSE)</f>
        <v>348728.01849078917</v>
      </c>
      <c r="N291" s="2">
        <f>IFERROR(Table3[[#This Row],[2022 length]]*Table3[[#This Row],[2022 Pipeline unit cost]],0)</f>
        <v>0</v>
      </c>
      <c r="O291" s="2">
        <f>Table3[[#This Row],[2043 Length]]*Table3[[#This Row],[2043 Pipeline unit cost]]</f>
        <v>351479.99347611971</v>
      </c>
      <c r="P291" s="2" t="e">
        <f>MATCH(Table3[[#This Row],[Pipe_name]],'2022 pipes'!B:B,0)</f>
        <v>#N/A</v>
      </c>
      <c r="Q291" s="2">
        <f>Table3[[#This Row],[2043 pipes]]-Table3[[#This Row],[Master Plan CAPEX Cost]]</f>
        <v>0</v>
      </c>
      <c r="R291" s="7">
        <f>Table3[[#This Row],[asdfa]]-Table3[[#This Row],[2022 total cost]]</f>
        <v>0</v>
      </c>
    </row>
    <row r="292" spans="1:18" x14ac:dyDescent="0.25">
      <c r="A292" s="1">
        <v>290</v>
      </c>
      <c r="B292" t="s">
        <v>321</v>
      </c>
      <c r="C292">
        <v>225</v>
      </c>
      <c r="D292">
        <v>1.219395</v>
      </c>
      <c r="E292" t="e">
        <f>VLOOKUP(Table3[[#This Row],[Pipe_name]],Table2[[Pipe_name]:[Original_Diameter]],2,FALSE)</f>
        <v>#N/A</v>
      </c>
      <c r="F292" t="e">
        <f>VLOOKUP(Table3[[#This Row],[Pipe_name]],Table2[[Pipe_name]:[Length]],3,FALSE)</f>
        <v>#N/A</v>
      </c>
      <c r="G292" t="s">
        <v>330</v>
      </c>
      <c r="H292" t="e">
        <f>IF(Table3[[#This Row],[2043 Diameter]]=Table3[[#This Row],[2022 Diameter]],"No","Yes")</f>
        <v>#N/A</v>
      </c>
      <c r="I292" t="e">
        <f>IF(Table3[[#This Row],[2043 Length]]=Table3[[#This Row],[2022 length]],"No","Yes")</f>
        <v>#N/A</v>
      </c>
      <c r="J292" s="8">
        <f>VLOOKUP(Table3[[#This Row],[2043 Diameter]],[1]Pipes!$A:$B,2,FALSE)</f>
        <v>546.15625651305356</v>
      </c>
      <c r="K292" s="8" t="e">
        <f>VLOOKUP(Table3[[#This Row],[2022 Diameter]],[1]Pipes!$A:$B,2,FALSE)</f>
        <v>#N/A</v>
      </c>
      <c r="L292" s="8">
        <f>IF(OR(IFERROR(Table3[[#This Row],[Diameter Change?]]="Yes","Yes"),Table3[[#This Row],[Pipe Added?]]="Yes"),Table3[[#This Row],[2043 Pipeline unit cost]]*Table3[[#This Row],[2043 Length]],0)</f>
        <v>665.98020841073492</v>
      </c>
      <c r="M292" s="2">
        <f>VLOOKUP(Table3[[#This Row],[Pipe_name]],[2]!Table1[[id3]:[Cost]],8,FALSE)</f>
        <v>665.76447668941239</v>
      </c>
      <c r="N292" s="2">
        <f>IFERROR(Table3[[#This Row],[2022 length]]*Table3[[#This Row],[2022 Pipeline unit cost]],0)</f>
        <v>0</v>
      </c>
      <c r="O292" s="2">
        <f>Table3[[#This Row],[2043 Length]]*Table3[[#This Row],[2043 Pipeline unit cost]]</f>
        <v>665.98020841073492</v>
      </c>
      <c r="P292" s="2" t="e">
        <f>MATCH(Table3[[#This Row],[Pipe_name]],'2022 pipes'!B:B,0)</f>
        <v>#N/A</v>
      </c>
      <c r="Q292" s="2">
        <f>Table3[[#This Row],[2043 pipes]]-Table3[[#This Row],[Master Plan CAPEX Cost]]</f>
        <v>0</v>
      </c>
      <c r="R292" s="7">
        <f>Table3[[#This Row],[asdfa]]-Table3[[#This Row],[2022 total cost]]</f>
        <v>0</v>
      </c>
    </row>
    <row r="293" spans="1:18" x14ac:dyDescent="0.25">
      <c r="A293" s="1">
        <v>291</v>
      </c>
      <c r="B293" t="s">
        <v>322</v>
      </c>
      <c r="C293">
        <v>225</v>
      </c>
      <c r="D293">
        <v>1.242612</v>
      </c>
      <c r="E293" t="e">
        <f>VLOOKUP(Table3[[#This Row],[Pipe_name]],Table2[[Pipe_name]:[Original_Diameter]],2,FALSE)</f>
        <v>#N/A</v>
      </c>
      <c r="F293" t="e">
        <f>VLOOKUP(Table3[[#This Row],[Pipe_name]],Table2[[Pipe_name]:[Length]],3,FALSE)</f>
        <v>#N/A</v>
      </c>
      <c r="G293" t="s">
        <v>330</v>
      </c>
      <c r="H293" t="e">
        <f>IF(Table3[[#This Row],[2043 Diameter]]=Table3[[#This Row],[2022 Diameter]],"No","Yes")</f>
        <v>#N/A</v>
      </c>
      <c r="I293" t="e">
        <f>IF(Table3[[#This Row],[2043 Length]]=Table3[[#This Row],[2022 length]],"No","Yes")</f>
        <v>#N/A</v>
      </c>
      <c r="J293" s="8">
        <f>VLOOKUP(Table3[[#This Row],[2043 Diameter]],[1]Pipes!$A:$B,2,FALSE)</f>
        <v>546.15625651305356</v>
      </c>
      <c r="K293" s="8" t="e">
        <f>VLOOKUP(Table3[[#This Row],[2022 Diameter]],[1]Pipes!$A:$B,2,FALSE)</f>
        <v>#N/A</v>
      </c>
      <c r="L293" s="8">
        <f>IF(OR(IFERROR(Table3[[#This Row],[Diameter Change?]]="Yes","Yes"),Table3[[#This Row],[Pipe Added?]]="Yes"),Table3[[#This Row],[2043 Pipeline unit cost]]*Table3[[#This Row],[2043 Length]],0)</f>
        <v>678.66031821819854</v>
      </c>
      <c r="M293" s="2">
        <f>VLOOKUP(Table3[[#This Row],[Pipe_name]],[2]!Table1[[id3]:[Cost]],8,FALSE)</f>
        <v>678.32607058921258</v>
      </c>
      <c r="N293" s="2">
        <f>IFERROR(Table3[[#This Row],[2022 length]]*Table3[[#This Row],[2022 Pipeline unit cost]],0)</f>
        <v>0</v>
      </c>
      <c r="O293" s="2">
        <f>Table3[[#This Row],[2043 Length]]*Table3[[#This Row],[2043 Pipeline unit cost]]</f>
        <v>678.66031821819854</v>
      </c>
      <c r="P293" s="2" t="e">
        <f>MATCH(Table3[[#This Row],[Pipe_name]],'2022 pipes'!B:B,0)</f>
        <v>#N/A</v>
      </c>
      <c r="Q293" s="2">
        <f>Table3[[#This Row],[2043 pipes]]-Table3[[#This Row],[Master Plan CAPEX Cost]]</f>
        <v>0</v>
      </c>
      <c r="R293" s="7">
        <f>Table3[[#This Row],[asdfa]]-Table3[[#This Row],[2022 total cost]]</f>
        <v>0</v>
      </c>
    </row>
    <row r="294" spans="1:18" x14ac:dyDescent="0.25">
      <c r="A294" s="1">
        <v>292</v>
      </c>
      <c r="B294" t="s">
        <v>323</v>
      </c>
      <c r="C294">
        <v>225</v>
      </c>
      <c r="D294">
        <v>2.2362160000000002</v>
      </c>
      <c r="E294" t="e">
        <f>VLOOKUP(Table3[[#This Row],[Pipe_name]],Table2[[Pipe_name]:[Original_Diameter]],2,FALSE)</f>
        <v>#N/A</v>
      </c>
      <c r="F294" t="e">
        <f>VLOOKUP(Table3[[#This Row],[Pipe_name]],Table2[[Pipe_name]:[Length]],3,FALSE)</f>
        <v>#N/A</v>
      </c>
      <c r="G294" t="s">
        <v>330</v>
      </c>
      <c r="H294" t="e">
        <f>IF(Table3[[#This Row],[2043 Diameter]]=Table3[[#This Row],[2022 Diameter]],"No","Yes")</f>
        <v>#N/A</v>
      </c>
      <c r="I294" t="e">
        <f>IF(Table3[[#This Row],[2043 Length]]=Table3[[#This Row],[2022 length]],"No","Yes")</f>
        <v>#N/A</v>
      </c>
      <c r="J294" s="8">
        <f>VLOOKUP(Table3[[#This Row],[2043 Diameter]],[1]Pipes!$A:$B,2,FALSE)</f>
        <v>546.15625651305356</v>
      </c>
      <c r="K294" s="8" t="e">
        <f>VLOOKUP(Table3[[#This Row],[2022 Diameter]],[1]Pipes!$A:$B,2,FALSE)</f>
        <v>#N/A</v>
      </c>
      <c r="L294" s="8">
        <f>IF(OR(IFERROR(Table3[[#This Row],[Diameter Change?]]="Yes","Yes"),Table3[[#This Row],[Pipe Added?]]="Yes"),Table3[[#This Row],[2043 Pipeline unit cost]]*Table3[[#This Row],[2043 Length]],0)</f>
        <v>1221.3233593145947</v>
      </c>
      <c r="M294" s="2">
        <f>VLOOKUP(Table3[[#This Row],[Pipe_name]],[2]!Table1[[id3]:[Cost]],8,FALSE)</f>
        <v>1221.7515458197008</v>
      </c>
      <c r="N294" s="2">
        <f>IFERROR(Table3[[#This Row],[2022 length]]*Table3[[#This Row],[2022 Pipeline unit cost]],0)</f>
        <v>0</v>
      </c>
      <c r="O294" s="2">
        <f>Table3[[#This Row],[2043 Length]]*Table3[[#This Row],[2043 Pipeline unit cost]]</f>
        <v>1221.3233593145947</v>
      </c>
      <c r="P294" s="2" t="e">
        <f>MATCH(Table3[[#This Row],[Pipe_name]],'2022 pipes'!B:B,0)</f>
        <v>#N/A</v>
      </c>
      <c r="Q294" s="2">
        <f>Table3[[#This Row],[2043 pipes]]-Table3[[#This Row],[Master Plan CAPEX Cost]]</f>
        <v>0</v>
      </c>
      <c r="R294" s="7">
        <f>Table3[[#This Row],[asdfa]]-Table3[[#This Row],[2022 total cost]]</f>
        <v>0</v>
      </c>
    </row>
    <row r="295" spans="1:18" x14ac:dyDescent="0.25">
      <c r="A295" s="1">
        <v>293</v>
      </c>
      <c r="B295" t="s">
        <v>324</v>
      </c>
      <c r="C295">
        <v>225</v>
      </c>
      <c r="D295">
        <v>1.9209480000000001</v>
      </c>
      <c r="E295" t="e">
        <f>VLOOKUP(Table3[[#This Row],[Pipe_name]],Table2[[Pipe_name]:[Original_Diameter]],2,FALSE)</f>
        <v>#N/A</v>
      </c>
      <c r="F295" t="e">
        <f>VLOOKUP(Table3[[#This Row],[Pipe_name]],Table2[[Pipe_name]:[Length]],3,FALSE)</f>
        <v>#N/A</v>
      </c>
      <c r="G295" t="s">
        <v>330</v>
      </c>
      <c r="H295" t="e">
        <f>IF(Table3[[#This Row],[2043 Diameter]]=Table3[[#This Row],[2022 Diameter]],"No","Yes")</f>
        <v>#N/A</v>
      </c>
      <c r="I295" t="e">
        <f>IF(Table3[[#This Row],[2043 Length]]=Table3[[#This Row],[2022 length]],"No","Yes")</f>
        <v>#N/A</v>
      </c>
      <c r="J295" s="8">
        <f>VLOOKUP(Table3[[#This Row],[2043 Diameter]],[1]Pipes!$A:$B,2,FALSE)</f>
        <v>546.15625651305356</v>
      </c>
      <c r="K295" s="8" t="e">
        <f>VLOOKUP(Table3[[#This Row],[2022 Diameter]],[1]Pipes!$A:$B,2,FALSE)</f>
        <v>#N/A</v>
      </c>
      <c r="L295" s="8">
        <f>IF(OR(IFERROR(Table3[[#This Row],[Diameter Change?]]="Yes","Yes"),Table3[[#This Row],[Pipe Added?]]="Yes"),Table3[[#This Row],[2043 Pipeline unit cost]]*Table3[[#This Row],[2043 Length]],0)</f>
        <v>1049.1377686362373</v>
      </c>
      <c r="M295" s="2">
        <f>VLOOKUP(Table3[[#This Row],[Pipe_name]],[2]!Table1[[id3]:[Cost]],8,FALSE)</f>
        <v>1049.1661687615758</v>
      </c>
      <c r="N295" s="2">
        <f>IFERROR(Table3[[#This Row],[2022 length]]*Table3[[#This Row],[2022 Pipeline unit cost]],0)</f>
        <v>0</v>
      </c>
      <c r="O295" s="2">
        <f>Table3[[#This Row],[2043 Length]]*Table3[[#This Row],[2043 Pipeline unit cost]]</f>
        <v>1049.1377686362373</v>
      </c>
      <c r="P295" s="2" t="e">
        <f>MATCH(Table3[[#This Row],[Pipe_name]],'2022 pipes'!B:B,0)</f>
        <v>#N/A</v>
      </c>
      <c r="Q295" s="2">
        <f>Table3[[#This Row],[2043 pipes]]-Table3[[#This Row],[Master Plan CAPEX Cost]]</f>
        <v>0</v>
      </c>
      <c r="R295" s="7">
        <f>Table3[[#This Row],[asdfa]]-Table3[[#This Row],[2022 total cost]]</f>
        <v>0</v>
      </c>
    </row>
    <row r="296" spans="1:18" x14ac:dyDescent="0.25">
      <c r="A296" s="1">
        <v>294</v>
      </c>
      <c r="B296" t="s">
        <v>299</v>
      </c>
      <c r="C296">
        <v>375</v>
      </c>
      <c r="D296">
        <v>10.240313</v>
      </c>
      <c r="E296">
        <f>VLOOKUP(Table3[[#This Row],[Pipe_name]],Table2[[Pipe_name]:[Original_Diameter]],2,FALSE)</f>
        <v>186</v>
      </c>
      <c r="F296">
        <f>VLOOKUP(Table3[[#This Row],[Pipe_name]],Table2[[Pipe_name]:[Length]],3,FALSE)</f>
        <v>10.240313</v>
      </c>
      <c r="G296" t="s">
        <v>331</v>
      </c>
      <c r="H296" t="str">
        <f>IF(Table3[[#This Row],[2043 Diameter]]=Table3[[#This Row],[2022 Diameter]],"No","Yes")</f>
        <v>Yes</v>
      </c>
      <c r="I296" t="str">
        <f>IF(Table3[[#This Row],[2043 Length]]=Table3[[#This Row],[2022 length]],"No","Yes")</f>
        <v>No</v>
      </c>
      <c r="J296" s="8">
        <f>VLOOKUP(Table3[[#This Row],[2043 Diameter]],[1]Pipes!$A:$B,2,FALSE)</f>
        <v>1014.940376686758</v>
      </c>
      <c r="K296" s="8">
        <f>VLOOKUP(Table3[[#This Row],[2022 Diameter]],[1]Pipes!$A:$B,2,FALSE)</f>
        <v>546.15625651305356</v>
      </c>
      <c r="L296" s="8">
        <f>IF(OR(IFERROR(Table3[[#This Row],[Diameter Change?]]="Yes","Yes"),Table3[[#This Row],[Pipe Added?]]="Yes"),Table3[[#This Row],[2043 Pipeline unit cost]]*Table3[[#This Row],[2043 Length]],0)</f>
        <v>10393.307133610306</v>
      </c>
      <c r="M296" s="2">
        <f>VLOOKUP(Table3[[#This Row],[Pipe_name]],[2]!Table1[[id3]:[Cost]],8,FALSE)</f>
        <v>10392.989457272402</v>
      </c>
      <c r="N296" s="2">
        <f>IFERROR(Table3[[#This Row],[2022 length]]*Table3[[#This Row],[2022 Pipeline unit cost]],0)</f>
        <v>5592.8110136019577</v>
      </c>
      <c r="O296" s="2">
        <f>Table3[[#This Row],[2043 Length]]*Table3[[#This Row],[2043 Pipeline unit cost]]</f>
        <v>10393.307133610306</v>
      </c>
      <c r="P296" s="2">
        <f>MATCH(Table3[[#This Row],[Pipe_name]],'2022 pipes'!B:B,0)</f>
        <v>280</v>
      </c>
      <c r="Q296" s="2">
        <f>Table3[[#This Row],[2043 pipes]]-Table3[[#This Row],[Master Plan CAPEX Cost]]</f>
        <v>0</v>
      </c>
      <c r="R296" s="7">
        <f>Table3[[#This Row],[asdfa]]-Table3[[#This Row],[2022 total cost]]</f>
        <v>-5592.8110136019577</v>
      </c>
    </row>
    <row r="297" spans="1:18" x14ac:dyDescent="0.25">
      <c r="A297" s="1">
        <v>295</v>
      </c>
      <c r="B297" t="s">
        <v>325</v>
      </c>
      <c r="C297">
        <v>141</v>
      </c>
      <c r="D297">
        <v>1</v>
      </c>
      <c r="E297" t="e">
        <f>VLOOKUP(Table3[[#This Row],[Pipe_name]],Table2[[Pipe_name]:[Original_Diameter]],2,FALSE)</f>
        <v>#N/A</v>
      </c>
      <c r="F297" t="e">
        <f>VLOOKUP(Table3[[#This Row],[Pipe_name]],Table2[[Pipe_name]:[Length]],3,FALSE)</f>
        <v>#N/A</v>
      </c>
      <c r="G297" t="s">
        <v>330</v>
      </c>
      <c r="H297" t="e">
        <f>IF(Table3[[#This Row],[2043 Diameter]]=Table3[[#This Row],[2022 Diameter]],"No","Yes")</f>
        <v>#N/A</v>
      </c>
      <c r="I297" t="e">
        <f>IF(Table3[[#This Row],[2043 Length]]=Table3[[#This Row],[2022 length]],"No","Yes")</f>
        <v>#N/A</v>
      </c>
      <c r="J297" s="8">
        <f>VLOOKUP(Table3[[#This Row],[2043 Diameter]],[1]Pipes!$A:$B,2,FALSE)</f>
        <v>433.89080378537034</v>
      </c>
      <c r="K297" s="8" t="e">
        <f>VLOOKUP(Table3[[#This Row],[2022 Diameter]],[1]Pipes!$A:$B,2,FALSE)</f>
        <v>#N/A</v>
      </c>
      <c r="L297" s="8">
        <f>IF(OR(IFERROR(Table3[[#This Row],[Diameter Change?]]="Yes","Yes"),Table3[[#This Row],[Pipe Added?]]="Yes"),Table3[[#This Row],[2043 Pipeline unit cost]]*Table3[[#This Row],[2043 Length]],0)</f>
        <v>433.89080378537034</v>
      </c>
      <c r="M297" s="2" t="e">
        <f>VLOOKUP(Table3[[#This Row],[Pipe_name]],[2]!Table1[[id3]:[Cost]],8,FALSE)</f>
        <v>#N/A</v>
      </c>
      <c r="N297" s="2">
        <f>IFERROR(Table3[[#This Row],[2022 length]]*Table3[[#This Row],[2022 Pipeline unit cost]],0)</f>
        <v>0</v>
      </c>
      <c r="O297" s="2">
        <f>Table3[[#This Row],[2043 Length]]*Table3[[#This Row],[2043 Pipeline unit cost]]</f>
        <v>433.89080378537034</v>
      </c>
      <c r="P297" s="2" t="e">
        <f>MATCH(Table3[[#This Row],[Pipe_name]],'2022 pipes'!B:B,0)</f>
        <v>#N/A</v>
      </c>
      <c r="Q297" s="2">
        <f>Table3[[#This Row],[2043 pipes]]-Table3[[#This Row],[Master Plan CAPEX Cost]]</f>
        <v>0</v>
      </c>
      <c r="R297" s="7">
        <f>Table3[[#This Row],[asdfa]]-Table3[[#This Row],[2022 total cost]]</f>
        <v>0</v>
      </c>
    </row>
    <row r="298" spans="1:18" x14ac:dyDescent="0.25">
      <c r="A298" s="10" t="s">
        <v>334</v>
      </c>
      <c r="J298" s="9"/>
      <c r="K298" s="9"/>
      <c r="L298" s="16">
        <f>SUBTOTAL(109,Table3[Master Plan CAPEX Cost])</f>
        <v>1611642.7959814048</v>
      </c>
      <c r="N298" s="11">
        <f>SUBTOTAL(109,Table3[2022 total cost])</f>
        <v>6296202.8125310065</v>
      </c>
      <c r="O298" s="11">
        <f>SUBTOTAL(109,Table3[2043 pipes])</f>
        <v>7367334.2152436003</v>
      </c>
      <c r="Q298" s="11">
        <f>SUBTOTAL(109,Table3[asdfa])</f>
        <v>5755691.4192621959</v>
      </c>
      <c r="R298" s="11">
        <f>SUBTOTAL(109,Table3[asdfa2])</f>
        <v>-540511.39326880989</v>
      </c>
    </row>
    <row r="299" spans="1:18" x14ac:dyDescent="0.25">
      <c r="N299" t="s">
        <v>371</v>
      </c>
    </row>
    <row r="302" spans="1:18" x14ac:dyDescent="0.25">
      <c r="Q302" s="11">
        <f>Table3[[#Totals],[asdfa]]+Table3[[#Totals],[Master Plan CAPEX Cost]]</f>
        <v>7367334.2152436003</v>
      </c>
      <c r="R302" s="11"/>
    </row>
    <row r="303" spans="1:18" x14ac:dyDescent="0.25">
      <c r="O303" s="11">
        <f>Table3[[#Totals],[2043 pipes]]-Table3[[#Totals],[2022 total cost]]</f>
        <v>1071131.4027125938</v>
      </c>
    </row>
    <row r="304" spans="1:18" x14ac:dyDescent="0.25">
      <c r="O304" s="11">
        <f>O303+200000</f>
        <v>1271131.4027125938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2022 pipes</vt:lpstr>
      <vt:lpstr>2043 pipes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2024-05-29T06:26:53Z</dcterms:created>
  <dcterms:modified xsi:type="dcterms:W3CDTF">2024-05-31T07:11:07Z</dcterms:modified>
</cp:coreProperties>
</file>