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excel/hybrids/"/>
    </mc:Choice>
  </mc:AlternateContent>
  <xr:revisionPtr revIDLastSave="1150" documentId="11_F25DC773A252ABDACC10489089DD520C5BDE58E5" xr6:coauthVersionLast="45" xr6:coauthVersionMax="45" xr10:uidLastSave="{AF2194C7-5861-4688-840B-6DDFB5A46F55}"/>
  <bookViews>
    <workbookView xWindow="-110" yWindow="-110" windowWidth="38620" windowHeight="21220" xr2:uid="{00000000-000D-0000-FFFF-FFFF00000000}"/>
  </bookViews>
  <sheets>
    <sheet name="issuerOP" sheetId="6" r:id="rId1"/>
    <sheet name="issuerTable" sheetId="5" r:id="rId2"/>
    <sheet name="sectorTable" sheetId="3" r:id="rId3"/>
    <sheet name="sectorOP" sheetId="4" r:id="rId4"/>
    <sheet name="tkrBBG" sheetId="1" r:id="rId5"/>
    <sheet name="issuers" sheetId="2" r:id="rId6"/>
    <sheet name="maturity" sheetId="7" r:id="rId7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6" l="1"/>
  <c r="B72" i="6"/>
  <c r="B69" i="6"/>
  <c r="B68" i="6"/>
  <c r="B67" i="6"/>
  <c r="B66" i="6"/>
  <c r="B65" i="6"/>
  <c r="B60" i="6"/>
  <c r="B58" i="6"/>
  <c r="B57" i="6"/>
  <c r="B54" i="6"/>
  <c r="B53" i="6"/>
  <c r="B52" i="6"/>
  <c r="B51" i="6"/>
  <c r="B50" i="6"/>
  <c r="B49" i="6"/>
  <c r="B48" i="6"/>
  <c r="B43" i="6"/>
  <c r="B41" i="6"/>
  <c r="B40" i="6"/>
  <c r="B37" i="6"/>
  <c r="B36" i="6"/>
  <c r="B35" i="6"/>
  <c r="B34" i="6"/>
  <c r="B33" i="6"/>
  <c r="B32" i="6"/>
  <c r="B31" i="6"/>
  <c r="B30" i="6"/>
  <c r="B29" i="6"/>
  <c r="B28" i="6"/>
  <c r="B2" i="1" l="1"/>
  <c r="E2" i="1"/>
  <c r="B3" i="7"/>
  <c r="N196" i="1" a="1"/>
  <c r="AG5" i="3" a="1"/>
  <c r="AG9" i="3" a="1"/>
  <c r="AG13" i="3" a="1"/>
  <c r="AG17" i="3" a="1"/>
  <c r="AG21" i="3" a="1"/>
  <c r="AG25" i="3" a="1"/>
  <c r="AG29" i="3" a="1"/>
  <c r="AG33" i="3" a="1"/>
  <c r="AG37" i="3" a="1"/>
  <c r="AG15" i="3" a="1"/>
  <c r="AG23" i="3" a="1"/>
  <c r="AG31" i="3" a="1"/>
  <c r="AG35" i="3" a="1"/>
  <c r="AG4" i="3" a="1"/>
  <c r="AG16" i="3" a="1"/>
  <c r="AG20" i="3" a="1"/>
  <c r="AG32" i="3" a="1"/>
  <c r="AG6" i="3" a="1"/>
  <c r="AG10" i="3" a="1"/>
  <c r="AG14" i="3" a="1"/>
  <c r="AG18" i="3" a="1"/>
  <c r="AG22" i="3" a="1"/>
  <c r="AG26" i="3" a="1"/>
  <c r="AG30" i="3" a="1"/>
  <c r="AG34" i="3" a="1"/>
  <c r="AG38" i="3" a="1"/>
  <c r="AG7" i="3" a="1"/>
  <c r="AG11" i="3" a="1"/>
  <c r="AG19" i="3" a="1"/>
  <c r="AG27" i="3" a="1"/>
  <c r="AG39" i="3" a="1"/>
  <c r="AG8" i="3" a="1"/>
  <c r="AG12" i="3" a="1"/>
  <c r="AG24" i="3" a="1"/>
  <c r="AG28" i="3" a="1"/>
  <c r="AG36" i="3" a="1"/>
  <c r="AF4" i="3" a="1"/>
  <c r="AF8" i="3" a="1"/>
  <c r="AF12" i="3" a="1"/>
  <c r="AF16" i="3" a="1"/>
  <c r="AF20" i="3" a="1"/>
  <c r="AF24" i="3" a="1"/>
  <c r="AF28" i="3" a="1"/>
  <c r="AF32" i="3" a="1"/>
  <c r="AF36" i="3" a="1"/>
  <c r="AF5" i="3" a="1"/>
  <c r="AF9" i="3" a="1"/>
  <c r="AF13" i="3" a="1"/>
  <c r="AF17" i="3" a="1"/>
  <c r="AF21" i="3" a="1"/>
  <c r="AF25" i="3" a="1"/>
  <c r="AF29" i="3" a="1"/>
  <c r="AF33" i="3" a="1"/>
  <c r="AF37" i="3" a="1"/>
  <c r="AF10" i="3" a="1"/>
  <c r="AF14" i="3" a="1"/>
  <c r="AF22" i="3" a="1"/>
  <c r="AF26" i="3" a="1"/>
  <c r="AF34" i="3" a="1"/>
  <c r="AF35" i="3" a="1"/>
  <c r="AF6" i="3" a="1"/>
  <c r="AF18" i="3" a="1"/>
  <c r="AF30" i="3" a="1"/>
  <c r="AF38" i="3" a="1"/>
  <c r="AF31" i="3" a="1"/>
  <c r="AF7" i="3" a="1"/>
  <c r="AF11" i="3" a="1"/>
  <c r="AF15" i="3" a="1"/>
  <c r="AF19" i="3" a="1"/>
  <c r="AF23" i="3" a="1"/>
  <c r="AF27" i="3" a="1"/>
  <c r="AF39" i="3" a="1"/>
  <c r="AE4" i="3" a="1"/>
  <c r="AE8" i="3" a="1"/>
  <c r="AE12" i="3" a="1"/>
  <c r="AE16" i="3" a="1"/>
  <c r="AE20" i="3" a="1"/>
  <c r="AE24" i="3" a="1"/>
  <c r="AE28" i="3" a="1"/>
  <c r="AE32" i="3" a="1"/>
  <c r="AE36" i="3" a="1"/>
  <c r="AE31" i="3" a="1"/>
  <c r="AE9" i="3" a="1"/>
  <c r="AE13" i="3" a="1"/>
  <c r="AE21" i="3" a="1"/>
  <c r="AE25" i="3" a="1"/>
  <c r="AE33" i="3" a="1"/>
  <c r="AE22" i="3" a="1"/>
  <c r="AE30" i="3" a="1"/>
  <c r="AE19" i="3" a="1"/>
  <c r="AE27" i="3" a="1"/>
  <c r="AE5" i="3" a="1"/>
  <c r="AE17" i="3" a="1"/>
  <c r="AE29" i="3" a="1"/>
  <c r="AE37" i="3" a="1"/>
  <c r="AE34" i="3" a="1"/>
  <c r="AE23" i="3" a="1"/>
  <c r="AE39" i="3" a="1"/>
  <c r="AE10" i="3" a="1"/>
  <c r="AE14" i="3" a="1"/>
  <c r="AE18" i="3" a="1"/>
  <c r="AE26" i="3" a="1"/>
  <c r="AE15" i="3" a="1"/>
  <c r="AE35" i="3" a="1"/>
  <c r="AE6" i="3" a="1"/>
  <c r="AE38" i="3" a="1"/>
  <c r="AE11" i="3" a="1"/>
  <c r="AE7" i="3" a="1"/>
  <c r="AH47" i="3" a="1"/>
  <c r="AH44" i="3" a="1"/>
  <c r="AG36" i="3" l="1"/>
  <c r="AG28" i="3"/>
  <c r="AG24" i="3"/>
  <c r="AG12" i="3"/>
  <c r="AG8" i="3"/>
  <c r="AG39" i="3"/>
  <c r="AG27" i="3"/>
  <c r="AG19" i="3"/>
  <c r="AG11" i="3"/>
  <c r="AG7" i="3"/>
  <c r="AG38" i="3"/>
  <c r="AG34" i="3"/>
  <c r="AG30" i="3"/>
  <c r="AG26" i="3"/>
  <c r="AG22" i="3"/>
  <c r="AG18" i="3"/>
  <c r="AG14" i="3"/>
  <c r="AG10" i="3"/>
  <c r="AG6" i="3"/>
  <c r="AG32" i="3"/>
  <c r="AG20" i="3"/>
  <c r="AG16" i="3"/>
  <c r="AG4" i="3"/>
  <c r="AG35" i="3"/>
  <c r="AG31" i="3"/>
  <c r="AG23" i="3"/>
  <c r="AG15" i="3"/>
  <c r="AG37" i="3"/>
  <c r="AG33" i="3"/>
  <c r="AG29" i="3"/>
  <c r="AG25" i="3"/>
  <c r="AG21" i="3"/>
  <c r="AG17" i="3"/>
  <c r="AG13" i="3"/>
  <c r="AG9" i="3"/>
  <c r="AG5" i="3"/>
  <c r="AF39" i="3"/>
  <c r="AF27" i="3"/>
  <c r="AF23" i="3"/>
  <c r="AF19" i="3"/>
  <c r="AF15" i="3"/>
  <c r="AF11" i="3"/>
  <c r="AF7" i="3"/>
  <c r="AF31" i="3"/>
  <c r="AF38" i="3"/>
  <c r="AF30" i="3"/>
  <c r="AF18" i="3"/>
  <c r="AF6" i="3"/>
  <c r="AF35" i="3"/>
  <c r="AF34" i="3"/>
  <c r="AF26" i="3"/>
  <c r="AF22" i="3"/>
  <c r="AF14" i="3"/>
  <c r="AF10" i="3"/>
  <c r="AF37" i="3"/>
  <c r="AF33" i="3"/>
  <c r="AF29" i="3"/>
  <c r="AF25" i="3"/>
  <c r="AF21" i="3"/>
  <c r="AF17" i="3"/>
  <c r="AF13" i="3"/>
  <c r="AF9" i="3"/>
  <c r="AF5" i="3"/>
  <c r="AF36" i="3"/>
  <c r="AF32" i="3"/>
  <c r="AF28" i="3"/>
  <c r="AF24" i="3"/>
  <c r="AF20" i="3"/>
  <c r="AF16" i="3"/>
  <c r="AF12" i="3"/>
  <c r="AF8" i="3"/>
  <c r="AF4" i="3"/>
  <c r="AE7" i="3"/>
  <c r="AE11" i="3"/>
  <c r="AE38" i="3"/>
  <c r="AE6" i="3"/>
  <c r="AE35" i="3"/>
  <c r="AE15" i="3"/>
  <c r="AE26" i="3"/>
  <c r="AE18" i="3"/>
  <c r="AE14" i="3"/>
  <c r="AE10" i="3"/>
  <c r="AE39" i="3"/>
  <c r="AE23" i="3"/>
  <c r="AE34" i="3"/>
  <c r="AE37" i="3"/>
  <c r="AE29" i="3"/>
  <c r="AE17" i="3"/>
  <c r="AE5" i="3"/>
  <c r="AE27" i="3"/>
  <c r="AE19" i="3"/>
  <c r="AE30" i="3"/>
  <c r="AE22" i="3"/>
  <c r="AE33" i="3"/>
  <c r="AE25" i="3"/>
  <c r="AE21" i="3"/>
  <c r="AE13" i="3"/>
  <c r="AE9" i="3"/>
  <c r="AE31" i="3"/>
  <c r="AE36" i="3"/>
  <c r="AE32" i="3"/>
  <c r="AE28" i="3"/>
  <c r="AE24" i="3"/>
  <c r="AE20" i="3"/>
  <c r="AE16" i="3"/>
  <c r="AE12" i="3"/>
  <c r="AE8" i="3"/>
  <c r="AE4" i="3"/>
  <c r="AH44" i="3"/>
  <c r="AH47" i="3"/>
  <c r="N196" i="1"/>
  <c r="M196" i="1" a="1"/>
  <c r="M196" i="1" l="1"/>
  <c r="L196" i="1" a="1"/>
  <c r="L196" i="1" l="1"/>
  <c r="K196" i="1" a="1"/>
  <c r="K196" i="1" l="1"/>
  <c r="J196" i="1" a="1"/>
  <c r="J196" i="1" l="1"/>
  <c r="I196" i="1" a="1"/>
  <c r="I196" i="1" l="1"/>
  <c r="H196" i="1" a="1"/>
  <c r="H196" i="1" l="1"/>
  <c r="G196" i="1" a="1"/>
  <c r="G196" i="1" l="1"/>
  <c r="O196" i="1" s="1"/>
  <c r="F196" i="1" a="1"/>
  <c r="F196" i="1" l="1"/>
  <c r="N195" i="1" a="1"/>
  <c r="N195" i="1" l="1"/>
  <c r="M195" i="1" a="1"/>
  <c r="M195" i="1" l="1"/>
  <c r="L195" i="1" a="1"/>
  <c r="L195" i="1" l="1"/>
  <c r="K195" i="1" a="1"/>
  <c r="K195" i="1" l="1"/>
  <c r="J195" i="1" a="1"/>
  <c r="J195" i="1" l="1"/>
  <c r="I195" i="1" a="1"/>
  <c r="I195" i="1" l="1"/>
  <c r="H195" i="1" a="1"/>
  <c r="H195" i="1" l="1"/>
  <c r="G195" i="1" a="1"/>
  <c r="G195" i="1" l="1"/>
  <c r="O195" i="1" s="1"/>
  <c r="F195" i="1" a="1"/>
  <c r="F195" i="1" l="1"/>
  <c r="N194" i="1" a="1"/>
  <c r="N194" i="1" l="1"/>
  <c r="M194" i="1" a="1"/>
  <c r="M194" i="1" l="1"/>
  <c r="L194" i="1" a="1"/>
  <c r="L194" i="1" l="1"/>
  <c r="K194" i="1" a="1"/>
  <c r="K194" i="1" l="1"/>
  <c r="J194" i="1" a="1"/>
  <c r="J194" i="1" l="1"/>
  <c r="I194" i="1" a="1"/>
  <c r="I194" i="1" l="1"/>
  <c r="H194" i="1" a="1"/>
  <c r="H194" i="1" l="1"/>
  <c r="G194" i="1" a="1"/>
  <c r="G194" i="1" l="1"/>
  <c r="O194" i="1" s="1"/>
  <c r="F194" i="1" a="1"/>
  <c r="F194" i="1" l="1"/>
  <c r="N193" i="1" a="1"/>
  <c r="N193" i="1" l="1"/>
  <c r="M193" i="1" a="1"/>
  <c r="M193" i="1" l="1"/>
  <c r="L193" i="1" a="1"/>
  <c r="L193" i="1" l="1"/>
  <c r="K193" i="1" a="1"/>
  <c r="K193" i="1" l="1"/>
  <c r="J193" i="1" a="1"/>
  <c r="J193" i="1" l="1"/>
  <c r="I193" i="1" a="1"/>
  <c r="I193" i="1" l="1"/>
  <c r="H193" i="1" a="1"/>
  <c r="H193" i="1" l="1"/>
  <c r="G193" i="1" a="1"/>
  <c r="G193" i="1" l="1"/>
  <c r="O193" i="1" s="1"/>
  <c r="F193" i="1" a="1"/>
  <c r="F193" i="1" l="1"/>
  <c r="N192" i="1" a="1"/>
  <c r="N192" i="1" l="1"/>
  <c r="M192" i="1" a="1"/>
  <c r="M192" i="1" l="1"/>
  <c r="L192" i="1" a="1"/>
  <c r="L192" i="1" l="1"/>
  <c r="K192" i="1" a="1"/>
  <c r="K192" i="1" l="1"/>
  <c r="J192" i="1" a="1"/>
  <c r="J192" i="1" l="1"/>
  <c r="I192" i="1" a="1"/>
  <c r="I192" i="1" l="1"/>
  <c r="H192" i="1" a="1"/>
  <c r="H192" i="1" l="1"/>
  <c r="G192" i="1" a="1"/>
  <c r="G192" i="1" l="1"/>
  <c r="O192" i="1" s="1"/>
  <c r="F192" i="1" a="1"/>
  <c r="F192" i="1" l="1"/>
  <c r="N191" i="1" a="1"/>
  <c r="N191" i="1" l="1"/>
  <c r="M191" i="1" a="1"/>
  <c r="M191" i="1" l="1"/>
  <c r="L191" i="1" a="1"/>
  <c r="L191" i="1" l="1"/>
  <c r="K191" i="1" a="1"/>
  <c r="K191" i="1" l="1"/>
  <c r="J191" i="1" a="1"/>
  <c r="J191" i="1" l="1"/>
  <c r="I191" i="1" a="1"/>
  <c r="I191" i="1" l="1"/>
  <c r="H191" i="1" a="1"/>
  <c r="H191" i="1" l="1"/>
  <c r="G191" i="1" a="1"/>
  <c r="G191" i="1" l="1"/>
  <c r="O191" i="1" s="1"/>
  <c r="F191" i="1" a="1"/>
  <c r="F191" i="1" l="1"/>
  <c r="N190" i="1" a="1"/>
  <c r="N190" i="1" l="1"/>
  <c r="M190" i="1" a="1"/>
  <c r="M190" i="1" l="1"/>
  <c r="L190" i="1" a="1"/>
  <c r="L190" i="1" l="1"/>
  <c r="K190" i="1" a="1"/>
  <c r="K190" i="1" l="1"/>
  <c r="J190" i="1" a="1"/>
  <c r="J190" i="1" l="1"/>
  <c r="I190" i="1" a="1"/>
  <c r="I190" i="1" l="1"/>
  <c r="H190" i="1" a="1"/>
  <c r="H190" i="1" l="1"/>
  <c r="G190" i="1" a="1"/>
  <c r="G190" i="1" l="1"/>
  <c r="O190" i="1" s="1"/>
  <c r="F190" i="1" a="1"/>
  <c r="F190" i="1" l="1"/>
  <c r="N189" i="1" a="1"/>
  <c r="N189" i="1" l="1"/>
  <c r="M189" i="1" a="1"/>
  <c r="M189" i="1" l="1"/>
  <c r="L189" i="1" a="1"/>
  <c r="L189" i="1" l="1"/>
  <c r="K189" i="1" a="1"/>
  <c r="K189" i="1" l="1"/>
  <c r="J189" i="1" a="1"/>
  <c r="J189" i="1" l="1"/>
  <c r="I189" i="1" a="1"/>
  <c r="I189" i="1" l="1"/>
  <c r="H189" i="1" a="1"/>
  <c r="H189" i="1" l="1"/>
  <c r="G189" i="1" a="1"/>
  <c r="G189" i="1" l="1"/>
  <c r="O189" i="1" s="1"/>
  <c r="F189" i="1" a="1"/>
  <c r="F189" i="1" l="1"/>
  <c r="N188" i="1" a="1"/>
  <c r="N188" i="1" l="1"/>
  <c r="M188" i="1" a="1"/>
  <c r="M188" i="1" l="1"/>
  <c r="L188" i="1" a="1"/>
  <c r="L188" i="1" l="1"/>
  <c r="K188" i="1" a="1"/>
  <c r="K188" i="1" l="1"/>
  <c r="J188" i="1" a="1"/>
  <c r="J188" i="1" l="1"/>
  <c r="I188" i="1" a="1"/>
  <c r="I188" i="1" l="1"/>
  <c r="H188" i="1" a="1"/>
  <c r="H188" i="1" l="1"/>
  <c r="G188" i="1" a="1"/>
  <c r="G188" i="1" l="1"/>
  <c r="O188" i="1" s="1"/>
  <c r="F188" i="1" a="1"/>
  <c r="F188" i="1" l="1"/>
  <c r="N187" i="1" a="1"/>
  <c r="N187" i="1" l="1"/>
  <c r="M187" i="1" a="1"/>
  <c r="M187" i="1" l="1"/>
  <c r="L187" i="1" a="1"/>
  <c r="L187" i="1" l="1"/>
  <c r="K187" i="1" a="1"/>
  <c r="K187" i="1" l="1"/>
  <c r="J187" i="1" a="1"/>
  <c r="J187" i="1" l="1"/>
  <c r="I187" i="1" a="1"/>
  <c r="I187" i="1" l="1"/>
  <c r="H187" i="1" a="1"/>
  <c r="H187" i="1" l="1"/>
  <c r="G187" i="1" a="1"/>
  <c r="G187" i="1" l="1"/>
  <c r="O187" i="1" s="1"/>
  <c r="F187" i="1" a="1"/>
  <c r="F187" i="1" l="1"/>
  <c r="N186" i="1" a="1"/>
  <c r="N186" i="1" l="1"/>
  <c r="M186" i="1" a="1"/>
  <c r="M186" i="1" l="1"/>
  <c r="L186" i="1" a="1"/>
  <c r="L186" i="1" l="1"/>
  <c r="K186" i="1" a="1"/>
  <c r="K186" i="1" l="1"/>
  <c r="J186" i="1" a="1"/>
  <c r="J186" i="1" l="1"/>
  <c r="I186" i="1" a="1"/>
  <c r="I186" i="1" l="1"/>
  <c r="H186" i="1" a="1"/>
  <c r="H186" i="1" l="1"/>
  <c r="G186" i="1" a="1"/>
  <c r="G186" i="1" l="1"/>
  <c r="O186" i="1" s="1"/>
  <c r="F186" i="1" a="1"/>
  <c r="F186" i="1" l="1"/>
  <c r="N185" i="1" a="1"/>
  <c r="N185" i="1" l="1"/>
  <c r="M185" i="1" a="1"/>
  <c r="M185" i="1" l="1"/>
  <c r="L185" i="1" a="1"/>
  <c r="L185" i="1" l="1"/>
  <c r="K185" i="1" a="1"/>
  <c r="K185" i="1" l="1"/>
  <c r="J185" i="1" a="1"/>
  <c r="J185" i="1" l="1"/>
  <c r="I185" i="1" a="1"/>
  <c r="I185" i="1" l="1"/>
  <c r="H185" i="1" a="1"/>
  <c r="H185" i="1" l="1"/>
  <c r="G185" i="1" a="1"/>
  <c r="G185" i="1" l="1"/>
  <c r="O185" i="1" s="1"/>
  <c r="F185" i="1" a="1"/>
  <c r="F185" i="1" l="1"/>
  <c r="N184" i="1" a="1"/>
  <c r="N184" i="1" l="1"/>
  <c r="M184" i="1" a="1"/>
  <c r="M184" i="1" l="1"/>
  <c r="L184" i="1" a="1"/>
  <c r="L184" i="1" l="1"/>
  <c r="K184" i="1" a="1"/>
  <c r="K184" i="1" l="1"/>
  <c r="J184" i="1" a="1"/>
  <c r="J184" i="1" l="1"/>
  <c r="I184" i="1" a="1"/>
  <c r="I184" i="1" l="1"/>
  <c r="H184" i="1" a="1"/>
  <c r="H184" i="1" l="1"/>
  <c r="G184" i="1" a="1"/>
  <c r="G184" i="1" l="1"/>
  <c r="O184" i="1" s="1"/>
  <c r="F184" i="1" a="1"/>
  <c r="F184" i="1" l="1"/>
  <c r="N183" i="1" a="1"/>
  <c r="N183" i="1" l="1"/>
  <c r="M183" i="1" a="1"/>
  <c r="M183" i="1" l="1"/>
  <c r="L183" i="1" a="1"/>
  <c r="L183" i="1" l="1"/>
  <c r="K183" i="1" a="1"/>
  <c r="K183" i="1" l="1"/>
  <c r="J183" i="1" a="1"/>
  <c r="J183" i="1" l="1"/>
  <c r="I183" i="1" a="1"/>
  <c r="I183" i="1" l="1"/>
  <c r="H183" i="1" a="1"/>
  <c r="H183" i="1" l="1"/>
  <c r="G183" i="1" a="1"/>
  <c r="G183" i="1" l="1"/>
  <c r="O183" i="1" s="1"/>
  <c r="F183" i="1" a="1"/>
  <c r="F183" i="1" l="1"/>
  <c r="N182" i="1" a="1"/>
  <c r="N182" i="1" l="1"/>
  <c r="M182" i="1" a="1"/>
  <c r="M182" i="1" l="1"/>
  <c r="L182" i="1" a="1"/>
  <c r="L182" i="1" l="1"/>
  <c r="K182" i="1" a="1"/>
  <c r="K182" i="1" l="1"/>
  <c r="J182" i="1" a="1"/>
  <c r="J182" i="1" l="1"/>
  <c r="I182" i="1" a="1"/>
  <c r="I182" i="1" l="1"/>
  <c r="H182" i="1" a="1"/>
  <c r="H182" i="1" l="1"/>
  <c r="G182" i="1" a="1"/>
  <c r="G182" i="1" l="1"/>
  <c r="O182" i="1" s="1"/>
  <c r="F182" i="1" a="1"/>
  <c r="F182" i="1" l="1"/>
  <c r="N181" i="1" a="1"/>
  <c r="N181" i="1" l="1"/>
  <c r="M181" i="1" a="1"/>
  <c r="M181" i="1" l="1"/>
  <c r="L181" i="1" a="1"/>
  <c r="L181" i="1" l="1"/>
  <c r="K181" i="1" a="1"/>
  <c r="K181" i="1" l="1"/>
  <c r="J181" i="1" a="1"/>
  <c r="J181" i="1" l="1"/>
  <c r="I181" i="1" a="1"/>
  <c r="I181" i="1" l="1"/>
  <c r="H181" i="1" a="1"/>
  <c r="H181" i="1" l="1"/>
  <c r="G181" i="1" a="1"/>
  <c r="G181" i="1" l="1"/>
  <c r="O181" i="1" s="1"/>
  <c r="F181" i="1" a="1"/>
  <c r="F181" i="1" l="1"/>
  <c r="N180" i="1" a="1"/>
  <c r="N180" i="1" l="1"/>
  <c r="M180" i="1" a="1"/>
  <c r="M180" i="1" l="1"/>
  <c r="L180" i="1" a="1"/>
  <c r="L180" i="1" l="1"/>
  <c r="K180" i="1" a="1"/>
  <c r="K180" i="1" l="1"/>
  <c r="J180" i="1" a="1"/>
  <c r="J180" i="1" l="1"/>
  <c r="I180" i="1" a="1"/>
  <c r="I180" i="1" l="1"/>
  <c r="H180" i="1" a="1"/>
  <c r="H180" i="1" l="1"/>
  <c r="G180" i="1" a="1"/>
  <c r="G180" i="1" l="1"/>
  <c r="O180" i="1" s="1"/>
  <c r="F180" i="1" a="1"/>
  <c r="F180" i="1" l="1"/>
  <c r="N179" i="1" a="1"/>
  <c r="N179" i="1" l="1"/>
  <c r="M179" i="1" a="1"/>
  <c r="M179" i="1" l="1"/>
  <c r="L179" i="1" a="1"/>
  <c r="L179" i="1" l="1"/>
  <c r="K179" i="1" a="1"/>
  <c r="K179" i="1" l="1"/>
  <c r="J179" i="1" a="1"/>
  <c r="J179" i="1" l="1"/>
  <c r="I179" i="1" a="1"/>
  <c r="I179" i="1" l="1"/>
  <c r="H179" i="1" a="1"/>
  <c r="H179" i="1" l="1"/>
  <c r="G179" i="1" a="1"/>
  <c r="G179" i="1" l="1"/>
  <c r="O179" i="1" s="1"/>
  <c r="F179" i="1" a="1"/>
  <c r="F179" i="1" l="1"/>
  <c r="N178" i="1" a="1"/>
  <c r="N178" i="1" l="1"/>
  <c r="M178" i="1" a="1"/>
  <c r="M178" i="1" l="1"/>
  <c r="L178" i="1" a="1"/>
  <c r="L178" i="1" l="1"/>
  <c r="K178" i="1" a="1"/>
  <c r="K178" i="1" l="1"/>
  <c r="J178" i="1" a="1"/>
  <c r="J178" i="1" l="1"/>
  <c r="I178" i="1" a="1"/>
  <c r="I178" i="1" l="1"/>
  <c r="H178" i="1" a="1"/>
  <c r="H178" i="1" l="1"/>
  <c r="G178" i="1" a="1"/>
  <c r="G178" i="1" l="1"/>
  <c r="O178" i="1" s="1"/>
  <c r="F178" i="1" a="1"/>
  <c r="F178" i="1" l="1"/>
  <c r="N177" i="1" a="1"/>
  <c r="N177" i="1" l="1"/>
  <c r="M177" i="1" a="1"/>
  <c r="M177" i="1" l="1"/>
  <c r="L177" i="1" a="1"/>
  <c r="L177" i="1" l="1"/>
  <c r="K177" i="1" a="1"/>
  <c r="K177" i="1" l="1"/>
  <c r="J177" i="1" a="1"/>
  <c r="J177" i="1" l="1"/>
  <c r="I177" i="1" a="1"/>
  <c r="I177" i="1" l="1"/>
  <c r="H177" i="1" a="1"/>
  <c r="H177" i="1" l="1"/>
  <c r="G177" i="1" a="1"/>
  <c r="G177" i="1" l="1"/>
  <c r="O177" i="1" s="1"/>
  <c r="F177" i="1" a="1"/>
  <c r="F177" i="1" l="1"/>
  <c r="N176" i="1" a="1"/>
  <c r="N176" i="1" l="1"/>
  <c r="M176" i="1" a="1"/>
  <c r="M176" i="1" l="1"/>
  <c r="L176" i="1" a="1"/>
  <c r="L176" i="1" l="1"/>
  <c r="K176" i="1" a="1"/>
  <c r="K176" i="1" l="1"/>
  <c r="J176" i="1" a="1"/>
  <c r="J176" i="1" l="1"/>
  <c r="I176" i="1" a="1"/>
  <c r="I176" i="1" l="1"/>
  <c r="H176" i="1" a="1"/>
  <c r="H176" i="1" l="1"/>
  <c r="G176" i="1" a="1"/>
  <c r="G176" i="1" l="1"/>
  <c r="O176" i="1" s="1"/>
  <c r="F176" i="1" a="1"/>
  <c r="F176" i="1" l="1"/>
  <c r="N175" i="1" a="1"/>
  <c r="N175" i="1" l="1"/>
  <c r="M175" i="1" a="1"/>
  <c r="M175" i="1" l="1"/>
  <c r="L175" i="1" a="1"/>
  <c r="L175" i="1" l="1"/>
  <c r="K175" i="1" a="1"/>
  <c r="K175" i="1" l="1"/>
  <c r="J175" i="1" a="1"/>
  <c r="J175" i="1" l="1"/>
  <c r="I175" i="1" a="1"/>
  <c r="I175" i="1" l="1"/>
  <c r="H175" i="1" a="1"/>
  <c r="H175" i="1" l="1"/>
  <c r="G175" i="1" a="1"/>
  <c r="G175" i="1" l="1"/>
  <c r="O175" i="1" s="1"/>
  <c r="F175" i="1" a="1"/>
  <c r="F175" i="1" l="1"/>
  <c r="N174" i="1" a="1"/>
  <c r="N174" i="1" l="1"/>
  <c r="M174" i="1" a="1"/>
  <c r="M174" i="1" l="1"/>
  <c r="L174" i="1" a="1"/>
  <c r="L174" i="1" l="1"/>
  <c r="K174" i="1" a="1"/>
  <c r="K174" i="1" l="1"/>
  <c r="J174" i="1" a="1"/>
  <c r="J174" i="1" l="1"/>
  <c r="I174" i="1" a="1"/>
  <c r="I174" i="1" l="1"/>
  <c r="H174" i="1" a="1"/>
  <c r="H174" i="1" l="1"/>
  <c r="G174" i="1" a="1"/>
  <c r="G174" i="1" l="1"/>
  <c r="O174" i="1" s="1"/>
  <c r="F174" i="1" a="1"/>
  <c r="F174" i="1" l="1"/>
  <c r="N173" i="1" a="1"/>
  <c r="N173" i="1" l="1"/>
  <c r="M173" i="1" a="1"/>
  <c r="M173" i="1" l="1"/>
  <c r="L173" i="1" a="1"/>
  <c r="L173" i="1" l="1"/>
  <c r="K173" i="1" a="1"/>
  <c r="K173" i="1" l="1"/>
  <c r="J173" i="1" a="1"/>
  <c r="J173" i="1" l="1"/>
  <c r="I173" i="1" a="1"/>
  <c r="I173" i="1" l="1"/>
  <c r="H173" i="1" a="1"/>
  <c r="H173" i="1" l="1"/>
  <c r="G173" i="1" a="1"/>
  <c r="G173" i="1" l="1"/>
  <c r="O173" i="1" s="1"/>
  <c r="F173" i="1" a="1"/>
  <c r="F173" i="1" l="1"/>
  <c r="N172" i="1" a="1"/>
  <c r="N172" i="1" l="1"/>
  <c r="M172" i="1" a="1"/>
  <c r="M172" i="1" l="1"/>
  <c r="L172" i="1" a="1"/>
  <c r="L172" i="1" l="1"/>
  <c r="K172" i="1" a="1"/>
  <c r="K172" i="1" l="1"/>
  <c r="J172" i="1" a="1"/>
  <c r="J172" i="1" l="1"/>
  <c r="I172" i="1" a="1"/>
  <c r="I172" i="1" l="1"/>
  <c r="H172" i="1" a="1"/>
  <c r="H172" i="1" l="1"/>
  <c r="G172" i="1" a="1"/>
  <c r="G172" i="1" l="1"/>
  <c r="O172" i="1" s="1"/>
  <c r="F172" i="1" a="1"/>
  <c r="F172" i="1" l="1"/>
  <c r="N171" i="1" a="1"/>
  <c r="N171" i="1" l="1"/>
  <c r="M171" i="1" a="1"/>
  <c r="M171" i="1" l="1"/>
  <c r="L171" i="1" a="1"/>
  <c r="L171" i="1" l="1"/>
  <c r="K171" i="1" a="1"/>
  <c r="K171" i="1" l="1"/>
  <c r="J171" i="1" a="1"/>
  <c r="J171" i="1" l="1"/>
  <c r="I171" i="1" a="1"/>
  <c r="I171" i="1" l="1"/>
  <c r="H171" i="1" a="1"/>
  <c r="H171" i="1" l="1"/>
  <c r="G171" i="1" a="1"/>
  <c r="G171" i="1" l="1"/>
  <c r="O171" i="1" s="1"/>
  <c r="F171" i="1" a="1"/>
  <c r="F171" i="1" l="1"/>
  <c r="N170" i="1" a="1"/>
  <c r="N170" i="1" l="1"/>
  <c r="M170" i="1" a="1"/>
  <c r="M170" i="1" l="1"/>
  <c r="L170" i="1" a="1"/>
  <c r="L170" i="1" l="1"/>
  <c r="K170" i="1" a="1"/>
  <c r="K170" i="1" l="1"/>
  <c r="J170" i="1" a="1"/>
  <c r="J170" i="1" l="1"/>
  <c r="I170" i="1" a="1"/>
  <c r="I170" i="1" l="1"/>
  <c r="H170" i="1" a="1"/>
  <c r="H170" i="1" l="1"/>
  <c r="G170" i="1" a="1"/>
  <c r="G170" i="1" l="1"/>
  <c r="O170" i="1" s="1"/>
  <c r="F170" i="1" a="1"/>
  <c r="F170" i="1" l="1"/>
  <c r="N169" i="1" a="1"/>
  <c r="N169" i="1" l="1"/>
  <c r="M169" i="1" a="1"/>
  <c r="M169" i="1" l="1"/>
  <c r="L169" i="1" a="1"/>
  <c r="L169" i="1" l="1"/>
  <c r="K169" i="1" a="1"/>
  <c r="K169" i="1" l="1"/>
  <c r="J169" i="1" a="1"/>
  <c r="J169" i="1" l="1"/>
  <c r="I169" i="1" a="1"/>
  <c r="I169" i="1" l="1"/>
  <c r="H169" i="1" a="1"/>
  <c r="H169" i="1" l="1"/>
  <c r="G169" i="1" a="1"/>
  <c r="G169" i="1" l="1"/>
  <c r="O169" i="1" s="1"/>
  <c r="F169" i="1" a="1"/>
  <c r="F169" i="1" l="1"/>
  <c r="N168" i="1" a="1"/>
  <c r="N168" i="1" l="1"/>
  <c r="M168" i="1" a="1"/>
  <c r="M168" i="1" l="1"/>
  <c r="L168" i="1" a="1"/>
  <c r="L168" i="1" l="1"/>
  <c r="K168" i="1" a="1"/>
  <c r="K168" i="1" l="1"/>
  <c r="J168" i="1" a="1"/>
  <c r="J168" i="1" l="1"/>
  <c r="I168" i="1" a="1"/>
  <c r="I168" i="1" l="1"/>
  <c r="H168" i="1" a="1"/>
  <c r="H168" i="1" l="1"/>
  <c r="G168" i="1" a="1"/>
  <c r="G168" i="1" l="1"/>
  <c r="O168" i="1" s="1"/>
  <c r="F168" i="1" a="1"/>
  <c r="F168" i="1" l="1"/>
  <c r="N167" i="1" a="1"/>
  <c r="N167" i="1" l="1"/>
  <c r="M167" i="1" a="1"/>
  <c r="M167" i="1" l="1"/>
  <c r="L167" i="1" a="1"/>
  <c r="L167" i="1" l="1"/>
  <c r="K167" i="1" a="1"/>
  <c r="K167" i="1" l="1"/>
  <c r="J167" i="1" a="1"/>
  <c r="J167" i="1" l="1"/>
  <c r="I167" i="1" a="1"/>
  <c r="I167" i="1" l="1"/>
  <c r="H167" i="1" a="1"/>
  <c r="H167" i="1" l="1"/>
  <c r="G167" i="1" a="1"/>
  <c r="G167" i="1" l="1"/>
  <c r="O167" i="1" s="1"/>
  <c r="F167" i="1" a="1"/>
  <c r="F167" i="1" l="1"/>
  <c r="N166" i="1" a="1"/>
  <c r="N166" i="1" l="1"/>
  <c r="M166" i="1" a="1"/>
  <c r="M166" i="1" l="1"/>
  <c r="L166" i="1" a="1"/>
  <c r="L166" i="1" l="1"/>
  <c r="K166" i="1" a="1"/>
  <c r="K166" i="1" l="1"/>
  <c r="J166" i="1" a="1"/>
  <c r="J166" i="1" l="1"/>
  <c r="I166" i="1" a="1"/>
  <c r="I166" i="1" l="1"/>
  <c r="H166" i="1" a="1"/>
  <c r="H166" i="1" l="1"/>
  <c r="G166" i="1" a="1"/>
  <c r="G166" i="1" l="1"/>
  <c r="O166" i="1" s="1"/>
  <c r="F166" i="1" a="1"/>
  <c r="F166" i="1" l="1"/>
  <c r="N165" i="1" a="1"/>
  <c r="N165" i="1" l="1"/>
  <c r="M165" i="1" a="1"/>
  <c r="M165" i="1" l="1"/>
  <c r="L165" i="1" a="1"/>
  <c r="L165" i="1" l="1"/>
  <c r="K165" i="1" a="1"/>
  <c r="K165" i="1" l="1"/>
  <c r="J165" i="1" a="1"/>
  <c r="J165" i="1" l="1"/>
  <c r="I165" i="1" a="1"/>
  <c r="I165" i="1" l="1"/>
  <c r="H165" i="1" a="1"/>
  <c r="H165" i="1" l="1"/>
  <c r="G165" i="1" a="1"/>
  <c r="G165" i="1" l="1"/>
  <c r="O165" i="1" s="1"/>
  <c r="F165" i="1" a="1"/>
  <c r="F165" i="1" l="1"/>
  <c r="N164" i="1" a="1"/>
  <c r="N164" i="1" l="1"/>
  <c r="M164" i="1" a="1"/>
  <c r="M164" i="1" l="1"/>
  <c r="L164" i="1" a="1"/>
  <c r="L164" i="1" l="1"/>
  <c r="K164" i="1" a="1"/>
  <c r="K164" i="1" l="1"/>
  <c r="J164" i="1" a="1"/>
  <c r="J164" i="1" l="1"/>
  <c r="I164" i="1" a="1"/>
  <c r="I164" i="1" l="1"/>
  <c r="H164" i="1" a="1"/>
  <c r="H164" i="1" l="1"/>
  <c r="G164" i="1" a="1"/>
  <c r="G164" i="1" l="1"/>
  <c r="O164" i="1" s="1"/>
  <c r="F164" i="1" a="1"/>
  <c r="F164" i="1" l="1"/>
  <c r="N163" i="1" a="1"/>
  <c r="N163" i="1" l="1"/>
  <c r="M163" i="1" a="1"/>
  <c r="M163" i="1" l="1"/>
  <c r="L163" i="1" a="1"/>
  <c r="L163" i="1" l="1"/>
  <c r="K163" i="1" a="1"/>
  <c r="K163" i="1" l="1"/>
  <c r="J163" i="1" a="1"/>
  <c r="J163" i="1" l="1"/>
  <c r="I163" i="1" a="1"/>
  <c r="I163" i="1" l="1"/>
  <c r="H163" i="1" a="1"/>
  <c r="H163" i="1" l="1"/>
  <c r="G163" i="1" a="1"/>
  <c r="G163" i="1" l="1"/>
  <c r="O163" i="1" s="1"/>
  <c r="F163" i="1" a="1"/>
  <c r="F163" i="1" l="1"/>
  <c r="N162" i="1" a="1"/>
  <c r="N162" i="1" l="1"/>
  <c r="M162" i="1" a="1"/>
  <c r="M162" i="1" l="1"/>
  <c r="L162" i="1" a="1"/>
  <c r="L162" i="1" l="1"/>
  <c r="K162" i="1" a="1"/>
  <c r="K162" i="1" l="1"/>
  <c r="J162" i="1" a="1"/>
  <c r="J162" i="1" l="1"/>
  <c r="I162" i="1" a="1"/>
  <c r="I162" i="1" l="1"/>
  <c r="H162" i="1" a="1"/>
  <c r="H162" i="1" l="1"/>
  <c r="G162" i="1" a="1"/>
  <c r="G162" i="1" l="1"/>
  <c r="O162" i="1" s="1"/>
  <c r="F162" i="1" a="1"/>
  <c r="F162" i="1" l="1"/>
  <c r="N161" i="1" a="1"/>
  <c r="N161" i="1" l="1"/>
  <c r="M161" i="1" a="1"/>
  <c r="M161" i="1" l="1"/>
  <c r="L161" i="1" a="1"/>
  <c r="L161" i="1" l="1"/>
  <c r="K161" i="1" a="1"/>
  <c r="K161" i="1" l="1"/>
  <c r="J161" i="1" a="1"/>
  <c r="J161" i="1" l="1"/>
  <c r="I161" i="1" a="1"/>
  <c r="I161" i="1" l="1"/>
  <c r="H161" i="1" a="1"/>
  <c r="H161" i="1" l="1"/>
  <c r="G161" i="1" a="1"/>
  <c r="G161" i="1" l="1"/>
  <c r="O161" i="1" s="1"/>
  <c r="F161" i="1" a="1"/>
  <c r="F161" i="1" l="1"/>
  <c r="N160" i="1" a="1"/>
  <c r="N160" i="1" l="1"/>
  <c r="M160" i="1" a="1"/>
  <c r="M160" i="1" l="1"/>
  <c r="L160" i="1" a="1"/>
  <c r="L160" i="1" l="1"/>
  <c r="K160" i="1" a="1"/>
  <c r="K160" i="1" l="1"/>
  <c r="J160" i="1" a="1"/>
  <c r="J160" i="1" l="1"/>
  <c r="I160" i="1" a="1"/>
  <c r="I160" i="1" l="1"/>
  <c r="H160" i="1" a="1"/>
  <c r="H160" i="1" l="1"/>
  <c r="G160" i="1" a="1"/>
  <c r="G160" i="1" l="1"/>
  <c r="O160" i="1" s="1"/>
  <c r="F160" i="1" a="1"/>
  <c r="F160" i="1" l="1"/>
  <c r="N159" i="1" a="1"/>
  <c r="N159" i="1" l="1"/>
  <c r="M159" i="1" a="1"/>
  <c r="M159" i="1" l="1"/>
  <c r="L159" i="1" a="1"/>
  <c r="L159" i="1" l="1"/>
  <c r="K159" i="1" a="1"/>
  <c r="K159" i="1" l="1"/>
  <c r="J159" i="1" a="1"/>
  <c r="J159" i="1" l="1"/>
  <c r="I159" i="1" a="1"/>
  <c r="I159" i="1" l="1"/>
  <c r="H159" i="1" a="1"/>
  <c r="H159" i="1" l="1"/>
  <c r="G159" i="1" a="1"/>
  <c r="G159" i="1" l="1"/>
  <c r="O159" i="1" s="1"/>
  <c r="F159" i="1" a="1"/>
  <c r="F159" i="1" l="1"/>
  <c r="N158" i="1" a="1"/>
  <c r="N158" i="1" l="1"/>
  <c r="M158" i="1" a="1"/>
  <c r="M158" i="1" l="1"/>
  <c r="L158" i="1" a="1"/>
  <c r="L158" i="1" l="1"/>
  <c r="K158" i="1" a="1"/>
  <c r="K158" i="1" l="1"/>
  <c r="J158" i="1" a="1"/>
  <c r="J158" i="1" l="1"/>
  <c r="I158" i="1" a="1"/>
  <c r="I158" i="1" l="1"/>
  <c r="H158" i="1" a="1"/>
  <c r="H158" i="1" l="1"/>
  <c r="G158" i="1" a="1"/>
  <c r="G158" i="1" l="1"/>
  <c r="O158" i="1" s="1"/>
  <c r="F158" i="1" a="1"/>
  <c r="F158" i="1" l="1"/>
  <c r="N157" i="1" a="1"/>
  <c r="N157" i="1" l="1"/>
  <c r="M157" i="1" a="1"/>
  <c r="M157" i="1" l="1"/>
  <c r="L157" i="1" a="1"/>
  <c r="L157" i="1" l="1"/>
  <c r="K157" i="1" a="1"/>
  <c r="K157" i="1" l="1"/>
  <c r="J157" i="1" a="1"/>
  <c r="J157" i="1" l="1"/>
  <c r="I157" i="1" a="1"/>
  <c r="I157" i="1" l="1"/>
  <c r="H157" i="1" a="1"/>
  <c r="H157" i="1" l="1"/>
  <c r="G157" i="1" a="1"/>
  <c r="G157" i="1" l="1"/>
  <c r="O157" i="1" s="1"/>
  <c r="F157" i="1" a="1"/>
  <c r="F157" i="1" l="1"/>
  <c r="N156" i="1" a="1"/>
  <c r="N156" i="1" l="1"/>
  <c r="M156" i="1" a="1"/>
  <c r="M156" i="1" l="1"/>
  <c r="L156" i="1" a="1"/>
  <c r="L156" i="1" l="1"/>
  <c r="K156" i="1" a="1"/>
  <c r="K156" i="1" l="1"/>
  <c r="J156" i="1" a="1"/>
  <c r="J156" i="1" l="1"/>
  <c r="I156" i="1" a="1"/>
  <c r="I156" i="1" l="1"/>
  <c r="H156" i="1" a="1"/>
  <c r="H156" i="1" l="1"/>
  <c r="G156" i="1" a="1"/>
  <c r="G156" i="1" l="1"/>
  <c r="O156" i="1" s="1"/>
  <c r="F156" i="1" a="1"/>
  <c r="F156" i="1" l="1"/>
  <c r="N155" i="1" a="1"/>
  <c r="N155" i="1" l="1"/>
  <c r="M155" i="1" a="1"/>
  <c r="M155" i="1" l="1"/>
  <c r="L155" i="1" a="1"/>
  <c r="L155" i="1" l="1"/>
  <c r="K155" i="1" a="1"/>
  <c r="K155" i="1" l="1"/>
  <c r="J155" i="1" a="1"/>
  <c r="J155" i="1" l="1"/>
  <c r="I155" i="1" a="1"/>
  <c r="I155" i="1" l="1"/>
  <c r="H155" i="1" a="1"/>
  <c r="H155" i="1" l="1"/>
  <c r="G155" i="1" a="1"/>
  <c r="G155" i="1" l="1"/>
  <c r="O155" i="1" s="1"/>
  <c r="F155" i="1" a="1"/>
  <c r="F155" i="1" l="1"/>
  <c r="N154" i="1" a="1"/>
  <c r="N154" i="1" l="1"/>
  <c r="M154" i="1" a="1"/>
  <c r="M154" i="1" l="1"/>
  <c r="L154" i="1" a="1"/>
  <c r="L154" i="1" l="1"/>
  <c r="K154" i="1" a="1"/>
  <c r="K154" i="1" l="1"/>
  <c r="J154" i="1" a="1"/>
  <c r="J154" i="1" l="1"/>
  <c r="I154" i="1" a="1"/>
  <c r="I154" i="1" l="1"/>
  <c r="H154" i="1" a="1"/>
  <c r="H154" i="1" l="1"/>
  <c r="G154" i="1" a="1"/>
  <c r="G154" i="1" l="1"/>
  <c r="O154" i="1" s="1"/>
  <c r="F154" i="1" a="1"/>
  <c r="F154" i="1" l="1"/>
  <c r="N153" i="1" a="1"/>
  <c r="N153" i="1" l="1"/>
  <c r="M153" i="1" a="1"/>
  <c r="M153" i="1" l="1"/>
  <c r="L153" i="1" a="1"/>
  <c r="L153" i="1" l="1"/>
  <c r="K153" i="1" a="1"/>
  <c r="K153" i="1" l="1"/>
  <c r="J153" i="1" a="1"/>
  <c r="J153" i="1" l="1"/>
  <c r="I153" i="1" a="1"/>
  <c r="I153" i="1" l="1"/>
  <c r="H153" i="1" a="1"/>
  <c r="H153" i="1" l="1"/>
  <c r="G153" i="1" a="1"/>
  <c r="G153" i="1" l="1"/>
  <c r="O153" i="1" s="1"/>
  <c r="F153" i="1" a="1"/>
  <c r="F153" i="1" l="1"/>
  <c r="N152" i="1" a="1"/>
  <c r="N152" i="1" l="1"/>
  <c r="M152" i="1" a="1"/>
  <c r="M152" i="1" l="1"/>
  <c r="L152" i="1" a="1"/>
  <c r="L152" i="1" l="1"/>
  <c r="K152" i="1" a="1"/>
  <c r="K152" i="1" l="1"/>
  <c r="J152" i="1" a="1"/>
  <c r="J152" i="1" l="1"/>
  <c r="I152" i="1" a="1"/>
  <c r="I152" i="1" l="1"/>
  <c r="H152" i="1" a="1"/>
  <c r="H152" i="1" l="1"/>
  <c r="G152" i="1" a="1"/>
  <c r="G152" i="1" l="1"/>
  <c r="O152" i="1" s="1"/>
  <c r="F152" i="1" a="1"/>
  <c r="F152" i="1" l="1"/>
  <c r="N151" i="1" a="1"/>
  <c r="N151" i="1" l="1"/>
  <c r="M151" i="1" a="1"/>
  <c r="M151" i="1" l="1"/>
  <c r="L151" i="1" a="1"/>
  <c r="L151" i="1" l="1"/>
  <c r="K151" i="1" a="1"/>
  <c r="K151" i="1" l="1"/>
  <c r="J151" i="1" a="1"/>
  <c r="J151" i="1" l="1"/>
  <c r="I151" i="1" a="1"/>
  <c r="I151" i="1" l="1"/>
  <c r="H151" i="1" a="1"/>
  <c r="H151" i="1" l="1"/>
  <c r="G151" i="1" a="1"/>
  <c r="G151" i="1" l="1"/>
  <c r="O151" i="1" s="1"/>
  <c r="F151" i="1" a="1"/>
  <c r="F151" i="1" l="1"/>
  <c r="N150" i="1" a="1"/>
  <c r="N150" i="1" l="1"/>
  <c r="M150" i="1" a="1"/>
  <c r="M150" i="1" l="1"/>
  <c r="L150" i="1" a="1"/>
  <c r="L150" i="1" l="1"/>
  <c r="K150" i="1" a="1"/>
  <c r="K150" i="1" l="1"/>
  <c r="J150" i="1" a="1"/>
  <c r="J150" i="1" l="1"/>
  <c r="I150" i="1" a="1"/>
  <c r="I150" i="1" l="1"/>
  <c r="H150" i="1" a="1"/>
  <c r="H150" i="1" l="1"/>
  <c r="G150" i="1" a="1"/>
  <c r="G150" i="1" l="1"/>
  <c r="O150" i="1" s="1"/>
  <c r="F150" i="1" a="1"/>
  <c r="F150" i="1" l="1"/>
  <c r="N149" i="1" a="1"/>
  <c r="N149" i="1" l="1"/>
  <c r="M149" i="1" a="1"/>
  <c r="M149" i="1" l="1"/>
  <c r="L149" i="1" a="1"/>
  <c r="L149" i="1" l="1"/>
  <c r="K149" i="1" a="1"/>
  <c r="K149" i="1" l="1"/>
  <c r="J149" i="1" a="1"/>
  <c r="J149" i="1" l="1"/>
  <c r="I149" i="1" a="1"/>
  <c r="I149" i="1" l="1"/>
  <c r="H149" i="1" a="1"/>
  <c r="H149" i="1" l="1"/>
  <c r="G149" i="1" a="1"/>
  <c r="G149" i="1" l="1"/>
  <c r="O149" i="1" s="1"/>
  <c r="F149" i="1" a="1"/>
  <c r="F149" i="1" l="1"/>
  <c r="N148" i="1" a="1"/>
  <c r="N148" i="1" l="1"/>
  <c r="M148" i="1" a="1"/>
  <c r="M148" i="1" l="1"/>
  <c r="L148" i="1" a="1"/>
  <c r="L148" i="1" l="1"/>
  <c r="K148" i="1" a="1"/>
  <c r="K148" i="1" l="1"/>
  <c r="J148" i="1" a="1"/>
  <c r="J148" i="1" l="1"/>
  <c r="I148" i="1" a="1"/>
  <c r="I148" i="1" l="1"/>
  <c r="H148" i="1" a="1"/>
  <c r="H148" i="1" l="1"/>
  <c r="G148" i="1" a="1"/>
  <c r="G148" i="1" l="1"/>
  <c r="O148" i="1" s="1"/>
  <c r="F148" i="1" a="1"/>
  <c r="F148" i="1" l="1"/>
  <c r="N147" i="1" a="1"/>
  <c r="N147" i="1" l="1"/>
  <c r="M147" i="1" a="1"/>
  <c r="M147" i="1" l="1"/>
  <c r="L147" i="1" a="1"/>
  <c r="L147" i="1" l="1"/>
  <c r="K147" i="1" a="1"/>
  <c r="K147" i="1" l="1"/>
  <c r="J147" i="1" a="1"/>
  <c r="J147" i="1" l="1"/>
  <c r="I147" i="1" a="1"/>
  <c r="I147" i="1" l="1"/>
  <c r="H147" i="1" a="1"/>
  <c r="H147" i="1" l="1"/>
  <c r="G147" i="1" a="1"/>
  <c r="G147" i="1" l="1"/>
  <c r="O147" i="1" s="1"/>
  <c r="F147" i="1" a="1"/>
  <c r="F147" i="1" l="1"/>
  <c r="N146" i="1" a="1"/>
  <c r="N146" i="1" l="1"/>
  <c r="M146" i="1" a="1"/>
  <c r="M146" i="1" l="1"/>
  <c r="L146" i="1" a="1"/>
  <c r="L146" i="1" l="1"/>
  <c r="K146" i="1" a="1"/>
  <c r="K146" i="1" l="1"/>
  <c r="J146" i="1" a="1"/>
  <c r="J146" i="1" l="1"/>
  <c r="I146" i="1" a="1"/>
  <c r="I146" i="1" l="1"/>
  <c r="H146" i="1" a="1"/>
  <c r="H146" i="1" l="1"/>
  <c r="G146" i="1" a="1"/>
  <c r="G146" i="1" l="1"/>
  <c r="O146" i="1" s="1"/>
  <c r="F146" i="1" a="1"/>
  <c r="F146" i="1" l="1"/>
  <c r="N145" i="1" a="1"/>
  <c r="N145" i="1" l="1"/>
  <c r="M145" i="1" a="1"/>
  <c r="M145" i="1" l="1"/>
  <c r="L145" i="1" a="1"/>
  <c r="L145" i="1" l="1"/>
  <c r="K145" i="1" a="1"/>
  <c r="K145" i="1" l="1"/>
  <c r="J145" i="1" a="1"/>
  <c r="J145" i="1" l="1"/>
  <c r="I145" i="1" a="1"/>
  <c r="I145" i="1" l="1"/>
  <c r="H145" i="1" a="1"/>
  <c r="H145" i="1" l="1"/>
  <c r="G145" i="1" a="1"/>
  <c r="G145" i="1" l="1"/>
  <c r="O145" i="1" s="1"/>
  <c r="F145" i="1" a="1"/>
  <c r="F145" i="1" l="1"/>
  <c r="N144" i="1" a="1"/>
  <c r="N144" i="1" l="1"/>
  <c r="M144" i="1" a="1"/>
  <c r="M144" i="1" l="1"/>
  <c r="L144" i="1" a="1"/>
  <c r="L144" i="1" l="1"/>
  <c r="K144" i="1" a="1"/>
  <c r="K144" i="1" l="1"/>
  <c r="J144" i="1" a="1"/>
  <c r="J144" i="1" l="1"/>
  <c r="I144" i="1" a="1"/>
  <c r="I144" i="1" l="1"/>
  <c r="H144" i="1" a="1"/>
  <c r="H144" i="1" l="1"/>
  <c r="G144" i="1" a="1"/>
  <c r="G144" i="1" l="1"/>
  <c r="O144" i="1" s="1"/>
  <c r="F144" i="1" a="1"/>
  <c r="F144" i="1" l="1"/>
  <c r="N143" i="1" a="1"/>
  <c r="N143" i="1" l="1"/>
  <c r="M143" i="1" a="1"/>
  <c r="M143" i="1" l="1"/>
  <c r="L143" i="1" a="1"/>
  <c r="L143" i="1" l="1"/>
  <c r="K143" i="1" a="1"/>
  <c r="K143" i="1" l="1"/>
  <c r="J143" i="1" a="1"/>
  <c r="J143" i="1" l="1"/>
  <c r="I143" i="1" a="1"/>
  <c r="I143" i="1" l="1"/>
  <c r="H143" i="1" a="1"/>
  <c r="H143" i="1" l="1"/>
  <c r="G143" i="1" a="1"/>
  <c r="G143" i="1" l="1"/>
  <c r="O143" i="1" s="1"/>
  <c r="F143" i="1" a="1"/>
  <c r="F143" i="1" l="1"/>
  <c r="N142" i="1" a="1"/>
  <c r="N142" i="1" l="1"/>
  <c r="M142" i="1" a="1"/>
  <c r="M142" i="1" l="1"/>
  <c r="L142" i="1" a="1"/>
  <c r="L142" i="1" l="1"/>
  <c r="K142" i="1" a="1"/>
  <c r="K142" i="1" l="1"/>
  <c r="J142" i="1" a="1"/>
  <c r="J142" i="1" l="1"/>
  <c r="I142" i="1" a="1"/>
  <c r="I142" i="1" l="1"/>
  <c r="H142" i="1" a="1"/>
  <c r="H142" i="1" l="1"/>
  <c r="G142" i="1" a="1"/>
  <c r="G142" i="1" l="1"/>
  <c r="O142" i="1" s="1"/>
  <c r="F142" i="1" a="1"/>
  <c r="F142" i="1" l="1"/>
  <c r="N141" i="1" a="1"/>
  <c r="N141" i="1" l="1"/>
  <c r="M141" i="1" a="1"/>
  <c r="M141" i="1" l="1"/>
  <c r="L141" i="1" a="1"/>
  <c r="L141" i="1" l="1"/>
  <c r="K141" i="1" a="1"/>
  <c r="K141" i="1" l="1"/>
  <c r="J141" i="1" a="1"/>
  <c r="J141" i="1" l="1"/>
  <c r="I141" i="1" a="1"/>
  <c r="I141" i="1" l="1"/>
  <c r="H141" i="1" a="1"/>
  <c r="H141" i="1" l="1"/>
  <c r="G141" i="1" a="1"/>
  <c r="G141" i="1" l="1"/>
  <c r="O141" i="1" s="1"/>
  <c r="F141" i="1" a="1"/>
  <c r="F141" i="1" l="1"/>
  <c r="N140" i="1" a="1"/>
  <c r="N140" i="1" l="1"/>
  <c r="M140" i="1" a="1"/>
  <c r="M140" i="1" l="1"/>
  <c r="L140" i="1" a="1"/>
  <c r="L140" i="1" l="1"/>
  <c r="K140" i="1" a="1"/>
  <c r="K140" i="1" l="1"/>
  <c r="J140" i="1" a="1"/>
  <c r="J140" i="1" l="1"/>
  <c r="I140" i="1" a="1"/>
  <c r="I140" i="1" l="1"/>
  <c r="H140" i="1" a="1"/>
  <c r="H140" i="1" l="1"/>
  <c r="G140" i="1" a="1"/>
  <c r="G140" i="1" l="1"/>
  <c r="O140" i="1" s="1"/>
  <c r="F140" i="1" a="1"/>
  <c r="F140" i="1" l="1"/>
  <c r="N139" i="1" a="1"/>
  <c r="N139" i="1" l="1"/>
  <c r="M139" i="1" a="1"/>
  <c r="M139" i="1" l="1"/>
  <c r="L139" i="1" a="1"/>
  <c r="L139" i="1" l="1"/>
  <c r="K139" i="1" a="1"/>
  <c r="K139" i="1" l="1"/>
  <c r="J139" i="1" a="1"/>
  <c r="J139" i="1" l="1"/>
  <c r="I139" i="1" a="1"/>
  <c r="I139" i="1" l="1"/>
  <c r="H139" i="1" a="1"/>
  <c r="H139" i="1" l="1"/>
  <c r="G139" i="1" a="1"/>
  <c r="G139" i="1" l="1"/>
  <c r="O139" i="1" s="1"/>
  <c r="F139" i="1" a="1"/>
  <c r="F139" i="1" l="1"/>
  <c r="N138" i="1" a="1"/>
  <c r="N138" i="1" l="1"/>
  <c r="M138" i="1" a="1"/>
  <c r="M138" i="1" l="1"/>
  <c r="L138" i="1" a="1"/>
  <c r="L138" i="1" l="1"/>
  <c r="K138" i="1" a="1"/>
  <c r="K138" i="1" l="1"/>
  <c r="J138" i="1" a="1"/>
  <c r="J138" i="1" l="1"/>
  <c r="I138" i="1" a="1"/>
  <c r="I138" i="1" l="1"/>
  <c r="H138" i="1" a="1"/>
  <c r="H138" i="1" l="1"/>
  <c r="G138" i="1" a="1"/>
  <c r="G138" i="1" l="1"/>
  <c r="O138" i="1" s="1"/>
  <c r="F138" i="1" a="1"/>
  <c r="F138" i="1" l="1"/>
  <c r="N137" i="1" a="1"/>
  <c r="N137" i="1" l="1"/>
  <c r="M137" i="1" a="1"/>
  <c r="M137" i="1" l="1"/>
  <c r="L137" i="1" a="1"/>
  <c r="L137" i="1" l="1"/>
  <c r="K137" i="1" a="1"/>
  <c r="K137" i="1" l="1"/>
  <c r="J137" i="1" a="1"/>
  <c r="J137" i="1" l="1"/>
  <c r="I137" i="1" a="1"/>
  <c r="I137" i="1" l="1"/>
  <c r="H137" i="1" a="1"/>
  <c r="H137" i="1" l="1"/>
  <c r="G137" i="1" a="1"/>
  <c r="G137" i="1" l="1"/>
  <c r="O137" i="1" s="1"/>
  <c r="F137" i="1" a="1"/>
  <c r="F137" i="1" l="1"/>
  <c r="N136" i="1" a="1"/>
  <c r="N136" i="1" l="1"/>
  <c r="M136" i="1" a="1"/>
  <c r="M136" i="1" l="1"/>
  <c r="L136" i="1" a="1"/>
  <c r="L136" i="1" l="1"/>
  <c r="K136" i="1" a="1"/>
  <c r="K136" i="1" l="1"/>
  <c r="J136" i="1" a="1"/>
  <c r="J136" i="1" l="1"/>
  <c r="I136" i="1" a="1"/>
  <c r="I136" i="1" l="1"/>
  <c r="H136" i="1" a="1"/>
  <c r="H136" i="1" l="1"/>
  <c r="G136" i="1" a="1"/>
  <c r="G136" i="1" l="1"/>
  <c r="O136" i="1" s="1"/>
  <c r="F136" i="1" a="1"/>
  <c r="F136" i="1" l="1"/>
  <c r="N135" i="1" a="1"/>
  <c r="N135" i="1" l="1"/>
  <c r="M135" i="1" a="1"/>
  <c r="M135" i="1" l="1"/>
  <c r="L135" i="1" a="1"/>
  <c r="L135" i="1" l="1"/>
  <c r="K135" i="1" a="1"/>
  <c r="K135" i="1" l="1"/>
  <c r="J135" i="1" a="1"/>
  <c r="J135" i="1" l="1"/>
  <c r="I135" i="1" a="1"/>
  <c r="I135" i="1" l="1"/>
  <c r="H135" i="1" a="1"/>
  <c r="H135" i="1" l="1"/>
  <c r="G135" i="1" a="1"/>
  <c r="G135" i="1" l="1"/>
  <c r="O135" i="1" s="1"/>
  <c r="F135" i="1" a="1"/>
  <c r="F135" i="1" l="1"/>
  <c r="N134" i="1" a="1"/>
  <c r="N134" i="1" l="1"/>
  <c r="M134" i="1" a="1"/>
  <c r="M134" i="1" l="1"/>
  <c r="L134" i="1" a="1"/>
  <c r="L134" i="1" l="1"/>
  <c r="K134" i="1" a="1"/>
  <c r="K134" i="1" l="1"/>
  <c r="J134" i="1" a="1"/>
  <c r="J134" i="1" l="1"/>
  <c r="I134" i="1" a="1"/>
  <c r="I134" i="1" l="1"/>
  <c r="H134" i="1" a="1"/>
  <c r="H134" i="1" l="1"/>
  <c r="G134" i="1" a="1"/>
  <c r="G134" i="1" l="1"/>
  <c r="O134" i="1" s="1"/>
  <c r="F134" i="1" a="1"/>
  <c r="F134" i="1" l="1"/>
  <c r="N133" i="1" a="1"/>
  <c r="N133" i="1" l="1"/>
  <c r="M133" i="1" a="1"/>
  <c r="M133" i="1" l="1"/>
  <c r="L133" i="1" a="1"/>
  <c r="L133" i="1" l="1"/>
  <c r="K133" i="1" a="1"/>
  <c r="K133" i="1" l="1"/>
  <c r="J133" i="1" a="1"/>
  <c r="J133" i="1" l="1"/>
  <c r="I133" i="1" a="1"/>
  <c r="I133" i="1" l="1"/>
  <c r="H133" i="1" a="1"/>
  <c r="H133" i="1" l="1"/>
  <c r="G133" i="1" a="1"/>
  <c r="G133" i="1" l="1"/>
  <c r="O133" i="1" s="1"/>
  <c r="F133" i="1" a="1"/>
  <c r="F133" i="1" l="1"/>
  <c r="N132" i="1" a="1"/>
  <c r="N132" i="1" l="1"/>
  <c r="M132" i="1" a="1"/>
  <c r="M132" i="1" l="1"/>
  <c r="L132" i="1" a="1"/>
  <c r="L132" i="1" l="1"/>
  <c r="K132" i="1" a="1"/>
  <c r="K132" i="1" l="1"/>
  <c r="J132" i="1" a="1"/>
  <c r="J132" i="1" l="1"/>
  <c r="I132" i="1" a="1"/>
  <c r="I132" i="1" l="1"/>
  <c r="H132" i="1" a="1"/>
  <c r="H132" i="1" l="1"/>
  <c r="G132" i="1" a="1"/>
  <c r="G132" i="1" l="1"/>
  <c r="O132" i="1" s="1"/>
  <c r="F132" i="1" a="1"/>
  <c r="F132" i="1" l="1"/>
  <c r="N131" i="1" a="1"/>
  <c r="N131" i="1" l="1"/>
  <c r="M131" i="1" a="1"/>
  <c r="M131" i="1" l="1"/>
  <c r="L131" i="1" a="1"/>
  <c r="L131" i="1" l="1"/>
  <c r="K131" i="1" a="1"/>
  <c r="K131" i="1" l="1"/>
  <c r="J131" i="1" a="1"/>
  <c r="J131" i="1" l="1"/>
  <c r="I131" i="1" a="1"/>
  <c r="I131" i="1" l="1"/>
  <c r="H131" i="1" a="1"/>
  <c r="H131" i="1" l="1"/>
  <c r="G131" i="1" a="1"/>
  <c r="G131" i="1" l="1"/>
  <c r="O131" i="1" s="1"/>
  <c r="F131" i="1" a="1"/>
  <c r="F131" i="1" l="1"/>
  <c r="N130" i="1" a="1"/>
  <c r="N130" i="1" l="1"/>
  <c r="M130" i="1" a="1"/>
  <c r="M130" i="1" l="1"/>
  <c r="L130" i="1" a="1"/>
  <c r="L130" i="1" l="1"/>
  <c r="K130" i="1" a="1"/>
  <c r="K130" i="1" l="1"/>
  <c r="J130" i="1" a="1"/>
  <c r="J130" i="1" l="1"/>
  <c r="I130" i="1" a="1"/>
  <c r="I130" i="1" l="1"/>
  <c r="H130" i="1" a="1"/>
  <c r="H130" i="1" l="1"/>
  <c r="G130" i="1" a="1"/>
  <c r="G130" i="1" l="1"/>
  <c r="O130" i="1" s="1"/>
  <c r="F130" i="1" a="1"/>
  <c r="F130" i="1" l="1"/>
  <c r="N129" i="1" a="1"/>
  <c r="N129" i="1" l="1"/>
  <c r="M129" i="1" a="1"/>
  <c r="M129" i="1" l="1"/>
  <c r="L129" i="1" a="1"/>
  <c r="L129" i="1" l="1"/>
  <c r="K129" i="1" a="1"/>
  <c r="K129" i="1" l="1"/>
  <c r="J129" i="1" a="1"/>
  <c r="J129" i="1" l="1"/>
  <c r="I129" i="1" a="1"/>
  <c r="I129" i="1" l="1"/>
  <c r="H129" i="1" a="1"/>
  <c r="H129" i="1" l="1"/>
  <c r="G129" i="1" a="1"/>
  <c r="G129" i="1" l="1"/>
  <c r="O129" i="1" s="1"/>
  <c r="F129" i="1" a="1"/>
  <c r="F129" i="1" l="1"/>
  <c r="N128" i="1" a="1"/>
  <c r="N128" i="1" l="1"/>
  <c r="M128" i="1" a="1"/>
  <c r="M128" i="1" l="1"/>
  <c r="L128" i="1" a="1"/>
  <c r="L128" i="1" l="1"/>
  <c r="K128" i="1" a="1"/>
  <c r="K128" i="1" l="1"/>
  <c r="J128" i="1" a="1"/>
  <c r="J128" i="1" l="1"/>
  <c r="I128" i="1" a="1"/>
  <c r="I128" i="1" l="1"/>
  <c r="H128" i="1" a="1"/>
  <c r="H128" i="1" l="1"/>
  <c r="G128" i="1" a="1"/>
  <c r="G128" i="1" l="1"/>
  <c r="O128" i="1" s="1"/>
  <c r="F128" i="1" a="1"/>
  <c r="F128" i="1" l="1"/>
  <c r="N127" i="1" a="1"/>
  <c r="N127" i="1" l="1"/>
  <c r="M127" i="1" a="1"/>
  <c r="M127" i="1" l="1"/>
  <c r="L127" i="1" a="1"/>
  <c r="L127" i="1" l="1"/>
  <c r="K127" i="1" a="1"/>
  <c r="K127" i="1" l="1"/>
  <c r="J127" i="1" a="1"/>
  <c r="J127" i="1" l="1"/>
  <c r="I127" i="1" a="1"/>
  <c r="I127" i="1" l="1"/>
  <c r="H127" i="1" a="1"/>
  <c r="H127" i="1" l="1"/>
  <c r="G127" i="1" a="1"/>
  <c r="G127" i="1" l="1"/>
  <c r="O127" i="1" s="1"/>
  <c r="F127" i="1" a="1"/>
  <c r="F127" i="1" l="1"/>
  <c r="N126" i="1" a="1"/>
  <c r="N126" i="1" l="1"/>
  <c r="M126" i="1" a="1"/>
  <c r="M126" i="1" l="1"/>
  <c r="L126" i="1" a="1"/>
  <c r="L126" i="1" l="1"/>
  <c r="K126" i="1" a="1"/>
  <c r="K126" i="1" l="1"/>
  <c r="J126" i="1" a="1"/>
  <c r="J126" i="1" l="1"/>
  <c r="I126" i="1" a="1"/>
  <c r="I126" i="1" l="1"/>
  <c r="H126" i="1" a="1"/>
  <c r="H126" i="1" l="1"/>
  <c r="G126" i="1" a="1"/>
  <c r="G126" i="1" l="1"/>
  <c r="O126" i="1" s="1"/>
  <c r="F126" i="1" a="1"/>
  <c r="F126" i="1" l="1"/>
  <c r="N125" i="1" a="1"/>
  <c r="N125" i="1" l="1"/>
  <c r="M125" i="1" a="1"/>
  <c r="M125" i="1" l="1"/>
  <c r="L125" i="1" a="1"/>
  <c r="L125" i="1" l="1"/>
  <c r="K125" i="1" a="1"/>
  <c r="K125" i="1" l="1"/>
  <c r="J125" i="1" a="1"/>
  <c r="J125" i="1" l="1"/>
  <c r="I125" i="1" a="1"/>
  <c r="I125" i="1" l="1"/>
  <c r="H125" i="1" a="1"/>
  <c r="H125" i="1" l="1"/>
  <c r="G125" i="1" a="1"/>
  <c r="G125" i="1" l="1"/>
  <c r="O125" i="1" s="1"/>
  <c r="F125" i="1" a="1"/>
  <c r="F125" i="1" l="1"/>
  <c r="N124" i="1" a="1"/>
  <c r="N124" i="1" l="1"/>
  <c r="M124" i="1" a="1"/>
  <c r="M124" i="1" l="1"/>
  <c r="L124" i="1" a="1"/>
  <c r="L124" i="1" l="1"/>
  <c r="K124" i="1" a="1"/>
  <c r="K124" i="1" l="1"/>
  <c r="J124" i="1" a="1"/>
  <c r="J124" i="1" l="1"/>
  <c r="I124" i="1" a="1"/>
  <c r="I124" i="1" l="1"/>
  <c r="H124" i="1" a="1"/>
  <c r="H124" i="1" l="1"/>
  <c r="G124" i="1" a="1"/>
  <c r="G124" i="1" l="1"/>
  <c r="O124" i="1" s="1"/>
  <c r="F124" i="1" a="1"/>
  <c r="F124" i="1" l="1"/>
  <c r="N123" i="1" a="1"/>
  <c r="N123" i="1" l="1"/>
  <c r="M123" i="1" a="1"/>
  <c r="M123" i="1" l="1"/>
  <c r="L123" i="1" a="1"/>
  <c r="L123" i="1" l="1"/>
  <c r="K123" i="1" a="1"/>
  <c r="K123" i="1" l="1"/>
  <c r="J123" i="1" a="1"/>
  <c r="J123" i="1" l="1"/>
  <c r="I123" i="1" a="1"/>
  <c r="I123" i="1" l="1"/>
  <c r="H123" i="1" a="1"/>
  <c r="H123" i="1" l="1"/>
  <c r="G123" i="1" a="1"/>
  <c r="G123" i="1" l="1"/>
  <c r="O123" i="1" s="1"/>
  <c r="F123" i="1" a="1"/>
  <c r="F123" i="1" l="1"/>
  <c r="N122" i="1" a="1"/>
  <c r="N122" i="1" l="1"/>
  <c r="M122" i="1" a="1"/>
  <c r="M122" i="1" l="1"/>
  <c r="L122" i="1" a="1"/>
  <c r="L122" i="1" l="1"/>
  <c r="K122" i="1" a="1"/>
  <c r="K122" i="1" l="1"/>
  <c r="J122" i="1" a="1"/>
  <c r="J122" i="1" l="1"/>
  <c r="I122" i="1" a="1"/>
  <c r="I122" i="1" l="1"/>
  <c r="H122" i="1" a="1"/>
  <c r="H122" i="1" l="1"/>
  <c r="G122" i="1" a="1"/>
  <c r="G122" i="1" l="1"/>
  <c r="O122" i="1" s="1"/>
  <c r="F122" i="1" a="1"/>
  <c r="F122" i="1" l="1"/>
  <c r="N121" i="1" a="1"/>
  <c r="N121" i="1" l="1"/>
  <c r="M121" i="1" a="1"/>
  <c r="M121" i="1" l="1"/>
  <c r="L121" i="1" a="1"/>
  <c r="L121" i="1" l="1"/>
  <c r="K121" i="1" a="1"/>
  <c r="K121" i="1" l="1"/>
  <c r="J121" i="1" a="1"/>
  <c r="J121" i="1" l="1"/>
  <c r="I121" i="1" a="1"/>
  <c r="I121" i="1" l="1"/>
  <c r="H121" i="1" a="1"/>
  <c r="H121" i="1" l="1"/>
  <c r="G121" i="1" a="1"/>
  <c r="G121" i="1" l="1"/>
  <c r="O121" i="1" s="1"/>
  <c r="F121" i="1" a="1"/>
  <c r="F121" i="1" l="1"/>
  <c r="N120" i="1" a="1"/>
  <c r="N120" i="1" l="1"/>
  <c r="M120" i="1" a="1"/>
  <c r="M120" i="1" l="1"/>
  <c r="L120" i="1" a="1"/>
  <c r="L120" i="1" l="1"/>
  <c r="K120" i="1" a="1"/>
  <c r="K120" i="1" l="1"/>
  <c r="J120" i="1" a="1"/>
  <c r="J120" i="1" l="1"/>
  <c r="I120" i="1" a="1"/>
  <c r="I120" i="1" l="1"/>
  <c r="H120" i="1" a="1"/>
  <c r="H120" i="1" l="1"/>
  <c r="G120" i="1" a="1"/>
  <c r="G120" i="1" l="1"/>
  <c r="O120" i="1" s="1"/>
  <c r="F120" i="1" a="1"/>
  <c r="F120" i="1" l="1"/>
  <c r="N119" i="1" a="1"/>
  <c r="N119" i="1" l="1"/>
  <c r="M119" i="1" a="1"/>
  <c r="M119" i="1" l="1"/>
  <c r="L119" i="1" a="1"/>
  <c r="L119" i="1" l="1"/>
  <c r="K119" i="1" a="1"/>
  <c r="K119" i="1" l="1"/>
  <c r="J119" i="1" a="1"/>
  <c r="J119" i="1" l="1"/>
  <c r="I119" i="1" a="1"/>
  <c r="I119" i="1" l="1"/>
  <c r="H119" i="1" a="1"/>
  <c r="H119" i="1" l="1"/>
  <c r="G119" i="1" a="1"/>
  <c r="G119" i="1" l="1"/>
  <c r="O119" i="1" s="1"/>
  <c r="F119" i="1" a="1"/>
  <c r="F119" i="1" l="1"/>
  <c r="N118" i="1" a="1"/>
  <c r="N118" i="1" l="1"/>
  <c r="M118" i="1" a="1"/>
  <c r="M118" i="1" l="1"/>
  <c r="L118" i="1" a="1"/>
  <c r="L118" i="1" l="1"/>
  <c r="K118" i="1" a="1"/>
  <c r="K118" i="1" l="1"/>
  <c r="J118" i="1" a="1"/>
  <c r="J118" i="1" l="1"/>
  <c r="I118" i="1" a="1"/>
  <c r="I118" i="1" l="1"/>
  <c r="H118" i="1" a="1"/>
  <c r="H118" i="1" l="1"/>
  <c r="G118" i="1" a="1"/>
  <c r="G118" i="1" l="1"/>
  <c r="O118" i="1" s="1"/>
  <c r="F118" i="1" a="1"/>
  <c r="F118" i="1" l="1"/>
  <c r="N117" i="1" a="1"/>
  <c r="N117" i="1" l="1"/>
  <c r="M117" i="1" a="1"/>
  <c r="M117" i="1" l="1"/>
  <c r="L117" i="1" a="1"/>
  <c r="L117" i="1" l="1"/>
  <c r="K117" i="1" a="1"/>
  <c r="K117" i="1" l="1"/>
  <c r="J117" i="1" a="1"/>
  <c r="J117" i="1" l="1"/>
  <c r="I117" i="1" a="1"/>
  <c r="I117" i="1" l="1"/>
  <c r="H117" i="1" a="1"/>
  <c r="H117" i="1" l="1"/>
  <c r="G117" i="1" a="1"/>
  <c r="G117" i="1" l="1"/>
  <c r="O117" i="1" s="1"/>
  <c r="F117" i="1" a="1"/>
  <c r="F117" i="1" l="1"/>
  <c r="N116" i="1" a="1"/>
  <c r="N116" i="1" l="1"/>
  <c r="M116" i="1" a="1"/>
  <c r="M116" i="1" l="1"/>
  <c r="L116" i="1" a="1"/>
  <c r="L116" i="1" l="1"/>
  <c r="K116" i="1" a="1"/>
  <c r="K116" i="1" l="1"/>
  <c r="J116" i="1" a="1"/>
  <c r="J116" i="1" l="1"/>
  <c r="I116" i="1" a="1"/>
  <c r="I116" i="1" l="1"/>
  <c r="H116" i="1" a="1"/>
  <c r="H116" i="1" l="1"/>
  <c r="G116" i="1" a="1"/>
  <c r="G116" i="1" l="1"/>
  <c r="O116" i="1" s="1"/>
  <c r="F116" i="1" a="1"/>
  <c r="F116" i="1" l="1"/>
  <c r="N115" i="1" a="1"/>
  <c r="N115" i="1" l="1"/>
  <c r="M115" i="1" a="1"/>
  <c r="M115" i="1" l="1"/>
  <c r="L115" i="1" a="1"/>
  <c r="L115" i="1" l="1"/>
  <c r="K115" i="1" a="1"/>
  <c r="K115" i="1" l="1"/>
  <c r="J115" i="1" a="1"/>
  <c r="J115" i="1" l="1"/>
  <c r="I115" i="1" a="1"/>
  <c r="I115" i="1" l="1"/>
  <c r="H115" i="1" a="1"/>
  <c r="H115" i="1" l="1"/>
  <c r="G115" i="1" a="1"/>
  <c r="G115" i="1" l="1"/>
  <c r="O115" i="1" s="1"/>
  <c r="F115" i="1" a="1"/>
  <c r="F115" i="1" l="1"/>
  <c r="N114" i="1" a="1"/>
  <c r="N114" i="1" l="1"/>
  <c r="M114" i="1" a="1"/>
  <c r="M114" i="1" l="1"/>
  <c r="L114" i="1" a="1"/>
  <c r="L114" i="1" l="1"/>
  <c r="K114" i="1" a="1"/>
  <c r="K114" i="1" l="1"/>
  <c r="J114" i="1" a="1"/>
  <c r="J114" i="1" l="1"/>
  <c r="I114" i="1" a="1"/>
  <c r="I114" i="1" l="1"/>
  <c r="H114" i="1" a="1"/>
  <c r="H114" i="1" l="1"/>
  <c r="G114" i="1" a="1"/>
  <c r="G114" i="1" l="1"/>
  <c r="O114" i="1" s="1"/>
  <c r="F114" i="1" a="1"/>
  <c r="F114" i="1" l="1"/>
  <c r="N113" i="1" a="1"/>
  <c r="N113" i="1" l="1"/>
  <c r="M113" i="1" a="1"/>
  <c r="M113" i="1" l="1"/>
  <c r="L113" i="1" a="1"/>
  <c r="L113" i="1" l="1"/>
  <c r="K113" i="1" a="1"/>
  <c r="K113" i="1" l="1"/>
  <c r="J113" i="1" a="1"/>
  <c r="J113" i="1" l="1"/>
  <c r="I113" i="1" a="1"/>
  <c r="I113" i="1" l="1"/>
  <c r="H113" i="1" a="1"/>
  <c r="H113" i="1" l="1"/>
  <c r="G113" i="1" a="1"/>
  <c r="G113" i="1" l="1"/>
  <c r="O113" i="1" s="1"/>
  <c r="F113" i="1" a="1"/>
  <c r="F113" i="1" l="1"/>
  <c r="N112" i="1" a="1"/>
  <c r="N112" i="1" l="1"/>
  <c r="M112" i="1" a="1"/>
  <c r="M112" i="1" l="1"/>
  <c r="L112" i="1" a="1"/>
  <c r="L112" i="1" l="1"/>
  <c r="K112" i="1" a="1"/>
  <c r="K112" i="1" l="1"/>
  <c r="J112" i="1" a="1"/>
  <c r="J112" i="1" l="1"/>
  <c r="I112" i="1" a="1"/>
  <c r="I112" i="1" l="1"/>
  <c r="H112" i="1" a="1"/>
  <c r="H112" i="1" l="1"/>
  <c r="G112" i="1" a="1"/>
  <c r="G112" i="1" l="1"/>
  <c r="O112" i="1" s="1"/>
  <c r="F112" i="1" a="1"/>
  <c r="F112" i="1" l="1"/>
  <c r="N111" i="1" a="1"/>
  <c r="N111" i="1" l="1"/>
  <c r="M111" i="1" a="1"/>
  <c r="M111" i="1" l="1"/>
  <c r="L111" i="1" a="1"/>
  <c r="L111" i="1" l="1"/>
  <c r="K111" i="1" a="1"/>
  <c r="K111" i="1" l="1"/>
  <c r="J111" i="1" a="1"/>
  <c r="J111" i="1" l="1"/>
  <c r="I111" i="1" a="1"/>
  <c r="I111" i="1" l="1"/>
  <c r="H111" i="1" a="1"/>
  <c r="H111" i="1" l="1"/>
  <c r="G111" i="1" a="1"/>
  <c r="G111" i="1" l="1"/>
  <c r="O111" i="1" s="1"/>
  <c r="F111" i="1" a="1"/>
  <c r="F111" i="1" l="1"/>
  <c r="N110" i="1" a="1"/>
  <c r="N110" i="1" l="1"/>
  <c r="M110" i="1" a="1"/>
  <c r="M110" i="1" l="1"/>
  <c r="L110" i="1" a="1"/>
  <c r="L110" i="1" l="1"/>
  <c r="K110" i="1" a="1"/>
  <c r="K110" i="1" l="1"/>
  <c r="J110" i="1" a="1"/>
  <c r="J110" i="1" l="1"/>
  <c r="I110" i="1" a="1"/>
  <c r="I110" i="1" l="1"/>
  <c r="H110" i="1" a="1"/>
  <c r="H110" i="1" l="1"/>
  <c r="G110" i="1" a="1"/>
  <c r="G110" i="1" l="1"/>
  <c r="O110" i="1" s="1"/>
  <c r="F110" i="1" a="1"/>
  <c r="F110" i="1" l="1"/>
  <c r="N109" i="1" a="1"/>
  <c r="N109" i="1" l="1"/>
  <c r="M109" i="1" a="1"/>
  <c r="M109" i="1" l="1"/>
  <c r="L109" i="1" a="1"/>
  <c r="L109" i="1" l="1"/>
  <c r="K109" i="1" a="1"/>
  <c r="K109" i="1" l="1"/>
  <c r="J109" i="1" a="1"/>
  <c r="J109" i="1" l="1"/>
  <c r="I109" i="1" a="1"/>
  <c r="I109" i="1" l="1"/>
  <c r="H109" i="1" a="1"/>
  <c r="H109" i="1" l="1"/>
  <c r="G109" i="1" a="1"/>
  <c r="G109" i="1" l="1"/>
  <c r="O109" i="1" s="1"/>
  <c r="F109" i="1" a="1"/>
  <c r="F109" i="1" l="1"/>
  <c r="N108" i="1" a="1"/>
  <c r="N108" i="1" l="1"/>
  <c r="M108" i="1" a="1"/>
  <c r="M108" i="1" l="1"/>
  <c r="L108" i="1" a="1"/>
  <c r="L108" i="1" l="1"/>
  <c r="K108" i="1" a="1"/>
  <c r="K108" i="1" l="1"/>
  <c r="J108" i="1" a="1"/>
  <c r="J108" i="1" l="1"/>
  <c r="I108" i="1" a="1"/>
  <c r="I108" i="1" l="1"/>
  <c r="H108" i="1" a="1"/>
  <c r="H108" i="1" l="1"/>
  <c r="G108" i="1" a="1"/>
  <c r="G108" i="1" l="1"/>
  <c r="O108" i="1" s="1"/>
  <c r="F108" i="1" a="1"/>
  <c r="F108" i="1" l="1"/>
  <c r="N107" i="1" a="1"/>
  <c r="N107" i="1" l="1"/>
  <c r="M107" i="1" a="1"/>
  <c r="M107" i="1" l="1"/>
  <c r="L107" i="1" a="1"/>
  <c r="L107" i="1" l="1"/>
  <c r="K107" i="1" a="1"/>
  <c r="K107" i="1" l="1"/>
  <c r="J107" i="1" a="1"/>
  <c r="J107" i="1" l="1"/>
  <c r="I107" i="1" a="1"/>
  <c r="I107" i="1" l="1"/>
  <c r="H107" i="1" a="1"/>
  <c r="H107" i="1" l="1"/>
  <c r="G107" i="1" a="1"/>
  <c r="G107" i="1" l="1"/>
  <c r="O107" i="1" s="1"/>
  <c r="F107" i="1" a="1"/>
  <c r="F107" i="1" l="1"/>
  <c r="N106" i="1" a="1"/>
  <c r="N106" i="1" l="1"/>
  <c r="M106" i="1" a="1"/>
  <c r="M106" i="1" l="1"/>
  <c r="L106" i="1" a="1"/>
  <c r="L106" i="1" l="1"/>
  <c r="K106" i="1" a="1"/>
  <c r="K106" i="1" l="1"/>
  <c r="J106" i="1" a="1"/>
  <c r="J106" i="1" l="1"/>
  <c r="I106" i="1" a="1"/>
  <c r="I106" i="1" l="1"/>
  <c r="H106" i="1" a="1"/>
  <c r="H106" i="1" l="1"/>
  <c r="G106" i="1" a="1"/>
  <c r="G106" i="1" l="1"/>
  <c r="O106" i="1" s="1"/>
  <c r="F106" i="1" a="1"/>
  <c r="F106" i="1" l="1"/>
  <c r="N105" i="1" a="1"/>
  <c r="N105" i="1" l="1"/>
  <c r="M105" i="1" a="1"/>
  <c r="M105" i="1" l="1"/>
  <c r="L105" i="1" a="1"/>
  <c r="L105" i="1" l="1"/>
  <c r="K105" i="1" a="1"/>
  <c r="K105" i="1" l="1"/>
  <c r="J105" i="1" a="1"/>
  <c r="J105" i="1" l="1"/>
  <c r="I105" i="1" a="1"/>
  <c r="I105" i="1" l="1"/>
  <c r="H105" i="1" a="1"/>
  <c r="H105" i="1" l="1"/>
  <c r="G105" i="1" a="1"/>
  <c r="G105" i="1" l="1"/>
  <c r="O105" i="1" s="1"/>
  <c r="F105" i="1" a="1"/>
  <c r="F105" i="1" l="1"/>
  <c r="N104" i="1" a="1"/>
  <c r="N104" i="1" l="1"/>
  <c r="M104" i="1" a="1"/>
  <c r="M104" i="1" l="1"/>
  <c r="L104" i="1" a="1"/>
  <c r="L104" i="1" l="1"/>
  <c r="K104" i="1" a="1"/>
  <c r="K104" i="1" l="1"/>
  <c r="J104" i="1" a="1"/>
  <c r="J104" i="1" l="1"/>
  <c r="I104" i="1" a="1"/>
  <c r="I104" i="1" l="1"/>
  <c r="H104" i="1" a="1"/>
  <c r="H104" i="1" l="1"/>
  <c r="G104" i="1" a="1"/>
  <c r="G104" i="1" l="1"/>
  <c r="O104" i="1" s="1"/>
  <c r="F104" i="1" a="1"/>
  <c r="F104" i="1" l="1"/>
  <c r="N103" i="1" a="1"/>
  <c r="N103" i="1" l="1"/>
  <c r="M103" i="1" a="1"/>
  <c r="M103" i="1" l="1"/>
  <c r="L103" i="1" a="1"/>
  <c r="L103" i="1" l="1"/>
  <c r="K103" i="1" a="1"/>
  <c r="K103" i="1" l="1"/>
  <c r="J103" i="1" a="1"/>
  <c r="J103" i="1" l="1"/>
  <c r="I103" i="1" a="1"/>
  <c r="I103" i="1" l="1"/>
  <c r="H103" i="1" a="1"/>
  <c r="H103" i="1" l="1"/>
  <c r="G103" i="1" a="1"/>
  <c r="G103" i="1" l="1"/>
  <c r="O103" i="1" s="1"/>
  <c r="F103" i="1" a="1"/>
  <c r="F103" i="1" l="1"/>
  <c r="N102" i="1" a="1"/>
  <c r="N102" i="1" l="1"/>
  <c r="M102" i="1" a="1"/>
  <c r="M102" i="1" l="1"/>
  <c r="L102" i="1" a="1"/>
  <c r="L102" i="1" l="1"/>
  <c r="K102" i="1" a="1"/>
  <c r="K102" i="1" l="1"/>
  <c r="J102" i="1" a="1"/>
  <c r="J102" i="1" l="1"/>
  <c r="I102" i="1" a="1"/>
  <c r="I102" i="1" l="1"/>
  <c r="H102" i="1" a="1"/>
  <c r="H102" i="1" l="1"/>
  <c r="G102" i="1" a="1"/>
  <c r="G102" i="1" l="1"/>
  <c r="O102" i="1" s="1"/>
  <c r="F102" i="1" a="1"/>
  <c r="F102" i="1" l="1"/>
  <c r="N101" i="1" a="1"/>
  <c r="N101" i="1" l="1"/>
  <c r="M101" i="1" a="1"/>
  <c r="M101" i="1" l="1"/>
  <c r="L101" i="1" a="1"/>
  <c r="L101" i="1" l="1"/>
  <c r="K101" i="1" a="1"/>
  <c r="K101" i="1" l="1"/>
  <c r="J101" i="1" a="1"/>
  <c r="J101" i="1" l="1"/>
  <c r="I101" i="1" a="1"/>
  <c r="I101" i="1" l="1"/>
  <c r="H101" i="1" a="1"/>
  <c r="H101" i="1" l="1"/>
  <c r="G101" i="1" a="1"/>
  <c r="G101" i="1" l="1"/>
  <c r="O101" i="1" s="1"/>
  <c r="F101" i="1" a="1"/>
  <c r="F101" i="1" l="1"/>
  <c r="N100" i="1" a="1"/>
  <c r="N100" i="1" l="1"/>
  <c r="M100" i="1" a="1"/>
  <c r="M100" i="1" l="1"/>
  <c r="L100" i="1" a="1"/>
  <c r="L100" i="1" l="1"/>
  <c r="K100" i="1" a="1"/>
  <c r="K100" i="1" l="1"/>
  <c r="J100" i="1" a="1"/>
  <c r="J100" i="1" l="1"/>
  <c r="I100" i="1" a="1"/>
  <c r="I100" i="1" l="1"/>
  <c r="H100" i="1" a="1"/>
  <c r="H100" i="1" l="1"/>
  <c r="G100" i="1" a="1"/>
  <c r="G100" i="1" l="1"/>
  <c r="O100" i="1" s="1"/>
  <c r="F100" i="1" a="1"/>
  <c r="F100" i="1" l="1"/>
  <c r="N99" i="1" a="1"/>
  <c r="N99" i="1" l="1"/>
  <c r="M99" i="1" a="1"/>
  <c r="M99" i="1" l="1"/>
  <c r="L99" i="1" a="1"/>
  <c r="L99" i="1" l="1"/>
  <c r="K99" i="1" a="1"/>
  <c r="K99" i="1" l="1"/>
  <c r="J99" i="1" a="1"/>
  <c r="J99" i="1" l="1"/>
  <c r="I99" i="1" a="1"/>
  <c r="I99" i="1" l="1"/>
  <c r="H99" i="1" a="1"/>
  <c r="H99" i="1" l="1"/>
  <c r="G99" i="1" a="1"/>
  <c r="G99" i="1" l="1"/>
  <c r="O99" i="1" s="1"/>
  <c r="F99" i="1" a="1"/>
  <c r="F99" i="1" l="1"/>
  <c r="N98" i="1" a="1"/>
  <c r="N98" i="1" l="1"/>
  <c r="M98" i="1" a="1"/>
  <c r="M98" i="1" l="1"/>
  <c r="L98" i="1" a="1"/>
  <c r="L98" i="1" l="1"/>
  <c r="K98" i="1" a="1"/>
  <c r="K98" i="1" l="1"/>
  <c r="J98" i="1" a="1"/>
  <c r="J98" i="1" l="1"/>
  <c r="I98" i="1" a="1"/>
  <c r="I98" i="1" l="1"/>
  <c r="H98" i="1" a="1"/>
  <c r="H98" i="1" l="1"/>
  <c r="G98" i="1" a="1"/>
  <c r="G98" i="1" l="1"/>
  <c r="O98" i="1" s="1"/>
  <c r="F98" i="1" a="1"/>
  <c r="F98" i="1" l="1"/>
  <c r="N97" i="1" a="1"/>
  <c r="N97" i="1" l="1"/>
  <c r="M97" i="1" a="1"/>
  <c r="M97" i="1" l="1"/>
  <c r="L97" i="1" a="1"/>
  <c r="L97" i="1" l="1"/>
  <c r="K97" i="1" a="1"/>
  <c r="K97" i="1" l="1"/>
  <c r="J97" i="1" a="1"/>
  <c r="J97" i="1" l="1"/>
  <c r="I97" i="1" a="1"/>
  <c r="I97" i="1" l="1"/>
  <c r="H97" i="1" a="1"/>
  <c r="H97" i="1" l="1"/>
  <c r="G97" i="1" a="1"/>
  <c r="G97" i="1" l="1"/>
  <c r="O97" i="1" s="1"/>
  <c r="F97" i="1" a="1"/>
  <c r="F97" i="1" l="1"/>
  <c r="N96" i="1" a="1"/>
  <c r="N96" i="1" l="1"/>
  <c r="M96" i="1" a="1"/>
  <c r="M96" i="1" l="1"/>
  <c r="L96" i="1" a="1"/>
  <c r="L96" i="1" l="1"/>
  <c r="K96" i="1" a="1"/>
  <c r="K96" i="1" l="1"/>
  <c r="J96" i="1" a="1"/>
  <c r="J96" i="1" l="1"/>
  <c r="I96" i="1" a="1"/>
  <c r="I96" i="1" l="1"/>
  <c r="H96" i="1" a="1"/>
  <c r="H96" i="1" l="1"/>
  <c r="G96" i="1" a="1"/>
  <c r="G96" i="1" l="1"/>
  <c r="O96" i="1" s="1"/>
  <c r="F96" i="1" a="1"/>
  <c r="F96" i="1" l="1"/>
  <c r="N95" i="1" a="1"/>
  <c r="N95" i="1" l="1"/>
  <c r="M95" i="1" a="1"/>
  <c r="M95" i="1" l="1"/>
  <c r="L95" i="1" a="1"/>
  <c r="L95" i="1" l="1"/>
  <c r="K95" i="1" a="1"/>
  <c r="K95" i="1" l="1"/>
  <c r="J95" i="1" a="1"/>
  <c r="J95" i="1" l="1"/>
  <c r="I95" i="1" a="1"/>
  <c r="I95" i="1" l="1"/>
  <c r="H95" i="1" a="1"/>
  <c r="H95" i="1" l="1"/>
  <c r="G95" i="1" a="1"/>
  <c r="G95" i="1" l="1"/>
  <c r="O95" i="1" s="1"/>
  <c r="F95" i="1" a="1"/>
  <c r="F95" i="1" l="1"/>
  <c r="N94" i="1" a="1"/>
  <c r="N94" i="1" l="1"/>
  <c r="M94" i="1" a="1"/>
  <c r="M94" i="1" l="1"/>
  <c r="L94" i="1" a="1"/>
  <c r="L94" i="1" l="1"/>
  <c r="K94" i="1" a="1"/>
  <c r="K94" i="1" l="1"/>
  <c r="J94" i="1" a="1"/>
  <c r="J94" i="1" l="1"/>
  <c r="I94" i="1" a="1"/>
  <c r="I94" i="1" l="1"/>
  <c r="H94" i="1" a="1"/>
  <c r="H94" i="1" l="1"/>
  <c r="G94" i="1" a="1"/>
  <c r="G94" i="1" l="1"/>
  <c r="O94" i="1" s="1"/>
  <c r="F94" i="1" a="1"/>
  <c r="F94" i="1" l="1"/>
  <c r="N93" i="1" a="1"/>
  <c r="N93" i="1" l="1"/>
  <c r="M93" i="1" a="1"/>
  <c r="M93" i="1" l="1"/>
  <c r="L93" i="1" a="1"/>
  <c r="L93" i="1" l="1"/>
  <c r="K93" i="1" a="1"/>
  <c r="K93" i="1" l="1"/>
  <c r="J93" i="1" a="1"/>
  <c r="J93" i="1" l="1"/>
  <c r="I93" i="1" a="1"/>
  <c r="I93" i="1" l="1"/>
  <c r="H93" i="1" a="1"/>
  <c r="H93" i="1" l="1"/>
  <c r="G93" i="1" a="1"/>
  <c r="G93" i="1" l="1"/>
  <c r="O93" i="1" s="1"/>
  <c r="F93" i="1" a="1"/>
  <c r="F93" i="1" l="1"/>
  <c r="N92" i="1" a="1"/>
  <c r="N92" i="1" l="1"/>
  <c r="M92" i="1" a="1"/>
  <c r="M92" i="1" l="1"/>
  <c r="L92" i="1" a="1"/>
  <c r="L92" i="1" l="1"/>
  <c r="K92" i="1" a="1"/>
  <c r="K92" i="1" l="1"/>
  <c r="J92" i="1" a="1"/>
  <c r="J92" i="1" l="1"/>
  <c r="I92" i="1" a="1"/>
  <c r="I92" i="1" l="1"/>
  <c r="H92" i="1" a="1"/>
  <c r="H92" i="1" l="1"/>
  <c r="G92" i="1" a="1"/>
  <c r="G92" i="1" l="1"/>
  <c r="O92" i="1" s="1"/>
  <c r="F92" i="1" a="1"/>
  <c r="F92" i="1" l="1"/>
  <c r="N91" i="1" a="1"/>
  <c r="N91" i="1" l="1"/>
  <c r="M91" i="1" a="1"/>
  <c r="M91" i="1" l="1"/>
  <c r="L91" i="1" a="1"/>
  <c r="L91" i="1" l="1"/>
  <c r="K91" i="1" a="1"/>
  <c r="K91" i="1" l="1"/>
  <c r="J91" i="1" a="1"/>
  <c r="J91" i="1" l="1"/>
  <c r="I91" i="1" a="1"/>
  <c r="I91" i="1" l="1"/>
  <c r="H91" i="1" a="1"/>
  <c r="H91" i="1" l="1"/>
  <c r="G91" i="1" a="1"/>
  <c r="G91" i="1" l="1"/>
  <c r="O91" i="1" s="1"/>
  <c r="F91" i="1" a="1"/>
  <c r="F91" i="1" l="1"/>
  <c r="N90" i="1" a="1"/>
  <c r="N90" i="1" l="1"/>
  <c r="M90" i="1" a="1"/>
  <c r="M90" i="1" l="1"/>
  <c r="L90" i="1" a="1"/>
  <c r="L90" i="1" l="1"/>
  <c r="K90" i="1" a="1"/>
  <c r="K90" i="1" l="1"/>
  <c r="J90" i="1" a="1"/>
  <c r="J90" i="1" l="1"/>
  <c r="I90" i="1" a="1"/>
  <c r="I90" i="1" l="1"/>
  <c r="H90" i="1" a="1"/>
  <c r="H90" i="1" l="1"/>
  <c r="G90" i="1" a="1"/>
  <c r="G90" i="1" l="1"/>
  <c r="O90" i="1" s="1"/>
  <c r="F90" i="1" a="1"/>
  <c r="F90" i="1" l="1"/>
  <c r="N89" i="1" a="1"/>
  <c r="N89" i="1" l="1"/>
  <c r="M89" i="1" a="1"/>
  <c r="M89" i="1" l="1"/>
  <c r="L89" i="1" a="1"/>
  <c r="L89" i="1" l="1"/>
  <c r="K89" i="1" a="1"/>
  <c r="K89" i="1" l="1"/>
  <c r="J89" i="1" a="1"/>
  <c r="J89" i="1" l="1"/>
  <c r="I89" i="1" a="1"/>
  <c r="I89" i="1" l="1"/>
  <c r="H89" i="1" a="1"/>
  <c r="H89" i="1" l="1"/>
  <c r="G89" i="1" a="1"/>
  <c r="G89" i="1" l="1"/>
  <c r="O89" i="1" s="1"/>
  <c r="F89" i="1" a="1"/>
  <c r="F89" i="1" l="1"/>
  <c r="N88" i="1" a="1"/>
  <c r="N88" i="1" l="1"/>
  <c r="M88" i="1" a="1"/>
  <c r="M88" i="1" l="1"/>
  <c r="L88" i="1" a="1"/>
  <c r="L88" i="1" l="1"/>
  <c r="K88" i="1" a="1"/>
  <c r="K88" i="1" l="1"/>
  <c r="J88" i="1" a="1"/>
  <c r="J88" i="1" l="1"/>
  <c r="I88" i="1" a="1"/>
  <c r="I88" i="1" l="1"/>
  <c r="H88" i="1" a="1"/>
  <c r="H88" i="1" l="1"/>
  <c r="G88" i="1" a="1"/>
  <c r="G88" i="1" l="1"/>
  <c r="O88" i="1" s="1"/>
  <c r="F88" i="1" a="1"/>
  <c r="F88" i="1" l="1"/>
  <c r="N87" i="1" a="1"/>
  <c r="N87" i="1" l="1"/>
  <c r="M87" i="1" a="1"/>
  <c r="M87" i="1" l="1"/>
  <c r="L87" i="1" a="1"/>
  <c r="L87" i="1" l="1"/>
  <c r="K87" i="1" a="1"/>
  <c r="K87" i="1" l="1"/>
  <c r="J87" i="1" a="1"/>
  <c r="J87" i="1" l="1"/>
  <c r="I87" i="1" a="1"/>
  <c r="I87" i="1" l="1"/>
  <c r="H87" i="1" a="1"/>
  <c r="H87" i="1" l="1"/>
  <c r="G87" i="1" a="1"/>
  <c r="G87" i="1" l="1"/>
  <c r="O87" i="1" s="1"/>
  <c r="F87" i="1" a="1"/>
  <c r="F87" i="1" l="1"/>
  <c r="N86" i="1" a="1"/>
  <c r="N86" i="1" l="1"/>
  <c r="M86" i="1" a="1"/>
  <c r="M86" i="1" l="1"/>
  <c r="L86" i="1" a="1"/>
  <c r="L86" i="1" l="1"/>
  <c r="K86" i="1" a="1"/>
  <c r="K86" i="1" l="1"/>
  <c r="J86" i="1" a="1"/>
  <c r="J86" i="1" l="1"/>
  <c r="I86" i="1" a="1"/>
  <c r="I86" i="1" l="1"/>
  <c r="H86" i="1" a="1"/>
  <c r="H86" i="1" l="1"/>
  <c r="G86" i="1" a="1"/>
  <c r="G86" i="1" l="1"/>
  <c r="O86" i="1" s="1"/>
  <c r="F86" i="1" a="1"/>
  <c r="F86" i="1" l="1"/>
  <c r="N85" i="1" a="1"/>
  <c r="N85" i="1" l="1"/>
  <c r="M85" i="1" a="1"/>
  <c r="M85" i="1" l="1"/>
  <c r="L85" i="1" a="1"/>
  <c r="L85" i="1" l="1"/>
  <c r="K85" i="1" a="1"/>
  <c r="K85" i="1" l="1"/>
  <c r="J85" i="1" a="1"/>
  <c r="J85" i="1" l="1"/>
  <c r="I85" i="1" a="1"/>
  <c r="I85" i="1" l="1"/>
  <c r="H85" i="1" a="1"/>
  <c r="H85" i="1" l="1"/>
  <c r="G85" i="1" a="1"/>
  <c r="G85" i="1" l="1"/>
  <c r="O85" i="1" s="1"/>
  <c r="F85" i="1" a="1"/>
  <c r="F85" i="1" l="1"/>
  <c r="N84" i="1" a="1"/>
  <c r="N84" i="1" l="1"/>
  <c r="M84" i="1" a="1"/>
  <c r="M84" i="1" l="1"/>
  <c r="L84" i="1" a="1"/>
  <c r="L84" i="1" l="1"/>
  <c r="K84" i="1" a="1"/>
  <c r="K84" i="1" l="1"/>
  <c r="J84" i="1" a="1"/>
  <c r="J84" i="1" l="1"/>
  <c r="I84" i="1" a="1"/>
  <c r="I84" i="1" l="1"/>
  <c r="H84" i="1" a="1"/>
  <c r="H84" i="1" l="1"/>
  <c r="G84" i="1" a="1"/>
  <c r="G84" i="1" l="1"/>
  <c r="O84" i="1" s="1"/>
  <c r="F84" i="1" a="1"/>
  <c r="F84" i="1" l="1"/>
  <c r="N83" i="1" a="1"/>
  <c r="N83" i="1" l="1"/>
  <c r="M83" i="1" a="1"/>
  <c r="M83" i="1" l="1"/>
  <c r="L83" i="1" a="1"/>
  <c r="L83" i="1" l="1"/>
  <c r="K83" i="1" a="1"/>
  <c r="K83" i="1" l="1"/>
  <c r="J83" i="1" a="1"/>
  <c r="J83" i="1" l="1"/>
  <c r="I83" i="1" a="1"/>
  <c r="I83" i="1" l="1"/>
  <c r="H83" i="1" a="1"/>
  <c r="H83" i="1" l="1"/>
  <c r="G83" i="1" a="1"/>
  <c r="G83" i="1" l="1"/>
  <c r="O83" i="1" s="1"/>
  <c r="F83" i="1" a="1"/>
  <c r="F83" i="1" l="1"/>
  <c r="N82" i="1" a="1"/>
  <c r="N82" i="1" l="1"/>
  <c r="M82" i="1" a="1"/>
  <c r="M82" i="1" l="1"/>
  <c r="L82" i="1" a="1"/>
  <c r="L82" i="1" l="1"/>
  <c r="K82" i="1" a="1"/>
  <c r="K82" i="1" l="1"/>
  <c r="J82" i="1" a="1"/>
  <c r="J82" i="1" l="1"/>
  <c r="I82" i="1" a="1"/>
  <c r="I82" i="1" l="1"/>
  <c r="H82" i="1" a="1"/>
  <c r="H82" i="1" l="1"/>
  <c r="G82" i="1" a="1"/>
  <c r="G82" i="1" l="1"/>
  <c r="O82" i="1" s="1"/>
  <c r="F82" i="1" a="1"/>
  <c r="F82" i="1" l="1"/>
  <c r="N81" i="1" a="1"/>
  <c r="N81" i="1" l="1"/>
  <c r="M81" i="1" a="1"/>
  <c r="M81" i="1" l="1"/>
  <c r="L81" i="1" a="1"/>
  <c r="L81" i="1" l="1"/>
  <c r="K81" i="1" a="1"/>
  <c r="K81" i="1" l="1"/>
  <c r="J81" i="1" a="1"/>
  <c r="J81" i="1" l="1"/>
  <c r="I81" i="1" a="1"/>
  <c r="I81" i="1" l="1"/>
  <c r="H81" i="1" a="1"/>
  <c r="H81" i="1" l="1"/>
  <c r="G81" i="1" a="1"/>
  <c r="G81" i="1" l="1"/>
  <c r="O81" i="1" s="1"/>
  <c r="F81" i="1" a="1"/>
  <c r="F81" i="1" l="1"/>
  <c r="N80" i="1" a="1"/>
  <c r="N80" i="1" l="1"/>
  <c r="M80" i="1" a="1"/>
  <c r="M80" i="1" l="1"/>
  <c r="L80" i="1" a="1"/>
  <c r="L80" i="1" l="1"/>
  <c r="K80" i="1" a="1"/>
  <c r="K80" i="1" l="1"/>
  <c r="J80" i="1" a="1"/>
  <c r="J80" i="1" l="1"/>
  <c r="I80" i="1" a="1"/>
  <c r="I80" i="1" l="1"/>
  <c r="H80" i="1" a="1"/>
  <c r="H80" i="1" l="1"/>
  <c r="G80" i="1" a="1"/>
  <c r="G80" i="1" l="1"/>
  <c r="O80" i="1" s="1"/>
  <c r="F80" i="1" a="1"/>
  <c r="F80" i="1" l="1"/>
  <c r="N79" i="1" a="1"/>
  <c r="N79" i="1" l="1"/>
  <c r="M79" i="1" a="1"/>
  <c r="M79" i="1" l="1"/>
  <c r="L79" i="1" a="1"/>
  <c r="L79" i="1" l="1"/>
  <c r="K79" i="1" a="1"/>
  <c r="K79" i="1" l="1"/>
  <c r="J79" i="1" a="1"/>
  <c r="J79" i="1" l="1"/>
  <c r="I79" i="1" a="1"/>
  <c r="I79" i="1" l="1"/>
  <c r="H79" i="1" a="1"/>
  <c r="H79" i="1" l="1"/>
  <c r="G79" i="1" a="1"/>
  <c r="G79" i="1" l="1"/>
  <c r="O79" i="1" s="1"/>
  <c r="F79" i="1" a="1"/>
  <c r="F79" i="1" l="1"/>
  <c r="N78" i="1" a="1"/>
  <c r="N78" i="1" l="1"/>
  <c r="M78" i="1" a="1"/>
  <c r="M78" i="1" l="1"/>
  <c r="L78" i="1" a="1"/>
  <c r="L78" i="1" l="1"/>
  <c r="K78" i="1" a="1"/>
  <c r="K78" i="1" l="1"/>
  <c r="J78" i="1" a="1"/>
  <c r="J78" i="1" l="1"/>
  <c r="I78" i="1" a="1"/>
  <c r="I78" i="1" l="1"/>
  <c r="H78" i="1" a="1"/>
  <c r="H78" i="1" l="1"/>
  <c r="G78" i="1" a="1"/>
  <c r="G78" i="1" l="1"/>
  <c r="O78" i="1" s="1"/>
  <c r="F78" i="1" a="1"/>
  <c r="F78" i="1" l="1"/>
  <c r="N77" i="1" a="1"/>
  <c r="N77" i="1" l="1"/>
  <c r="M77" i="1" a="1"/>
  <c r="M77" i="1" l="1"/>
  <c r="L77" i="1" a="1"/>
  <c r="L77" i="1" l="1"/>
  <c r="K77" i="1" a="1"/>
  <c r="K77" i="1" l="1"/>
  <c r="J77" i="1" a="1"/>
  <c r="J77" i="1" l="1"/>
  <c r="I77" i="1" a="1"/>
  <c r="I77" i="1" l="1"/>
  <c r="H77" i="1" a="1"/>
  <c r="H77" i="1" l="1"/>
  <c r="G77" i="1" a="1"/>
  <c r="G77" i="1" l="1"/>
  <c r="O77" i="1" s="1"/>
  <c r="F77" i="1" a="1"/>
  <c r="F77" i="1" l="1"/>
  <c r="N76" i="1" a="1"/>
  <c r="N76" i="1" l="1"/>
  <c r="M76" i="1" a="1"/>
  <c r="M76" i="1" l="1"/>
  <c r="L76" i="1" a="1"/>
  <c r="L76" i="1" l="1"/>
  <c r="K76" i="1" a="1"/>
  <c r="K76" i="1" l="1"/>
  <c r="J76" i="1" a="1"/>
  <c r="J76" i="1" l="1"/>
  <c r="I76" i="1" a="1"/>
  <c r="I76" i="1" l="1"/>
  <c r="H76" i="1" a="1"/>
  <c r="H76" i="1" l="1"/>
  <c r="G76" i="1" a="1"/>
  <c r="G76" i="1" l="1"/>
  <c r="O76" i="1" s="1"/>
  <c r="F76" i="1" a="1"/>
  <c r="F76" i="1" l="1"/>
  <c r="N75" i="1" a="1"/>
  <c r="N75" i="1" l="1"/>
  <c r="M75" i="1" a="1"/>
  <c r="M75" i="1" l="1"/>
  <c r="L75" i="1" a="1"/>
  <c r="L75" i="1" l="1"/>
  <c r="K75" i="1" a="1"/>
  <c r="K75" i="1" l="1"/>
  <c r="J75" i="1" a="1"/>
  <c r="J75" i="1" l="1"/>
  <c r="I75" i="1" a="1"/>
  <c r="I75" i="1" l="1"/>
  <c r="H75" i="1" a="1"/>
  <c r="H75" i="1" l="1"/>
  <c r="G75" i="1" a="1"/>
  <c r="G75" i="1" l="1"/>
  <c r="O75" i="1" s="1"/>
  <c r="F75" i="1" a="1"/>
  <c r="F75" i="1" l="1"/>
  <c r="N74" i="1" a="1"/>
  <c r="N74" i="1" l="1"/>
  <c r="M74" i="1" a="1"/>
  <c r="M74" i="1" l="1"/>
  <c r="L74" i="1" a="1"/>
  <c r="L74" i="1" l="1"/>
  <c r="K74" i="1" a="1"/>
  <c r="K74" i="1" l="1"/>
  <c r="J74" i="1" a="1"/>
  <c r="J74" i="1" l="1"/>
  <c r="I74" i="1" a="1"/>
  <c r="I74" i="1" l="1"/>
  <c r="H74" i="1" a="1"/>
  <c r="H74" i="1" l="1"/>
  <c r="G74" i="1" a="1"/>
  <c r="G74" i="1" l="1"/>
  <c r="O74" i="1" s="1"/>
  <c r="F74" i="1" a="1"/>
  <c r="F74" i="1" l="1"/>
  <c r="N73" i="1" a="1"/>
  <c r="N73" i="1" l="1"/>
  <c r="M73" i="1" a="1"/>
  <c r="M73" i="1" l="1"/>
  <c r="L73" i="1" a="1"/>
  <c r="L73" i="1" l="1"/>
  <c r="K73" i="1" a="1"/>
  <c r="K73" i="1" l="1"/>
  <c r="J73" i="1" a="1"/>
  <c r="J73" i="1" l="1"/>
  <c r="I73" i="1" a="1"/>
  <c r="I73" i="1" l="1"/>
  <c r="H73" i="1" a="1"/>
  <c r="H73" i="1" l="1"/>
  <c r="G73" i="1" a="1"/>
  <c r="G73" i="1" l="1"/>
  <c r="O73" i="1" s="1"/>
  <c r="F73" i="1" a="1"/>
  <c r="F73" i="1" l="1"/>
  <c r="N72" i="1" a="1"/>
  <c r="N72" i="1" l="1"/>
  <c r="M72" i="1" a="1"/>
  <c r="M72" i="1" l="1"/>
  <c r="L72" i="1" a="1"/>
  <c r="L72" i="1" l="1"/>
  <c r="K72" i="1" a="1"/>
  <c r="K72" i="1" l="1"/>
  <c r="J72" i="1" a="1"/>
  <c r="J72" i="1" l="1"/>
  <c r="I72" i="1" a="1"/>
  <c r="I72" i="1" l="1"/>
  <c r="H72" i="1" a="1"/>
  <c r="H72" i="1" l="1"/>
  <c r="G72" i="1" a="1"/>
  <c r="G72" i="1" l="1"/>
  <c r="O72" i="1" s="1"/>
  <c r="F72" i="1" a="1"/>
  <c r="F72" i="1" l="1"/>
  <c r="N71" i="1" a="1"/>
  <c r="N71" i="1" l="1"/>
  <c r="M71" i="1" a="1"/>
  <c r="M71" i="1" l="1"/>
  <c r="L71" i="1" a="1"/>
  <c r="L71" i="1" l="1"/>
  <c r="K71" i="1" a="1"/>
  <c r="K71" i="1" l="1"/>
  <c r="J71" i="1" a="1"/>
  <c r="J71" i="1" l="1"/>
  <c r="I71" i="1" a="1"/>
  <c r="I71" i="1" l="1"/>
  <c r="H71" i="1" a="1"/>
  <c r="H71" i="1" l="1"/>
  <c r="G71" i="1" a="1"/>
  <c r="G71" i="1" l="1"/>
  <c r="O71" i="1" s="1"/>
  <c r="F71" i="1" a="1"/>
  <c r="F71" i="1" l="1"/>
  <c r="N70" i="1" a="1"/>
  <c r="N70" i="1" l="1"/>
  <c r="M70" i="1" a="1"/>
  <c r="M70" i="1" l="1"/>
  <c r="L70" i="1" a="1"/>
  <c r="L70" i="1" l="1"/>
  <c r="K70" i="1" a="1"/>
  <c r="K70" i="1" l="1"/>
  <c r="J70" i="1" a="1"/>
  <c r="J70" i="1" l="1"/>
  <c r="I70" i="1" a="1"/>
  <c r="I70" i="1" l="1"/>
  <c r="H70" i="1" a="1"/>
  <c r="H70" i="1" l="1"/>
  <c r="G70" i="1" a="1"/>
  <c r="G70" i="1" l="1"/>
  <c r="O70" i="1" s="1"/>
  <c r="F70" i="1" a="1"/>
  <c r="F70" i="1" l="1"/>
  <c r="N69" i="1" a="1"/>
  <c r="N69" i="1" l="1"/>
  <c r="M69" i="1" a="1"/>
  <c r="M69" i="1" l="1"/>
  <c r="L69" i="1" a="1"/>
  <c r="L69" i="1" l="1"/>
  <c r="K69" i="1" a="1"/>
  <c r="K69" i="1" l="1"/>
  <c r="J69" i="1" a="1"/>
  <c r="J69" i="1" l="1"/>
  <c r="I69" i="1" a="1"/>
  <c r="I69" i="1" l="1"/>
  <c r="H69" i="1" a="1"/>
  <c r="H69" i="1" l="1"/>
  <c r="G69" i="1" a="1"/>
  <c r="G69" i="1" l="1"/>
  <c r="O69" i="1" s="1"/>
  <c r="F69" i="1" a="1"/>
  <c r="F69" i="1" l="1"/>
  <c r="N68" i="1" a="1"/>
  <c r="N68" i="1" l="1"/>
  <c r="M68" i="1" a="1"/>
  <c r="M68" i="1" l="1"/>
  <c r="L68" i="1" a="1"/>
  <c r="L68" i="1" l="1"/>
  <c r="K68" i="1" a="1"/>
  <c r="K68" i="1" l="1"/>
  <c r="J68" i="1" a="1"/>
  <c r="J68" i="1" l="1"/>
  <c r="I68" i="1" a="1"/>
  <c r="I68" i="1" l="1"/>
  <c r="H68" i="1" a="1"/>
  <c r="H68" i="1" l="1"/>
  <c r="G68" i="1" a="1"/>
  <c r="G68" i="1" l="1"/>
  <c r="O68" i="1" s="1"/>
  <c r="F68" i="1" a="1"/>
  <c r="F68" i="1" l="1"/>
  <c r="N67" i="1" a="1"/>
  <c r="N67" i="1" l="1"/>
  <c r="M67" i="1" a="1"/>
  <c r="M67" i="1" l="1"/>
  <c r="L67" i="1" a="1"/>
  <c r="L67" i="1" l="1"/>
  <c r="K67" i="1" a="1"/>
  <c r="K67" i="1" l="1"/>
  <c r="J67" i="1" a="1"/>
  <c r="J67" i="1" l="1"/>
  <c r="I67" i="1" a="1"/>
  <c r="I67" i="1" l="1"/>
  <c r="H67" i="1" a="1"/>
  <c r="H67" i="1" l="1"/>
  <c r="G67" i="1" a="1"/>
  <c r="G67" i="1" l="1"/>
  <c r="O67" i="1" s="1"/>
  <c r="F67" i="1" a="1"/>
  <c r="F67" i="1" l="1"/>
  <c r="N66" i="1" a="1"/>
  <c r="N66" i="1" l="1"/>
  <c r="M66" i="1" a="1"/>
  <c r="M66" i="1" l="1"/>
  <c r="L66" i="1" a="1"/>
  <c r="L66" i="1" l="1"/>
  <c r="K66" i="1" a="1"/>
  <c r="K66" i="1" l="1"/>
  <c r="J66" i="1" a="1"/>
  <c r="J66" i="1" l="1"/>
  <c r="I66" i="1" a="1"/>
  <c r="I66" i="1" l="1"/>
  <c r="H66" i="1" a="1"/>
  <c r="H66" i="1" l="1"/>
  <c r="G66" i="1" a="1"/>
  <c r="G66" i="1" l="1"/>
  <c r="O66" i="1" s="1"/>
  <c r="F66" i="1" a="1"/>
  <c r="F66" i="1" l="1"/>
  <c r="N65" i="1" a="1"/>
  <c r="N65" i="1" l="1"/>
  <c r="M65" i="1" a="1"/>
  <c r="M65" i="1" l="1"/>
  <c r="L65" i="1" a="1"/>
  <c r="L65" i="1" l="1"/>
  <c r="K65" i="1" a="1"/>
  <c r="K65" i="1" l="1"/>
  <c r="J65" i="1" a="1"/>
  <c r="J65" i="1" l="1"/>
  <c r="I65" i="1" a="1"/>
  <c r="I65" i="1" l="1"/>
  <c r="H65" i="1" a="1"/>
  <c r="H65" i="1" l="1"/>
  <c r="G65" i="1" a="1"/>
  <c r="G65" i="1" l="1"/>
  <c r="O65" i="1" s="1"/>
  <c r="F65" i="1" a="1"/>
  <c r="F65" i="1" l="1"/>
  <c r="N64" i="1" a="1"/>
  <c r="N64" i="1" l="1"/>
  <c r="M64" i="1" a="1"/>
  <c r="M64" i="1" l="1"/>
  <c r="L64" i="1" a="1"/>
  <c r="L64" i="1" l="1"/>
  <c r="K64" i="1" a="1"/>
  <c r="K64" i="1" l="1"/>
  <c r="J64" i="1" a="1"/>
  <c r="J64" i="1" l="1"/>
  <c r="I64" i="1" a="1"/>
  <c r="I64" i="1" l="1"/>
  <c r="H64" i="1" a="1"/>
  <c r="H64" i="1" l="1"/>
  <c r="G64" i="1" a="1"/>
  <c r="G64" i="1" l="1"/>
  <c r="O64" i="1" s="1"/>
  <c r="F64" i="1" a="1"/>
  <c r="F64" i="1" l="1"/>
  <c r="N63" i="1" a="1"/>
  <c r="N63" i="1" l="1"/>
  <c r="M63" i="1" a="1"/>
  <c r="M63" i="1" l="1"/>
  <c r="L63" i="1" a="1"/>
  <c r="L63" i="1" l="1"/>
  <c r="K63" i="1" a="1"/>
  <c r="K63" i="1" l="1"/>
  <c r="J63" i="1" a="1"/>
  <c r="J63" i="1" l="1"/>
  <c r="I63" i="1" a="1"/>
  <c r="I63" i="1" l="1"/>
  <c r="H63" i="1" a="1"/>
  <c r="H63" i="1" l="1"/>
  <c r="G63" i="1" a="1"/>
  <c r="G63" i="1" l="1"/>
  <c r="O63" i="1" s="1"/>
  <c r="F63" i="1" a="1"/>
  <c r="F63" i="1" l="1"/>
  <c r="N62" i="1" a="1"/>
  <c r="N62" i="1" l="1"/>
  <c r="M62" i="1" a="1"/>
  <c r="M62" i="1" l="1"/>
  <c r="L62" i="1" a="1"/>
  <c r="L62" i="1" l="1"/>
  <c r="K62" i="1" a="1"/>
  <c r="K62" i="1" l="1"/>
  <c r="J62" i="1" a="1"/>
  <c r="J62" i="1" l="1"/>
  <c r="I62" i="1" a="1"/>
  <c r="I62" i="1" l="1"/>
  <c r="H62" i="1" a="1"/>
  <c r="H62" i="1" l="1"/>
  <c r="G62" i="1" a="1"/>
  <c r="G62" i="1" l="1"/>
  <c r="O62" i="1" s="1"/>
  <c r="F62" i="1" a="1"/>
  <c r="F62" i="1" l="1"/>
  <c r="N61" i="1" a="1"/>
  <c r="N61" i="1" l="1"/>
  <c r="M61" i="1" a="1"/>
  <c r="M61" i="1" l="1"/>
  <c r="L61" i="1" a="1"/>
  <c r="L61" i="1" l="1"/>
  <c r="K61" i="1" a="1"/>
  <c r="K61" i="1" l="1"/>
  <c r="J61" i="1" a="1"/>
  <c r="J61" i="1" l="1"/>
  <c r="I61" i="1" a="1"/>
  <c r="I61" i="1" l="1"/>
  <c r="H61" i="1" a="1"/>
  <c r="H61" i="1" l="1"/>
  <c r="G61" i="1" a="1"/>
  <c r="G61" i="1" l="1"/>
  <c r="O61" i="1" s="1"/>
  <c r="F61" i="1" a="1"/>
  <c r="F61" i="1" l="1"/>
  <c r="N60" i="1" a="1"/>
  <c r="N60" i="1" l="1"/>
  <c r="M60" i="1" a="1"/>
  <c r="M60" i="1" l="1"/>
  <c r="L60" i="1" a="1"/>
  <c r="L60" i="1" l="1"/>
  <c r="K60" i="1" a="1"/>
  <c r="K60" i="1" l="1"/>
  <c r="J60" i="1" a="1"/>
  <c r="J60" i="1" l="1"/>
  <c r="I60" i="1" a="1"/>
  <c r="I60" i="1" l="1"/>
  <c r="H60" i="1" a="1"/>
  <c r="H60" i="1" l="1"/>
  <c r="G60" i="1" a="1"/>
  <c r="G60" i="1" l="1"/>
  <c r="O60" i="1" s="1"/>
  <c r="F60" i="1" a="1"/>
  <c r="F60" i="1" l="1"/>
  <c r="N59" i="1" a="1"/>
  <c r="N59" i="1" l="1"/>
  <c r="M59" i="1" a="1"/>
  <c r="M59" i="1" l="1"/>
  <c r="L59" i="1" a="1"/>
  <c r="L59" i="1" l="1"/>
  <c r="K59" i="1" a="1"/>
  <c r="K59" i="1" l="1"/>
  <c r="J59" i="1" a="1"/>
  <c r="J59" i="1" l="1"/>
  <c r="I59" i="1" a="1"/>
  <c r="I59" i="1" l="1"/>
  <c r="H59" i="1" a="1"/>
  <c r="H59" i="1" l="1"/>
  <c r="G59" i="1" a="1"/>
  <c r="G59" i="1" l="1"/>
  <c r="O59" i="1" s="1"/>
  <c r="F59" i="1" a="1"/>
  <c r="F59" i="1" l="1"/>
  <c r="N58" i="1" a="1"/>
  <c r="N58" i="1" l="1"/>
  <c r="M58" i="1" a="1"/>
  <c r="M58" i="1" l="1"/>
  <c r="L58" i="1" a="1"/>
  <c r="L58" i="1" l="1"/>
  <c r="K58" i="1" a="1"/>
  <c r="K58" i="1" l="1"/>
  <c r="J58" i="1" a="1"/>
  <c r="J58" i="1" l="1"/>
  <c r="I58" i="1" a="1"/>
  <c r="I58" i="1" l="1"/>
  <c r="H58" i="1" a="1"/>
  <c r="H58" i="1" l="1"/>
  <c r="G58" i="1" a="1"/>
  <c r="G58" i="1" l="1"/>
  <c r="O58" i="1" s="1"/>
  <c r="F58" i="1" a="1"/>
  <c r="F58" i="1" l="1"/>
  <c r="N57" i="1" a="1"/>
  <c r="N57" i="1" l="1"/>
  <c r="M57" i="1" a="1"/>
  <c r="M57" i="1" l="1"/>
  <c r="L57" i="1" a="1"/>
  <c r="L57" i="1" l="1"/>
  <c r="K57" i="1" a="1"/>
  <c r="K57" i="1" l="1"/>
  <c r="J57" i="1" a="1"/>
  <c r="J57" i="1" l="1"/>
  <c r="I57" i="1" a="1"/>
  <c r="I57" i="1" l="1"/>
  <c r="H57" i="1" a="1"/>
  <c r="H57" i="1" l="1"/>
  <c r="G57" i="1" a="1"/>
  <c r="G57" i="1" l="1"/>
  <c r="O57" i="1" s="1"/>
  <c r="F57" i="1" a="1"/>
  <c r="F57" i="1" l="1"/>
  <c r="N56" i="1" a="1"/>
  <c r="N56" i="1" l="1"/>
  <c r="M56" i="1" a="1"/>
  <c r="M56" i="1" l="1"/>
  <c r="L56" i="1" a="1"/>
  <c r="L56" i="1" l="1"/>
  <c r="K56" i="1" a="1"/>
  <c r="K56" i="1" l="1"/>
  <c r="J56" i="1" a="1"/>
  <c r="J56" i="1" l="1"/>
  <c r="I56" i="1" a="1"/>
  <c r="I56" i="1" l="1"/>
  <c r="H56" i="1" a="1"/>
  <c r="H56" i="1" l="1"/>
  <c r="G56" i="1" a="1"/>
  <c r="G56" i="1" l="1"/>
  <c r="O56" i="1" s="1"/>
  <c r="F56" i="1" a="1"/>
  <c r="F56" i="1" l="1"/>
  <c r="N55" i="1" a="1"/>
  <c r="N55" i="1" l="1"/>
  <c r="M55" i="1" a="1"/>
  <c r="M55" i="1" l="1"/>
  <c r="L55" i="1" a="1"/>
  <c r="L55" i="1" l="1"/>
  <c r="K55" i="1" a="1"/>
  <c r="K55" i="1" l="1"/>
  <c r="J55" i="1" a="1"/>
  <c r="J55" i="1" l="1"/>
  <c r="I55" i="1" a="1"/>
  <c r="I55" i="1" l="1"/>
  <c r="H55" i="1" a="1"/>
  <c r="H55" i="1" l="1"/>
  <c r="G55" i="1" a="1"/>
  <c r="G55" i="1" l="1"/>
  <c r="O55" i="1" s="1"/>
  <c r="F55" i="1" a="1"/>
  <c r="F55" i="1" l="1"/>
  <c r="N54" i="1" a="1"/>
  <c r="N54" i="1" l="1"/>
  <c r="M54" i="1" a="1"/>
  <c r="M54" i="1" l="1"/>
  <c r="L54" i="1" a="1"/>
  <c r="L54" i="1" l="1"/>
  <c r="K54" i="1" a="1"/>
  <c r="K54" i="1" l="1"/>
  <c r="J54" i="1" a="1"/>
  <c r="J54" i="1" l="1"/>
  <c r="I54" i="1" a="1"/>
  <c r="I54" i="1" l="1"/>
  <c r="H54" i="1" a="1"/>
  <c r="H54" i="1" l="1"/>
  <c r="G54" i="1" a="1"/>
  <c r="G54" i="1" l="1"/>
  <c r="O54" i="1" s="1"/>
  <c r="F54" i="1" a="1"/>
  <c r="F54" i="1" l="1"/>
  <c r="N53" i="1" a="1"/>
  <c r="N53" i="1" l="1"/>
  <c r="M53" i="1" a="1"/>
  <c r="M53" i="1" l="1"/>
  <c r="L53" i="1" a="1"/>
  <c r="L53" i="1" l="1"/>
  <c r="K53" i="1" a="1"/>
  <c r="K53" i="1" l="1"/>
  <c r="J53" i="1" a="1"/>
  <c r="J53" i="1" l="1"/>
  <c r="I53" i="1" a="1"/>
  <c r="I53" i="1" l="1"/>
  <c r="H53" i="1" a="1"/>
  <c r="H53" i="1" l="1"/>
  <c r="G53" i="1" a="1"/>
  <c r="G53" i="1" l="1"/>
  <c r="O53" i="1" s="1"/>
  <c r="F53" i="1" a="1"/>
  <c r="F53" i="1" l="1"/>
  <c r="N52" i="1" a="1"/>
  <c r="N52" i="1" l="1"/>
  <c r="M52" i="1" a="1"/>
  <c r="M52" i="1" l="1"/>
  <c r="L52" i="1" a="1"/>
  <c r="L52" i="1" l="1"/>
  <c r="K52" i="1" a="1"/>
  <c r="K52" i="1" l="1"/>
  <c r="J52" i="1" a="1"/>
  <c r="J52" i="1" l="1"/>
  <c r="I52" i="1" a="1"/>
  <c r="I52" i="1" l="1"/>
  <c r="H52" i="1" a="1"/>
  <c r="H52" i="1" l="1"/>
  <c r="G52" i="1" a="1"/>
  <c r="G52" i="1" l="1"/>
  <c r="O52" i="1" s="1"/>
  <c r="F52" i="1" a="1"/>
  <c r="F52" i="1" l="1"/>
  <c r="N51" i="1" a="1"/>
  <c r="N51" i="1" l="1"/>
  <c r="M51" i="1" a="1"/>
  <c r="M51" i="1" l="1"/>
  <c r="L51" i="1" a="1"/>
  <c r="L51" i="1" l="1"/>
  <c r="K51" i="1" a="1"/>
  <c r="K51" i="1" l="1"/>
  <c r="J51" i="1" a="1"/>
  <c r="J51" i="1" l="1"/>
  <c r="I51" i="1" a="1"/>
  <c r="I51" i="1" l="1"/>
  <c r="H51" i="1" a="1"/>
  <c r="H51" i="1" l="1"/>
  <c r="G51" i="1" a="1"/>
  <c r="G51" i="1" l="1"/>
  <c r="O51" i="1" s="1"/>
  <c r="F51" i="1" a="1"/>
  <c r="F51" i="1" l="1"/>
  <c r="N50" i="1" a="1"/>
  <c r="N50" i="1" l="1"/>
  <c r="M50" i="1" a="1"/>
  <c r="M50" i="1" l="1"/>
  <c r="L50" i="1" a="1"/>
  <c r="L50" i="1" l="1"/>
  <c r="K50" i="1" a="1"/>
  <c r="K50" i="1" l="1"/>
  <c r="J50" i="1" a="1"/>
  <c r="J50" i="1" l="1"/>
  <c r="I50" i="1" a="1"/>
  <c r="I50" i="1" l="1"/>
  <c r="H50" i="1" a="1"/>
  <c r="H50" i="1" l="1"/>
  <c r="G50" i="1" a="1"/>
  <c r="G50" i="1" l="1"/>
  <c r="O50" i="1" s="1"/>
  <c r="F50" i="1" a="1"/>
  <c r="F50" i="1" l="1"/>
  <c r="N49" i="1" a="1"/>
  <c r="N49" i="1" l="1"/>
  <c r="M49" i="1" a="1"/>
  <c r="M49" i="1" l="1"/>
  <c r="L49" i="1" a="1"/>
  <c r="L49" i="1" l="1"/>
  <c r="K49" i="1" a="1"/>
  <c r="K49" i="1" l="1"/>
  <c r="J49" i="1" a="1"/>
  <c r="J49" i="1" l="1"/>
  <c r="I49" i="1" a="1"/>
  <c r="I49" i="1" l="1"/>
  <c r="H49" i="1" a="1"/>
  <c r="H49" i="1" l="1"/>
  <c r="G49" i="1" a="1"/>
  <c r="G49" i="1" l="1"/>
  <c r="O49" i="1" s="1"/>
  <c r="F49" i="1" a="1"/>
  <c r="F49" i="1" l="1"/>
  <c r="N48" i="1" a="1"/>
  <c r="N48" i="1" l="1"/>
  <c r="M48" i="1" a="1"/>
  <c r="M48" i="1" l="1"/>
  <c r="L48" i="1" a="1"/>
  <c r="L48" i="1" l="1"/>
  <c r="K48" i="1" a="1"/>
  <c r="K48" i="1" l="1"/>
  <c r="J48" i="1" a="1"/>
  <c r="J48" i="1" l="1"/>
  <c r="I48" i="1" a="1"/>
  <c r="I48" i="1" l="1"/>
  <c r="H48" i="1" a="1"/>
  <c r="H48" i="1" l="1"/>
  <c r="G48" i="1" a="1"/>
  <c r="G48" i="1" l="1"/>
  <c r="O48" i="1" s="1"/>
  <c r="F48" i="1" a="1"/>
  <c r="F48" i="1" l="1"/>
  <c r="N47" i="1" a="1"/>
  <c r="N47" i="1" l="1"/>
  <c r="M47" i="1" a="1"/>
  <c r="M47" i="1" l="1"/>
  <c r="L47" i="1" a="1"/>
  <c r="L47" i="1" l="1"/>
  <c r="K47" i="1" a="1"/>
  <c r="K47" i="1" l="1"/>
  <c r="J47" i="1" a="1"/>
  <c r="J47" i="1" l="1"/>
  <c r="I47" i="1" a="1"/>
  <c r="I47" i="1" l="1"/>
  <c r="H47" i="1" a="1"/>
  <c r="H47" i="1" l="1"/>
  <c r="G47" i="1" a="1"/>
  <c r="G47" i="1" l="1"/>
  <c r="O47" i="1" s="1"/>
  <c r="F47" i="1" a="1"/>
  <c r="F47" i="1" l="1"/>
  <c r="N46" i="1" a="1"/>
  <c r="N46" i="1" l="1"/>
  <c r="M46" i="1" a="1"/>
  <c r="M46" i="1" l="1"/>
  <c r="L46" i="1" a="1"/>
  <c r="L46" i="1" l="1"/>
  <c r="K46" i="1" a="1"/>
  <c r="K46" i="1" l="1"/>
  <c r="J46" i="1" a="1"/>
  <c r="J46" i="1" l="1"/>
  <c r="I46" i="1" a="1"/>
  <c r="I46" i="1" l="1"/>
  <c r="H46" i="1" a="1"/>
  <c r="H46" i="1" l="1"/>
  <c r="G46" i="1" a="1"/>
  <c r="G46" i="1" l="1"/>
  <c r="O46" i="1" s="1"/>
  <c r="F46" i="1" a="1"/>
  <c r="F46" i="1" l="1"/>
  <c r="N45" i="1" a="1"/>
  <c r="N45" i="1" l="1"/>
  <c r="M45" i="1" a="1"/>
  <c r="M45" i="1" l="1"/>
  <c r="L45" i="1" a="1"/>
  <c r="L45" i="1" l="1"/>
  <c r="K45" i="1" a="1"/>
  <c r="K45" i="1" l="1"/>
  <c r="J45" i="1" a="1"/>
  <c r="J45" i="1" l="1"/>
  <c r="I45" i="1" a="1"/>
  <c r="I45" i="1" l="1"/>
  <c r="H45" i="1" a="1"/>
  <c r="H45" i="1" l="1"/>
  <c r="G45" i="1" a="1"/>
  <c r="G45" i="1" l="1"/>
  <c r="O45" i="1" s="1"/>
  <c r="F45" i="1" a="1"/>
  <c r="F45" i="1" l="1"/>
  <c r="N44" i="1" a="1"/>
  <c r="N44" i="1" l="1"/>
  <c r="M44" i="1" a="1"/>
  <c r="M44" i="1" l="1"/>
  <c r="L44" i="1" a="1"/>
  <c r="L44" i="1" l="1"/>
  <c r="K44" i="1" a="1"/>
  <c r="K44" i="1" l="1"/>
  <c r="J44" i="1" a="1"/>
  <c r="J44" i="1" l="1"/>
  <c r="I44" i="1" a="1"/>
  <c r="I44" i="1" l="1"/>
  <c r="H44" i="1" a="1"/>
  <c r="H44" i="1" l="1"/>
  <c r="G44" i="1" a="1"/>
  <c r="G44" i="1" l="1"/>
  <c r="O44" i="1" s="1"/>
  <c r="F44" i="1" a="1"/>
  <c r="F44" i="1" l="1"/>
  <c r="N43" i="1" a="1"/>
  <c r="N43" i="1" l="1"/>
  <c r="M43" i="1" a="1"/>
  <c r="M43" i="1" l="1"/>
  <c r="L43" i="1" a="1"/>
  <c r="L43" i="1" l="1"/>
  <c r="K43" i="1" a="1"/>
  <c r="K43" i="1" l="1"/>
  <c r="J43" i="1" a="1"/>
  <c r="J43" i="1" l="1"/>
  <c r="I43" i="1" a="1"/>
  <c r="I43" i="1" l="1"/>
  <c r="H43" i="1" a="1"/>
  <c r="H43" i="1" l="1"/>
  <c r="G43" i="1" a="1"/>
  <c r="G43" i="1" l="1"/>
  <c r="O43" i="1" s="1"/>
  <c r="F43" i="1" a="1"/>
  <c r="F43" i="1" l="1"/>
  <c r="N42" i="1" a="1"/>
  <c r="N42" i="1" l="1"/>
  <c r="M42" i="1" a="1"/>
  <c r="M42" i="1" l="1"/>
  <c r="L42" i="1" a="1"/>
  <c r="L42" i="1" l="1"/>
  <c r="K42" i="1" a="1"/>
  <c r="K42" i="1" l="1"/>
  <c r="J42" i="1" a="1"/>
  <c r="J42" i="1" l="1"/>
  <c r="I42" i="1" a="1"/>
  <c r="I42" i="1" l="1"/>
  <c r="H42" i="1" a="1"/>
  <c r="H42" i="1" l="1"/>
  <c r="G42" i="1" a="1"/>
  <c r="G42" i="1" l="1"/>
  <c r="O42" i="1" s="1"/>
  <c r="F42" i="1" a="1"/>
  <c r="F42" i="1" l="1"/>
  <c r="N41" i="1" a="1"/>
  <c r="N41" i="1" l="1"/>
  <c r="M41" i="1" a="1"/>
  <c r="M41" i="1" l="1"/>
  <c r="L41" i="1" a="1"/>
  <c r="L41" i="1" l="1"/>
  <c r="K41" i="1" a="1"/>
  <c r="K41" i="1" l="1"/>
  <c r="J41" i="1" a="1"/>
  <c r="J41" i="1" l="1"/>
  <c r="I41" i="1" a="1"/>
  <c r="I41" i="1" l="1"/>
  <c r="H41" i="1" a="1"/>
  <c r="H41" i="1" l="1"/>
  <c r="G41" i="1" a="1"/>
  <c r="G41" i="1" l="1"/>
  <c r="O41" i="1" s="1"/>
  <c r="F41" i="1" a="1"/>
  <c r="F41" i="1" l="1"/>
  <c r="N40" i="1" a="1"/>
  <c r="N40" i="1" l="1"/>
  <c r="M40" i="1" a="1"/>
  <c r="M40" i="1" l="1"/>
  <c r="L40" i="1" a="1"/>
  <c r="L40" i="1" l="1"/>
  <c r="K40" i="1" a="1"/>
  <c r="K40" i="1" l="1"/>
  <c r="J40" i="1" a="1"/>
  <c r="J40" i="1" l="1"/>
  <c r="I40" i="1" a="1"/>
  <c r="I40" i="1" l="1"/>
  <c r="H40" i="1" a="1"/>
  <c r="H40" i="1" l="1"/>
  <c r="G40" i="1" a="1"/>
  <c r="G40" i="1" l="1"/>
  <c r="O40" i="1" s="1"/>
  <c r="F40" i="1" a="1"/>
  <c r="F40" i="1" l="1"/>
  <c r="N39" i="1" a="1"/>
  <c r="N39" i="1" l="1"/>
  <c r="M39" i="1" a="1"/>
  <c r="M39" i="1" l="1"/>
  <c r="L39" i="1" a="1"/>
  <c r="L39" i="1" l="1"/>
  <c r="K39" i="1" a="1"/>
  <c r="K39" i="1" l="1"/>
  <c r="J39" i="1" a="1"/>
  <c r="J39" i="1" l="1"/>
  <c r="I39" i="1" a="1"/>
  <c r="I39" i="1" l="1"/>
  <c r="H39" i="1" a="1"/>
  <c r="H39" i="1" l="1"/>
  <c r="G39" i="1" a="1"/>
  <c r="G39" i="1" l="1"/>
  <c r="O39" i="1" s="1"/>
  <c r="F39" i="1" a="1"/>
  <c r="F39" i="1" l="1"/>
  <c r="N38" i="1" a="1"/>
  <c r="N38" i="1" l="1"/>
  <c r="M38" i="1" a="1"/>
  <c r="M38" i="1" l="1"/>
  <c r="L38" i="1" a="1"/>
  <c r="L38" i="1" l="1"/>
  <c r="K38" i="1" a="1"/>
  <c r="K38" i="1" l="1"/>
  <c r="J38" i="1" a="1"/>
  <c r="J38" i="1" l="1"/>
  <c r="I38" i="1" a="1"/>
  <c r="I38" i="1" l="1"/>
  <c r="H38" i="1" a="1"/>
  <c r="H38" i="1" l="1"/>
  <c r="G38" i="1" a="1"/>
  <c r="G38" i="1" l="1"/>
  <c r="O38" i="1" s="1"/>
  <c r="F38" i="1" a="1"/>
  <c r="F38" i="1" l="1"/>
  <c r="N37" i="1" a="1"/>
  <c r="N37" i="1" l="1"/>
  <c r="M37" i="1" a="1"/>
  <c r="M37" i="1" l="1"/>
  <c r="L37" i="1" a="1"/>
  <c r="L37" i="1" l="1"/>
  <c r="K37" i="1" a="1"/>
  <c r="K37" i="1" l="1"/>
  <c r="J37" i="1" a="1"/>
  <c r="J37" i="1" l="1"/>
  <c r="I37" i="1" a="1"/>
  <c r="I37" i="1" l="1"/>
  <c r="H37" i="1" a="1"/>
  <c r="H37" i="1" l="1"/>
  <c r="G37" i="1" a="1"/>
  <c r="G37" i="1" l="1"/>
  <c r="O37" i="1" s="1"/>
  <c r="F37" i="1" a="1"/>
  <c r="F37" i="1" l="1"/>
  <c r="N36" i="1" a="1"/>
  <c r="N36" i="1" l="1"/>
  <c r="M36" i="1" a="1"/>
  <c r="M36" i="1" l="1"/>
  <c r="L36" i="1" a="1"/>
  <c r="L36" i="1" l="1"/>
  <c r="K36" i="1" a="1"/>
  <c r="K36" i="1" l="1"/>
  <c r="J36" i="1" a="1"/>
  <c r="J36" i="1" l="1"/>
  <c r="I36" i="1" a="1"/>
  <c r="I36" i="1" l="1"/>
  <c r="H36" i="1" a="1"/>
  <c r="H36" i="1" l="1"/>
  <c r="G36" i="1" a="1"/>
  <c r="G36" i="1" l="1"/>
  <c r="O36" i="1" s="1"/>
  <c r="F36" i="1" a="1"/>
  <c r="F36" i="1" l="1"/>
  <c r="N35" i="1" a="1"/>
  <c r="N35" i="1" l="1"/>
  <c r="M35" i="1" a="1"/>
  <c r="M35" i="1" l="1"/>
  <c r="L35" i="1" a="1"/>
  <c r="L35" i="1" l="1"/>
  <c r="K35" i="1" a="1"/>
  <c r="K35" i="1" l="1"/>
  <c r="J35" i="1" a="1"/>
  <c r="J35" i="1" l="1"/>
  <c r="I35" i="1" a="1"/>
  <c r="I35" i="1" l="1"/>
  <c r="H35" i="1" a="1"/>
  <c r="H35" i="1" l="1"/>
  <c r="G35" i="1" a="1"/>
  <c r="G35" i="1" l="1"/>
  <c r="O35" i="1" s="1"/>
  <c r="F35" i="1" a="1"/>
  <c r="F35" i="1" l="1"/>
  <c r="N34" i="1" a="1"/>
  <c r="N34" i="1" l="1"/>
  <c r="M34" i="1" a="1"/>
  <c r="M34" i="1" l="1"/>
  <c r="L34" i="1" a="1"/>
  <c r="L34" i="1" l="1"/>
  <c r="K34" i="1" a="1"/>
  <c r="K34" i="1" l="1"/>
  <c r="J34" i="1" a="1"/>
  <c r="J34" i="1" l="1"/>
  <c r="I34" i="1" a="1"/>
  <c r="I34" i="1" l="1"/>
  <c r="H34" i="1" a="1"/>
  <c r="H34" i="1" l="1"/>
  <c r="G34" i="1" a="1"/>
  <c r="G34" i="1" l="1"/>
  <c r="O34" i="1" s="1"/>
  <c r="F34" i="1" a="1"/>
  <c r="F34" i="1" l="1"/>
  <c r="N33" i="1" a="1"/>
  <c r="N33" i="1" l="1"/>
  <c r="M33" i="1" a="1"/>
  <c r="M33" i="1" l="1"/>
  <c r="L33" i="1" a="1"/>
  <c r="L33" i="1" l="1"/>
  <c r="K33" i="1" a="1"/>
  <c r="K33" i="1" l="1"/>
  <c r="J33" i="1" a="1"/>
  <c r="J33" i="1" l="1"/>
  <c r="I33" i="1" a="1"/>
  <c r="I33" i="1" l="1"/>
  <c r="H33" i="1" a="1"/>
  <c r="H33" i="1" l="1"/>
  <c r="G33" i="1" a="1"/>
  <c r="G33" i="1" l="1"/>
  <c r="O33" i="1" s="1"/>
  <c r="F33" i="1" a="1"/>
  <c r="F33" i="1" l="1"/>
  <c r="N32" i="1" a="1"/>
  <c r="N32" i="1" l="1"/>
  <c r="M32" i="1" a="1"/>
  <c r="M32" i="1" l="1"/>
  <c r="L32" i="1" a="1"/>
  <c r="L32" i="1" l="1"/>
  <c r="K32" i="1" a="1"/>
  <c r="K32" i="1" l="1"/>
  <c r="J32" i="1" a="1"/>
  <c r="J32" i="1" l="1"/>
  <c r="I32" i="1" a="1"/>
  <c r="I32" i="1" l="1"/>
  <c r="H32" i="1" a="1"/>
  <c r="H32" i="1" l="1"/>
  <c r="G32" i="1" a="1"/>
  <c r="G32" i="1" l="1"/>
  <c r="O32" i="1" s="1"/>
  <c r="F32" i="1" a="1"/>
  <c r="F32" i="1" l="1"/>
  <c r="N31" i="1" a="1"/>
  <c r="N31" i="1" l="1"/>
  <c r="M31" i="1" a="1"/>
  <c r="M31" i="1" l="1"/>
  <c r="L31" i="1" a="1"/>
  <c r="L31" i="1" l="1"/>
  <c r="K31" i="1" a="1"/>
  <c r="K31" i="1" l="1"/>
  <c r="J31" i="1" a="1"/>
  <c r="J31" i="1" l="1"/>
  <c r="I31" i="1" a="1"/>
  <c r="I31" i="1" l="1"/>
  <c r="H31" i="1" a="1"/>
  <c r="H31" i="1" l="1"/>
  <c r="G31" i="1" a="1"/>
  <c r="G31" i="1" l="1"/>
  <c r="O31" i="1" s="1"/>
  <c r="F31" i="1" a="1"/>
  <c r="F31" i="1" l="1"/>
  <c r="N30" i="1" a="1"/>
  <c r="N30" i="1" l="1"/>
  <c r="M30" i="1" a="1"/>
  <c r="M30" i="1" l="1"/>
  <c r="L30" i="1" a="1"/>
  <c r="L30" i="1" l="1"/>
  <c r="K30" i="1" a="1"/>
  <c r="K30" i="1" l="1"/>
  <c r="J30" i="1" a="1"/>
  <c r="J30" i="1" l="1"/>
  <c r="I30" i="1" a="1"/>
  <c r="I30" i="1" l="1"/>
  <c r="H30" i="1" a="1"/>
  <c r="H30" i="1" l="1"/>
  <c r="G30" i="1" a="1"/>
  <c r="G30" i="1" l="1"/>
  <c r="O30" i="1" s="1"/>
  <c r="F30" i="1" a="1"/>
  <c r="F30" i="1" l="1"/>
  <c r="N29" i="1" a="1"/>
  <c r="N29" i="1" l="1"/>
  <c r="M29" i="1" a="1"/>
  <c r="M29" i="1" l="1"/>
  <c r="L29" i="1" a="1"/>
  <c r="L29" i="1" l="1"/>
  <c r="K29" i="1" a="1"/>
  <c r="K29" i="1" l="1"/>
  <c r="J29" i="1" a="1"/>
  <c r="J29" i="1" l="1"/>
  <c r="I29" i="1" a="1"/>
  <c r="I29" i="1" l="1"/>
  <c r="H29" i="1" a="1"/>
  <c r="H29" i="1" l="1"/>
  <c r="G29" i="1" a="1"/>
  <c r="G29" i="1" l="1"/>
  <c r="O29" i="1" s="1"/>
  <c r="F29" i="1" a="1"/>
  <c r="F29" i="1" l="1"/>
  <c r="N28" i="1" a="1"/>
  <c r="N28" i="1" l="1"/>
  <c r="M28" i="1" a="1"/>
  <c r="M28" i="1" l="1"/>
  <c r="L28" i="1" a="1"/>
  <c r="L28" i="1" l="1"/>
  <c r="K28" i="1" a="1"/>
  <c r="K28" i="1" l="1"/>
  <c r="J28" i="1" a="1"/>
  <c r="J28" i="1" l="1"/>
  <c r="I28" i="1" a="1"/>
  <c r="I28" i="1" l="1"/>
  <c r="H28" i="1" a="1"/>
  <c r="H28" i="1" l="1"/>
  <c r="G28" i="1" a="1"/>
  <c r="G28" i="1" l="1"/>
  <c r="O28" i="1" s="1"/>
  <c r="F28" i="1" a="1"/>
  <c r="F28" i="1" l="1"/>
  <c r="N27" i="1" a="1"/>
  <c r="N27" i="1" l="1"/>
  <c r="M27" i="1" a="1"/>
  <c r="M27" i="1" l="1"/>
  <c r="L27" i="1" a="1"/>
  <c r="L27" i="1" l="1"/>
  <c r="K27" i="1" a="1"/>
  <c r="K27" i="1" l="1"/>
  <c r="J27" i="1" a="1"/>
  <c r="J27" i="1" l="1"/>
  <c r="I27" i="1" a="1"/>
  <c r="I27" i="1" l="1"/>
  <c r="H27" i="1" a="1"/>
  <c r="H27" i="1" l="1"/>
  <c r="G27" i="1" a="1"/>
  <c r="G27" i="1" l="1"/>
  <c r="O27" i="1" s="1"/>
  <c r="F27" i="1" a="1"/>
  <c r="F27" i="1" l="1"/>
  <c r="N26" i="1" a="1"/>
  <c r="N26" i="1" l="1"/>
  <c r="M26" i="1" a="1"/>
  <c r="M26" i="1" l="1"/>
  <c r="L26" i="1" a="1"/>
  <c r="L26" i="1" l="1"/>
  <c r="K26" i="1" a="1"/>
  <c r="K26" i="1" l="1"/>
  <c r="J26" i="1" a="1"/>
  <c r="J26" i="1" l="1"/>
  <c r="I26" i="1" a="1"/>
  <c r="I26" i="1" l="1"/>
  <c r="H26" i="1" a="1"/>
  <c r="H26" i="1" l="1"/>
  <c r="G26" i="1" a="1"/>
  <c r="G26" i="1" l="1"/>
  <c r="O26" i="1" s="1"/>
  <c r="F26" i="1" a="1"/>
  <c r="F26" i="1" l="1"/>
  <c r="N25" i="1" a="1"/>
  <c r="N25" i="1" l="1"/>
  <c r="M25" i="1" a="1"/>
  <c r="M25" i="1" l="1"/>
  <c r="L25" i="1" a="1"/>
  <c r="L25" i="1" l="1"/>
  <c r="K25" i="1" a="1"/>
  <c r="K25" i="1" l="1"/>
  <c r="J25" i="1" a="1"/>
  <c r="J25" i="1" l="1"/>
  <c r="I25" i="1" a="1"/>
  <c r="I25" i="1" l="1"/>
  <c r="H25" i="1" a="1"/>
  <c r="H25" i="1" l="1"/>
  <c r="G25" i="1" a="1"/>
  <c r="G25" i="1" l="1"/>
  <c r="O25" i="1" s="1"/>
  <c r="F25" i="1" a="1"/>
  <c r="F25" i="1" l="1"/>
  <c r="N24" i="1" a="1"/>
  <c r="N24" i="1" l="1"/>
  <c r="M24" i="1" a="1"/>
  <c r="M24" i="1" l="1"/>
  <c r="L24" i="1" a="1"/>
  <c r="L24" i="1" l="1"/>
  <c r="K24" i="1" a="1"/>
  <c r="K24" i="1" l="1"/>
  <c r="J24" i="1" a="1"/>
  <c r="J24" i="1" l="1"/>
  <c r="I24" i="1" a="1"/>
  <c r="I24" i="1" l="1"/>
  <c r="H24" i="1" a="1"/>
  <c r="H24" i="1" l="1"/>
  <c r="G24" i="1" a="1"/>
  <c r="G24" i="1" l="1"/>
  <c r="O24" i="1" s="1"/>
  <c r="F24" i="1" a="1"/>
  <c r="F24" i="1" l="1"/>
  <c r="N23" i="1" a="1"/>
  <c r="N23" i="1" l="1"/>
  <c r="M23" i="1" a="1"/>
  <c r="M23" i="1" l="1"/>
  <c r="L23" i="1" a="1"/>
  <c r="L23" i="1" l="1"/>
  <c r="K23" i="1" a="1"/>
  <c r="K23" i="1" l="1"/>
  <c r="J23" i="1" a="1"/>
  <c r="J23" i="1" l="1"/>
  <c r="I23" i="1" a="1"/>
  <c r="I23" i="1" l="1"/>
  <c r="H23" i="1" a="1"/>
  <c r="H23" i="1" l="1"/>
  <c r="G23" i="1" a="1"/>
  <c r="G23" i="1" l="1"/>
  <c r="O23" i="1" s="1"/>
  <c r="F23" i="1" a="1"/>
  <c r="F23" i="1" l="1"/>
  <c r="N22" i="1" a="1"/>
  <c r="N22" i="1" l="1"/>
  <c r="M22" i="1" a="1"/>
  <c r="M22" i="1" l="1"/>
  <c r="L22" i="1" a="1"/>
  <c r="L22" i="1" l="1"/>
  <c r="K22" i="1" a="1"/>
  <c r="K22" i="1" l="1"/>
  <c r="J22" i="1" a="1"/>
  <c r="J22" i="1" l="1"/>
  <c r="I22" i="1" a="1"/>
  <c r="I22" i="1" l="1"/>
  <c r="H22" i="1" a="1"/>
  <c r="H22" i="1" l="1"/>
  <c r="G22" i="1" a="1"/>
  <c r="G22" i="1" l="1"/>
  <c r="O22" i="1" s="1"/>
  <c r="F22" i="1" a="1"/>
  <c r="F22" i="1" l="1"/>
  <c r="N21" i="1" a="1"/>
  <c r="N21" i="1" l="1"/>
  <c r="M21" i="1" a="1"/>
  <c r="M21" i="1" l="1"/>
  <c r="L21" i="1" a="1"/>
  <c r="L21" i="1" l="1"/>
  <c r="K21" i="1" a="1"/>
  <c r="K21" i="1" l="1"/>
  <c r="J21" i="1" a="1"/>
  <c r="J21" i="1" l="1"/>
  <c r="I21" i="1" a="1"/>
  <c r="I21" i="1" l="1"/>
  <c r="H21" i="1" a="1"/>
  <c r="H21" i="1" l="1"/>
  <c r="G21" i="1" a="1"/>
  <c r="G21" i="1" l="1"/>
  <c r="O21" i="1" s="1"/>
  <c r="F21" i="1" a="1"/>
  <c r="F21" i="1" l="1"/>
  <c r="N20" i="1" a="1"/>
  <c r="N20" i="1" l="1"/>
  <c r="M20" i="1" a="1"/>
  <c r="M20" i="1" l="1"/>
  <c r="L20" i="1" a="1"/>
  <c r="L20" i="1" l="1"/>
  <c r="K20" i="1" a="1"/>
  <c r="K20" i="1" l="1"/>
  <c r="J20" i="1" a="1"/>
  <c r="J20" i="1" l="1"/>
  <c r="I20" i="1" a="1"/>
  <c r="I20" i="1" l="1"/>
  <c r="H20" i="1" a="1"/>
  <c r="H20" i="1" l="1"/>
  <c r="G20" i="1" a="1"/>
  <c r="G20" i="1" l="1"/>
  <c r="O20" i="1" s="1"/>
  <c r="F20" i="1" a="1"/>
  <c r="F20" i="1" l="1"/>
  <c r="N19" i="1" a="1"/>
  <c r="N19" i="1" l="1"/>
  <c r="M19" i="1" a="1"/>
  <c r="M19" i="1" l="1"/>
  <c r="L19" i="1" a="1"/>
  <c r="L19" i="1" l="1"/>
  <c r="K19" i="1" a="1"/>
  <c r="K19" i="1" l="1"/>
  <c r="J19" i="1" a="1"/>
  <c r="J19" i="1" l="1"/>
  <c r="I19" i="1" a="1"/>
  <c r="I19" i="1" l="1"/>
  <c r="H19" i="1" a="1"/>
  <c r="H19" i="1" l="1"/>
  <c r="G19" i="1" a="1"/>
  <c r="G19" i="1" l="1"/>
  <c r="O19" i="1" s="1"/>
  <c r="F19" i="1" a="1"/>
  <c r="F19" i="1" l="1"/>
  <c r="N18" i="1" a="1"/>
  <c r="N18" i="1" l="1"/>
  <c r="M18" i="1" a="1"/>
  <c r="M18" i="1" l="1"/>
  <c r="L18" i="1" a="1"/>
  <c r="L18" i="1" l="1"/>
  <c r="K18" i="1" a="1"/>
  <c r="K18" i="1" l="1"/>
  <c r="J18" i="1" a="1"/>
  <c r="J18" i="1" l="1"/>
  <c r="I18" i="1" a="1"/>
  <c r="I18" i="1" l="1"/>
  <c r="H18" i="1" a="1"/>
  <c r="H18" i="1" l="1"/>
  <c r="G18" i="1" a="1"/>
  <c r="G18" i="1" l="1"/>
  <c r="O18" i="1" s="1"/>
  <c r="F18" i="1" a="1"/>
  <c r="F18" i="1" l="1"/>
  <c r="N17" i="1" a="1"/>
  <c r="N17" i="1" l="1"/>
  <c r="M17" i="1" a="1"/>
  <c r="M17" i="1" l="1"/>
  <c r="L17" i="1" a="1"/>
  <c r="L17" i="1" l="1"/>
  <c r="K17" i="1" a="1"/>
  <c r="K17" i="1" l="1"/>
  <c r="J17" i="1" a="1"/>
  <c r="J17" i="1" l="1"/>
  <c r="I17" i="1" a="1"/>
  <c r="I17" i="1" l="1"/>
  <c r="H17" i="1" a="1"/>
  <c r="H17" i="1" l="1"/>
  <c r="G17" i="1" a="1"/>
  <c r="G17" i="1" l="1"/>
  <c r="O17" i="1" s="1"/>
  <c r="F17" i="1" a="1"/>
  <c r="F17" i="1" l="1"/>
  <c r="N16" i="1" a="1"/>
  <c r="N16" i="1" l="1"/>
  <c r="M16" i="1" a="1"/>
  <c r="M16" i="1" l="1"/>
  <c r="L16" i="1" a="1"/>
  <c r="L16" i="1" l="1"/>
  <c r="K16" i="1" a="1"/>
  <c r="K16" i="1" l="1"/>
  <c r="J16" i="1" a="1"/>
  <c r="J16" i="1" l="1"/>
  <c r="I16" i="1" a="1"/>
  <c r="I16" i="1" l="1"/>
  <c r="H16" i="1" a="1"/>
  <c r="H16" i="1" l="1"/>
  <c r="G16" i="1" a="1"/>
  <c r="G16" i="1" l="1"/>
  <c r="O16" i="1" s="1"/>
  <c r="F16" i="1" a="1"/>
  <c r="F16" i="1" l="1"/>
  <c r="N15" i="1" a="1"/>
  <c r="N15" i="1" l="1"/>
  <c r="M15" i="1" a="1"/>
  <c r="M15" i="1" l="1"/>
  <c r="L15" i="1" a="1"/>
  <c r="L15" i="1" l="1"/>
  <c r="K15" i="1" a="1"/>
  <c r="K15" i="1" l="1"/>
  <c r="J15" i="1" a="1"/>
  <c r="J15" i="1" l="1"/>
  <c r="I15" i="1" a="1"/>
  <c r="I15" i="1" l="1"/>
  <c r="H15" i="1" a="1"/>
  <c r="H15" i="1" l="1"/>
  <c r="G15" i="1" a="1"/>
  <c r="G15" i="1" l="1"/>
  <c r="O15" i="1" s="1"/>
  <c r="F15" i="1" a="1"/>
  <c r="F15" i="1" l="1"/>
  <c r="N14" i="1" a="1"/>
  <c r="N14" i="1" l="1"/>
  <c r="M14" i="1" a="1"/>
  <c r="M14" i="1" l="1"/>
  <c r="L14" i="1" a="1"/>
  <c r="L14" i="1" l="1"/>
  <c r="K14" i="1" a="1"/>
  <c r="K14" i="1" l="1"/>
  <c r="J14" i="1" a="1"/>
  <c r="J14" i="1" l="1"/>
  <c r="I14" i="1" a="1"/>
  <c r="I14" i="1" l="1"/>
  <c r="H14" i="1" a="1"/>
  <c r="H14" i="1" l="1"/>
  <c r="G14" i="1" a="1"/>
  <c r="G14" i="1" l="1"/>
  <c r="O14" i="1" s="1"/>
  <c r="F14" i="1" a="1"/>
  <c r="F14" i="1" l="1"/>
  <c r="N13" i="1" a="1"/>
  <c r="N13" i="1" l="1"/>
  <c r="M13" i="1" a="1"/>
  <c r="M13" i="1" l="1"/>
  <c r="L13" i="1" a="1"/>
  <c r="L13" i="1" l="1"/>
  <c r="K13" i="1" a="1"/>
  <c r="K13" i="1" l="1"/>
  <c r="J13" i="1" a="1"/>
  <c r="J13" i="1" l="1"/>
  <c r="I13" i="1" a="1"/>
  <c r="I13" i="1" l="1"/>
  <c r="H13" i="1" a="1"/>
  <c r="H13" i="1" l="1"/>
  <c r="G13" i="1" a="1"/>
  <c r="G13" i="1" l="1"/>
  <c r="O13" i="1" s="1"/>
  <c r="F13" i="1" a="1"/>
  <c r="F13" i="1" l="1"/>
  <c r="N12" i="1" a="1"/>
  <c r="N12" i="1" l="1"/>
  <c r="M12" i="1" a="1"/>
  <c r="M12" i="1" l="1"/>
  <c r="L12" i="1" a="1"/>
  <c r="L12" i="1" l="1"/>
  <c r="K12" i="1" a="1"/>
  <c r="K12" i="1" l="1"/>
  <c r="J12" i="1" a="1"/>
  <c r="J12" i="1" l="1"/>
  <c r="I12" i="1" a="1"/>
  <c r="I12" i="1" l="1"/>
  <c r="H12" i="1" a="1"/>
  <c r="H12" i="1" l="1"/>
  <c r="G12" i="1" a="1"/>
  <c r="G12" i="1" l="1"/>
  <c r="O12" i="1" s="1"/>
  <c r="F12" i="1" a="1"/>
  <c r="F12" i="1" l="1"/>
  <c r="N11" i="1" a="1"/>
  <c r="N11" i="1" l="1"/>
  <c r="M11" i="1" a="1"/>
  <c r="M11" i="1" l="1"/>
  <c r="L11" i="1" a="1"/>
  <c r="L11" i="1" l="1"/>
  <c r="K11" i="1" a="1"/>
  <c r="K11" i="1" l="1"/>
  <c r="J11" i="1" a="1"/>
  <c r="J11" i="1" l="1"/>
  <c r="I11" i="1" a="1"/>
  <c r="I11" i="1" l="1"/>
  <c r="H11" i="1" a="1"/>
  <c r="H11" i="1" l="1"/>
  <c r="G11" i="1" a="1"/>
  <c r="G11" i="1" l="1"/>
  <c r="O11" i="1" s="1"/>
  <c r="F11" i="1" a="1"/>
  <c r="F11" i="1" l="1"/>
  <c r="N10" i="1" a="1"/>
  <c r="N10" i="1" l="1"/>
  <c r="M10" i="1" a="1"/>
  <c r="M10" i="1" l="1"/>
  <c r="L10" i="1" a="1"/>
  <c r="L10" i="1" l="1"/>
  <c r="K10" i="1" a="1"/>
  <c r="K10" i="1" l="1"/>
  <c r="J10" i="1" a="1"/>
  <c r="J10" i="1" l="1"/>
  <c r="I10" i="1" a="1"/>
  <c r="I10" i="1" l="1"/>
  <c r="H10" i="1" a="1"/>
  <c r="H10" i="1" l="1"/>
  <c r="G10" i="1" a="1"/>
  <c r="G10" i="1" l="1"/>
  <c r="O10" i="1" s="1"/>
  <c r="F10" i="1" a="1"/>
  <c r="F10" i="1" l="1"/>
  <c r="N9" i="1" a="1"/>
  <c r="N9" i="1" l="1"/>
  <c r="M9" i="1" a="1"/>
  <c r="M9" i="1" l="1"/>
  <c r="L9" i="1" a="1"/>
  <c r="L9" i="1" l="1"/>
  <c r="K9" i="1" a="1"/>
  <c r="K9" i="1" l="1"/>
  <c r="J9" i="1" a="1"/>
  <c r="J9" i="1" l="1"/>
  <c r="I9" i="1" a="1"/>
  <c r="I9" i="1" l="1"/>
  <c r="H9" i="1" a="1"/>
  <c r="H9" i="1" l="1"/>
  <c r="G9" i="1" a="1"/>
  <c r="G9" i="1" l="1"/>
  <c r="O9" i="1" s="1"/>
  <c r="F9" i="1" a="1"/>
  <c r="F9" i="1" l="1"/>
  <c r="N8" i="1" a="1"/>
  <c r="N8" i="1" l="1"/>
  <c r="M8" i="1" a="1"/>
  <c r="M8" i="1" l="1"/>
  <c r="L8" i="1" a="1"/>
  <c r="L8" i="1" l="1"/>
  <c r="K8" i="1" a="1"/>
  <c r="K8" i="1" l="1"/>
  <c r="J8" i="1" a="1"/>
  <c r="J8" i="1" l="1"/>
  <c r="I8" i="1" a="1"/>
  <c r="I8" i="1" l="1"/>
  <c r="H8" i="1" a="1"/>
  <c r="H8" i="1" l="1"/>
  <c r="G8" i="1" a="1"/>
  <c r="G8" i="1" l="1"/>
  <c r="O8" i="1" s="1"/>
  <c r="F8" i="1" a="1"/>
  <c r="F8" i="1" l="1"/>
  <c r="N7" i="1" a="1"/>
  <c r="N7" i="1" l="1"/>
  <c r="M7" i="1" a="1"/>
  <c r="M7" i="1" l="1"/>
  <c r="L7" i="1" a="1"/>
  <c r="L7" i="1" l="1"/>
  <c r="K7" i="1" a="1"/>
  <c r="K7" i="1" l="1"/>
  <c r="J7" i="1" a="1"/>
  <c r="J7" i="1" l="1"/>
  <c r="I7" i="1" a="1"/>
  <c r="I7" i="1" l="1"/>
  <c r="H7" i="1" a="1"/>
  <c r="H7" i="1" l="1"/>
  <c r="G7" i="1" a="1"/>
  <c r="G7" i="1" l="1"/>
  <c r="O7" i="1" s="1"/>
  <c r="F7" i="1" a="1"/>
  <c r="F7" i="1" l="1"/>
  <c r="N6" i="1" a="1"/>
  <c r="N6" i="1" l="1"/>
  <c r="M6" i="1" a="1"/>
  <c r="M6" i="1" l="1"/>
  <c r="L6" i="1" a="1"/>
  <c r="L6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O6" i="1" s="1"/>
  <c r="F6" i="1" a="1"/>
  <c r="F6" i="1" l="1"/>
  <c r="N5" i="1" a="1"/>
  <c r="N5" i="1" l="1"/>
  <c r="M5" i="1" a="1"/>
  <c r="M5" i="1" l="1"/>
  <c r="L5" i="1" a="1"/>
  <c r="L5" i="1" l="1"/>
  <c r="K5" i="1" a="1"/>
  <c r="K5" i="1" l="1"/>
  <c r="J5" i="1" a="1"/>
  <c r="J5" i="1" l="1"/>
  <c r="I5" i="1" a="1"/>
  <c r="I5" i="1" l="1"/>
  <c r="H5" i="1" a="1"/>
  <c r="H5" i="1" l="1"/>
  <c r="G5" i="1" a="1"/>
  <c r="G5" i="1" l="1"/>
  <c r="O5" i="1" s="1"/>
  <c r="F5" i="1" a="1"/>
  <c r="F5" i="1" l="1"/>
  <c r="N4" i="1" a="1"/>
  <c r="N4" i="1" l="1"/>
  <c r="M4" i="1" a="1"/>
  <c r="M4" i="1" l="1"/>
  <c r="L4" i="1" a="1"/>
  <c r="L4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O4" i="1" s="1"/>
  <c r="F4" i="1" a="1"/>
  <c r="F4" i="1" l="1"/>
  <c r="N3" i="1" a="1"/>
  <c r="N3" i="1" l="1"/>
  <c r="M3" i="1" a="1"/>
  <c r="M3" i="1" l="1"/>
  <c r="L3" i="1" a="1"/>
  <c r="L3" i="1" l="1"/>
  <c r="K3" i="1" a="1"/>
  <c r="K3" i="1" l="1"/>
  <c r="J3" i="1" a="1"/>
  <c r="J3" i="1" l="1"/>
  <c r="I3" i="1" a="1"/>
  <c r="I3" i="1" l="1"/>
  <c r="H3" i="1" a="1"/>
  <c r="H3" i="1" l="1"/>
  <c r="G3" i="1" a="1"/>
  <c r="G3" i="1" l="1"/>
  <c r="O3" i="1" s="1"/>
  <c r="F3" i="1" a="1"/>
  <c r="F3" i="1" l="1"/>
  <c r="F2" i="1" a="1"/>
  <c r="G2" i="1" a="1"/>
  <c r="H2" i="1" a="1"/>
  <c r="I2" i="1" a="1"/>
  <c r="J2" i="1" a="1"/>
  <c r="K2" i="1" a="1"/>
  <c r="L2" i="1" a="1"/>
  <c r="M2" i="1" a="1"/>
  <c r="N2" i="1" a="1"/>
  <c r="N2" i="1" l="1"/>
  <c r="U2" i="1" s="1" a="1"/>
  <c r="U2" i="1" s="1"/>
  <c r="V2" i="1" s="1" a="1"/>
  <c r="V2" i="1" s="1"/>
  <c r="M2" i="1"/>
  <c r="L2" i="1"/>
  <c r="K2" i="1"/>
  <c r="J2" i="1"/>
  <c r="I2" i="1"/>
  <c r="H2" i="1"/>
  <c r="B5" i="2" s="1" a="1"/>
  <c r="B5" i="2" s="1"/>
  <c r="C5" i="2" s="1" a="1"/>
  <c r="C5" i="2" s="1"/>
  <c r="D5" i="2" s="1" a="1"/>
  <c r="D5" i="2" s="1"/>
  <c r="F5" i="2" s="1" a="1"/>
  <c r="F5" i="2" s="1"/>
  <c r="G5" i="2" s="1" a="1"/>
  <c r="G5" i="2" s="1"/>
  <c r="I5" i="2" s="1" a="1"/>
  <c r="I5" i="2" s="1"/>
  <c r="G2" i="1"/>
  <c r="O2" i="1" s="1"/>
  <c r="A6" i="7" s="1" a="1"/>
  <c r="A6" i="7" s="1"/>
  <c r="F2" i="1"/>
  <c r="S39" i="3"/>
  <c r="R39" i="3" a="1"/>
  <c r="J5" i="2" l="1" a="1"/>
  <c r="J5" i="2" s="1"/>
  <c r="B2" i="6" s="1" a="1"/>
  <c r="B2" i="6" s="1"/>
  <c r="A2" i="6" a="1"/>
  <c r="A2" i="6" s="1"/>
  <c r="D6" i="7" a="1"/>
  <c r="D6" i="7" s="1"/>
  <c r="B6" i="7" a="1"/>
  <c r="B6" i="7" s="1"/>
  <c r="C6" i="7" s="1" a="1"/>
  <c r="C6" i="7" s="1"/>
  <c r="Q2" i="1" a="1"/>
  <c r="Q2" i="1" s="1"/>
  <c r="R2" i="1" a="1"/>
  <c r="R2" i="1" s="1"/>
  <c r="R39" i="3"/>
  <c r="F6" i="7" a="1"/>
  <c r="E6" i="7" a="1"/>
  <c r="Q39" i="3" a="1"/>
  <c r="E6" i="7" l="1"/>
  <c r="F6" i="7"/>
  <c r="S2" i="1" a="1"/>
  <c r="S2" i="1" s="1"/>
  <c r="T2" i="1" s="1" a="1"/>
  <c r="T2" i="1" s="1"/>
  <c r="Q39" i="3"/>
  <c r="P39" i="3" a="1"/>
  <c r="P39" i="3" l="1"/>
  <c r="O39" i="3" a="1"/>
  <c r="O39" i="3" l="1"/>
  <c r="L39" i="3" a="1"/>
  <c r="L39" i="3" l="1"/>
  <c r="K39" i="3" a="1"/>
  <c r="K39" i="3" l="1"/>
  <c r="M39" i="3" s="1"/>
  <c r="H39" i="3" a="1"/>
  <c r="H39" i="3" l="1"/>
  <c r="G39" i="3" a="1"/>
  <c r="G39" i="3" l="1"/>
  <c r="I39" i="3" s="1"/>
  <c r="N39" i="3" s="1"/>
  <c r="F39" i="3" a="1"/>
  <c r="F39" i="3" l="1"/>
  <c r="E39" i="3" a="1"/>
  <c r="E39" i="3" l="1"/>
  <c r="S38" i="3"/>
  <c r="R38" i="3" a="1"/>
  <c r="R38" i="3" l="1"/>
  <c r="Q38" i="3" a="1"/>
  <c r="Q38" i="3" l="1"/>
  <c r="P38" i="3" a="1"/>
  <c r="P38" i="3" l="1"/>
  <c r="O38" i="3" a="1"/>
  <c r="O38" i="3" l="1"/>
  <c r="L38" i="3" a="1"/>
  <c r="L38" i="3" l="1"/>
  <c r="K38" i="3" a="1"/>
  <c r="K38" i="3" l="1"/>
  <c r="M38" i="3" s="1"/>
  <c r="H38" i="3" a="1"/>
  <c r="H38" i="3" l="1"/>
  <c r="G38" i="3" a="1"/>
  <c r="G38" i="3" l="1"/>
  <c r="I38" i="3" s="1"/>
  <c r="N38" i="3" s="1"/>
  <c r="F38" i="3" a="1"/>
  <c r="F38" i="3" l="1"/>
  <c r="E38" i="3" a="1"/>
  <c r="E38" i="3" l="1"/>
  <c r="S37" i="3"/>
  <c r="R37" i="3" a="1"/>
  <c r="R37" i="3" l="1"/>
  <c r="Q37" i="3" a="1"/>
  <c r="Q37" i="3" l="1"/>
  <c r="P37" i="3" a="1"/>
  <c r="P37" i="3" l="1"/>
  <c r="O37" i="3" a="1"/>
  <c r="O37" i="3" l="1"/>
  <c r="L37" i="3" a="1"/>
  <c r="L37" i="3" l="1"/>
  <c r="K37" i="3" a="1"/>
  <c r="K37" i="3" l="1"/>
  <c r="M37" i="3"/>
  <c r="H37" i="3" a="1"/>
  <c r="H37" i="3" l="1"/>
  <c r="G37" i="3" a="1"/>
  <c r="G37" i="3" l="1"/>
  <c r="I37" i="3"/>
  <c r="N37" i="3" s="1"/>
  <c r="F37" i="3" a="1"/>
  <c r="F37" i="3" l="1"/>
  <c r="E37" i="3" a="1"/>
  <c r="E37" i="3" l="1"/>
  <c r="S36" i="3"/>
  <c r="R36" i="3" a="1"/>
  <c r="R36" i="3" l="1"/>
  <c r="Q36" i="3" a="1"/>
  <c r="Q36" i="3" l="1"/>
  <c r="P36" i="3" a="1"/>
  <c r="P36" i="3" l="1"/>
  <c r="O36" i="3" a="1"/>
  <c r="O36" i="3" l="1"/>
  <c r="L36" i="3" a="1"/>
  <c r="L36" i="3" l="1"/>
  <c r="K36" i="3" a="1"/>
  <c r="K36" i="3" l="1"/>
  <c r="M36" i="3"/>
  <c r="H36" i="3" a="1"/>
  <c r="H36" i="3" l="1"/>
  <c r="G36" i="3" a="1"/>
  <c r="G36" i="3" l="1"/>
  <c r="I36" i="3"/>
  <c r="N36" i="3" s="1"/>
  <c r="F36" i="3" a="1"/>
  <c r="F36" i="3" l="1"/>
  <c r="E36" i="3" a="1"/>
  <c r="E36" i="3" l="1"/>
  <c r="S35" i="3"/>
  <c r="R35" i="3" a="1"/>
  <c r="R35" i="3" l="1"/>
  <c r="Q35" i="3" a="1"/>
  <c r="Q35" i="3" l="1"/>
  <c r="P35" i="3" a="1"/>
  <c r="P35" i="3" l="1"/>
  <c r="O35" i="3" a="1"/>
  <c r="O35" i="3" l="1"/>
  <c r="L35" i="3" a="1"/>
  <c r="L35" i="3" l="1"/>
  <c r="K35" i="3" a="1"/>
  <c r="K35" i="3" l="1"/>
  <c r="M35" i="3"/>
  <c r="H35" i="3" a="1"/>
  <c r="H35" i="3" l="1"/>
  <c r="G35" i="3" a="1"/>
  <c r="G35" i="3" l="1"/>
  <c r="I35" i="3"/>
  <c r="N35" i="3" s="1"/>
  <c r="F35" i="3" a="1"/>
  <c r="F35" i="3" l="1"/>
  <c r="E35" i="3" a="1"/>
  <c r="E35" i="3" l="1"/>
  <c r="S34" i="3"/>
  <c r="R34" i="3" a="1"/>
  <c r="R34" i="3" l="1"/>
  <c r="Q34" i="3" a="1"/>
  <c r="Q34" i="3" l="1"/>
  <c r="P34" i="3" a="1"/>
  <c r="P34" i="3" l="1"/>
  <c r="O34" i="3" a="1"/>
  <c r="O34" i="3" l="1"/>
  <c r="L34" i="3" a="1"/>
  <c r="L34" i="3" l="1"/>
  <c r="K34" i="3" a="1"/>
  <c r="K34" i="3" l="1"/>
  <c r="M34" i="3"/>
  <c r="H34" i="3" a="1"/>
  <c r="H34" i="3" l="1"/>
  <c r="G34" i="3" a="1"/>
  <c r="G34" i="3" l="1"/>
  <c r="I34" i="3" s="1"/>
  <c r="N34" i="3" s="1"/>
  <c r="F34" i="3" a="1"/>
  <c r="F34" i="3" l="1"/>
  <c r="E34" i="3" a="1"/>
  <c r="E34" i="3" l="1"/>
  <c r="S33" i="3"/>
  <c r="R33" i="3" a="1"/>
  <c r="R33" i="3" l="1"/>
  <c r="Q33" i="3" a="1"/>
  <c r="Q33" i="3" l="1"/>
  <c r="P33" i="3" a="1"/>
  <c r="P33" i="3" l="1"/>
  <c r="O33" i="3" a="1"/>
  <c r="O33" i="3" l="1"/>
  <c r="L33" i="3" a="1"/>
  <c r="L33" i="3" l="1"/>
  <c r="K33" i="3" a="1"/>
  <c r="K33" i="3" l="1"/>
  <c r="M33" i="3"/>
  <c r="H33" i="3" a="1"/>
  <c r="H33" i="3" l="1"/>
  <c r="G33" i="3" a="1"/>
  <c r="G33" i="3" l="1"/>
  <c r="I33" i="3"/>
  <c r="N33" i="3" s="1"/>
  <c r="F33" i="3" a="1"/>
  <c r="F33" i="3" l="1"/>
  <c r="E33" i="3" a="1"/>
  <c r="E33" i="3" l="1"/>
  <c r="S32" i="3"/>
  <c r="R32" i="3" a="1"/>
  <c r="R32" i="3" l="1"/>
  <c r="Q32" i="3" a="1"/>
  <c r="Q32" i="3" l="1"/>
  <c r="P32" i="3" a="1"/>
  <c r="P32" i="3" l="1"/>
  <c r="O32" i="3" a="1"/>
  <c r="O32" i="3" l="1"/>
  <c r="L32" i="3" a="1"/>
  <c r="L32" i="3" l="1"/>
  <c r="K32" i="3" a="1"/>
  <c r="K32" i="3" l="1"/>
  <c r="M32" i="3" s="1"/>
  <c r="H32" i="3" a="1"/>
  <c r="H32" i="3" l="1"/>
  <c r="G32" i="3" a="1"/>
  <c r="G32" i="3" l="1"/>
  <c r="I32" i="3" s="1"/>
  <c r="N32" i="3" s="1"/>
  <c r="F32" i="3" a="1"/>
  <c r="F32" i="3" l="1"/>
  <c r="E32" i="3" a="1"/>
  <c r="E32" i="3" l="1"/>
  <c r="S31" i="3"/>
  <c r="R31" i="3" a="1"/>
  <c r="R31" i="3" l="1"/>
  <c r="Q31" i="3" a="1"/>
  <c r="Q31" i="3" l="1"/>
  <c r="P31" i="3" a="1"/>
  <c r="P31" i="3" l="1"/>
  <c r="O31" i="3" a="1"/>
  <c r="O31" i="3" l="1"/>
  <c r="L31" i="3" a="1"/>
  <c r="L31" i="3" l="1"/>
  <c r="K31" i="3" a="1"/>
  <c r="K31" i="3" l="1"/>
  <c r="M31" i="3"/>
  <c r="H31" i="3" a="1"/>
  <c r="H31" i="3" l="1"/>
  <c r="G31" i="3" a="1"/>
  <c r="G31" i="3" l="1"/>
  <c r="I31" i="3"/>
  <c r="N31" i="3" s="1"/>
  <c r="F31" i="3" a="1"/>
  <c r="F31" i="3" l="1"/>
  <c r="E31" i="3" a="1"/>
  <c r="E31" i="3" l="1"/>
  <c r="S30" i="3"/>
  <c r="R30" i="3" a="1"/>
  <c r="R30" i="3" l="1"/>
  <c r="Q30" i="3" a="1"/>
  <c r="Q30" i="3" l="1"/>
  <c r="P30" i="3" a="1"/>
  <c r="P30" i="3" l="1"/>
  <c r="O30" i="3" a="1"/>
  <c r="O30" i="3" l="1"/>
  <c r="L30" i="3" a="1"/>
  <c r="L30" i="3" l="1"/>
  <c r="K30" i="3" a="1"/>
  <c r="K30" i="3" l="1"/>
  <c r="M30" i="3"/>
  <c r="H30" i="3" a="1"/>
  <c r="H30" i="3" l="1"/>
  <c r="G30" i="3" a="1"/>
  <c r="G30" i="3" l="1"/>
  <c r="I30" i="3"/>
  <c r="N30" i="3" s="1"/>
  <c r="F30" i="3" a="1"/>
  <c r="F30" i="3" l="1"/>
  <c r="E30" i="3" a="1"/>
  <c r="E30" i="3" l="1"/>
  <c r="S29" i="3"/>
  <c r="R29" i="3" a="1"/>
  <c r="R29" i="3" l="1"/>
  <c r="Q29" i="3" a="1"/>
  <c r="Q29" i="3" l="1"/>
  <c r="P29" i="3" a="1"/>
  <c r="P29" i="3" l="1"/>
  <c r="O29" i="3" a="1"/>
  <c r="O29" i="3" l="1"/>
  <c r="L29" i="3" a="1"/>
  <c r="L29" i="3" l="1"/>
  <c r="K29" i="3" a="1"/>
  <c r="K29" i="3" l="1"/>
  <c r="M29" i="3"/>
  <c r="H29" i="3" a="1"/>
  <c r="H29" i="3" l="1"/>
  <c r="G29" i="3" a="1"/>
  <c r="G29" i="3" l="1"/>
  <c r="I29" i="3"/>
  <c r="N29" i="3" s="1"/>
  <c r="F29" i="3" a="1"/>
  <c r="F29" i="3" l="1"/>
  <c r="E29" i="3" a="1"/>
  <c r="E29" i="3" l="1"/>
  <c r="S28" i="3"/>
  <c r="R28" i="3" a="1"/>
  <c r="R28" i="3" l="1"/>
  <c r="Q28" i="3" a="1"/>
  <c r="Q28" i="3" l="1"/>
  <c r="P28" i="3" a="1"/>
  <c r="P28" i="3" l="1"/>
  <c r="O28" i="3" a="1"/>
  <c r="O28" i="3" l="1"/>
  <c r="L28" i="3" a="1"/>
  <c r="L28" i="3" l="1"/>
  <c r="K28" i="3" a="1"/>
  <c r="K28" i="3" l="1"/>
  <c r="M28" i="3" s="1"/>
  <c r="H28" i="3" a="1"/>
  <c r="H28" i="3" l="1"/>
  <c r="G28" i="3" a="1"/>
  <c r="G28" i="3" l="1"/>
  <c r="I28" i="3"/>
  <c r="N28" i="3" s="1"/>
  <c r="F28" i="3" a="1"/>
  <c r="F28" i="3" l="1"/>
  <c r="E28" i="3" a="1"/>
  <c r="E28" i="3" l="1"/>
  <c r="S27" i="3"/>
  <c r="R27" i="3" a="1"/>
  <c r="R27" i="3" l="1"/>
  <c r="Q27" i="3" a="1"/>
  <c r="Q27" i="3" l="1"/>
  <c r="P27" i="3" a="1"/>
  <c r="P27" i="3" l="1"/>
  <c r="O27" i="3" a="1"/>
  <c r="O27" i="3" l="1"/>
  <c r="L27" i="3" a="1"/>
  <c r="L27" i="3" l="1"/>
  <c r="K27" i="3" a="1"/>
  <c r="K27" i="3" l="1"/>
  <c r="M27" i="3"/>
  <c r="H27" i="3" a="1"/>
  <c r="H27" i="3" l="1"/>
  <c r="G27" i="3" a="1"/>
  <c r="G27" i="3" l="1"/>
  <c r="I27" i="3"/>
  <c r="N27" i="3" s="1"/>
  <c r="F27" i="3" a="1"/>
  <c r="F27" i="3" l="1"/>
  <c r="E27" i="3" a="1"/>
  <c r="E27" i="3" l="1"/>
  <c r="S26" i="3"/>
  <c r="R26" i="3" a="1"/>
  <c r="R26" i="3" l="1"/>
  <c r="Q26" i="3" a="1"/>
  <c r="Q26" i="3" l="1"/>
  <c r="P26" i="3" a="1"/>
  <c r="P26" i="3" l="1"/>
  <c r="O26" i="3" a="1"/>
  <c r="O26" i="3" l="1"/>
  <c r="L26" i="3" a="1"/>
  <c r="L26" i="3" l="1"/>
  <c r="K26" i="3" a="1"/>
  <c r="K26" i="3" l="1"/>
  <c r="M26" i="3"/>
  <c r="H26" i="3" a="1"/>
  <c r="H26" i="3" l="1"/>
  <c r="G26" i="3" a="1"/>
  <c r="G26" i="3" l="1"/>
  <c r="I26" i="3" s="1"/>
  <c r="N26" i="3" s="1"/>
  <c r="F26" i="3" a="1"/>
  <c r="F26" i="3" l="1"/>
  <c r="E26" i="3" a="1"/>
  <c r="E26" i="3" l="1"/>
  <c r="S25" i="3"/>
  <c r="R25" i="3" a="1"/>
  <c r="R25" i="3" l="1"/>
  <c r="Q25" i="3" a="1"/>
  <c r="Q25" i="3" l="1"/>
  <c r="P25" i="3" a="1"/>
  <c r="P25" i="3" l="1"/>
  <c r="O25" i="3" a="1"/>
  <c r="O25" i="3" l="1"/>
  <c r="L25" i="3" a="1"/>
  <c r="L25" i="3" l="1"/>
  <c r="K25" i="3" a="1"/>
  <c r="K25" i="3" l="1"/>
  <c r="M25" i="3"/>
  <c r="H25" i="3" a="1"/>
  <c r="H25" i="3" l="1"/>
  <c r="G25" i="3" a="1"/>
  <c r="G25" i="3" l="1"/>
  <c r="I25" i="3"/>
  <c r="N25" i="3" s="1"/>
  <c r="F25" i="3" a="1"/>
  <c r="F25" i="3" l="1"/>
  <c r="E25" i="3" a="1"/>
  <c r="E25" i="3" l="1"/>
  <c r="S24" i="3"/>
  <c r="R24" i="3" a="1"/>
  <c r="R24" i="3" l="1"/>
  <c r="Q24" i="3" a="1"/>
  <c r="Q24" i="3" l="1"/>
  <c r="P24" i="3" a="1"/>
  <c r="P24" i="3" l="1"/>
  <c r="O24" i="3" a="1"/>
  <c r="O24" i="3" l="1"/>
  <c r="L24" i="3" a="1"/>
  <c r="L24" i="3" l="1"/>
  <c r="K24" i="3" a="1"/>
  <c r="K24" i="3" l="1"/>
  <c r="M24" i="3"/>
  <c r="H24" i="3" a="1"/>
  <c r="H24" i="3" l="1"/>
  <c r="G24" i="3" a="1"/>
  <c r="G24" i="3" l="1"/>
  <c r="I24" i="3"/>
  <c r="N24" i="3" s="1"/>
  <c r="F24" i="3" a="1"/>
  <c r="F24" i="3" l="1"/>
  <c r="E24" i="3" a="1"/>
  <c r="E24" i="3" l="1"/>
  <c r="S23" i="3"/>
  <c r="R23" i="3" a="1"/>
  <c r="R23" i="3" l="1"/>
  <c r="Q23" i="3" a="1"/>
  <c r="Q23" i="3" l="1"/>
  <c r="P23" i="3" a="1"/>
  <c r="P23" i="3" l="1"/>
  <c r="O23" i="3" a="1"/>
  <c r="O23" i="3" l="1"/>
  <c r="L23" i="3" a="1"/>
  <c r="L23" i="3" l="1"/>
  <c r="K23" i="3" a="1"/>
  <c r="K23" i="3" l="1"/>
  <c r="M23" i="3"/>
  <c r="H23" i="3" a="1"/>
  <c r="H23" i="3" l="1"/>
  <c r="G23" i="3" a="1"/>
  <c r="G23" i="3" l="1"/>
  <c r="I23" i="3"/>
  <c r="N23" i="3" s="1"/>
  <c r="F23" i="3" a="1"/>
  <c r="F23" i="3" l="1"/>
  <c r="E23" i="3" a="1"/>
  <c r="E23" i="3" l="1"/>
  <c r="S22" i="3"/>
  <c r="R22" i="3" a="1"/>
  <c r="R22" i="3" l="1"/>
  <c r="Q22" i="3" a="1"/>
  <c r="Q22" i="3" l="1"/>
  <c r="P22" i="3" a="1"/>
  <c r="P22" i="3" l="1"/>
  <c r="O22" i="3" a="1"/>
  <c r="O22" i="3" l="1"/>
  <c r="L22" i="3" a="1"/>
  <c r="L22" i="3" l="1"/>
  <c r="K22" i="3" a="1"/>
  <c r="K22" i="3" l="1"/>
  <c r="M22" i="3"/>
  <c r="H22" i="3" a="1"/>
  <c r="H22" i="3" l="1"/>
  <c r="G22" i="3" a="1"/>
  <c r="G22" i="3" l="1"/>
  <c r="I22" i="3" s="1"/>
  <c r="N22" i="3" s="1"/>
  <c r="F22" i="3" a="1"/>
  <c r="F22" i="3" l="1"/>
  <c r="E22" i="3" a="1"/>
  <c r="E22" i="3" l="1"/>
  <c r="S21" i="3"/>
  <c r="R21" i="3" a="1"/>
  <c r="R21" i="3" l="1"/>
  <c r="Q21" i="3" a="1"/>
  <c r="Q21" i="3" l="1"/>
  <c r="P21" i="3" a="1"/>
  <c r="P21" i="3" l="1"/>
  <c r="O21" i="3" a="1"/>
  <c r="O21" i="3" l="1"/>
  <c r="L21" i="3" a="1"/>
  <c r="L21" i="3" l="1"/>
  <c r="K21" i="3" a="1"/>
  <c r="K21" i="3" l="1"/>
  <c r="M21" i="3"/>
  <c r="H21" i="3" a="1"/>
  <c r="H21" i="3" l="1"/>
  <c r="G21" i="3" a="1"/>
  <c r="G21" i="3" l="1"/>
  <c r="I21" i="3"/>
  <c r="N21" i="3" s="1"/>
  <c r="F21" i="3" a="1"/>
  <c r="F21" i="3" l="1"/>
  <c r="E21" i="3" a="1"/>
  <c r="E21" i="3" l="1"/>
  <c r="S20" i="3"/>
  <c r="R20" i="3" a="1"/>
  <c r="R20" i="3" l="1"/>
  <c r="Q20" i="3" a="1"/>
  <c r="Q20" i="3" l="1"/>
  <c r="P20" i="3" a="1"/>
  <c r="P20" i="3" l="1"/>
  <c r="O20" i="3" a="1"/>
  <c r="O20" i="3" l="1"/>
  <c r="L20" i="3" a="1"/>
  <c r="L20" i="3" l="1"/>
  <c r="K20" i="3" a="1"/>
  <c r="K20" i="3" l="1"/>
  <c r="M20" i="3"/>
  <c r="H20" i="3" a="1"/>
  <c r="H20" i="3" l="1"/>
  <c r="G20" i="3" a="1"/>
  <c r="G20" i="3" l="1"/>
  <c r="I20" i="3"/>
  <c r="N20" i="3" s="1"/>
  <c r="F20" i="3" a="1"/>
  <c r="F20" i="3" l="1"/>
  <c r="E20" i="3" a="1"/>
  <c r="E20" i="3" l="1"/>
  <c r="S19" i="3"/>
  <c r="R19" i="3" a="1"/>
  <c r="R19" i="3" l="1"/>
  <c r="Q19" i="3" a="1"/>
  <c r="Q19" i="3" l="1"/>
  <c r="P19" i="3" a="1"/>
  <c r="P19" i="3" l="1"/>
  <c r="O19" i="3" a="1"/>
  <c r="O19" i="3" l="1"/>
  <c r="L19" i="3" a="1"/>
  <c r="L19" i="3" l="1"/>
  <c r="K19" i="3" a="1"/>
  <c r="K19" i="3" l="1"/>
  <c r="M19" i="3"/>
  <c r="H19" i="3" a="1"/>
  <c r="H19" i="3" l="1"/>
  <c r="G19" i="3" a="1"/>
  <c r="G19" i="3" l="1"/>
  <c r="I19" i="3"/>
  <c r="N19" i="3" s="1"/>
  <c r="F19" i="3" a="1"/>
  <c r="F19" i="3" l="1"/>
  <c r="E19" i="3" a="1"/>
  <c r="E19" i="3" l="1"/>
  <c r="S18" i="3"/>
  <c r="R18" i="3" a="1"/>
  <c r="R18" i="3" l="1"/>
  <c r="Q18" i="3" a="1"/>
  <c r="Q18" i="3" l="1"/>
  <c r="P18" i="3" a="1"/>
  <c r="P18" i="3" l="1"/>
  <c r="O18" i="3" a="1"/>
  <c r="O18" i="3" l="1"/>
  <c r="L18" i="3" a="1"/>
  <c r="L18" i="3" l="1"/>
  <c r="K18" i="3" a="1"/>
  <c r="K18" i="3" l="1"/>
  <c r="M18" i="3"/>
  <c r="H18" i="3" a="1"/>
  <c r="H18" i="3" l="1"/>
  <c r="G18" i="3" a="1"/>
  <c r="G18" i="3" l="1"/>
  <c r="I18" i="3" s="1"/>
  <c r="N18" i="3" s="1"/>
  <c r="F18" i="3" a="1"/>
  <c r="F18" i="3" l="1"/>
  <c r="E18" i="3" a="1"/>
  <c r="E18" i="3" l="1"/>
  <c r="S17" i="3"/>
  <c r="R17" i="3" a="1"/>
  <c r="R17" i="3" l="1"/>
  <c r="Q17" i="3" a="1"/>
  <c r="Q17" i="3" l="1"/>
  <c r="P17" i="3" a="1"/>
  <c r="P17" i="3" l="1"/>
  <c r="O17" i="3" a="1"/>
  <c r="O17" i="3" l="1"/>
  <c r="L17" i="3" a="1"/>
  <c r="L17" i="3" l="1"/>
  <c r="K17" i="3" a="1"/>
  <c r="K17" i="3" l="1"/>
  <c r="M17" i="3"/>
  <c r="H17" i="3" a="1"/>
  <c r="H17" i="3" l="1"/>
  <c r="G17" i="3" a="1"/>
  <c r="G17" i="3" l="1"/>
  <c r="I17" i="3" s="1"/>
  <c r="N17" i="3" s="1"/>
  <c r="F17" i="3" a="1"/>
  <c r="F17" i="3" l="1"/>
  <c r="E17" i="3" a="1"/>
  <c r="E17" i="3" l="1"/>
  <c r="S16" i="3"/>
  <c r="R16" i="3" a="1"/>
  <c r="R16" i="3" l="1"/>
  <c r="Q16" i="3" a="1"/>
  <c r="Q16" i="3" l="1"/>
  <c r="P16" i="3" a="1"/>
  <c r="P16" i="3" l="1"/>
  <c r="O16" i="3" a="1"/>
  <c r="O16" i="3" l="1"/>
  <c r="L16" i="3" a="1"/>
  <c r="L16" i="3" l="1"/>
  <c r="K16" i="3" a="1"/>
  <c r="K16" i="3" l="1"/>
  <c r="M16" i="3"/>
  <c r="H16" i="3" a="1"/>
  <c r="H16" i="3" l="1"/>
  <c r="G16" i="3" a="1"/>
  <c r="G16" i="3" l="1"/>
  <c r="I16" i="3"/>
  <c r="N16" i="3" s="1"/>
  <c r="F16" i="3" a="1"/>
  <c r="F16" i="3" l="1"/>
  <c r="E16" i="3" a="1"/>
  <c r="E16" i="3" l="1"/>
  <c r="S15" i="3"/>
  <c r="R15" i="3" a="1"/>
  <c r="R15" i="3" l="1"/>
  <c r="Q15" i="3" a="1"/>
  <c r="Q15" i="3" l="1"/>
  <c r="P15" i="3" a="1"/>
  <c r="P15" i="3" l="1"/>
  <c r="O15" i="3" a="1"/>
  <c r="O15" i="3" l="1"/>
  <c r="L15" i="3" a="1"/>
  <c r="L15" i="3" l="1"/>
  <c r="K15" i="3" a="1"/>
  <c r="K15" i="3" l="1"/>
  <c r="M15" i="3"/>
  <c r="H15" i="3" a="1"/>
  <c r="H15" i="3" l="1"/>
  <c r="G15" i="3" a="1"/>
  <c r="G15" i="3" l="1"/>
  <c r="I15" i="3"/>
  <c r="N15" i="3" s="1"/>
  <c r="F15" i="3" a="1"/>
  <c r="F15" i="3" l="1"/>
  <c r="E15" i="3" a="1"/>
  <c r="E15" i="3" l="1"/>
  <c r="S14" i="3"/>
  <c r="R14" i="3" a="1"/>
  <c r="R14" i="3" l="1"/>
  <c r="Q14" i="3" a="1"/>
  <c r="Q14" i="3" l="1"/>
  <c r="P14" i="3" a="1"/>
  <c r="P14" i="3" l="1"/>
  <c r="O14" i="3" a="1"/>
  <c r="O14" i="3" l="1"/>
  <c r="L14" i="3" a="1"/>
  <c r="L14" i="3" l="1"/>
  <c r="K14" i="3" a="1"/>
  <c r="K14" i="3" l="1"/>
  <c r="M14" i="3"/>
  <c r="H14" i="3" a="1"/>
  <c r="H14" i="3" l="1"/>
  <c r="G14" i="3" a="1"/>
  <c r="G14" i="3" l="1"/>
  <c r="I14" i="3"/>
  <c r="N14" i="3" s="1"/>
  <c r="F14" i="3" a="1"/>
  <c r="F14" i="3" l="1"/>
  <c r="E14" i="3" a="1"/>
  <c r="E14" i="3" l="1"/>
  <c r="S13" i="3"/>
  <c r="R13" i="3" a="1"/>
  <c r="R13" i="3" l="1"/>
  <c r="Q13" i="3" a="1"/>
  <c r="Q13" i="3" l="1"/>
  <c r="P13" i="3" a="1"/>
  <c r="P13" i="3" l="1"/>
  <c r="O13" i="3" a="1"/>
  <c r="O13" i="3" l="1"/>
  <c r="L13" i="3" a="1"/>
  <c r="L13" i="3" l="1"/>
  <c r="K13" i="3" a="1"/>
  <c r="K13" i="3" l="1"/>
  <c r="M13" i="3"/>
  <c r="H13" i="3" a="1"/>
  <c r="H13" i="3" l="1"/>
  <c r="G13" i="3" a="1"/>
  <c r="G13" i="3" l="1"/>
  <c r="I13" i="3"/>
  <c r="N13" i="3" s="1"/>
  <c r="F13" i="3" a="1"/>
  <c r="F13" i="3" l="1"/>
  <c r="E13" i="3" a="1"/>
  <c r="E13" i="3" l="1"/>
  <c r="S12" i="3"/>
  <c r="R12" i="3" a="1"/>
  <c r="R12" i="3" l="1"/>
  <c r="Q12" i="3" a="1"/>
  <c r="Q12" i="3" l="1"/>
  <c r="P12" i="3" a="1"/>
  <c r="P12" i="3" l="1"/>
  <c r="O12" i="3" a="1"/>
  <c r="O12" i="3" l="1"/>
  <c r="L12" i="3" a="1"/>
  <c r="L12" i="3" l="1"/>
  <c r="K12" i="3" a="1"/>
  <c r="K12" i="3" l="1"/>
  <c r="M12" i="3"/>
  <c r="H12" i="3" a="1"/>
  <c r="H12" i="3" l="1"/>
  <c r="G12" i="3" a="1"/>
  <c r="G12" i="3" l="1"/>
  <c r="I12" i="3"/>
  <c r="N12" i="3" s="1"/>
  <c r="F12" i="3" a="1"/>
  <c r="F12" i="3" l="1"/>
  <c r="E12" i="3" a="1"/>
  <c r="E12" i="3" l="1"/>
  <c r="S11" i="3"/>
  <c r="R11" i="3" a="1"/>
  <c r="R11" i="3" l="1"/>
  <c r="Q11" i="3" a="1"/>
  <c r="Q11" i="3" l="1"/>
  <c r="P11" i="3" a="1"/>
  <c r="P11" i="3" l="1"/>
  <c r="O11" i="3" a="1"/>
  <c r="O11" i="3" l="1"/>
  <c r="L11" i="3" a="1"/>
  <c r="L11" i="3" l="1"/>
  <c r="K11" i="3" a="1"/>
  <c r="K11" i="3" l="1"/>
  <c r="M11" i="3"/>
  <c r="H11" i="3" a="1"/>
  <c r="H11" i="3" l="1"/>
  <c r="G11" i="3" a="1"/>
  <c r="G11" i="3" l="1"/>
  <c r="I11" i="3"/>
  <c r="N11" i="3" s="1"/>
  <c r="F11" i="3" a="1"/>
  <c r="F11" i="3" l="1"/>
  <c r="E11" i="3" a="1"/>
  <c r="E11" i="3" l="1"/>
  <c r="S10" i="3"/>
  <c r="R10" i="3" a="1"/>
  <c r="R10" i="3" l="1"/>
  <c r="Q10" i="3" a="1"/>
  <c r="Q10" i="3" l="1"/>
  <c r="P10" i="3" a="1"/>
  <c r="P10" i="3" l="1"/>
  <c r="O10" i="3" a="1"/>
  <c r="O10" i="3" l="1"/>
  <c r="L10" i="3" a="1"/>
  <c r="L10" i="3" l="1"/>
  <c r="K10" i="3" a="1"/>
  <c r="K10" i="3" l="1"/>
  <c r="M10" i="3" s="1"/>
  <c r="H10" i="3" a="1"/>
  <c r="H10" i="3" l="1"/>
  <c r="G10" i="3" a="1"/>
  <c r="G10" i="3" l="1"/>
  <c r="I10" i="3"/>
  <c r="N10" i="3" s="1"/>
  <c r="F10" i="3" a="1"/>
  <c r="F10" i="3" l="1"/>
  <c r="E10" i="3" a="1"/>
  <c r="E10" i="3" l="1"/>
  <c r="S9" i="3"/>
  <c r="R9" i="3" a="1"/>
  <c r="R9" i="3" l="1"/>
  <c r="Q9" i="3" a="1"/>
  <c r="Q9" i="3" l="1"/>
  <c r="P9" i="3" a="1"/>
  <c r="P9" i="3" l="1"/>
  <c r="O9" i="3" a="1"/>
  <c r="O9" i="3" l="1"/>
  <c r="L9" i="3" a="1"/>
  <c r="L9" i="3" l="1"/>
  <c r="K9" i="3" a="1"/>
  <c r="K9" i="3" l="1"/>
  <c r="M9" i="3"/>
  <c r="H9" i="3" a="1"/>
  <c r="H9" i="3" l="1"/>
  <c r="G9" i="3" a="1"/>
  <c r="G9" i="3" l="1"/>
  <c r="I9" i="3"/>
  <c r="N9" i="3" s="1"/>
  <c r="F9" i="3" a="1"/>
  <c r="F9" i="3" l="1"/>
  <c r="E9" i="3" a="1"/>
  <c r="E9" i="3" l="1"/>
  <c r="S8" i="3"/>
  <c r="R8" i="3" a="1"/>
  <c r="R8" i="3" l="1"/>
  <c r="Q8" i="3" a="1"/>
  <c r="Q8" i="3" l="1"/>
  <c r="P8" i="3" a="1"/>
  <c r="P8" i="3" l="1"/>
  <c r="O8" i="3" a="1"/>
  <c r="O8" i="3" l="1"/>
  <c r="L8" i="3" a="1"/>
  <c r="L8" i="3" l="1"/>
  <c r="K8" i="3" a="1"/>
  <c r="K8" i="3" l="1"/>
  <c r="M8" i="3"/>
  <c r="H8" i="3" a="1"/>
  <c r="H8" i="3" l="1"/>
  <c r="G8" i="3" a="1"/>
  <c r="G8" i="3" l="1"/>
  <c r="I8" i="3" s="1"/>
  <c r="N8" i="3" s="1"/>
  <c r="F8" i="3" a="1"/>
  <c r="F8" i="3" l="1"/>
  <c r="E8" i="3" a="1"/>
  <c r="E8" i="3" l="1"/>
  <c r="S7" i="3"/>
  <c r="R7" i="3" a="1"/>
  <c r="R7" i="3" l="1"/>
  <c r="Q7" i="3" a="1"/>
  <c r="Q7" i="3" l="1"/>
  <c r="P7" i="3" a="1"/>
  <c r="P7" i="3" l="1"/>
  <c r="O7" i="3" a="1"/>
  <c r="O7" i="3" l="1"/>
  <c r="L7" i="3" a="1"/>
  <c r="L7" i="3" l="1"/>
  <c r="K7" i="3" a="1"/>
  <c r="K7" i="3" l="1"/>
  <c r="M7" i="3"/>
  <c r="H7" i="3" a="1"/>
  <c r="H7" i="3" l="1"/>
  <c r="G7" i="3" a="1"/>
  <c r="G7" i="3" l="1"/>
  <c r="I7" i="3"/>
  <c r="N7" i="3" s="1"/>
  <c r="F7" i="3" a="1"/>
  <c r="F7" i="3" l="1"/>
  <c r="E7" i="3" a="1"/>
  <c r="E7" i="3" l="1"/>
  <c r="S6" i="3"/>
  <c r="R6" i="3" a="1"/>
  <c r="R6" i="3" l="1"/>
  <c r="Q6" i="3" a="1"/>
  <c r="Q6" i="3" l="1"/>
  <c r="P6" i="3" a="1"/>
  <c r="P6" i="3" l="1"/>
  <c r="O6" i="3" a="1"/>
  <c r="O6" i="3" l="1"/>
  <c r="L6" i="3" a="1"/>
  <c r="L6" i="3" l="1"/>
  <c r="K6" i="3" a="1"/>
  <c r="K6" i="3" l="1"/>
  <c r="M6" i="3"/>
  <c r="H6" i="3" a="1"/>
  <c r="H6" i="3" l="1"/>
  <c r="G6" i="3" a="1"/>
  <c r="G6" i="3" l="1"/>
  <c r="I6" i="3"/>
  <c r="N6" i="3" s="1"/>
  <c r="F6" i="3" a="1"/>
  <c r="F6" i="3" l="1"/>
  <c r="E6" i="3" a="1"/>
  <c r="E6" i="3" l="1"/>
  <c r="S5" i="3"/>
  <c r="R5" i="3" a="1"/>
  <c r="R5" i="3" l="1"/>
  <c r="Q5" i="3" a="1"/>
  <c r="Q5" i="3" l="1"/>
  <c r="P5" i="3" a="1"/>
  <c r="P5" i="3" l="1"/>
  <c r="O5" i="3" a="1"/>
  <c r="O5" i="3" l="1"/>
  <c r="L5" i="3" a="1"/>
  <c r="L5" i="3" l="1"/>
  <c r="K5" i="3" a="1"/>
  <c r="K5" i="3" l="1"/>
  <c r="M5" i="3" s="1"/>
  <c r="H5" i="3" a="1"/>
  <c r="H5" i="3" l="1"/>
  <c r="G5" i="3" a="1"/>
  <c r="G5" i="3" l="1"/>
  <c r="I5" i="3"/>
  <c r="N5" i="3" s="1"/>
  <c r="F5" i="3" a="1"/>
  <c r="F5" i="3" l="1"/>
  <c r="E5" i="3" a="1"/>
  <c r="E5" i="3" l="1"/>
  <c r="S4" i="3"/>
  <c r="R4" i="3" a="1"/>
  <c r="C46" i="3" l="1" a="1"/>
  <c r="F50" i="3" s="1"/>
  <c r="J53" i="4" a="1"/>
  <c r="J53" i="4" s="1"/>
  <c r="J46" i="4" a="1"/>
  <c r="J46" i="4" s="1"/>
  <c r="J35" i="4" a="1"/>
  <c r="J35" i="4" s="1"/>
  <c r="J22" i="4" a="1"/>
  <c r="J22" i="4" s="1"/>
  <c r="J11" i="4" a="1"/>
  <c r="J11" i="4" s="1"/>
  <c r="A2" i="4" a="1"/>
  <c r="A2" i="4" s="1"/>
  <c r="B2" i="4" s="1" a="1"/>
  <c r="B2" i="4" s="1"/>
  <c r="C46" i="4" a="1"/>
  <c r="C46" i="4" s="1"/>
  <c r="C22" i="4" a="1"/>
  <c r="C22" i="4" s="1"/>
  <c r="B53" i="4" a="1"/>
  <c r="B53" i="4" s="1"/>
  <c r="B35" i="4" a="1"/>
  <c r="B35" i="4" s="1"/>
  <c r="B11" i="4" a="1"/>
  <c r="B11" i="4" s="1"/>
  <c r="F53" i="4" a="1"/>
  <c r="F53" i="4" s="1"/>
  <c r="F46" i="4" a="1"/>
  <c r="F46" i="4" s="1"/>
  <c r="F35" i="4" a="1"/>
  <c r="F35" i="4" s="1"/>
  <c r="F22" i="4" a="1"/>
  <c r="F22" i="4" s="1"/>
  <c r="D53" i="4" a="1"/>
  <c r="D53" i="4" s="1"/>
  <c r="D35" i="4" a="1"/>
  <c r="D35" i="4" s="1"/>
  <c r="C53" i="4" a="1"/>
  <c r="C53" i="4" s="1"/>
  <c r="C35" i="4" a="1"/>
  <c r="C35" i="4" s="1"/>
  <c r="B46" i="4" a="1"/>
  <c r="B46" i="4" s="1"/>
  <c r="B22" i="4" a="1"/>
  <c r="B22" i="4" s="1"/>
  <c r="E53" i="4" a="1"/>
  <c r="E53" i="4" s="1"/>
  <c r="E46" i="4" a="1"/>
  <c r="E46" i="4" s="1"/>
  <c r="E35" i="4" a="1"/>
  <c r="E35" i="4" s="1"/>
  <c r="E22" i="4" a="1"/>
  <c r="E22" i="4" s="1"/>
  <c r="D46" i="4" a="1"/>
  <c r="D46" i="4" s="1"/>
  <c r="D22" i="4" a="1"/>
  <c r="D22" i="4" s="1"/>
  <c r="R4" i="3"/>
  <c r="Q4" i="3" a="1"/>
  <c r="D51" i="3" l="1"/>
  <c r="D48" i="3"/>
  <c r="D47" i="3"/>
  <c r="E50" i="3"/>
  <c r="F49" i="3"/>
  <c r="F48" i="3"/>
  <c r="C46" i="3"/>
  <c r="E47" i="3"/>
  <c r="D49" i="3"/>
  <c r="E51" i="3"/>
  <c r="D50" i="3"/>
  <c r="F51" i="3"/>
  <c r="E49" i="3"/>
  <c r="E48" i="3"/>
  <c r="F47" i="3"/>
  <c r="E43" i="4"/>
  <c r="E42" i="4"/>
  <c r="D42" i="4"/>
  <c r="D43" i="4"/>
  <c r="E31" i="4"/>
  <c r="E32" i="4"/>
  <c r="C31" i="4"/>
  <c r="C32" i="4"/>
  <c r="C43" i="4"/>
  <c r="C42" i="4"/>
  <c r="D31" i="4"/>
  <c r="D32" i="4"/>
  <c r="Q4" i="3"/>
  <c r="P4" i="3" a="1"/>
  <c r="P4" i="3" l="1"/>
  <c r="O4" i="3" a="1"/>
  <c r="O4" i="3" l="1"/>
  <c r="F11" i="4" s="1" a="1"/>
  <c r="F11" i="4" s="1"/>
  <c r="L4" i="3" a="1"/>
  <c r="L4" i="3" l="1"/>
  <c r="D11" i="4" s="1" a="1"/>
  <c r="D11" i="4" s="1"/>
  <c r="K4" i="3" a="1"/>
  <c r="D18" i="4" l="1"/>
  <c r="D19" i="4"/>
  <c r="K4" i="3"/>
  <c r="C11" i="4" s="1" a="1"/>
  <c r="C11" i="4" s="1"/>
  <c r="M4" i="3"/>
  <c r="H4" i="3" a="1"/>
  <c r="C19" i="4" l="1"/>
  <c r="C18" i="4"/>
  <c r="H4" i="3"/>
  <c r="G4" i="3" a="1"/>
  <c r="G4" i="3" l="1"/>
  <c r="I4" i="3"/>
  <c r="N4" i="3" s="1"/>
  <c r="E11" i="4" s="1" a="1"/>
  <c r="E11" i="4" s="1"/>
  <c r="F4" i="3" a="1"/>
  <c r="E19" i="4" l="1"/>
  <c r="E18" i="4"/>
  <c r="F4" i="3"/>
  <c r="F46" i="3"/>
  <c r="D46" i="3"/>
  <c r="E46" i="3"/>
  <c r="E4" i="3" a="1"/>
  <c r="E4" i="3" l="1"/>
  <c r="AA2" i="3"/>
  <c r="V2" i="3"/>
  <c r="T98" i="5"/>
  <c r="O98" i="5"/>
  <c r="C92" i="5" a="1"/>
  <c r="C101" i="5" s="1"/>
  <c r="D65" i="6" s="1"/>
  <c r="Z30" i="3" a="1"/>
  <c r="AA27" i="3" a="1"/>
  <c r="AA18" i="3" a="1"/>
  <c r="AA32" i="3" a="1"/>
  <c r="AA16" i="3" a="1"/>
  <c r="AA23" i="3" a="1"/>
  <c r="AA8" i="3" a="1"/>
  <c r="Z17" i="3" a="1"/>
  <c r="AA7" i="3" a="1"/>
  <c r="AA24" i="3" a="1"/>
  <c r="AA15" i="3" a="1"/>
  <c r="AA36" i="3" a="1"/>
  <c r="AA11" i="3" a="1"/>
  <c r="Z32" i="3" a="1"/>
  <c r="Z20" i="3" a="1"/>
  <c r="Z27" i="3" a="1"/>
  <c r="AA29" i="3" a="1"/>
  <c r="AA12" i="3" a="1"/>
  <c r="Z38" i="3" a="1"/>
  <c r="AA25" i="3" a="1"/>
  <c r="Z34" i="3" a="1"/>
  <c r="V4" i="3" a="1"/>
  <c r="U9" i="3" a="1"/>
  <c r="V13" i="3" a="1"/>
  <c r="V17" i="3" a="1"/>
  <c r="U21" i="3" a="1"/>
  <c r="U25" i="3" a="1"/>
  <c r="V29" i="3" a="1"/>
  <c r="V33" i="3" a="1"/>
  <c r="U17" i="3" a="1"/>
  <c r="U33" i="3" a="1"/>
  <c r="U10" i="3" a="1"/>
  <c r="V5" i="3" a="1"/>
  <c r="U23" i="3" a="1"/>
  <c r="U37" i="3" a="1"/>
  <c r="U19" i="3" a="1"/>
  <c r="V25" i="3" a="1"/>
  <c r="U29" i="3" a="1"/>
  <c r="V18" i="3" a="1"/>
  <c r="V34" i="3" a="1"/>
  <c r="V10" i="3" a="1"/>
  <c r="U18" i="3" a="1"/>
  <c r="U39" i="3" a="1"/>
  <c r="V6" i="3" a="1"/>
  <c r="U22" i="3" a="1"/>
  <c r="U6" i="3" a="1"/>
  <c r="U32" i="3" a="1"/>
  <c r="V23" i="3" a="1"/>
  <c r="V35" i="3" a="1"/>
  <c r="V19" i="3" a="1"/>
  <c r="V7" i="3" a="1"/>
  <c r="U11" i="3" a="1"/>
  <c r="U28" i="3" a="1"/>
  <c r="V15" i="3" a="1"/>
  <c r="V37" i="3" a="1"/>
  <c r="V31" i="3" a="1"/>
  <c r="V39" i="3" a="1"/>
  <c r="U14" i="3" a="1"/>
  <c r="U35" i="3" a="1"/>
  <c r="V11" i="3" a="1"/>
  <c r="U30" i="3" a="1"/>
  <c r="U34" i="3" a="1"/>
  <c r="U12" i="3" a="1"/>
  <c r="V21" i="3" a="1"/>
  <c r="U16" i="3" a="1"/>
  <c r="U4" i="3" a="1"/>
  <c r="U24" i="3" a="1"/>
  <c r="U36" i="3" a="1"/>
  <c r="V26" i="3" a="1"/>
  <c r="V20" i="3" a="1"/>
  <c r="V8" i="3" a="1"/>
  <c r="V9" i="3" a="1"/>
  <c r="V28" i="3" a="1"/>
  <c r="U31" i="3" a="1"/>
  <c r="U38" i="3" a="1"/>
  <c r="U7" i="3" a="1"/>
  <c r="V14" i="3" a="1"/>
  <c r="V38" i="3" a="1"/>
  <c r="Z12" i="3" a="1"/>
  <c r="Z4" i="3" a="1"/>
  <c r="Z29" i="3" a="1"/>
  <c r="Z8" i="3" a="1"/>
  <c r="AA33" i="3" a="1"/>
  <c r="Z37" i="3" a="1"/>
  <c r="Z16" i="3" a="1"/>
  <c r="Z24" i="3" a="1"/>
  <c r="Z21" i="3" a="1"/>
  <c r="AA21" i="3" a="1"/>
  <c r="AA4" i="3" a="1"/>
  <c r="AA34" i="3" a="1"/>
  <c r="Z33" i="3" a="1"/>
  <c r="AA20" i="3" a="1"/>
  <c r="Z31" i="3" a="1"/>
  <c r="Z13" i="3" a="1"/>
  <c r="Z5" i="3" a="1"/>
  <c r="AA9" i="3" a="1"/>
  <c r="Z9" i="3" a="1"/>
  <c r="Z25" i="3" a="1"/>
  <c r="AA19" i="3" a="1"/>
  <c r="Z10" i="3" a="1"/>
  <c r="AA5" i="3" a="1"/>
  <c r="AA17" i="3" a="1"/>
  <c r="AA14" i="3" a="1"/>
  <c r="AA38" i="3" a="1"/>
  <c r="Z6" i="3" a="1"/>
  <c r="Z22" i="3" a="1"/>
  <c r="AA13" i="3" a="1"/>
  <c r="AA6" i="3" a="1"/>
  <c r="Z26" i="3" a="1"/>
  <c r="Z19" i="3" a="1"/>
  <c r="Z14" i="3" a="1"/>
  <c r="AA22" i="3" a="1"/>
  <c r="Z35" i="3" a="1"/>
  <c r="Z18" i="3" a="1"/>
  <c r="AA31" i="3" a="1"/>
  <c r="AA26" i="3" a="1"/>
  <c r="AA10" i="3" a="1"/>
  <c r="AA30" i="3" a="1"/>
  <c r="AA35" i="3" a="1"/>
  <c r="AA37" i="3" a="1"/>
  <c r="AA39" i="3" a="1"/>
  <c r="Z39" i="3" a="1"/>
  <c r="Z11" i="3" a="1"/>
  <c r="Z7" i="3" a="1"/>
  <c r="Z15" i="3" a="1"/>
  <c r="Z23" i="3" a="1"/>
  <c r="Z36" i="3" a="1"/>
  <c r="V16" i="3" a="1"/>
  <c r="U5" i="3" a="1"/>
  <c r="U8" i="3" a="1"/>
  <c r="V27" i="3" a="1"/>
  <c r="U13" i="3" a="1"/>
  <c r="V30" i="3" a="1"/>
  <c r="V12" i="3" a="1"/>
  <c r="V24" i="3" a="1"/>
  <c r="U27" i="3" a="1"/>
  <c r="V32" i="3" a="1"/>
  <c r="U20" i="3" a="1"/>
  <c r="V36" i="3" a="1"/>
  <c r="U26" i="3" a="1"/>
  <c r="V22" i="3" a="1"/>
  <c r="U15" i="3" a="1"/>
  <c r="Z28" i="3" a="1"/>
  <c r="AA28" i="3" a="1"/>
  <c r="V38" i="3" l="1"/>
  <c r="V14" i="3"/>
  <c r="U7" i="3"/>
  <c r="U38" i="3"/>
  <c r="U31" i="3"/>
  <c r="V28" i="3"/>
  <c r="V9" i="3"/>
  <c r="V8" i="3"/>
  <c r="V20" i="3"/>
  <c r="V26" i="3"/>
  <c r="U36" i="3"/>
  <c r="U24" i="3"/>
  <c r="U4" i="3"/>
  <c r="U16" i="3"/>
  <c r="V21" i="3"/>
  <c r="U12" i="3"/>
  <c r="U34" i="3"/>
  <c r="U30" i="3"/>
  <c r="V11" i="3"/>
  <c r="U35" i="3"/>
  <c r="U14" i="3"/>
  <c r="V39" i="3"/>
  <c r="V31" i="3"/>
  <c r="V37" i="3"/>
  <c r="V15" i="3"/>
  <c r="U28" i="3"/>
  <c r="U11" i="3"/>
  <c r="V7" i="3"/>
  <c r="V19" i="3"/>
  <c r="V35" i="3"/>
  <c r="V23" i="3"/>
  <c r="U32" i="3"/>
  <c r="U6" i="3"/>
  <c r="U22" i="3"/>
  <c r="V6" i="3"/>
  <c r="U39" i="3"/>
  <c r="U18" i="3"/>
  <c r="V10" i="3"/>
  <c r="V34" i="3"/>
  <c r="V18" i="3"/>
  <c r="W18" i="3" s="1"/>
  <c r="X18" i="3" s="1"/>
  <c r="Y18" i="3" s="1"/>
  <c r="U29" i="3"/>
  <c r="V25" i="3"/>
  <c r="U19" i="3"/>
  <c r="U37" i="3"/>
  <c r="U23" i="3"/>
  <c r="V5" i="3"/>
  <c r="U10" i="3"/>
  <c r="U33" i="3"/>
  <c r="U17" i="3"/>
  <c r="V33" i="3"/>
  <c r="V29" i="3"/>
  <c r="U25" i="3"/>
  <c r="U21" i="3"/>
  <c r="V17" i="3"/>
  <c r="V13" i="3"/>
  <c r="U9" i="3"/>
  <c r="V4" i="3"/>
  <c r="Z34" i="3"/>
  <c r="AA25" i="3"/>
  <c r="Z38" i="3"/>
  <c r="AA12" i="3"/>
  <c r="AA29" i="3"/>
  <c r="Z27" i="3"/>
  <c r="Z20" i="3"/>
  <c r="Z32" i="3"/>
  <c r="AA11" i="3"/>
  <c r="AA36" i="3"/>
  <c r="AA15" i="3"/>
  <c r="AA24" i="3"/>
  <c r="AA7" i="3"/>
  <c r="Z17" i="3"/>
  <c r="AA8" i="3"/>
  <c r="AA23" i="3"/>
  <c r="AA16" i="3"/>
  <c r="AA32" i="3"/>
  <c r="AA18" i="3"/>
  <c r="AA27" i="3"/>
  <c r="Z30" i="3"/>
  <c r="U15" i="3"/>
  <c r="V22" i="3"/>
  <c r="U26" i="3"/>
  <c r="V36" i="3"/>
  <c r="U20" i="3"/>
  <c r="V32" i="3"/>
  <c r="U27" i="3"/>
  <c r="V24" i="3"/>
  <c r="V12" i="3"/>
  <c r="V30" i="3"/>
  <c r="U13" i="3"/>
  <c r="V27" i="3"/>
  <c r="U8" i="3"/>
  <c r="U5" i="3"/>
  <c r="V16" i="3"/>
  <c r="Z36" i="3"/>
  <c r="Z23" i="3"/>
  <c r="Z15" i="3"/>
  <c r="Z7" i="3"/>
  <c r="Z11" i="3"/>
  <c r="Z39" i="3"/>
  <c r="AA39" i="3"/>
  <c r="AA37" i="3"/>
  <c r="AA35" i="3"/>
  <c r="AA30" i="3"/>
  <c r="AA10" i="3"/>
  <c r="AA26" i="3"/>
  <c r="AA31" i="3"/>
  <c r="Z18" i="3"/>
  <c r="Z35" i="3"/>
  <c r="AA22" i="3"/>
  <c r="Z14" i="3"/>
  <c r="Z19" i="3"/>
  <c r="Z26" i="3"/>
  <c r="AA6" i="3"/>
  <c r="AA13" i="3"/>
  <c r="Z22" i="3"/>
  <c r="Z6" i="3"/>
  <c r="AA38" i="3"/>
  <c r="AB38" i="3" s="1"/>
  <c r="AC38" i="3" s="1"/>
  <c r="AD38" i="3" s="1"/>
  <c r="AA14" i="3"/>
  <c r="AA17" i="3"/>
  <c r="AA5" i="3"/>
  <c r="Z10" i="3"/>
  <c r="AA19" i="3"/>
  <c r="Z25" i="3"/>
  <c r="Z9" i="3"/>
  <c r="AA9" i="3"/>
  <c r="Z5" i="3"/>
  <c r="Z13" i="3"/>
  <c r="Z31" i="3"/>
  <c r="AA20" i="3"/>
  <c r="Z33" i="3"/>
  <c r="AA34" i="3"/>
  <c r="AA4" i="3"/>
  <c r="AA21" i="3"/>
  <c r="Z21" i="3"/>
  <c r="Z24" i="3"/>
  <c r="Z16" i="3"/>
  <c r="Z37" i="3"/>
  <c r="AA33" i="3"/>
  <c r="Z8" i="3"/>
  <c r="Z29" i="3"/>
  <c r="Z4" i="3"/>
  <c r="Z12" i="3"/>
  <c r="AA28" i="3"/>
  <c r="Z28" i="3"/>
  <c r="G101" i="5"/>
  <c r="E101" i="5"/>
  <c r="C112" i="5"/>
  <c r="D74" i="6" s="1"/>
  <c r="B112" i="5"/>
  <c r="C74" i="6" s="1"/>
  <c r="C110" i="5"/>
  <c r="D72" i="6" s="1"/>
  <c r="B110" i="5"/>
  <c r="C72" i="6" s="1"/>
  <c r="B105" i="5"/>
  <c r="C69" i="6" s="1"/>
  <c r="C105" i="5"/>
  <c r="D69" i="6" s="1"/>
  <c r="C104" i="5"/>
  <c r="D68" i="6" s="1"/>
  <c r="B104" i="5"/>
  <c r="C68" i="6" s="1"/>
  <c r="B103" i="5"/>
  <c r="C67" i="6" s="1"/>
  <c r="C103" i="5"/>
  <c r="D67" i="6" s="1"/>
  <c r="B102" i="5"/>
  <c r="C66" i="6" s="1"/>
  <c r="C102" i="5"/>
  <c r="D66" i="6" s="1"/>
  <c r="C92" i="5"/>
  <c r="U101" i="5" a="1"/>
  <c r="P101" i="5" a="1"/>
  <c r="W39" i="3" l="1"/>
  <c r="X39" i="3" s="1"/>
  <c r="Y39" i="3" s="1"/>
  <c r="AB19" i="3"/>
  <c r="AC19" i="3" s="1"/>
  <c r="AD19" i="3" s="1"/>
  <c r="W30" i="3"/>
  <c r="X30" i="3" s="1"/>
  <c r="Y30" i="3" s="1"/>
  <c r="W26" i="3"/>
  <c r="X26" i="3" s="1"/>
  <c r="Y26" i="3" s="1"/>
  <c r="W15" i="3"/>
  <c r="X15" i="3" s="1"/>
  <c r="Y15" i="3" s="1"/>
  <c r="P101" i="5"/>
  <c r="U101" i="5"/>
  <c r="W19" i="3"/>
  <c r="X19" i="3" s="1"/>
  <c r="Y19" i="3" s="1"/>
  <c r="W7" i="3"/>
  <c r="X7" i="3" s="1"/>
  <c r="Y7" i="3" s="1"/>
  <c r="AB14" i="3"/>
  <c r="AC14" i="3" s="1"/>
  <c r="AD14" i="3" s="1"/>
  <c r="W14" i="3"/>
  <c r="X14" i="3" s="1"/>
  <c r="Y14" i="3" s="1"/>
  <c r="AB35" i="3"/>
  <c r="AC35" i="3" s="1"/>
  <c r="AD35" i="3" s="1"/>
  <c r="AB26" i="3"/>
  <c r="AC26" i="3" s="1"/>
  <c r="AD26" i="3" s="1"/>
  <c r="W6" i="3"/>
  <c r="X6" i="3" s="1"/>
  <c r="Y6" i="3" s="1"/>
  <c r="W34" i="3"/>
  <c r="X34" i="3" s="1"/>
  <c r="Y34" i="3" s="1"/>
  <c r="AB34" i="3"/>
  <c r="AC34" i="3" s="1"/>
  <c r="AD34" i="3" s="1"/>
  <c r="AB24" i="3"/>
  <c r="AC24" i="3" s="1"/>
  <c r="AD24" i="3" s="1"/>
  <c r="W11" i="3"/>
  <c r="X11" i="3" s="1"/>
  <c r="Y11" i="3" s="1"/>
  <c r="AB22" i="3"/>
  <c r="AC22" i="3" s="1"/>
  <c r="AD22" i="3" s="1"/>
  <c r="AB39" i="3"/>
  <c r="AC39" i="3" s="1"/>
  <c r="AD39" i="3" s="1"/>
  <c r="W35" i="3"/>
  <c r="X35" i="3" s="1"/>
  <c r="Y35" i="3" s="1"/>
  <c r="AB28" i="3"/>
  <c r="AC28" i="3" s="1"/>
  <c r="AD28" i="3" s="1"/>
  <c r="AB7" i="3"/>
  <c r="AC7" i="3" s="1"/>
  <c r="AD7" i="3" s="1"/>
  <c r="AB11" i="3"/>
  <c r="AC11" i="3" s="1"/>
  <c r="AD11" i="3" s="1"/>
  <c r="AB15" i="3"/>
  <c r="AC15" i="3" s="1"/>
  <c r="AD15" i="3" s="1"/>
  <c r="AB27" i="3"/>
  <c r="AC27" i="3" s="1"/>
  <c r="AD27" i="3" s="1"/>
  <c r="AB32" i="3"/>
  <c r="AC32" i="3" s="1"/>
  <c r="AD32" i="3" s="1"/>
  <c r="AB36" i="3"/>
  <c r="AC36" i="3" s="1"/>
  <c r="AD36" i="3" s="1"/>
  <c r="W4" i="3"/>
  <c r="X4" i="3" s="1"/>
  <c r="Y4" i="3" s="1"/>
  <c r="W8" i="3"/>
  <c r="X8" i="3" s="1"/>
  <c r="Y8" i="3" s="1"/>
  <c r="W12" i="3"/>
  <c r="X12" i="3" s="1"/>
  <c r="Y12" i="3" s="1"/>
  <c r="W16" i="3"/>
  <c r="X16" i="3" s="1"/>
  <c r="Y16" i="3" s="1"/>
  <c r="W20" i="3"/>
  <c r="X20" i="3" s="1"/>
  <c r="Y20" i="3" s="1"/>
  <c r="W24" i="3"/>
  <c r="X24" i="3" s="1"/>
  <c r="Y24" i="3" s="1"/>
  <c r="W27" i="3"/>
  <c r="X27" i="3" s="1"/>
  <c r="Y27" i="3" s="1"/>
  <c r="AB4" i="3"/>
  <c r="AC4" i="3" s="1"/>
  <c r="AD4" i="3" s="1"/>
  <c r="AB6" i="3"/>
  <c r="AC6" i="3" s="1"/>
  <c r="AD6" i="3" s="1"/>
  <c r="AB8" i="3"/>
  <c r="AC8" i="3" s="1"/>
  <c r="AD8" i="3" s="1"/>
  <c r="AB10" i="3"/>
  <c r="AC10" i="3" s="1"/>
  <c r="AD10" i="3" s="1"/>
  <c r="AB20" i="3"/>
  <c r="AC20" i="3" s="1"/>
  <c r="AD20" i="3" s="1"/>
  <c r="H46" i="4" s="1" a="1"/>
  <c r="H46" i="4" s="1"/>
  <c r="AB31" i="3"/>
  <c r="AC31" i="3" s="1"/>
  <c r="AD31" i="3" s="1"/>
  <c r="AB30" i="3"/>
  <c r="AC30" i="3" s="1"/>
  <c r="AD30" i="3" s="1"/>
  <c r="W10" i="3"/>
  <c r="X10" i="3" s="1"/>
  <c r="Y10" i="3" s="1"/>
  <c r="W13" i="3"/>
  <c r="X13" i="3" s="1"/>
  <c r="Y13" i="3" s="1"/>
  <c r="W22" i="3"/>
  <c r="X22" i="3" s="1"/>
  <c r="Y22" i="3" s="1"/>
  <c r="W23" i="3"/>
  <c r="X23" i="3" s="1"/>
  <c r="Y23" i="3" s="1"/>
  <c r="W38" i="3"/>
  <c r="X38" i="3" s="1"/>
  <c r="Y38" i="3" s="1"/>
  <c r="AB18" i="3"/>
  <c r="AC18" i="3" s="1"/>
  <c r="AD18" i="3" s="1"/>
  <c r="AB23" i="3"/>
  <c r="AC23" i="3" s="1"/>
  <c r="AD23" i="3" s="1"/>
  <c r="W28" i="3"/>
  <c r="X28" i="3" s="1"/>
  <c r="Y28" i="3" s="1"/>
  <c r="W31" i="3"/>
  <c r="X31" i="3" s="1"/>
  <c r="Y31" i="3" s="1"/>
  <c r="W32" i="3"/>
  <c r="X32" i="3" s="1"/>
  <c r="Y32" i="3" s="1"/>
  <c r="AB12" i="3"/>
  <c r="AC12" i="3" s="1"/>
  <c r="AD12" i="3" s="1"/>
  <c r="AB16" i="3"/>
  <c r="AC16" i="3" s="1"/>
  <c r="AD16" i="3" s="1"/>
  <c r="AB13" i="3"/>
  <c r="AC13" i="3" s="1"/>
  <c r="AD13" i="3" s="1"/>
  <c r="AB29" i="3"/>
  <c r="AC29" i="3" s="1"/>
  <c r="AD29" i="3" s="1"/>
  <c r="AB37" i="3"/>
  <c r="AC37" i="3" s="1"/>
  <c r="AD37" i="3" s="1"/>
  <c r="W36" i="3"/>
  <c r="X36" i="3" s="1"/>
  <c r="Y36" i="3" s="1"/>
  <c r="W17" i="3"/>
  <c r="X17" i="3" s="1"/>
  <c r="Y17" i="3" s="1"/>
  <c r="W21" i="3"/>
  <c r="X21" i="3" s="1"/>
  <c r="Y21" i="3" s="1"/>
  <c r="W25" i="3"/>
  <c r="X25" i="3" s="1"/>
  <c r="Y25" i="3" s="1"/>
  <c r="W29" i="3"/>
  <c r="X29" i="3" s="1"/>
  <c r="Y29" i="3" s="1"/>
  <c r="W33" i="3"/>
  <c r="X33" i="3" s="1"/>
  <c r="Y33" i="3" s="1"/>
  <c r="W37" i="3"/>
  <c r="X37" i="3" s="1"/>
  <c r="Y37" i="3" s="1"/>
  <c r="AB5" i="3"/>
  <c r="AC5" i="3" s="1"/>
  <c r="AD5" i="3" s="1"/>
  <c r="H22" i="4" s="1" a="1"/>
  <c r="H22" i="4" s="1"/>
  <c r="AB17" i="3"/>
  <c r="AC17" i="3" s="1"/>
  <c r="AD17" i="3" s="1"/>
  <c r="AB25" i="3"/>
  <c r="AC25" i="3" s="1"/>
  <c r="AD25" i="3" s="1"/>
  <c r="W5" i="3"/>
  <c r="X5" i="3" s="1"/>
  <c r="Y5" i="3" s="1"/>
  <c r="W9" i="3"/>
  <c r="X9" i="3" s="1"/>
  <c r="Y9" i="3" s="1"/>
  <c r="AB9" i="3"/>
  <c r="AC9" i="3" s="1"/>
  <c r="AD9" i="3" s="1"/>
  <c r="AB21" i="3"/>
  <c r="AC21" i="3" s="1"/>
  <c r="AD21" i="3" s="1"/>
  <c r="AB33" i="3"/>
  <c r="AC33" i="3" s="1"/>
  <c r="AD33" i="3" s="1"/>
  <c r="G105" i="5"/>
  <c r="E105" i="5"/>
  <c r="F105" i="5"/>
  <c r="D105" i="5"/>
  <c r="F110" i="5"/>
  <c r="D110" i="5"/>
  <c r="G110" i="5"/>
  <c r="E110" i="5"/>
  <c r="G104" i="5"/>
  <c r="E104" i="5"/>
  <c r="D92" i="5" a="1"/>
  <c r="D92" i="5" s="1"/>
  <c r="G91" i="5"/>
  <c r="B101" i="5"/>
  <c r="C65" i="6" s="1"/>
  <c r="D102" i="5"/>
  <c r="F102" i="5"/>
  <c r="G103" i="5"/>
  <c r="E103" i="5"/>
  <c r="F112" i="5"/>
  <c r="D112" i="5"/>
  <c r="D104" i="5"/>
  <c r="F104" i="5"/>
  <c r="G102" i="5"/>
  <c r="E102" i="5"/>
  <c r="D103" i="5"/>
  <c r="F103" i="5"/>
  <c r="H103" i="5" s="1"/>
  <c r="G112" i="5"/>
  <c r="E112" i="5"/>
  <c r="T110" i="5" a="1"/>
  <c r="O110" i="5" a="1"/>
  <c r="T102" i="5" a="1"/>
  <c r="O102" i="5" a="1"/>
  <c r="O103" i="5" a="1"/>
  <c r="O112" i="5" a="1"/>
  <c r="P102" i="5" a="1"/>
  <c r="U110" i="5" a="1"/>
  <c r="P110" i="5" a="1"/>
  <c r="P112" i="5" a="1"/>
  <c r="P103" i="5" a="1"/>
  <c r="U103" i="5" a="1"/>
  <c r="O104" i="5" a="1"/>
  <c r="T104" i="5" a="1"/>
  <c r="P105" i="5" a="1"/>
  <c r="U104" i="5" a="1"/>
  <c r="P104" i="5" a="1"/>
  <c r="T105" i="5" a="1"/>
  <c r="O105" i="5" a="1"/>
  <c r="U102" i="5" a="1"/>
  <c r="J105" i="5" a="1"/>
  <c r="T103" i="5" a="1"/>
  <c r="J104" i="5" a="1"/>
  <c r="T112" i="5" a="1"/>
  <c r="U112" i="5" a="1"/>
  <c r="K103" i="5" a="1"/>
  <c r="K110" i="5" a="1"/>
  <c r="U105" i="5" a="1"/>
  <c r="J103" i="5" a="1"/>
  <c r="K101" i="5" a="1"/>
  <c r="O105" i="5" l="1"/>
  <c r="T105" i="5"/>
  <c r="P104" i="5"/>
  <c r="U104" i="5"/>
  <c r="P105" i="5"/>
  <c r="T104" i="5"/>
  <c r="O104" i="5"/>
  <c r="U103" i="5"/>
  <c r="P103" i="5"/>
  <c r="P112" i="5"/>
  <c r="P110" i="5"/>
  <c r="U110" i="5"/>
  <c r="P102" i="5"/>
  <c r="O112" i="5"/>
  <c r="O103" i="5"/>
  <c r="O102" i="5"/>
  <c r="T102" i="5"/>
  <c r="O110" i="5"/>
  <c r="T110" i="5"/>
  <c r="H105" i="5"/>
  <c r="K101" i="5"/>
  <c r="F65" i="6" s="1"/>
  <c r="U105" i="5"/>
  <c r="U112" i="5"/>
  <c r="T112" i="5"/>
  <c r="T103" i="5"/>
  <c r="U102" i="5"/>
  <c r="H11" i="4" a="1"/>
  <c r="H11" i="4" s="1"/>
  <c r="H19" i="4" s="1"/>
  <c r="G46" i="4" a="1"/>
  <c r="G46" i="4" s="1"/>
  <c r="G22" i="4" a="1"/>
  <c r="G22" i="4" s="1"/>
  <c r="G31" i="4" s="1"/>
  <c r="G35" i="4" a="1"/>
  <c r="G35" i="4" s="1"/>
  <c r="G42" i="4" s="1"/>
  <c r="G11" i="4" a="1"/>
  <c r="G11" i="4" s="1"/>
  <c r="G18" i="4" s="1"/>
  <c r="H35" i="4" a="1"/>
  <c r="H35" i="4" s="1"/>
  <c r="H42" i="4" s="1"/>
  <c r="H53" i="4" a="1"/>
  <c r="H53" i="4" s="1"/>
  <c r="G53" i="4" a="1"/>
  <c r="G53" i="4" s="1"/>
  <c r="H31" i="4"/>
  <c r="H32" i="4"/>
  <c r="H104" i="5"/>
  <c r="H110" i="5"/>
  <c r="J105" i="5"/>
  <c r="E69" i="6" s="1"/>
  <c r="K103" i="5"/>
  <c r="F67" i="6" s="1"/>
  <c r="J103" i="5"/>
  <c r="E67" i="6" s="1"/>
  <c r="K110" i="5"/>
  <c r="F72" i="6" s="1"/>
  <c r="J104" i="5"/>
  <c r="E68" i="6" s="1"/>
  <c r="H112" i="5"/>
  <c r="H102" i="5"/>
  <c r="F101" i="5"/>
  <c r="H101" i="5" s="1"/>
  <c r="D101" i="5"/>
  <c r="O101" i="5" a="1"/>
  <c r="T101" i="5" a="1"/>
  <c r="K112" i="5" a="1"/>
  <c r="J112" i="5" a="1"/>
  <c r="K102" i="5" a="1"/>
  <c r="K104" i="5" a="1"/>
  <c r="J102" i="5" a="1"/>
  <c r="J110" i="5" a="1"/>
  <c r="K105" i="5" a="1"/>
  <c r="J101" i="5" a="1"/>
  <c r="T101" i="5" l="1"/>
  <c r="O101" i="5"/>
  <c r="Q101" i="5" s="1"/>
  <c r="R101" i="5" s="1"/>
  <c r="V110" i="5"/>
  <c r="W110" i="5" s="1"/>
  <c r="V101" i="5"/>
  <c r="W101" i="5" s="1"/>
  <c r="K105" i="5"/>
  <c r="F69" i="6" s="1"/>
  <c r="J110" i="5"/>
  <c r="J102" i="5"/>
  <c r="E66" i="6" s="1"/>
  <c r="K104" i="5"/>
  <c r="K102" i="5"/>
  <c r="F66" i="6" s="1"/>
  <c r="J112" i="5"/>
  <c r="E74" i="6" s="1"/>
  <c r="K112" i="5"/>
  <c r="F74" i="6" s="1"/>
  <c r="G32" i="4"/>
  <c r="H18" i="4"/>
  <c r="H43" i="4"/>
  <c r="G43" i="4"/>
  <c r="G19" i="4"/>
  <c r="Q105" i="5"/>
  <c r="R105" i="5" s="1"/>
  <c r="Q104" i="5"/>
  <c r="R104" i="5" s="1"/>
  <c r="Q103" i="5"/>
  <c r="R103" i="5" s="1"/>
  <c r="V102" i="5"/>
  <c r="W102" i="5" s="1"/>
  <c r="Q112" i="5"/>
  <c r="R112" i="5" s="1"/>
  <c r="V105" i="5"/>
  <c r="W105" i="5" s="1"/>
  <c r="J101" i="5"/>
  <c r="L103" i="5"/>
  <c r="M103" i="5" s="1"/>
  <c r="G67" i="6" s="1"/>
  <c r="V104" i="5"/>
  <c r="W104" i="5" s="1"/>
  <c r="Q102" i="5"/>
  <c r="R102" i="5" s="1"/>
  <c r="V103" i="5"/>
  <c r="W103" i="5" s="1"/>
  <c r="Q110" i="5"/>
  <c r="R110" i="5" s="1"/>
  <c r="L105" i="5"/>
  <c r="M105" i="5" s="1"/>
  <c r="G69" i="6" s="1"/>
  <c r="H107" i="5"/>
  <c r="H108" i="5"/>
  <c r="V112" i="5"/>
  <c r="W112" i="5" s="1"/>
  <c r="L104" i="5" l="1"/>
  <c r="M104" i="5" s="1"/>
  <c r="G68" i="6" s="1"/>
  <c r="F68" i="6"/>
  <c r="L101" i="5"/>
  <c r="M101" i="5" s="1"/>
  <c r="G65" i="6" s="1"/>
  <c r="E65" i="6"/>
  <c r="L110" i="5"/>
  <c r="M110" i="5" s="1"/>
  <c r="G72" i="6" s="1"/>
  <c r="E72" i="6"/>
  <c r="L102" i="5"/>
  <c r="M102" i="5" s="1"/>
  <c r="L112" i="5"/>
  <c r="M112" i="5" s="1"/>
  <c r="X103" i="5"/>
  <c r="I67" i="6" s="1"/>
  <c r="S103" i="5"/>
  <c r="H67" i="6" s="1"/>
  <c r="S101" i="5"/>
  <c r="H65" i="6" s="1"/>
  <c r="X105" i="5"/>
  <c r="I69" i="6" s="1"/>
  <c r="S105" i="5"/>
  <c r="H69" i="6" s="1"/>
  <c r="X104" i="5"/>
  <c r="I68" i="6" s="1"/>
  <c r="S104" i="5"/>
  <c r="H68" i="6" s="1"/>
  <c r="R107" i="5"/>
  <c r="R108" i="5"/>
  <c r="W108" i="5"/>
  <c r="W107" i="5"/>
  <c r="S112" i="5" l="1"/>
  <c r="H74" i="6" s="1"/>
  <c r="G74" i="6"/>
  <c r="S102" i="5"/>
  <c r="H66" i="6" s="1"/>
  <c r="G66" i="6"/>
  <c r="S110" i="5"/>
  <c r="H72" i="6" s="1"/>
  <c r="X110" i="5"/>
  <c r="I72" i="6" s="1"/>
  <c r="X101" i="5"/>
  <c r="I65" i="6" s="1"/>
  <c r="M108" i="5"/>
  <c r="M107" i="5"/>
  <c r="X102" i="5"/>
  <c r="X112" i="5"/>
  <c r="I74" i="6" s="1"/>
  <c r="S108" i="5"/>
  <c r="S107" i="5"/>
  <c r="T61" i="5"/>
  <c r="O61" i="5"/>
  <c r="C52" i="5" a="1"/>
  <c r="X107" i="5" l="1"/>
  <c r="I66" i="6"/>
  <c r="X108" i="5"/>
  <c r="B78" i="5"/>
  <c r="C60" i="6" s="1"/>
  <c r="C78" i="5"/>
  <c r="D60" i="6" s="1"/>
  <c r="C76" i="5"/>
  <c r="D58" i="6" s="1"/>
  <c r="B76" i="5"/>
  <c r="C58" i="6" s="1"/>
  <c r="C75" i="5"/>
  <c r="D57" i="6" s="1"/>
  <c r="B75" i="5"/>
  <c r="C57" i="6" s="1"/>
  <c r="C70" i="5"/>
  <c r="D54" i="6" s="1"/>
  <c r="B70" i="5"/>
  <c r="C54" i="6" s="1"/>
  <c r="C69" i="5"/>
  <c r="D53" i="6" s="1"/>
  <c r="B69" i="5"/>
  <c r="C53" i="6" s="1"/>
  <c r="C68" i="5"/>
  <c r="D52" i="6" s="1"/>
  <c r="B68" i="5"/>
  <c r="C52" i="6" s="1"/>
  <c r="B67" i="5"/>
  <c r="C51" i="6" s="1"/>
  <c r="C67" i="5"/>
  <c r="D51" i="6" s="1"/>
  <c r="B66" i="5"/>
  <c r="C50" i="6" s="1"/>
  <c r="C66" i="5"/>
  <c r="D50" i="6" s="1"/>
  <c r="C65" i="5"/>
  <c r="D49" i="6" s="1"/>
  <c r="B65" i="5"/>
  <c r="C49" i="6" s="1"/>
  <c r="C52" i="5"/>
  <c r="C64" i="5"/>
  <c r="D48" i="6" s="1"/>
  <c r="G66" i="5" l="1"/>
  <c r="E66" i="5"/>
  <c r="F70" i="5"/>
  <c r="D70" i="5"/>
  <c r="D66" i="5"/>
  <c r="F66" i="5"/>
  <c r="G70" i="5"/>
  <c r="E70" i="5"/>
  <c r="G67" i="5"/>
  <c r="E67" i="5"/>
  <c r="F76" i="5"/>
  <c r="D76" i="5"/>
  <c r="F75" i="5"/>
  <c r="D75" i="5"/>
  <c r="F67" i="5"/>
  <c r="D67" i="5"/>
  <c r="G75" i="5"/>
  <c r="E75" i="5"/>
  <c r="G64" i="5"/>
  <c r="E64" i="5"/>
  <c r="F68" i="5"/>
  <c r="D68" i="5"/>
  <c r="D52" i="5" a="1"/>
  <c r="D52" i="5" s="1"/>
  <c r="G51" i="5"/>
  <c r="B64" i="5"/>
  <c r="C48" i="6" s="1"/>
  <c r="G68" i="5"/>
  <c r="E68" i="5"/>
  <c r="G76" i="5"/>
  <c r="E76" i="5"/>
  <c r="D65" i="5"/>
  <c r="F65" i="5"/>
  <c r="H65" i="5" s="1"/>
  <c r="G78" i="5"/>
  <c r="E78" i="5"/>
  <c r="F69" i="5"/>
  <c r="D69" i="5"/>
  <c r="E65" i="5"/>
  <c r="G65" i="5"/>
  <c r="G69" i="5"/>
  <c r="E69" i="5"/>
  <c r="F78" i="5"/>
  <c r="D78" i="5"/>
  <c r="P67" i="5" a="1"/>
  <c r="U67" i="5" a="1"/>
  <c r="U66" i="5" a="1"/>
  <c r="P66" i="5" a="1"/>
  <c r="P68" i="5" a="1"/>
  <c r="U68" i="5" a="1"/>
  <c r="O69" i="5" a="1"/>
  <c r="T69" i="5" a="1"/>
  <c r="O65" i="5" a="1"/>
  <c r="T65" i="5" a="1"/>
  <c r="T67" i="5" a="1"/>
  <c r="O67" i="5" a="1"/>
  <c r="O70" i="5" a="1"/>
  <c r="T70" i="5" a="1"/>
  <c r="P64" i="5" a="1"/>
  <c r="U64" i="5" a="1"/>
  <c r="U65" i="5" a="1"/>
  <c r="P65" i="5" a="1"/>
  <c r="P69" i="5" a="1"/>
  <c r="U69" i="5" a="1"/>
  <c r="T66" i="5" a="1"/>
  <c r="O66" i="5" a="1"/>
  <c r="O68" i="5" a="1"/>
  <c r="T68" i="5" a="1"/>
  <c r="P70" i="5" a="1"/>
  <c r="U70" i="5" a="1"/>
  <c r="K68" i="5" a="1"/>
  <c r="J65" i="5" a="1"/>
  <c r="J70" i="5" a="1"/>
  <c r="K75" i="5" a="1"/>
  <c r="K78" i="5" a="1"/>
  <c r="J69" i="5" a="1"/>
  <c r="J68" i="5" a="1"/>
  <c r="J78" i="5" a="1"/>
  <c r="J66" i="5" a="1"/>
  <c r="J76" i="5" a="1"/>
  <c r="J75" i="5" a="1"/>
  <c r="K67" i="5" a="1"/>
  <c r="K64" i="5" a="1"/>
  <c r="K66" i="5" a="1"/>
  <c r="K65" i="5" a="1"/>
  <c r="K76" i="5" a="1"/>
  <c r="U70" i="5" l="1"/>
  <c r="P70" i="5"/>
  <c r="T68" i="5"/>
  <c r="O68" i="5"/>
  <c r="O66" i="5"/>
  <c r="T66" i="5"/>
  <c r="U69" i="5"/>
  <c r="P69" i="5"/>
  <c r="P65" i="5"/>
  <c r="U65" i="5"/>
  <c r="U64" i="5"/>
  <c r="P64" i="5"/>
  <c r="T70" i="5"/>
  <c r="O70" i="5"/>
  <c r="O67" i="5"/>
  <c r="T67" i="5"/>
  <c r="T65" i="5"/>
  <c r="O65" i="5"/>
  <c r="T69" i="5"/>
  <c r="O69" i="5"/>
  <c r="U68" i="5"/>
  <c r="P68" i="5"/>
  <c r="P66" i="5"/>
  <c r="U66" i="5"/>
  <c r="U67" i="5"/>
  <c r="P67" i="5"/>
  <c r="H78" i="5"/>
  <c r="H67" i="5"/>
  <c r="H66" i="5"/>
  <c r="H70" i="5"/>
  <c r="K76" i="5"/>
  <c r="F58" i="6" s="1"/>
  <c r="J66" i="5"/>
  <c r="E50" i="6" s="1"/>
  <c r="J65" i="5"/>
  <c r="E49" i="6" s="1"/>
  <c r="K65" i="5"/>
  <c r="F49" i="6" s="1"/>
  <c r="K64" i="5"/>
  <c r="F48" i="6" s="1"/>
  <c r="J76" i="5"/>
  <c r="E58" i="6" s="1"/>
  <c r="J70" i="5"/>
  <c r="E54" i="6" s="1"/>
  <c r="J68" i="5"/>
  <c r="E52" i="6" s="1"/>
  <c r="J69" i="5"/>
  <c r="E53" i="6" s="1"/>
  <c r="K68" i="5"/>
  <c r="F52" i="6" s="1"/>
  <c r="K75" i="5"/>
  <c r="F57" i="6" s="1"/>
  <c r="K67" i="5"/>
  <c r="F51" i="6" s="1"/>
  <c r="K66" i="5"/>
  <c r="F50" i="6" s="1"/>
  <c r="J75" i="5"/>
  <c r="E57" i="6" s="1"/>
  <c r="J78" i="5"/>
  <c r="E60" i="6" s="1"/>
  <c r="K78" i="5"/>
  <c r="F60" i="6" s="1"/>
  <c r="H68" i="5"/>
  <c r="H75" i="5"/>
  <c r="H76" i="5"/>
  <c r="H69" i="5"/>
  <c r="F64" i="5"/>
  <c r="H64" i="5" s="1"/>
  <c r="D64" i="5"/>
  <c r="T64" i="5" a="1"/>
  <c r="O64" i="5" a="1"/>
  <c r="K69" i="5" a="1"/>
  <c r="J67" i="5" a="1"/>
  <c r="K70" i="5" a="1"/>
  <c r="O64" i="5" l="1"/>
  <c r="Q64" i="5" s="1"/>
  <c r="R64" i="5" s="1"/>
  <c r="T64" i="5"/>
  <c r="V64" i="5" s="1"/>
  <c r="W64" i="5" s="1"/>
  <c r="K70" i="5"/>
  <c r="J67" i="5"/>
  <c r="E51" i="6" s="1"/>
  <c r="K69" i="5"/>
  <c r="L66" i="5"/>
  <c r="M66" i="5" s="1"/>
  <c r="G50" i="6" s="1"/>
  <c r="L68" i="5"/>
  <c r="M68" i="5" s="1"/>
  <c r="G52" i="6" s="1"/>
  <c r="L78" i="5"/>
  <c r="M78" i="5" s="1"/>
  <c r="G60" i="6" s="1"/>
  <c r="Q68" i="5"/>
  <c r="R68" i="5" s="1"/>
  <c r="Q69" i="5"/>
  <c r="R69" i="5" s="1"/>
  <c r="V67" i="5"/>
  <c r="W67" i="5" s="1"/>
  <c r="Q70" i="5"/>
  <c r="R70" i="5" s="1"/>
  <c r="Q66" i="5"/>
  <c r="R66" i="5" s="1"/>
  <c r="V69" i="5"/>
  <c r="W69" i="5" s="1"/>
  <c r="L75" i="5"/>
  <c r="M75" i="5" s="1"/>
  <c r="G57" i="6" s="1"/>
  <c r="V68" i="5"/>
  <c r="W68" i="5" s="1"/>
  <c r="L65" i="5"/>
  <c r="M65" i="5" s="1"/>
  <c r="G49" i="6" s="1"/>
  <c r="V70" i="5"/>
  <c r="W70" i="5" s="1"/>
  <c r="V66" i="5"/>
  <c r="W66" i="5" s="1"/>
  <c r="L67" i="5"/>
  <c r="M67" i="5" s="1"/>
  <c r="G51" i="6" s="1"/>
  <c r="Q65" i="5"/>
  <c r="R65" i="5" s="1"/>
  <c r="Q67" i="5"/>
  <c r="R67" i="5" s="1"/>
  <c r="V65" i="5"/>
  <c r="W65" i="5" s="1"/>
  <c r="H72" i="5"/>
  <c r="H73" i="5"/>
  <c r="L76" i="5"/>
  <c r="M76" i="5" s="1"/>
  <c r="G58" i="6" s="1"/>
  <c r="J64" i="5" a="1"/>
  <c r="L70" i="5" l="1"/>
  <c r="M70" i="5" s="1"/>
  <c r="G54" i="6" s="1"/>
  <c r="F54" i="6"/>
  <c r="L69" i="5"/>
  <c r="M69" i="5" s="1"/>
  <c r="G53" i="6" s="1"/>
  <c r="F53" i="6"/>
  <c r="X66" i="5"/>
  <c r="I50" i="6" s="1"/>
  <c r="S66" i="5"/>
  <c r="H50" i="6" s="1"/>
  <c r="J64" i="5"/>
  <c r="X70" i="5"/>
  <c r="I54" i="6" s="1"/>
  <c r="S70" i="5"/>
  <c r="H54" i="6" s="1"/>
  <c r="W73" i="5"/>
  <c r="W72" i="5"/>
  <c r="X68" i="5"/>
  <c r="I52" i="6" s="1"/>
  <c r="S68" i="5"/>
  <c r="H52" i="6" s="1"/>
  <c r="X67" i="5"/>
  <c r="I51" i="6" s="1"/>
  <c r="S67" i="5"/>
  <c r="H51" i="6" s="1"/>
  <c r="X69" i="5"/>
  <c r="I53" i="6" s="1"/>
  <c r="S69" i="5"/>
  <c r="H53" i="6" s="1"/>
  <c r="R73" i="5"/>
  <c r="R72" i="5"/>
  <c r="X65" i="5"/>
  <c r="I49" i="6" s="1"/>
  <c r="S65" i="5"/>
  <c r="H49" i="6" s="1"/>
  <c r="L64" i="5" l="1"/>
  <c r="M64" i="5" s="1"/>
  <c r="E48" i="6"/>
  <c r="M72" i="5"/>
  <c r="X64" i="5"/>
  <c r="M73" i="5"/>
  <c r="T17" i="5"/>
  <c r="O17" i="5"/>
  <c r="C4" i="5" a="1"/>
  <c r="U76" i="5" a="1"/>
  <c r="T75" i="5" a="1"/>
  <c r="T76" i="5" a="1"/>
  <c r="U75" i="5" a="1"/>
  <c r="T78" i="5" a="1"/>
  <c r="U78" i="5" a="1"/>
  <c r="P76" i="5" a="1"/>
  <c r="O75" i="5" a="1"/>
  <c r="O76" i="5" a="1"/>
  <c r="P75" i="5" a="1"/>
  <c r="O78" i="5" a="1"/>
  <c r="P78" i="5" a="1"/>
  <c r="X73" i="5" l="1"/>
  <c r="I48" i="6"/>
  <c r="S64" i="5"/>
  <c r="G48" i="6"/>
  <c r="P78" i="5"/>
  <c r="O78" i="5"/>
  <c r="P75" i="5"/>
  <c r="O76" i="5"/>
  <c r="O75" i="5"/>
  <c r="P76" i="5"/>
  <c r="U78" i="5"/>
  <c r="T78" i="5"/>
  <c r="U75" i="5"/>
  <c r="T76" i="5"/>
  <c r="T75" i="5"/>
  <c r="U76" i="5"/>
  <c r="X72" i="5"/>
  <c r="B43" i="5"/>
  <c r="C43" i="6" s="1"/>
  <c r="C43" i="5"/>
  <c r="D43" i="6" s="1"/>
  <c r="B41" i="5"/>
  <c r="C41" i="6" s="1"/>
  <c r="C41" i="5"/>
  <c r="D41" i="6" s="1"/>
  <c r="B40" i="5"/>
  <c r="C40" i="6" s="1"/>
  <c r="C40" i="5"/>
  <c r="D40" i="6" s="1"/>
  <c r="B30" i="5"/>
  <c r="C37" i="6" s="1"/>
  <c r="C30" i="5"/>
  <c r="D37" i="6" s="1"/>
  <c r="C29" i="5"/>
  <c r="D36" i="6" s="1"/>
  <c r="B29" i="5"/>
  <c r="C36" i="6" s="1"/>
  <c r="C28" i="5"/>
  <c r="D35" i="6" s="1"/>
  <c r="B28" i="5"/>
  <c r="C35" i="6" s="1"/>
  <c r="C27" i="5"/>
  <c r="D34" i="6" s="1"/>
  <c r="B27" i="5"/>
  <c r="C34" i="6" s="1"/>
  <c r="C26" i="5"/>
  <c r="D33" i="6" s="1"/>
  <c r="B26" i="5"/>
  <c r="C33" i="6" s="1"/>
  <c r="B25" i="5"/>
  <c r="C32" i="6" s="1"/>
  <c r="C25" i="5"/>
  <c r="D32" i="6" s="1"/>
  <c r="B24" i="5"/>
  <c r="C31" i="6" s="1"/>
  <c r="C24" i="5"/>
  <c r="D31" i="6" s="1"/>
  <c r="B23" i="5"/>
  <c r="C30" i="6" s="1"/>
  <c r="C23" i="5"/>
  <c r="D30" i="6" s="1"/>
  <c r="B22" i="5"/>
  <c r="C29" i="6" s="1"/>
  <c r="C22" i="5"/>
  <c r="D29" i="6" s="1"/>
  <c r="C21" i="5"/>
  <c r="D28" i="6" s="1"/>
  <c r="C4" i="5"/>
  <c r="H48" i="6" l="1"/>
  <c r="S72" i="5"/>
  <c r="S73" i="5"/>
  <c r="V75" i="5"/>
  <c r="W75" i="5" s="1"/>
  <c r="X75" i="5" s="1"/>
  <c r="I57" i="6" s="1"/>
  <c r="Q76" i="5"/>
  <c r="R76" i="5" s="1"/>
  <c r="S76" i="5" s="1"/>
  <c r="H58" i="6" s="1"/>
  <c r="V78" i="5"/>
  <c r="W78" i="5" s="1"/>
  <c r="X78" i="5" s="1"/>
  <c r="I60" i="6" s="1"/>
  <c r="V76" i="5"/>
  <c r="W76" i="5" s="1"/>
  <c r="X76" i="5" s="1"/>
  <c r="I58" i="6" s="1"/>
  <c r="G27" i="5"/>
  <c r="E27" i="5"/>
  <c r="F28" i="5"/>
  <c r="D28" i="5"/>
  <c r="G41" i="5"/>
  <c r="E41" i="5"/>
  <c r="D24" i="5"/>
  <c r="F24" i="5"/>
  <c r="G28" i="5"/>
  <c r="E28" i="5"/>
  <c r="D41" i="5"/>
  <c r="F41" i="5"/>
  <c r="Q78" i="5"/>
  <c r="R78" i="5" s="1"/>
  <c r="S78" i="5" s="1"/>
  <c r="H60" i="6" s="1"/>
  <c r="F23" i="5"/>
  <c r="D23" i="5"/>
  <c r="F40" i="5"/>
  <c r="D40" i="5"/>
  <c r="D4" i="5" a="1"/>
  <c r="D4" i="5" s="1"/>
  <c r="B21" i="5"/>
  <c r="C28" i="6" s="1"/>
  <c r="P3" i="5"/>
  <c r="F29" i="5"/>
  <c r="D29" i="5"/>
  <c r="G21" i="5"/>
  <c r="E21" i="5"/>
  <c r="D25" i="5"/>
  <c r="F25" i="5"/>
  <c r="G29" i="5"/>
  <c r="E29" i="5"/>
  <c r="F43" i="5"/>
  <c r="D43" i="5"/>
  <c r="F22" i="5"/>
  <c r="D22" i="5"/>
  <c r="G26" i="5"/>
  <c r="E26" i="5"/>
  <c r="F30" i="5"/>
  <c r="D30" i="5"/>
  <c r="E24" i="5"/>
  <c r="G24" i="5"/>
  <c r="E25" i="5"/>
  <c r="G25" i="5"/>
  <c r="G43" i="5"/>
  <c r="E43" i="5"/>
  <c r="G22" i="5"/>
  <c r="E22" i="5"/>
  <c r="F26" i="5"/>
  <c r="D26" i="5"/>
  <c r="E30" i="5"/>
  <c r="G30" i="5"/>
  <c r="G23" i="5"/>
  <c r="E23" i="5"/>
  <c r="D27" i="5"/>
  <c r="F27" i="5"/>
  <c r="G40" i="5"/>
  <c r="E40" i="5"/>
  <c r="Q75" i="5"/>
  <c r="R75" i="5" s="1"/>
  <c r="S75" i="5" s="1"/>
  <c r="H57" i="6" s="1"/>
  <c r="U24" i="5" a="1"/>
  <c r="P24" i="5" a="1"/>
  <c r="U41" i="5" a="1"/>
  <c r="P41" i="5" a="1"/>
  <c r="O29" i="5" a="1"/>
  <c r="T29" i="5" a="1"/>
  <c r="O43" i="5" a="1"/>
  <c r="T43" i="5" a="1"/>
  <c r="T26" i="5" a="1"/>
  <c r="O26" i="5" a="1"/>
  <c r="P40" i="5" a="1"/>
  <c r="U40" i="5" a="1"/>
  <c r="T24" i="5" a="1"/>
  <c r="O24" i="5" a="1"/>
  <c r="T23" i="5" a="1"/>
  <c r="O23" i="5" a="1"/>
  <c r="U25" i="5" a="1"/>
  <c r="P25" i="5" a="1"/>
  <c r="P30" i="5" a="1"/>
  <c r="U30" i="5" a="1"/>
  <c r="U27" i="5" a="1"/>
  <c r="P27" i="5" a="1"/>
  <c r="U23" i="5" a="1"/>
  <c r="P23" i="5" a="1"/>
  <c r="P21" i="5" a="1"/>
  <c r="U21" i="5" a="1"/>
  <c r="O22" i="5" a="1"/>
  <c r="T22" i="5" a="1"/>
  <c r="O40" i="5" a="1"/>
  <c r="T40" i="5" a="1"/>
  <c r="T25" i="5" a="1"/>
  <c r="O25" i="5" a="1"/>
  <c r="P28" i="5" a="1"/>
  <c r="U28" i="5" a="1"/>
  <c r="P43" i="5" a="1"/>
  <c r="U43" i="5" a="1"/>
  <c r="P26" i="5" a="1"/>
  <c r="U26" i="5" a="1"/>
  <c r="T41" i="5" a="1"/>
  <c r="O41" i="5" a="1"/>
  <c r="O27" i="5" a="1"/>
  <c r="T27" i="5" a="1"/>
  <c r="T30" i="5" a="1"/>
  <c r="O30" i="5" a="1"/>
  <c r="T28" i="5" a="1"/>
  <c r="O28" i="5" a="1"/>
  <c r="U29" i="5" a="1"/>
  <c r="P29" i="5" a="1"/>
  <c r="U22" i="5" a="1"/>
  <c r="P22" i="5" a="1"/>
  <c r="F4" i="5" a="1"/>
  <c r="H4" i="5" a="1"/>
  <c r="N4" i="5" a="1"/>
  <c r="K4" i="5" a="1"/>
  <c r="J24" i="5" a="1"/>
  <c r="J27" i="5" a="1"/>
  <c r="K25" i="5" a="1"/>
  <c r="J29" i="5" a="1"/>
  <c r="K26" i="5" a="1"/>
  <c r="J30" i="5" a="1"/>
  <c r="J43" i="5" a="1"/>
  <c r="J41" i="5" a="1"/>
  <c r="J23" i="5" a="1"/>
  <c r="K24" i="5" a="1"/>
  <c r="K30" i="5" a="1"/>
  <c r="J28" i="5" a="1"/>
  <c r="J25" i="5" a="1"/>
  <c r="K29" i="5" a="1"/>
  <c r="K28" i="5" a="1"/>
  <c r="J40" i="5" a="1"/>
  <c r="K41" i="5" a="1"/>
  <c r="K27" i="5" a="1"/>
  <c r="K43" i="5" a="1"/>
  <c r="P22" i="5" l="1"/>
  <c r="U22" i="5"/>
  <c r="P29" i="5"/>
  <c r="U29" i="5"/>
  <c r="O28" i="5"/>
  <c r="T28" i="5"/>
  <c r="O30" i="5"/>
  <c r="T30" i="5"/>
  <c r="T27" i="5"/>
  <c r="O27" i="5"/>
  <c r="O41" i="5"/>
  <c r="T41" i="5"/>
  <c r="U26" i="5"/>
  <c r="P26" i="5"/>
  <c r="U43" i="5"/>
  <c r="P43" i="5"/>
  <c r="U28" i="5"/>
  <c r="P28" i="5"/>
  <c r="O25" i="5"/>
  <c r="T25" i="5"/>
  <c r="T40" i="5"/>
  <c r="O40" i="5"/>
  <c r="T22" i="5"/>
  <c r="O22" i="5"/>
  <c r="U21" i="5"/>
  <c r="P21" i="5"/>
  <c r="P23" i="5"/>
  <c r="U23" i="5"/>
  <c r="P27" i="5"/>
  <c r="U27" i="5"/>
  <c r="U30" i="5"/>
  <c r="P30" i="5"/>
  <c r="P25" i="5"/>
  <c r="U25" i="5"/>
  <c r="O23" i="5"/>
  <c r="T23" i="5"/>
  <c r="O24" i="5"/>
  <c r="T24" i="5"/>
  <c r="U40" i="5"/>
  <c r="P40" i="5"/>
  <c r="O26" i="5"/>
  <c r="T26" i="5"/>
  <c r="T43" i="5"/>
  <c r="O43" i="5"/>
  <c r="T29" i="5"/>
  <c r="O29" i="5"/>
  <c r="P41" i="5"/>
  <c r="U41" i="5"/>
  <c r="P24" i="5"/>
  <c r="U24" i="5"/>
  <c r="L14" i="5"/>
  <c r="L6" i="5"/>
  <c r="L13" i="5"/>
  <c r="L12" i="5"/>
  <c r="L11" i="5"/>
  <c r="M11" i="5" s="1"/>
  <c r="L10" i="5"/>
  <c r="L9" i="5"/>
  <c r="L8" i="5"/>
  <c r="L7" i="5"/>
  <c r="G14" i="5"/>
  <c r="G6" i="5"/>
  <c r="G9" i="5"/>
  <c r="G13" i="5"/>
  <c r="G8" i="5"/>
  <c r="G12" i="5"/>
  <c r="G11" i="5"/>
  <c r="G10" i="5"/>
  <c r="G7" i="5"/>
  <c r="F4" i="5"/>
  <c r="G5" i="5" s="1"/>
  <c r="I14" i="5"/>
  <c r="J14" i="5" s="1"/>
  <c r="I6" i="5"/>
  <c r="I12" i="5"/>
  <c r="I10" i="5"/>
  <c r="I8" i="5"/>
  <c r="I13" i="5"/>
  <c r="I11" i="5"/>
  <c r="J11" i="5" s="1"/>
  <c r="I9" i="5"/>
  <c r="I7" i="5"/>
  <c r="H4" i="5"/>
  <c r="N4" i="5"/>
  <c r="K4" i="5"/>
  <c r="L5" i="5" s="1"/>
  <c r="H40" i="5"/>
  <c r="H26" i="5"/>
  <c r="H27" i="5"/>
  <c r="H41" i="5"/>
  <c r="K43" i="5"/>
  <c r="F43" i="6" s="1"/>
  <c r="K30" i="5"/>
  <c r="F37" i="6" s="1"/>
  <c r="K25" i="5"/>
  <c r="F32" i="6" s="1"/>
  <c r="J23" i="5"/>
  <c r="E30" i="6" s="1"/>
  <c r="J24" i="5"/>
  <c r="E31" i="6" s="1"/>
  <c r="J43" i="5"/>
  <c r="E43" i="6" s="1"/>
  <c r="J29" i="5"/>
  <c r="E36" i="6" s="1"/>
  <c r="K41" i="5"/>
  <c r="F41" i="6" s="1"/>
  <c r="K24" i="5"/>
  <c r="F31" i="6" s="1"/>
  <c r="J30" i="5"/>
  <c r="E37" i="6" s="1"/>
  <c r="K29" i="5"/>
  <c r="F36" i="6" s="1"/>
  <c r="J28" i="5"/>
  <c r="E35" i="6" s="1"/>
  <c r="J27" i="5"/>
  <c r="E34" i="6" s="1"/>
  <c r="J41" i="5"/>
  <c r="E41" i="6" s="1"/>
  <c r="K28" i="5"/>
  <c r="F35" i="6" s="1"/>
  <c r="K27" i="5"/>
  <c r="F34" i="6" s="1"/>
  <c r="K26" i="5"/>
  <c r="F33" i="6" s="1"/>
  <c r="J25" i="5"/>
  <c r="E32" i="6" s="1"/>
  <c r="J40" i="5"/>
  <c r="E40" i="6" s="1"/>
  <c r="H24" i="5"/>
  <c r="H22" i="5"/>
  <c r="H23" i="5"/>
  <c r="H43" i="5"/>
  <c r="H29" i="5"/>
  <c r="H30" i="5"/>
  <c r="F21" i="5"/>
  <c r="H21" i="5" s="1"/>
  <c r="D21" i="5"/>
  <c r="H28" i="5"/>
  <c r="H25" i="5"/>
  <c r="T21" i="5" a="1"/>
  <c r="O21" i="5" a="1"/>
  <c r="K40" i="5" a="1"/>
  <c r="J26" i="5" a="1"/>
  <c r="J22" i="5" a="1"/>
  <c r="K22" i="5" a="1"/>
  <c r="K21" i="5" a="1"/>
  <c r="K23" i="5" a="1"/>
  <c r="M10" i="5" l="1"/>
  <c r="M7" i="5"/>
  <c r="O21" i="5"/>
  <c r="T21" i="5"/>
  <c r="V21" i="5" s="1"/>
  <c r="W21" i="5" s="1"/>
  <c r="M14" i="5"/>
  <c r="M9" i="5"/>
  <c r="M12" i="5"/>
  <c r="M13" i="5"/>
  <c r="M8" i="5"/>
  <c r="M6" i="5"/>
  <c r="M5" i="5"/>
  <c r="J6" i="5"/>
  <c r="J10" i="5"/>
  <c r="J7" i="5"/>
  <c r="J9" i="5"/>
  <c r="J12" i="5"/>
  <c r="J13" i="5"/>
  <c r="J8" i="5"/>
  <c r="Q21" i="5"/>
  <c r="R21" i="5" s="1"/>
  <c r="I5" i="5"/>
  <c r="J5" i="5" s="1"/>
  <c r="V26" i="5"/>
  <c r="W26" i="5" s="1"/>
  <c r="V27" i="5"/>
  <c r="W27" i="5" s="1"/>
  <c r="L29" i="5"/>
  <c r="M29" i="5" s="1"/>
  <c r="G36" i="6" s="1"/>
  <c r="L30" i="5"/>
  <c r="M30" i="5" s="1"/>
  <c r="G37" i="6" s="1"/>
  <c r="K23" i="5"/>
  <c r="K21" i="5"/>
  <c r="F28" i="6" s="1"/>
  <c r="K22" i="5"/>
  <c r="F29" i="6" s="1"/>
  <c r="J22" i="5"/>
  <c r="E29" i="6" s="1"/>
  <c r="J26" i="5"/>
  <c r="K40" i="5"/>
  <c r="L24" i="5"/>
  <c r="M24" i="5" s="1"/>
  <c r="G31" i="6" s="1"/>
  <c r="Q26" i="5"/>
  <c r="R26" i="5" s="1"/>
  <c r="Q29" i="5"/>
  <c r="R29" i="5" s="1"/>
  <c r="V29" i="5"/>
  <c r="W29" i="5" s="1"/>
  <c r="Q25" i="5"/>
  <c r="R25" i="5" s="1"/>
  <c r="V22" i="5"/>
  <c r="W22" i="5" s="1"/>
  <c r="Q23" i="5"/>
  <c r="R23" i="5" s="1"/>
  <c r="Q28" i="5"/>
  <c r="R28" i="5" s="1"/>
  <c r="Q24" i="5"/>
  <c r="R24" i="5" s="1"/>
  <c r="Q22" i="5"/>
  <c r="R22" i="5" s="1"/>
  <c r="L41" i="5"/>
  <c r="M41" i="5" s="1"/>
  <c r="G41" i="6" s="1"/>
  <c r="V24" i="5"/>
  <c r="W24" i="5" s="1"/>
  <c r="V23" i="5"/>
  <c r="W23" i="5" s="1"/>
  <c r="L43" i="5"/>
  <c r="M43" i="5" s="1"/>
  <c r="G43" i="6" s="1"/>
  <c r="L28" i="5"/>
  <c r="M28" i="5" s="1"/>
  <c r="G35" i="6" s="1"/>
  <c r="V25" i="5"/>
  <c r="W25" i="5" s="1"/>
  <c r="Q40" i="5"/>
  <c r="R40" i="5" s="1"/>
  <c r="V28" i="5"/>
  <c r="W28" i="5" s="1"/>
  <c r="V40" i="5"/>
  <c r="W40" i="5" s="1"/>
  <c r="Q30" i="5"/>
  <c r="R30" i="5" s="1"/>
  <c r="V30" i="5"/>
  <c r="W30" i="5" s="1"/>
  <c r="H33" i="5"/>
  <c r="H34" i="5"/>
  <c r="L27" i="5"/>
  <c r="M27" i="5" s="1"/>
  <c r="G34" i="6" s="1"/>
  <c r="Q41" i="5"/>
  <c r="R41" i="5" s="1"/>
  <c r="Q43" i="5"/>
  <c r="R43" i="5" s="1"/>
  <c r="Q27" i="5"/>
  <c r="R27" i="5" s="1"/>
  <c r="V41" i="5"/>
  <c r="W41" i="5" s="1"/>
  <c r="L25" i="5"/>
  <c r="M25" i="5" s="1"/>
  <c r="G32" i="6" s="1"/>
  <c r="V43" i="5"/>
  <c r="W43" i="5" s="1"/>
  <c r="J21" i="5" a="1"/>
  <c r="L26" i="5" l="1"/>
  <c r="M26" i="5" s="1"/>
  <c r="G33" i="6" s="1"/>
  <c r="E33" i="6"/>
  <c r="L40" i="5"/>
  <c r="M40" i="5" s="1"/>
  <c r="G40" i="6" s="1"/>
  <c r="F40" i="6"/>
  <c r="L23" i="5"/>
  <c r="M23" i="5" s="1"/>
  <c r="G30" i="6" s="1"/>
  <c r="F30" i="6"/>
  <c r="X41" i="5"/>
  <c r="I41" i="6" s="1"/>
  <c r="L22" i="5"/>
  <c r="M22" i="5" s="1"/>
  <c r="J21" i="5"/>
  <c r="X26" i="5"/>
  <c r="I33" i="6" s="1"/>
  <c r="S26" i="5"/>
  <c r="H33" i="6" s="1"/>
  <c r="S41" i="5"/>
  <c r="H41" i="6" s="1"/>
  <c r="W34" i="5"/>
  <c r="W33" i="5"/>
  <c r="R33" i="5"/>
  <c r="R34" i="5"/>
  <c r="X40" i="5"/>
  <c r="I40" i="6" s="1"/>
  <c r="S40" i="5"/>
  <c r="H40" i="6" s="1"/>
  <c r="X23" i="5"/>
  <c r="I30" i="6" s="1"/>
  <c r="S23" i="5"/>
  <c r="H30" i="6" s="1"/>
  <c r="X30" i="5"/>
  <c r="I37" i="6" s="1"/>
  <c r="S30" i="5"/>
  <c r="H37" i="6" s="1"/>
  <c r="X25" i="5"/>
  <c r="I32" i="6" s="1"/>
  <c r="S25" i="5"/>
  <c r="H32" i="6" s="1"/>
  <c r="X27" i="5"/>
  <c r="I34" i="6" s="1"/>
  <c r="S27" i="5"/>
  <c r="H34" i="6" s="1"/>
  <c r="X28" i="5"/>
  <c r="I35" i="6" s="1"/>
  <c r="S28" i="5"/>
  <c r="H35" i="6" s="1"/>
  <c r="X43" i="5"/>
  <c r="I43" i="6" s="1"/>
  <c r="S43" i="5"/>
  <c r="H43" i="6" s="1"/>
  <c r="X29" i="5"/>
  <c r="I36" i="6" s="1"/>
  <c r="S29" i="5"/>
  <c r="H36" i="6" s="1"/>
  <c r="X24" i="5"/>
  <c r="I31" i="6" s="1"/>
  <c r="S24" i="5"/>
  <c r="H31" i="6" s="1"/>
  <c r="X22" i="5" l="1"/>
  <c r="I29" i="6" s="1"/>
  <c r="G29" i="6"/>
  <c r="L21" i="5"/>
  <c r="M21" i="5" s="1"/>
  <c r="G28" i="6" s="1"/>
  <c r="E28" i="6"/>
  <c r="S22" i="5"/>
  <c r="H29" i="6" s="1"/>
  <c r="M33" i="5" l="1"/>
  <c r="M34" i="5"/>
  <c r="S21" i="5"/>
  <c r="H28" i="6" s="1"/>
  <c r="X21" i="5"/>
  <c r="X34" i="5"/>
  <c r="S33" i="5"/>
  <c r="X33" i="5" l="1"/>
  <c r="I28" i="6"/>
  <c r="S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<sst xmlns="http://schemas.openxmlformats.org/spreadsheetml/2006/main" count="862" uniqueCount="424">
  <si>
    <t>issuers</t>
  </si>
  <si>
    <t>bonds</t>
  </si>
  <si>
    <t>short ticker</t>
  </si>
  <si>
    <t>long ticker</t>
  </si>
  <si>
    <t>short spread</t>
  </si>
  <si>
    <t>long spread</t>
  </si>
  <si>
    <t>curve per year</t>
  </si>
  <si>
    <t>curve change (14d)</t>
  </si>
  <si>
    <t>curve change (30d)</t>
  </si>
  <si>
    <t>vw</t>
  </si>
  <si>
    <t>telefo</t>
  </si>
  <si>
    <t>total</t>
  </si>
  <si>
    <t>ticker</t>
  </si>
  <si>
    <t>bond list</t>
  </si>
  <si>
    <t>isin</t>
  </si>
  <si>
    <t>pos</t>
  </si>
  <si>
    <t>next call</t>
  </si>
  <si>
    <t>year</t>
  </si>
  <si>
    <t>spread</t>
  </si>
  <si>
    <t>basis</t>
  </si>
  <si>
    <t>curve</t>
  </si>
  <si>
    <t>30d spread</t>
  </si>
  <si>
    <t>30d basis</t>
  </si>
  <si>
    <t>30 d curve</t>
  </si>
  <si>
    <t>st dev</t>
  </si>
  <si>
    <t>-</t>
  </si>
  <si>
    <t>short bond</t>
  </si>
  <si>
    <t>long bond</t>
  </si>
  <si>
    <t>short code</t>
  </si>
  <si>
    <t>long code</t>
  </si>
  <si>
    <t>short date</t>
  </si>
  <si>
    <t>long date</t>
  </si>
  <si>
    <t>years</t>
  </si>
  <si>
    <t>spread measure</t>
  </si>
  <si>
    <t>slope</t>
  </si>
  <si>
    <t>historic spread measure</t>
  </si>
  <si>
    <t>short spread (14d)</t>
  </si>
  <si>
    <t>long spread (14d)</t>
  </si>
  <si>
    <t>basis (14d)</t>
  </si>
  <si>
    <t>slope (14d)</t>
  </si>
  <si>
    <t>slope change (14d)</t>
  </si>
  <si>
    <t>short spread (30d)</t>
  </si>
  <si>
    <t>long spread (30d)</t>
  </si>
  <si>
    <t>basis (30d)</t>
  </si>
  <si>
    <t>slope (30d)</t>
  </si>
  <si>
    <t>slope change (30d)</t>
  </si>
  <si>
    <t>average 30d spread</t>
  </si>
  <si>
    <t>st dev 30d spread</t>
  </si>
  <si>
    <t>min 30d spread</t>
  </si>
  <si>
    <t>max 30d spread</t>
  </si>
  <si>
    <t>pairBasis</t>
  </si>
  <si>
    <t>yas_ispread</t>
  </si>
  <si>
    <t>blp_i_sprd_mid</t>
  </si>
  <si>
    <t>av</t>
  </si>
  <si>
    <t>whole curve</t>
  </si>
  <si>
    <t>long end</t>
  </si>
  <si>
    <t>st Dev</t>
  </si>
  <si>
    <t>short rating</t>
  </si>
  <si>
    <t>long rating</t>
  </si>
  <si>
    <t>short crncy</t>
  </si>
  <si>
    <t>long crncy</t>
  </si>
  <si>
    <t>RH sector</t>
  </si>
  <si>
    <t>hist spread measure</t>
  </si>
  <si>
    <t>short Spread (14d)</t>
  </si>
  <si>
    <t>long Spread (14d)</t>
  </si>
  <si>
    <t>curve (14d)</t>
  </si>
  <si>
    <t>curve per year (14d)</t>
  </si>
  <si>
    <t>curve (30d)</t>
  </si>
  <si>
    <t>curve per year (30d)</t>
  </si>
  <si>
    <t>average 90d spread</t>
  </si>
  <si>
    <t>SOLBBB</t>
  </si>
  <si>
    <t>XS0992293901 Corp</t>
  </si>
  <si>
    <t>XS1323897725 Corp</t>
  </si>
  <si>
    <t>SESGFP</t>
  </si>
  <si>
    <t>LW253022 Corp</t>
  </si>
  <si>
    <t>AL211915 Corp</t>
  </si>
  <si>
    <t>GYCGR</t>
  </si>
  <si>
    <t>XS1191320297 Corp</t>
  </si>
  <si>
    <t>XS1811181566 Corp</t>
  </si>
  <si>
    <t>ACFP</t>
  </si>
  <si>
    <t>FR0013399177 Corp</t>
  </si>
  <si>
    <t>FR0013457157 Corp</t>
  </si>
  <si>
    <t>REPSM</t>
  </si>
  <si>
    <t>XS1207058733 Corp</t>
  </si>
  <si>
    <t>BJ814648 Corp</t>
  </si>
  <si>
    <t>EDPPL</t>
  </si>
  <si>
    <t>AW875570 Corp</t>
  </si>
  <si>
    <t>ZP454068 Corp</t>
  </si>
  <si>
    <t>NTGYSM</t>
  </si>
  <si>
    <t>EK588292 Corp</t>
  </si>
  <si>
    <t>EK872764 Corp</t>
  </si>
  <si>
    <t>EDF</t>
  </si>
  <si>
    <t>FR0013367612 Corp</t>
  </si>
  <si>
    <t>FR0011697028 Corp</t>
  </si>
  <si>
    <t>DBOERS</t>
  </si>
  <si>
    <t>UV391246 Corp</t>
  </si>
  <si>
    <t>BJ924355 Corp</t>
  </si>
  <si>
    <t>ENELIM</t>
  </si>
  <si>
    <t>XS1713463716 Corp</t>
  </si>
  <si>
    <t>XS1713463559 Corp</t>
  </si>
  <si>
    <t>BAYNGR</t>
  </si>
  <si>
    <t>EK352403 Corp</t>
  </si>
  <si>
    <t>XS2077670342 Corp</t>
  </si>
  <si>
    <t>ORAFP</t>
  </si>
  <si>
    <t>XS1028599287 Corp</t>
  </si>
  <si>
    <t>XS1115498260 Corp</t>
  </si>
  <si>
    <t>AKFAST</t>
  </si>
  <si>
    <t>AR936992 Corp</t>
  </si>
  <si>
    <t>ZP989429 Corp</t>
  </si>
  <si>
    <t>MRKGR</t>
  </si>
  <si>
    <t>XS2011260531 Corp</t>
  </si>
  <si>
    <t>XS2011260705 Corp</t>
  </si>
  <si>
    <t>SEVFP</t>
  </si>
  <si>
    <t>EK821917 Corp</t>
  </si>
  <si>
    <t>ZR441424 Corp</t>
  </si>
  <si>
    <t>NGGLN</t>
  </si>
  <si>
    <t>ZR363806 Corp</t>
  </si>
  <si>
    <t>ZR363807 Corp</t>
  </si>
  <si>
    <t>BPLN</t>
  </si>
  <si>
    <t>BK122273 Corp</t>
  </si>
  <si>
    <t>BK123260 Corp</t>
  </si>
  <si>
    <t>SBBBSS</t>
  </si>
  <si>
    <t>ZS235422 Corp</t>
  </si>
  <si>
    <t>ZP659512 Corp</t>
  </si>
  <si>
    <t>ORSTED</t>
  </si>
  <si>
    <t>EJ723329 Corp</t>
  </si>
  <si>
    <t>ZQ804479 Corp</t>
  </si>
  <si>
    <t>TELIAS</t>
  </si>
  <si>
    <t>AM938782 Corp</t>
  </si>
  <si>
    <t>ZP870673 Corp</t>
  </si>
  <si>
    <t>ENBW</t>
  </si>
  <si>
    <t>XS2035564975 Corp</t>
  </si>
  <si>
    <t>XS2035564629 Corp</t>
  </si>
  <si>
    <t>CPIPGR</t>
  </si>
  <si>
    <t>AS322477 Corp</t>
  </si>
  <si>
    <t>ZS108668 Corp</t>
  </si>
  <si>
    <t>ERFFP</t>
  </si>
  <si>
    <t>ZR457518 Corp</t>
  </si>
  <si>
    <t>AP809058 Corp</t>
  </si>
  <si>
    <t>IFXGR</t>
  </si>
  <si>
    <t>ZR796682 Corp</t>
  </si>
  <si>
    <t>ZR796862 Corp</t>
  </si>
  <si>
    <t>TOTAL</t>
  </si>
  <si>
    <t>XS1501167164 Corp</t>
  </si>
  <si>
    <t>XS1501166869 Corp</t>
  </si>
  <si>
    <t>DBHNGR</t>
  </si>
  <si>
    <t>ZQ099270 Corp</t>
  </si>
  <si>
    <t>ZQ100348 Corp</t>
  </si>
  <si>
    <t>VW</t>
  </si>
  <si>
    <t>AN880322 Corp</t>
  </si>
  <si>
    <t>EK811579 Corp</t>
  </si>
  <si>
    <t>BERTEL</t>
  </si>
  <si>
    <t>EK848378 Corp</t>
  </si>
  <si>
    <t>EK864970 Corp</t>
  </si>
  <si>
    <t>OMVAV</t>
  </si>
  <si>
    <t>XS1713462403 Corp</t>
  </si>
  <si>
    <t>XS1294343337 Corp</t>
  </si>
  <si>
    <t>IBESM</t>
  </si>
  <si>
    <t>XS1721244371 Corp</t>
  </si>
  <si>
    <t>XS1890845875 Corp</t>
  </si>
  <si>
    <t>TELEFO</t>
  </si>
  <si>
    <t>AR738776 Corp</t>
  </si>
  <si>
    <t>ZR655675 Corp</t>
  </si>
  <si>
    <t>VOD</t>
  </si>
  <si>
    <t>AU654481 Corp</t>
  </si>
  <si>
    <t>AU692498 Corp</t>
  </si>
  <si>
    <t>AKEFP</t>
  </si>
  <si>
    <t>FR0013425170 Corp</t>
  </si>
  <si>
    <t>FR0013478252 Corp</t>
  </si>
  <si>
    <t>ENGIFP</t>
  </si>
  <si>
    <t>AQ711148 Corp</t>
  </si>
  <si>
    <t>AZ371883 Corp</t>
  </si>
  <si>
    <t>RWE</t>
  </si>
  <si>
    <t>XS1219498141 Corp</t>
  </si>
  <si>
    <t>XS1219499032 Corp</t>
  </si>
  <si>
    <t>ULFP</t>
  </si>
  <si>
    <t>AS146424 Corp</t>
  </si>
  <si>
    <t>AS146490 Corp</t>
  </si>
  <si>
    <t>min</t>
  </si>
  <si>
    <t>average</t>
  </si>
  <si>
    <t>max</t>
  </si>
  <si>
    <t>sectors</t>
  </si>
  <si>
    <t>rating</t>
  </si>
  <si>
    <t>sector</t>
  </si>
  <si>
    <t>Low Beta</t>
  </si>
  <si>
    <t>stDev</t>
  </si>
  <si>
    <t>TMT/ AUTO</t>
  </si>
  <si>
    <t>REIT</t>
  </si>
  <si>
    <t>Energy</t>
  </si>
  <si>
    <t>UTILS</t>
  </si>
  <si>
    <t>worksheet ID</t>
  </si>
  <si>
    <t>name</t>
  </si>
  <si>
    <t>worksheet get</t>
  </si>
  <si>
    <t>ID_ISIN</t>
  </si>
  <si>
    <t>security name</t>
  </si>
  <si>
    <t>coupon</t>
  </si>
  <si>
    <t>nxt_call_dt</t>
  </si>
  <si>
    <t>mty_typ</t>
  </si>
  <si>
    <t>crncy</t>
  </si>
  <si>
    <t>amt_outstanding</t>
  </si>
  <si>
    <t>industry_sector</t>
  </si>
  <si>
    <t>unique lookup</t>
  </si>
  <si>
    <t>unique ticker</t>
  </si>
  <si>
    <t>excatly once</t>
  </si>
  <si>
    <t>multiple sort</t>
  </si>
  <si>
    <t>number of bonds</t>
  </si>
  <si>
    <t>unique sector</t>
  </si>
  <si>
    <t>count sector</t>
  </si>
  <si>
    <t>value measures</t>
  </si>
  <si>
    <t>redHedge hybrids</t>
  </si>
  <si>
    <t>RH sector buckets</t>
  </si>
  <si>
    <t>Perp Voon 1</t>
  </si>
  <si>
    <t>w-55F6F816E93547B58DAD99F9F740410F</t>
  </si>
  <si>
    <t>AdditionalTier-01</t>
  </si>
  <si>
    <t>EJ917655 Corp</t>
  </si>
  <si>
    <t>Z_SPRD_MID</t>
  </si>
  <si>
    <t>w-33CB3C8E018449F9B25026E8124459F9</t>
  </si>
  <si>
    <t>New Worksheet</t>
  </si>
  <si>
    <t>AV915324 Corp</t>
  </si>
  <si>
    <t>YAS_BOND_YLD</t>
  </si>
  <si>
    <t>BNFP</t>
  </si>
  <si>
    <t>w-1B20051C9B5544769B5409E7E56378C3</t>
  </si>
  <si>
    <t>QJ937566 Corp</t>
  </si>
  <si>
    <t>YLD_CNV_MID</t>
  </si>
  <si>
    <t>missing</t>
  </si>
  <si>
    <t>w-2D0FBA1982BA434C81055AA9406F7ACF</t>
  </si>
  <si>
    <t>CDS Curves</t>
  </si>
  <si>
    <t>EK834863 Corp</t>
  </si>
  <si>
    <t>w-B151B691AD7245A385D6917055BF88DC</t>
  </si>
  <si>
    <t>IG Corp Autos</t>
  </si>
  <si>
    <t>w-BB807655FF7748D8A00C0861FC439807</t>
  </si>
  <si>
    <t>IG Corp Utils Oil</t>
  </si>
  <si>
    <t>ZQ512606 Corp</t>
  </si>
  <si>
    <t>LXSGR</t>
  </si>
  <si>
    <t>w-E611ED8AD9DC40C28C2B7A2106215B8E</t>
  </si>
  <si>
    <t>AT1 Voon 1</t>
  </si>
  <si>
    <t>ZQ513315 Corp</t>
  </si>
  <si>
    <t>LHNVX</t>
  </si>
  <si>
    <t>w-F108C3EBE2474CA8B3A18F62934FB94B</t>
  </si>
  <si>
    <t>IG Corp TMT</t>
  </si>
  <si>
    <t>BJ736567 Corp</t>
  </si>
  <si>
    <t>EVKGR</t>
  </si>
  <si>
    <t>others</t>
  </si>
  <si>
    <t>EK634166 Corp</t>
  </si>
  <si>
    <t>EK648265 Corp</t>
  </si>
  <si>
    <t>AZ208021 Corp</t>
  </si>
  <si>
    <t>AZ207706 Corp</t>
  </si>
  <si>
    <t>EK545606 Corp</t>
  </si>
  <si>
    <t>BHP</t>
  </si>
  <si>
    <t>AZ018655 Corp</t>
  </si>
  <si>
    <t>AMXLMM</t>
  </si>
  <si>
    <t>ZP482524 Corp</t>
  </si>
  <si>
    <t>lookup sheet</t>
  </si>
  <si>
    <t>AL243419 Corp</t>
  </si>
  <si>
    <t>KPN</t>
  </si>
  <si>
    <t>AX960245 Corp</t>
  </si>
  <si>
    <t>AO148682 Corp</t>
  </si>
  <si>
    <t>EK856946 Corp</t>
  </si>
  <si>
    <t>AP691131 Corp</t>
  </si>
  <si>
    <t>BRITEL</t>
  </si>
  <si>
    <t>AR887333 Corp</t>
  </si>
  <si>
    <t>T</t>
  </si>
  <si>
    <t>UV853118 Corp</t>
  </si>
  <si>
    <t>AR776117 Corp</t>
  </si>
  <si>
    <t>QJ993374 Corp</t>
  </si>
  <si>
    <t>TENN</t>
  </si>
  <si>
    <t>EK803079 Corp</t>
  </si>
  <si>
    <t>VATFAL</t>
  </si>
  <si>
    <t>EK814844 Corp</t>
  </si>
  <si>
    <t>BJ815149 Corp</t>
  </si>
  <si>
    <t>CNALN</t>
  </si>
  <si>
    <t>BK123548 Corp</t>
  </si>
  <si>
    <t>SSELN</t>
  </si>
  <si>
    <t>BK115993 Corp</t>
  </si>
  <si>
    <t>ALLRNV</t>
  </si>
  <si>
    <t>BK116008 Corp</t>
  </si>
  <si>
    <t>EK755354 Corp</t>
  </si>
  <si>
    <t>STEDIN</t>
  </si>
  <si>
    <t>LW068019 Corp</t>
  </si>
  <si>
    <t>QZ730280 Corp</t>
  </si>
  <si>
    <t>ELIASO</t>
  </si>
  <si>
    <t>AX895488 Corp</t>
  </si>
  <si>
    <t>VLVY</t>
  </si>
  <si>
    <t>EK755342 Corp</t>
  </si>
  <si>
    <t>QZ730458 Corp</t>
  </si>
  <si>
    <t>QJ190690 Corp</t>
  </si>
  <si>
    <t>AFFP</t>
  </si>
  <si>
    <t>QJ190880 Corp</t>
  </si>
  <si>
    <t>LHAGR</t>
  </si>
  <si>
    <t>QJ201812 Corp</t>
  </si>
  <si>
    <t>WIEAV</t>
  </si>
  <si>
    <t>QJ201811 Corp</t>
  </si>
  <si>
    <t>FERSM</t>
  </si>
  <si>
    <t>QJ191077 Corp</t>
  </si>
  <si>
    <t>SBRYLN</t>
  </si>
  <si>
    <t>EJ814830 Corp</t>
  </si>
  <si>
    <t>EJ814840 Corp</t>
  </si>
  <si>
    <t>ANNGR</t>
  </si>
  <si>
    <t>EJ606316 Corp</t>
  </si>
  <si>
    <t>BALDER</t>
  </si>
  <si>
    <t>ZQ376350 Corp</t>
  </si>
  <si>
    <t>TLGGR</t>
  </si>
  <si>
    <t>HEIBOS</t>
  </si>
  <si>
    <t>ARNDTN</t>
  </si>
  <si>
    <t>EK508481 Corp</t>
  </si>
  <si>
    <t>EK041235 Corp</t>
  </si>
  <si>
    <t>JUSTLN</t>
  </si>
  <si>
    <t>ZS023353 Corp</t>
  </si>
  <si>
    <t>SZUGR</t>
  </si>
  <si>
    <t>EK508523 Corp</t>
  </si>
  <si>
    <t>COFP</t>
  </si>
  <si>
    <t>ZR570567 Corp</t>
  </si>
  <si>
    <t>TRAFIG</t>
  </si>
  <si>
    <t>EK041241 Corp</t>
  </si>
  <si>
    <t>ECLEAR</t>
  </si>
  <si>
    <t>EK508571 Corp</t>
  </si>
  <si>
    <t>SOFTBK</t>
  </si>
  <si>
    <t>QZ498658 Corp</t>
  </si>
  <si>
    <t>AQ234625 Corp</t>
  </si>
  <si>
    <t>EK143492 Corp</t>
  </si>
  <si>
    <t>AX520482 Corp</t>
  </si>
  <si>
    <t>AR738797 Corp</t>
  </si>
  <si>
    <t>ZP707724 Corp</t>
  </si>
  <si>
    <t>AU654475 Corp</t>
  </si>
  <si>
    <t>AU654357 Corp</t>
  </si>
  <si>
    <t>AX916964 Corp</t>
  </si>
  <si>
    <t>BG013162 Corp</t>
  </si>
  <si>
    <t>ZP991036 Corp</t>
  </si>
  <si>
    <t>EJ744879 Corp</t>
  </si>
  <si>
    <t>EK293278 Corp</t>
  </si>
  <si>
    <t>AW770805 Corp</t>
  </si>
  <si>
    <t>AN206662 Corp</t>
  </si>
  <si>
    <t>EK024532 Corp</t>
  </si>
  <si>
    <t>AU669900 Corp</t>
  </si>
  <si>
    <t>EJ516233 Corp</t>
  </si>
  <si>
    <t>EK024568 Corp</t>
  </si>
  <si>
    <t>ZQ782646 Corp</t>
  </si>
  <si>
    <t>EJ516173 Corp</t>
  </si>
  <si>
    <t>EK024610 Corp</t>
  </si>
  <si>
    <t>EJ530879 Corp</t>
  </si>
  <si>
    <t>EK027221 Corp</t>
  </si>
  <si>
    <t>EK117900 Corp</t>
  </si>
  <si>
    <t>QZ716550 Corp</t>
  </si>
  <si>
    <t>AZ851393 Corp</t>
  </si>
  <si>
    <t>BK184880 Corp</t>
  </si>
  <si>
    <t>AZ851450 Corp</t>
  </si>
  <si>
    <t>QZ677477 Corp</t>
  </si>
  <si>
    <t>EK858851 Corp</t>
  </si>
  <si>
    <t>EK858869 Corp</t>
  </si>
  <si>
    <t>UV323151 Corp</t>
  </si>
  <si>
    <t>AM888722 Corp</t>
  </si>
  <si>
    <t>EK785024 Corp</t>
  </si>
  <si>
    <t>QJ787834 Corp</t>
  </si>
  <si>
    <t>AS640422 Corp</t>
  </si>
  <si>
    <t>EJ670730 Corp</t>
  </si>
  <si>
    <t>ZS668300 Corp</t>
  </si>
  <si>
    <t>AS640440 Corp</t>
  </si>
  <si>
    <t>EJ817236 Corp</t>
  </si>
  <si>
    <t>EK013966 Corp</t>
  </si>
  <si>
    <t>EJ843360 Corp</t>
  </si>
  <si>
    <t>AQ026565 Corp</t>
  </si>
  <si>
    <t>AR810587 Corp</t>
  </si>
  <si>
    <t>AX076550 Corp</t>
  </si>
  <si>
    <t>EK825033 Corp</t>
  </si>
  <si>
    <t>EK824997 Corp</t>
  </si>
  <si>
    <t>EJ575377 Corp</t>
  </si>
  <si>
    <t>EK768069 Corp</t>
  </si>
  <si>
    <t>AM717420 Corp</t>
  </si>
  <si>
    <t>BK290986 Corp</t>
  </si>
  <si>
    <t>EK770296 Corp</t>
  </si>
  <si>
    <t>BK293686 Corp</t>
  </si>
  <si>
    <t>AM714338 Corp</t>
  </si>
  <si>
    <t>AR008123 Corp</t>
  </si>
  <si>
    <t>EK888464 Corp</t>
  </si>
  <si>
    <t>AQ077157 Corp</t>
  </si>
  <si>
    <t>EK605885 Corp</t>
  </si>
  <si>
    <t>UV785974 Corp</t>
  </si>
  <si>
    <t>AU216832 Corp</t>
  </si>
  <si>
    <t>EK628291 Corp</t>
  </si>
  <si>
    <t>EK131366 Corp</t>
  </si>
  <si>
    <t>EK811633 Corp</t>
  </si>
  <si>
    <t>EJ811600 Corp</t>
  </si>
  <si>
    <t>AT214421 Corp</t>
  </si>
  <si>
    <t>BJ980509 Corp</t>
  </si>
  <si>
    <t>EK131372 Corp</t>
  </si>
  <si>
    <t>AN880326 Corp</t>
  </si>
  <si>
    <t>AT214434 Corp</t>
  </si>
  <si>
    <t>BJ980938 Corp</t>
  </si>
  <si>
    <t>EK337178 Corp</t>
  </si>
  <si>
    <t>AW798439 Corp</t>
  </si>
  <si>
    <t>ZQ258633 Corp</t>
  </si>
  <si>
    <t>EK808355 Corp</t>
  </si>
  <si>
    <t>UV429459 Corp</t>
  </si>
  <si>
    <t>AP909674 Corp</t>
  </si>
  <si>
    <t>EK642935 Corp</t>
  </si>
  <si>
    <t>AO971106 Corp</t>
  </si>
  <si>
    <t>ZR668027 Corp</t>
  </si>
  <si>
    <t>ZQ578143 Corp</t>
  </si>
  <si>
    <t>QZ912649 Corp</t>
  </si>
  <si>
    <t>AQ713600 Corp</t>
  </si>
  <si>
    <t>AZ576858 Corp</t>
  </si>
  <si>
    <t>AN964724 Corp</t>
  </si>
  <si>
    <t>AZ207973 Corp</t>
  </si>
  <si>
    <t>EK753416 Corp</t>
  </si>
  <si>
    <t>QZ509895 Corp</t>
  </si>
  <si>
    <t>AS256491 Corp</t>
  </si>
  <si>
    <t>AX691342 Corp</t>
  </si>
  <si>
    <t>ED984069 Corp</t>
  </si>
  <si>
    <t>EJ891119 Corp</t>
  </si>
  <si>
    <t>UV309787 Corp</t>
  </si>
  <si>
    <t>EK523297 Corp</t>
  </si>
  <si>
    <t>AM679347 Corp</t>
  </si>
  <si>
    <t>AZ920495 Corp</t>
  </si>
  <si>
    <t>AO262498 Corp</t>
  </si>
  <si>
    <t>AO262515 Corp</t>
  </si>
  <si>
    <t>filter for issuers in eur with &gt;= 3 bonds</t>
  </si>
  <si>
    <t>unique bonds</t>
  </si>
  <si>
    <t>occurances</t>
  </si>
  <si>
    <t>curves</t>
  </si>
  <si>
    <t>occurance</t>
  </si>
  <si>
    <t>first 50 bonds maturing by next call date</t>
  </si>
  <si>
    <t>last updated</t>
  </si>
  <si>
    <t>bond</t>
  </si>
  <si>
    <t>I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</si>
</sst>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_ ;[Red]\-#,##0\ "/>
  </numFmts>
  <fonts count="6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8"/>
      <color theme="0"/>
      <name val="Courier New"/>
      <family val="3"/>
    </font>
    <font>
      <sz val="6"/>
      <color theme="1"/>
      <name val="Courier New"/>
      <family val="3"/>
    </font>
    <font>
      <b/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14" fontId="3" fillId="3" borderId="0" xfId="0" applyNumberFormat="1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 wrapText="1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66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64" formatCode="0.0"/>
      <alignment horizontal="left" vertical="bottom" textRotation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66" formatCode="dd/mm/yyyy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66" formatCode="dd/mm/yyyy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ourier New"/>
        <family val="3"/>
        <scheme val="none"/>
      </font>
      <fill>
        <patternFill patternType="solid">
          <fgColor theme="6"/>
          <bgColor theme="6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strRef>
          <c:f>issuerTable!$C$2</c:f>
          <c:strCache>
            <c:ptCount val="1"/>
            <c:pt idx="0">
              <c:v>vw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8248912915736"/>
          <c:y val="3.3768219005633517E-2"/>
          <c:w val="0.85801504289575747"/>
          <c:h val="0.74802469511548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issuerTable!$K$20</c:f>
              <c:strCache>
                <c:ptCount val="1"/>
                <c:pt idx="0">
                  <c:v>long spread</c:v>
                </c:pt>
              </c:strCache>
            </c:strRef>
          </c:tx>
          <c:spPr>
            <a:ln w="28575">
              <a:solidFill>
                <a:schemeClr val="accent5">
                  <a:lumMod val="75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5">
                  <a:shade val="6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</c:marker>
          <c:xVal>
            <c:numRef>
              <c:f>issuerTable!$G$21:$G$30</c:f>
              <c:numCache>
                <c:formatCode>m/d/yyyy</c:formatCode>
                <c:ptCount val="10"/>
                <c:pt idx="0">
                  <c:v>44640</c:v>
                </c:pt>
                <c:pt idx="1">
                  <c:v>44909</c:v>
                </c:pt>
                <c:pt idx="2">
                  <c:v>45173</c:v>
                </c:pt>
                <c:pt idx="3">
                  <c:v>45470</c:v>
                </c:pt>
                <c:pt idx="4">
                  <c:v>45825</c:v>
                </c:pt>
                <c:pt idx="5">
                  <c:v>46105</c:v>
                </c:pt>
                <c:pt idx="6">
                  <c:v>46552</c:v>
                </c:pt>
                <c:pt idx="7">
                  <c:v>46931</c:v>
                </c:pt>
                <c:pt idx="8">
                  <c:v>47286</c:v>
                </c:pt>
                <c:pt idx="9">
                  <c:v>47562</c:v>
                </c:pt>
              </c:numCache>
            </c:numRef>
          </c:xVal>
          <c:yVal>
            <c:numRef>
              <c:f>issuerTable!$K$21:$K$30</c:f>
              <c:numCache>
                <c:formatCode>0</c:formatCode>
                <c:ptCount val="10"/>
                <c:pt idx="0">
                  <c:v>381.02749689995795</c:v>
                </c:pt>
                <c:pt idx="1">
                  <c:v>382.25870535694503</c:v>
                </c:pt>
                <c:pt idx="2">
                  <c:v>351.40181428436239</c:v>
                </c:pt>
                <c:pt idx="3">
                  <c:v>387.61706267189061</c:v>
                </c:pt>
                <c:pt idx="4">
                  <c:v>399.02409370497179</c:v>
                </c:pt>
                <c:pt idx="5">
                  <c:v>399.52029535976709</c:v>
                </c:pt>
                <c:pt idx="6">
                  <c:v>410.4075538874157</c:v>
                </c:pt>
                <c:pt idx="7">
                  <c:v>420.75963428567906</c:v>
                </c:pt>
                <c:pt idx="8">
                  <c:v>422.73181251914565</c:v>
                </c:pt>
                <c:pt idx="9">
                  <c:v>395.40348405531819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3-42F4-86C9-75FAC482F223}"/>
            </c:ext>
          </c:extLst>
        </c:ser>
        <c:ser>
          <c:idx val="1"/>
          <c:order val="1"/>
          <c:tx>
            <c:strRef>
              <c:f>issuerTable!$P$20</c:f>
              <c:strCache>
                <c:ptCount val="1"/>
                <c:pt idx="0">
                  <c:v>long spread (14d)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issuerTable!$G$21:$G$30</c:f>
              <c:numCache>
                <c:formatCode>m/d/yyyy</c:formatCode>
                <c:ptCount val="10"/>
                <c:pt idx="0">
                  <c:v>44640</c:v>
                </c:pt>
                <c:pt idx="1">
                  <c:v>44909</c:v>
                </c:pt>
                <c:pt idx="2">
                  <c:v>45173</c:v>
                </c:pt>
                <c:pt idx="3">
                  <c:v>45470</c:v>
                </c:pt>
                <c:pt idx="4">
                  <c:v>45825</c:v>
                </c:pt>
                <c:pt idx="5">
                  <c:v>46105</c:v>
                </c:pt>
                <c:pt idx="6">
                  <c:v>46552</c:v>
                </c:pt>
                <c:pt idx="7">
                  <c:v>46931</c:v>
                </c:pt>
                <c:pt idx="8">
                  <c:v>47286</c:v>
                </c:pt>
                <c:pt idx="9">
                  <c:v>47562</c:v>
                </c:pt>
              </c:numCache>
            </c:numRef>
          </c:xVal>
          <c:yVal>
            <c:numRef>
              <c:f>issuerTable!$P$21:$P$30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3-42F4-86C9-75FAC482F223}"/>
            </c:ext>
          </c:extLst>
        </c:ser>
        <c:ser>
          <c:idx val="2"/>
          <c:order val="2"/>
          <c:tx>
            <c:strRef>
              <c:f>issuerTable!$U$20</c:f>
              <c:strCache>
                <c:ptCount val="1"/>
                <c:pt idx="0">
                  <c:v>long spread (30d)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>
                  <a:tint val="65000"/>
                </a:schemeClr>
              </a:solidFill>
              <a:ln w="9525" cap="flat" cmpd="sng" algn="ctr">
                <a:solidFill>
                  <a:schemeClr val="accent5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issuerTable!$G$21:$G$30</c:f>
              <c:numCache>
                <c:formatCode>m/d/yyyy</c:formatCode>
                <c:ptCount val="10"/>
                <c:pt idx="0">
                  <c:v>44640</c:v>
                </c:pt>
                <c:pt idx="1">
                  <c:v>44909</c:v>
                </c:pt>
                <c:pt idx="2">
                  <c:v>45173</c:v>
                </c:pt>
                <c:pt idx="3">
                  <c:v>45470</c:v>
                </c:pt>
                <c:pt idx="4">
                  <c:v>45825</c:v>
                </c:pt>
                <c:pt idx="5">
                  <c:v>46105</c:v>
                </c:pt>
                <c:pt idx="6">
                  <c:v>46552</c:v>
                </c:pt>
                <c:pt idx="7">
                  <c:v>46931</c:v>
                </c:pt>
                <c:pt idx="8">
                  <c:v>47286</c:v>
                </c:pt>
                <c:pt idx="9">
                  <c:v>47562</c:v>
                </c:pt>
              </c:numCache>
            </c:numRef>
          </c:xVal>
          <c:yVal>
            <c:numRef>
              <c:f>issuerTable!$U$21:$U$30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13-42F4-86C9-75FAC482F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871072"/>
        <c:axId val="54326432"/>
      </c:scatterChart>
      <c:valAx>
        <c:axId val="19798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6432"/>
        <c:crosses val="autoZero"/>
        <c:crossBetween val="midCat"/>
      </c:valAx>
      <c:valAx>
        <c:axId val="54326432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issuerTable!$I$21</c:f>
              <c:strCache>
                <c:ptCount val="1"/>
                <c:pt idx="0">
                  <c:v>yas_ispread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8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31751</xdr:colOff>
      <xdr:row>18</xdr:row>
      <xdr:rowOff>123824</xdr:rowOff>
    </xdr:from>
    <xdr:to>
      <xdr:col>35</xdr:col>
      <xdr:colOff>19051</xdr:colOff>
      <xdr:row>33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EF026-85AE-4870-BA5E-DFD30C9A7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146050</xdr:colOff>
      <xdr:row>1</xdr:row>
      <xdr:rowOff>57150</xdr:rowOff>
    </xdr:from>
    <xdr:to>
      <xdr:col>34</xdr:col>
      <xdr:colOff>241300</xdr:colOff>
      <xdr:row>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C654E7-99DB-482D-8031-B3E659829EA7}"/>
            </a:ext>
          </a:extLst>
        </xdr:cNvPr>
        <xdr:cNvSpPr txBox="1"/>
      </xdr:nvSpPr>
      <xdr:spPr>
        <a:xfrm>
          <a:off x="25660350" y="196850"/>
          <a:ext cx="2533650" cy="3111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2"/>
              </a:solidFill>
            </a:rPr>
            <a:t>LPHP DAPI:0:1 3595071 &lt;GO&gt;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7E1692-CD20-4F25-A773-77DF5A2479D7}" name="curve" displayName="curve" ref="B3:AG39" totalsRowShown="0" headerRowDxfId="49" dataDxfId="48" tableBorderDxfId="47">
  <autoFilter ref="B3:AG39" xr:uid="{C0EFB41A-E288-4CDD-9310-CD6DFC455EDD}"/>
  <sortState xmlns:xlrd2="http://schemas.microsoft.com/office/spreadsheetml/2017/richdata2" ref="B4:AD39">
    <sortCondition descending="1" ref="N3:N39"/>
  </sortState>
  <tableColumns count="32">
    <tableColumn id="1" xr3:uid="{80A59F0A-98E9-447F-87E8-6319D8873195}" name="ticker" dataDxfId="46"/>
    <tableColumn id="2" xr3:uid="{A4DAA373-122F-4416-8610-CBEE4374EB48}" name="short code" dataDxfId="45"/>
    <tableColumn id="3" xr3:uid="{8282AE33-D9FE-4BB2-961D-DF367E903D6D}" name="long code" dataDxfId="44"/>
    <tableColumn id="4" xr3:uid="{42E73CC7-D14B-4C02-BFA1-48D8F2ADCAB4}" name="short bond" dataDxfId="43">
      <calculatedColumnFormula array="1">_xll.BDP(curve[[#This Row],[short code]],"security_name")</calculatedColumnFormula>
    </tableColumn>
    <tableColumn id="5" xr3:uid="{886792A4-9060-4540-BC3C-F2862C6D3082}" name="long bond" dataDxfId="42">
      <calculatedColumnFormula array="1">_xll.BDP(curve[[#This Row],[long code]],"security_name")</calculatedColumnFormula>
    </tableColumn>
    <tableColumn id="6" xr3:uid="{9BEE4644-6CD5-4FAC-93ED-A30607D7A207}" name="short date" dataDxfId="41">
      <calculatedColumnFormula array="1">_xll.BDP(curve[[#This Row],[short code]],"nxt_call_dt")*1</calculatedColumnFormula>
    </tableColumn>
    <tableColumn id="7" xr3:uid="{034D469D-3482-4E3A-BC2C-9406676B390C}" name="long date" dataDxfId="40">
      <calculatedColumnFormula array="1">_xll.BDP(curve[[#This Row],[long code]],"nxt_call_dt")*1</calculatedColumnFormula>
    </tableColumn>
    <tableColumn id="8" xr3:uid="{79B3B0E3-7241-4259-8BA6-94FDE5A45183}" name="years" dataDxfId="39">
      <calculatedColumnFormula>(curve[[#This Row],[long date]]-curve[[#This Row],[short date]])/365</calculatedColumnFormula>
    </tableColumn>
    <tableColumn id="9" xr3:uid="{5FF3DE26-CB41-4C73-B26C-DC229DFBE7A5}" name="spread measure" dataDxfId="38"/>
    <tableColumn id="10" xr3:uid="{BE4FFBC6-ECE6-4146-91C8-2A300D6D9CDD}" name="short spread" dataDxfId="37">
      <calculatedColumnFormula array="1">_xll.BDP(curve[[#This Row],[short code]],curve[[#This Row],[spread measure]])</calculatedColumnFormula>
    </tableColumn>
    <tableColumn id="11" xr3:uid="{E5B8A48D-1EEC-4E6C-BCCA-814746F46FB8}" name="long spread" dataDxfId="36">
      <calculatedColumnFormula array="1">_xll.BDP(curve[[#This Row],[long code]],curve[[#This Row],[spread measure]])</calculatedColumnFormula>
    </tableColumn>
    <tableColumn id="12" xr3:uid="{8CA56BD7-7CBB-4685-8D6C-C9E367041902}" name="curve" dataDxfId="35">
      <calculatedColumnFormula>curve[[#This Row],[long spread]]-curve[[#This Row],[short spread]]</calculatedColumnFormula>
    </tableColumn>
    <tableColumn id="13" xr3:uid="{80F4ECB8-228E-4FE0-9F84-9E1F458CBE45}" name="curve per year" dataDxfId="34">
      <calculatedColumnFormula>curve[[#This Row],[curve]]/curve[[#This Row],[years]]</calculatedColumnFormula>
    </tableColumn>
    <tableColumn id="14" xr3:uid="{1D86CCEB-4165-41A1-9E14-5DC2731BEC13}" name="short rating" dataDxfId="33">
      <calculatedColumnFormula array="1">_xll.BDP(curve[[#This Row],[short code]],"bb_composite")</calculatedColumnFormula>
    </tableColumn>
    <tableColumn id="15" xr3:uid="{76E7085A-8E8A-4EE7-A18C-D786A304B24A}" name="long rating" dataDxfId="32">
      <calculatedColumnFormula array="1">_xll.BDP(curve[[#This Row],[long code]],"bb_composite")</calculatedColumnFormula>
    </tableColumn>
    <tableColumn id="16" xr3:uid="{EF47DAD2-C5D8-41A4-A858-9649FBC64BA1}" name="short crncy" dataDxfId="31">
      <calculatedColumnFormula array="1">_xll.BDP(curve[[#This Row],[short code]],"crncy")</calculatedColumnFormula>
    </tableColumn>
    <tableColumn id="17" xr3:uid="{24647F05-8CE1-4F98-8378-DD1F9EDAC754}" name="long crncy" dataDxfId="30">
      <calculatedColumnFormula array="1">_xll.BDP(curve[[#This Row],[long code]],"crncy")</calculatedColumnFormula>
    </tableColumn>
    <tableColumn id="18" xr3:uid="{63BC3D71-0AFC-4D73-9C66-98654C377525}" name="RH sector" dataDxfId="29">
      <calculatedColumnFormula>INDEX(tkrBBG!AA:AA,MATCH(curve[[#This Row],[ticker]],tkrBBG!Z:Z,0))</calculatedColumnFormula>
    </tableColumn>
    <tableColumn id="19" xr3:uid="{6A479CFF-1B7A-48C3-BB49-F78929AEB7EF}" name="hist spread measure" dataDxfId="28"/>
    <tableColumn id="20" xr3:uid="{843E756F-9277-4F6E-B61B-887B6DCD3E29}" name="short Spread (14d)" dataDxfId="27">
      <calculatedColumnFormula array="1">_xll.BDH(curve[[#This Row],[short code]],curve[[#This Row],[hist spread measure]],$V$2)</calculatedColumnFormula>
    </tableColumn>
    <tableColumn id="21" xr3:uid="{F04770BE-ADB4-479B-8B41-C89E73C04CBC}" name="long Spread (14d)" dataDxfId="26">
      <calculatedColumnFormula array="1">_xll.BDH(curve[[#This Row],[long code]],curve[[#This Row],[hist spread measure]],$V$2)</calculatedColumnFormula>
    </tableColumn>
    <tableColumn id="22" xr3:uid="{24DC2ED8-F8EE-48A9-BA14-EF71BE6532FA}" name="curve (14d)" dataDxfId="25">
      <calculatedColumnFormula>IFERROR(curve[[#This Row],[long Spread (14d)]]-curve[[#This Row],[short Spread (14d)]],"-")</calculatedColumnFormula>
    </tableColumn>
    <tableColumn id="23" xr3:uid="{D1E95AC9-125B-410A-927B-749A85004E09}" name="curve per year (14d)" dataDxfId="24">
      <calculatedColumnFormula>IFERROR(curve[[#This Row],[curve (14d)]]/curve[[#This Row],[years]],"-")</calculatedColumnFormula>
    </tableColumn>
    <tableColumn id="24" xr3:uid="{56FDFCF0-2692-4E8B-A3C8-2411A9DAA0B5}" name="curve change (14d)" dataDxfId="23">
      <calculatedColumnFormula>IFERROR(curve[[#This Row],[curve per year]]-curve[[#This Row],[curve per year (14d)]],"-")</calculatedColumnFormula>
    </tableColumn>
    <tableColumn id="25" xr3:uid="{82BF0A6A-043E-42BC-91D6-AE3617F7DD65}" name="short spread (30d)" dataDxfId="22">
      <calculatedColumnFormula array="1">_xll.BDH(curve[[#This Row],[short code]],curve[[#This Row],[hist spread measure]],$AA$2)</calculatedColumnFormula>
    </tableColumn>
    <tableColumn id="26" xr3:uid="{EC5CECAC-75E5-4977-AC29-C298FE9DBB94}" name="long spread (30d)" dataDxfId="21">
      <calculatedColumnFormula array="1">_xll.BDH(curve[[#This Row],[long code]],curve[[#This Row],[hist spread measure]],$AA$2)</calculatedColumnFormula>
    </tableColumn>
    <tableColumn id="27" xr3:uid="{7836DB5B-0C06-4840-AE1B-DAC114FF7BAF}" name="curve (30d)" dataDxfId="20">
      <calculatedColumnFormula>IFERROR(curve[[#This Row],[long spread (30d)]]-curve[[#This Row],[short spread (30d)]],"-")</calculatedColumnFormula>
    </tableColumn>
    <tableColumn id="28" xr3:uid="{0C68332C-F0C2-48C9-967E-6394259F9917}" name="curve per year (30d)" dataDxfId="19">
      <calculatedColumnFormula>IFERROR(curve[[#This Row],[curve (30d)]]/curve[[#This Row],[years]],"-")</calculatedColumnFormula>
    </tableColumn>
    <tableColumn id="29" xr3:uid="{91FE4676-2BFE-4B81-B898-D65912B5C1F3}" name="curve change (30d)" dataDxfId="18">
      <calculatedColumnFormula>IFERROR(curve[[#This Row],[curve per year]]-curve[[#This Row],[curve per year (30d)]],"-")</calculatedColumnFormula>
    </tableColumn>
    <tableColumn id="30" xr3:uid="{133AD750-E0D7-4951-8248-C0309B7E4388}" name="average 30d spread" dataDxfId="17">
      <calculatedColumnFormula array="1">_xll.BDP(curve[[#This Row],[short code]],"interval_avg","calc_interval=30d","market_data_override=sp210")</calculatedColumnFormula>
    </tableColumn>
    <tableColumn id="31" xr3:uid="{0197779F-E723-49A9-96E0-3CED4C8D6AAB}" name="average 90d spread" dataDxfId="16">
      <calculatedColumnFormula array="1">_xll.BDP(curve[[#This Row],[short code]],"interval_avg","calc_interval=90d","market_data_override=sp210")</calculatedColumnFormula>
    </tableColumn>
    <tableColumn id="32" xr3:uid="{2D3BD413-933E-4A2B-AB68-93602B872AFF}" name="st dev 30d spread" dataDxfId="15">
      <calculatedColumnFormula array="1">_xll.BDP(curve[[#This Row],[short code]],"interval_std_dev","calc_interval=30d","market_data_override=sp210")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2710A-7366-4486-884D-82B8C2EB219B}" name="bonds" displayName="bonds" ref="E1:O196" totalsRowShown="0" headerRowDxfId="14" dataDxfId="13" headerRowBorderDxfId="11" tableBorderDxfId="12">
  <autoFilter ref="E1:O196" xr:uid="{F247113D-FA53-43BB-9892-16854BCB52A6}"/>
  <tableColumns count="11">
    <tableColumn id="1" xr3:uid="{EE4060BA-C274-420C-B47A-1F7395400B16}" name="worksheet get" dataDxfId="10"/>
    <tableColumn id="2" xr3:uid="{9404DB10-D1C1-42AB-931E-480145E77C95}" name="ID_ISIN" dataDxfId="9">
      <calculatedColumnFormula array="1">_xll.BDP(bonds[[#This Row],[worksheet get]],bonds[[#Headers],[ID_ISIN]])</calculatedColumnFormula>
    </tableColumn>
    <tableColumn id="3" xr3:uid="{948A11F9-0E44-4C7E-A171-F00F6F4D0821}" name="security name" dataDxfId="8">
      <calculatedColumnFormula array="1">_xll.BDP(bonds[[#This Row],[worksheet get]],bonds[[#Headers],[security name]])</calculatedColumnFormula>
    </tableColumn>
    <tableColumn id="4" xr3:uid="{FF8F818A-0DE7-4C3E-956A-DDBC1A3C251E}" name="ticker" dataDxfId="7">
      <calculatedColumnFormula array="1">_xll.BDP(bonds[[#This Row],[worksheet get]],bonds[[#Headers],[ticker]])</calculatedColumnFormula>
    </tableColumn>
    <tableColumn id="5" xr3:uid="{C4F6E1E3-A173-48FC-90A6-54C1E639FCD9}" name="coupon" dataDxfId="6">
      <calculatedColumnFormula array="1">_xll.BDP(bonds[[#This Row],[worksheet get]],bonds[[#Headers],[coupon]])</calculatedColumnFormula>
    </tableColumn>
    <tableColumn id="6" xr3:uid="{9BDAE057-D326-47A3-86AC-488A5785D425}" name="nxt_call_dt" dataDxfId="5">
      <calculatedColumnFormula array="1">_xll.BDP(bonds[[#This Row],[worksheet get]],bonds[[#Headers],[nxt_call_dt]])*1</calculatedColumnFormula>
    </tableColumn>
    <tableColumn id="7" xr3:uid="{66700B7A-E0F1-4DED-B3A3-59E08CEADBCB}" name="mty_typ" dataDxfId="4">
      <calculatedColumnFormula array="1">_xll.BDP(bonds[[#This Row],[worksheet get]],bonds[[#Headers],[mty_typ]])</calculatedColumnFormula>
    </tableColumn>
    <tableColumn id="8" xr3:uid="{97FC8FDD-195C-4E33-99D2-BF7487A240CC}" name="crncy" dataDxfId="3">
      <calculatedColumnFormula array="1">_xll.BDP(bonds[[#This Row],[worksheet get]],bonds[[#Headers],[crncy]])</calculatedColumnFormula>
    </tableColumn>
    <tableColumn id="9" xr3:uid="{DC3600E4-186B-4A3D-8DE9-239A31E898E9}" name="amt_outstanding" dataDxfId="2">
      <calculatedColumnFormula array="1">_xll.BDP(bonds[[#This Row],[worksheet get]],bonds[[#Headers],[amt_outstanding]])</calculatedColumnFormula>
    </tableColumn>
    <tableColumn id="10" xr3:uid="{4DCD604D-EA65-422D-9DB1-5FCB26DB0124}" name="industry_sector" dataDxfId="1">
      <calculatedColumnFormula array="1">_xll.BDP(bonds[[#This Row],[worksheet get]],bonds[[#Headers],[industry_sector]])</calculatedColumnFormula>
    </tableColumn>
    <tableColumn id="11" xr3:uid="{1493F6D7-A807-48FC-83E4-11DF089DE3ED}" name="unique lookup" dataDxfId="0">
      <calculatedColumnFormula>bonds[[#This Row],[security name]]&amp;" nc-"&amp;RIGHT(YEAR(bonds[[#This Row],[nxt_call_dt]]),2)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F9F1-1EDA-4EA1-B235-C6ACA95144D2}">
  <sheetPr>
    <tabColor theme="8"/>
  </sheetPr>
  <dimension ref="A1:I76"/>
  <sheetViews>
    <sheetView tabSelected="1" workbookViewId="0">
      <selection activeCell="A26" sqref="A26"/>
    </sheetView>
  </sheetViews>
  <sheetFormatPr defaultColWidth="8.7109375" defaultRowHeight="10.5"/>
  <cols>
    <col min="1" max="2" width="8.7109375" style="5"/>
    <col min="3" max="3" width="18.28515625" style="5" bestFit="1" customWidth="1"/>
    <col min="4" max="4" width="18.28515625" style="5" customWidth="1"/>
    <col min="5" max="16384" width="8.7109375" style="5"/>
  </cols>
  <sheetData>
    <row r="1" spans="1:2" ht="11.1">
      <c r="A1" s="4" t="s">
        <v>0</v>
      </c>
      <c r="B1" s="4" t="s">
        <v>1</v>
      </c>
    </row>
    <row r="2" spans="1:2">
      <c r="A2" s="5" t="str" cm="1">
        <f t="array" ref="A2:A23">_xlfn.ANCHORARRAY(issuers!I5)</f>
        <v>VW</v>
      </c>
      <c r="B2" s="5" cm="1">
        <f t="array" ref="B2:B23">_xlfn.ANCHORARRAY(issuers!J5)</f>
        <v>11</v>
      </c>
    </row>
    <row r="3" spans="1:2">
      <c r="A3" s="5" t="str">
        <v>TELEFO</v>
      </c>
      <c r="B3" s="5">
        <v>8</v>
      </c>
    </row>
    <row r="4" spans="1:2">
      <c r="A4" s="5" t="str">
        <v>TOTAL</v>
      </c>
      <c r="B4" s="5">
        <v>6</v>
      </c>
    </row>
    <row r="5" spans="1:2">
      <c r="A5" s="5" t="str">
        <v>ENBW</v>
      </c>
      <c r="B5" s="5">
        <v>6</v>
      </c>
    </row>
    <row r="6" spans="1:2">
      <c r="A6" s="5" t="str">
        <v>ORAFP</v>
      </c>
      <c r="B6" s="5">
        <v>5</v>
      </c>
    </row>
    <row r="7" spans="1:2">
      <c r="A7" s="5" t="str">
        <v>ENGIFP</v>
      </c>
      <c r="B7" s="5">
        <v>5</v>
      </c>
    </row>
    <row r="8" spans="1:2">
      <c r="A8" s="5" t="str">
        <v>EDF</v>
      </c>
      <c r="B8" s="5">
        <v>5</v>
      </c>
    </row>
    <row r="9" spans="1:2">
      <c r="A9" s="5" t="str">
        <v>SOLBBB</v>
      </c>
      <c r="B9" s="5">
        <v>4</v>
      </c>
    </row>
    <row r="10" spans="1:2">
      <c r="A10" s="5" t="str">
        <v>BAYNGR</v>
      </c>
      <c r="B10" s="5">
        <v>4</v>
      </c>
    </row>
    <row r="11" spans="1:2">
      <c r="A11" s="5" t="str">
        <v>MRKGR</v>
      </c>
      <c r="B11" s="5">
        <v>4</v>
      </c>
    </row>
    <row r="12" spans="1:2">
      <c r="A12" s="5" t="str">
        <v>REPSM</v>
      </c>
      <c r="B12" s="5">
        <v>4</v>
      </c>
    </row>
    <row r="13" spans="1:2">
      <c r="A13" s="5" t="str">
        <v>ENELIM</v>
      </c>
      <c r="B13" s="5">
        <v>4</v>
      </c>
    </row>
    <row r="14" spans="1:2">
      <c r="A14" s="5" t="str">
        <v>ORSTED</v>
      </c>
      <c r="B14" s="5">
        <v>4</v>
      </c>
    </row>
    <row r="15" spans="1:2">
      <c r="A15" s="5" t="str">
        <v>AKEFP</v>
      </c>
      <c r="B15" s="5">
        <v>3</v>
      </c>
    </row>
    <row r="16" spans="1:2">
      <c r="A16" s="5" t="str">
        <v>ERFFP</v>
      </c>
      <c r="B16" s="5">
        <v>3</v>
      </c>
    </row>
    <row r="17" spans="1:9">
      <c r="A17" s="5" t="str">
        <v>OMVAV</v>
      </c>
      <c r="B17" s="5">
        <v>3</v>
      </c>
    </row>
    <row r="18" spans="1:9">
      <c r="A18" s="5" t="str">
        <v>SEVFP</v>
      </c>
      <c r="B18" s="5">
        <v>3</v>
      </c>
    </row>
    <row r="19" spans="1:9">
      <c r="A19" s="5" t="str">
        <v>IBESM</v>
      </c>
      <c r="B19" s="5">
        <v>3</v>
      </c>
    </row>
    <row r="20" spans="1:9">
      <c r="A20" s="5" t="str">
        <v>EDPPL</v>
      </c>
      <c r="B20" s="5">
        <v>3</v>
      </c>
    </row>
    <row r="21" spans="1:9">
      <c r="A21" s="5" t="str">
        <v>ACFP</v>
      </c>
      <c r="B21" s="5">
        <v>3</v>
      </c>
    </row>
    <row r="22" spans="1:9">
      <c r="A22" s="5" t="str">
        <v>ARNDTN</v>
      </c>
      <c r="B22" s="5">
        <v>3</v>
      </c>
    </row>
    <row r="23" spans="1:9">
      <c r="A23" s="5" t="str">
        <v>GYCGR</v>
      </c>
      <c r="B23" s="5">
        <v>3</v>
      </c>
    </row>
    <row r="27" spans="1:9" ht="33"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7</v>
      </c>
      <c r="I27" s="19" t="s">
        <v>8</v>
      </c>
    </row>
    <row r="28" spans="1:9">
      <c r="A28" s="5" t="s">
        <v>9</v>
      </c>
      <c r="B28" s="5" t="str">
        <f>issuerTable!A21</f>
        <v>pairBasis</v>
      </c>
      <c r="C28" s="5" t="str">
        <f>issuerTable!B21</f>
        <v>VW 3 3/4 PERP nc-21</v>
      </c>
      <c r="D28" s="5" t="str">
        <f>issuerTable!C21</f>
        <v>VW 2 1/2 PERP nc-22</v>
      </c>
      <c r="E28" s="18">
        <f>issuerTable!J21</f>
        <v>256.74714886156551</v>
      </c>
      <c r="F28" s="18">
        <f>issuerTable!K21</f>
        <v>381.02749689995795</v>
      </c>
      <c r="G28" s="18">
        <f>issuerTable!M21</f>
        <v>125.6767564433182</v>
      </c>
      <c r="H28" s="18" t="str">
        <f ca="1">issuerTable!S21</f>
        <v>-</v>
      </c>
      <c r="I28" s="18" t="str">
        <f ca="1">issuerTable!X21</f>
        <v>-</v>
      </c>
    </row>
    <row r="29" spans="1:9">
      <c r="B29" s="5" t="str">
        <f>issuerTable!A22</f>
        <v>pairBasis</v>
      </c>
      <c r="C29" s="5" t="str">
        <f>issuerTable!B22</f>
        <v>VW 2 1/2 PERP nc-22</v>
      </c>
      <c r="D29" s="5" t="str">
        <f>issuerTable!C22</f>
        <v>VW 2.7 PERP nc-22</v>
      </c>
      <c r="E29" s="18">
        <f>issuerTable!J22</f>
        <v>381.02749689995795</v>
      </c>
      <c r="F29" s="18">
        <f>issuerTable!K22</f>
        <v>382.25870535694503</v>
      </c>
      <c r="G29" s="18">
        <f>issuerTable!M22</f>
        <v>1.6789206231641951</v>
      </c>
      <c r="H29" s="18" t="str">
        <f ca="1">issuerTable!S22</f>
        <v>-</v>
      </c>
      <c r="I29" s="18" t="str">
        <f ca="1">issuerTable!X22</f>
        <v>-</v>
      </c>
    </row>
    <row r="30" spans="1:9">
      <c r="B30" s="5" t="str">
        <f>issuerTable!A23</f>
        <v>pairBasis</v>
      </c>
      <c r="C30" s="5" t="str">
        <f>issuerTable!B23</f>
        <v>VW 2.7 PERP nc-22</v>
      </c>
      <c r="D30" s="5" t="str">
        <f>issuerTable!C23</f>
        <v>VW 5 1/8 PERP nc-23</v>
      </c>
      <c r="E30" s="18">
        <f>issuerTable!J23</f>
        <v>382.25870535694503</v>
      </c>
      <c r="F30" s="18">
        <f>issuerTable!K23</f>
        <v>351.40181428436239</v>
      </c>
      <c r="G30" s="18">
        <f>issuerTable!M23</f>
        <v>-42.72492610049904</v>
      </c>
      <c r="H30" s="18" t="str">
        <f ca="1">issuerTable!S23</f>
        <v>-</v>
      </c>
      <c r="I30" s="18" t="str">
        <f ca="1">issuerTable!X23</f>
        <v>-</v>
      </c>
    </row>
    <row r="31" spans="1:9">
      <c r="B31" s="5" t="str">
        <f>issuerTable!A24</f>
        <v>pairBasis</v>
      </c>
      <c r="C31" s="5" t="str">
        <f>issuerTable!B24</f>
        <v>VW 5 1/8 PERP nc-23</v>
      </c>
      <c r="D31" s="5" t="str">
        <f>issuerTable!C24</f>
        <v>VW 3 3/8 PERP nc-24</v>
      </c>
      <c r="E31" s="18">
        <f>issuerTable!J24</f>
        <v>351.40181428436239</v>
      </c>
      <c r="F31" s="18">
        <f>issuerTable!K24</f>
        <v>387.61706267189061</v>
      </c>
      <c r="G31" s="18">
        <f>issuerTable!M24</f>
        <v>44.496550919829893</v>
      </c>
      <c r="H31" s="18" t="str">
        <f ca="1">issuerTable!S24</f>
        <v>-</v>
      </c>
      <c r="I31" s="18" t="str">
        <f ca="1">issuerTable!X24</f>
        <v>-</v>
      </c>
    </row>
    <row r="32" spans="1:9">
      <c r="B32" s="5" t="str">
        <f>issuerTable!A25</f>
        <v>pairBasis</v>
      </c>
      <c r="C32" s="5" t="str">
        <f>issuerTable!B25</f>
        <v>VW 3 3/8 PERP nc-24</v>
      </c>
      <c r="D32" s="5" t="str">
        <f>issuerTable!C25</f>
        <v>VW 3 1/2 PERP nc-25</v>
      </c>
      <c r="E32" s="18">
        <f>issuerTable!J25</f>
        <v>387.61706267189061</v>
      </c>
      <c r="F32" s="18">
        <f>issuerTable!K25</f>
        <v>399.02409370497179</v>
      </c>
      <c r="G32" s="18">
        <f>issuerTable!M25</f>
        <v>11.73294620545493</v>
      </c>
      <c r="H32" s="18" t="str">
        <f ca="1">issuerTable!S25</f>
        <v>-</v>
      </c>
      <c r="I32" s="18" t="str">
        <f ca="1">issuerTable!X25</f>
        <v>-</v>
      </c>
    </row>
    <row r="33" spans="1:9">
      <c r="B33" s="5" t="str">
        <f>issuerTable!A26</f>
        <v>pairBasis</v>
      </c>
      <c r="C33" s="5" t="str">
        <f>issuerTable!B26</f>
        <v>VW 3 1/2 PERP nc-25</v>
      </c>
      <c r="D33" s="5" t="str">
        <f>issuerTable!C26</f>
        <v>VW 4 5/8 PERP nc-26</v>
      </c>
      <c r="E33" s="18">
        <f>issuerTable!J26</f>
        <v>399.02409370497179</v>
      </c>
      <c r="F33" s="18">
        <f>issuerTable!K26</f>
        <v>399.52029535976709</v>
      </c>
      <c r="G33" s="18">
        <f>issuerTable!M26</f>
        <v>0.64488301706248352</v>
      </c>
      <c r="H33" s="18" t="str">
        <f ca="1">issuerTable!S26</f>
        <v>-</v>
      </c>
      <c r="I33" s="18" t="str">
        <f ca="1">issuerTable!X26</f>
        <v>-</v>
      </c>
    </row>
    <row r="34" spans="1:9">
      <c r="B34" s="5" t="str">
        <f>issuerTable!A27</f>
        <v>pairBasis</v>
      </c>
      <c r="C34" s="5" t="str">
        <f>issuerTable!B27</f>
        <v>VW 4 5/8 PERP nc-26</v>
      </c>
      <c r="D34" s="5" t="str">
        <f>issuerTable!C27</f>
        <v>VW 3 7/8 PERP nc-27</v>
      </c>
      <c r="E34" s="18">
        <f>issuerTable!J27</f>
        <v>399.52029535976709</v>
      </c>
      <c r="F34" s="18">
        <f>issuerTable!K27</f>
        <v>410.4075538874157</v>
      </c>
      <c r="G34" s="18">
        <f>issuerTable!M27</f>
        <v>8.9077569771670451</v>
      </c>
      <c r="H34" s="18" t="str">
        <f ca="1">issuerTable!S27</f>
        <v>-</v>
      </c>
      <c r="I34" s="18" t="str">
        <f ca="1">issuerTable!X27</f>
        <v>-</v>
      </c>
    </row>
    <row r="35" spans="1:9">
      <c r="B35" s="5" t="str">
        <f>issuerTable!A28</f>
        <v>pairBasis</v>
      </c>
      <c r="C35" s="5" t="str">
        <f>issuerTable!B28</f>
        <v>VW 3 7/8 PERP nc-27</v>
      </c>
      <c r="D35" s="5" t="str">
        <f>issuerTable!C28</f>
        <v>VW 4 5/8 PERP nc-28</v>
      </c>
      <c r="E35" s="18">
        <f>issuerTable!J28</f>
        <v>410.4075538874157</v>
      </c>
      <c r="F35" s="18">
        <f>issuerTable!K28</f>
        <v>420.75963428567906</v>
      </c>
      <c r="G35" s="18">
        <f>issuerTable!M28</f>
        <v>9.9912840304954607</v>
      </c>
      <c r="H35" s="18" t="str">
        <f ca="1">issuerTable!S28</f>
        <v>-</v>
      </c>
      <c r="I35" s="18" t="str">
        <f ca="1">issuerTable!X28</f>
        <v>-</v>
      </c>
    </row>
    <row r="36" spans="1:9">
      <c r="B36" s="5" t="str">
        <f>issuerTable!A29</f>
        <v>pairBasis</v>
      </c>
      <c r="C36" s="5" t="str">
        <f>issuerTable!B29</f>
        <v>VW 4 5/8 PERP nc-28</v>
      </c>
      <c r="D36" s="5" t="str">
        <f>issuerTable!C29</f>
        <v>VW 3 7/8 PERP nc-29</v>
      </c>
      <c r="E36" s="18">
        <f>issuerTable!J29</f>
        <v>420.75963428567906</v>
      </c>
      <c r="F36" s="18">
        <f>issuerTable!K29</f>
        <v>422.73181251914565</v>
      </c>
      <c r="G36" s="18">
        <f>issuerTable!M29</f>
        <v>2.0285261829942103</v>
      </c>
      <c r="H36" s="18" t="str">
        <f ca="1">issuerTable!S29</f>
        <v>-</v>
      </c>
      <c r="I36" s="18" t="str">
        <f ca="1">issuerTable!X29</f>
        <v>-</v>
      </c>
    </row>
    <row r="37" spans="1:9">
      <c r="B37" s="5" t="str">
        <f>issuerTable!A30</f>
        <v>pairBasis</v>
      </c>
      <c r="C37" s="5" t="str">
        <f>issuerTable!B30</f>
        <v>VW 3 7/8 PERP nc-29</v>
      </c>
      <c r="D37" s="5" t="str">
        <f>issuerTable!C30</f>
        <v>VW 3 1/2 PERP nc-30</v>
      </c>
      <c r="E37" s="18">
        <f>issuerTable!J30</f>
        <v>422.73181251914565</v>
      </c>
      <c r="F37" s="18">
        <f>issuerTable!K30</f>
        <v>395.40348405531819</v>
      </c>
      <c r="G37" s="18">
        <f>issuerTable!M30</f>
        <v>-36.037356216036216</v>
      </c>
      <c r="H37" s="18" t="str">
        <f ca="1">issuerTable!S30</f>
        <v>-</v>
      </c>
      <c r="I37" s="18" t="str">
        <f ca="1">issuerTable!X30</f>
        <v>-</v>
      </c>
    </row>
    <row r="38" spans="1:9">
      <c r="E38" s="18"/>
      <c r="F38" s="18"/>
      <c r="G38" s="18"/>
      <c r="H38" s="18"/>
      <c r="I38" s="18"/>
    </row>
    <row r="40" spans="1:9">
      <c r="B40" s="5" t="str">
        <f>issuerTable!A40</f>
        <v>whole curve</v>
      </c>
      <c r="C40" s="5" t="str">
        <f>issuerTable!B40</f>
        <v>VW 2 1/2 PERP nc-22</v>
      </c>
      <c r="D40" s="5" t="str">
        <f>issuerTable!C40</f>
        <v>VW 4 5/8 PERP nc-28</v>
      </c>
      <c r="E40" s="18">
        <f>issuerTable!J40</f>
        <v>381.02749689995795</v>
      </c>
      <c r="F40" s="18">
        <f>issuerTable!K40</f>
        <v>420.75963428567906</v>
      </c>
      <c r="G40" s="18">
        <f>issuerTable!M40</f>
        <v>6.3374255466812563</v>
      </c>
      <c r="H40" s="18" t="str">
        <f ca="1">issuerTable!S40</f>
        <v>-</v>
      </c>
      <c r="I40" s="18" t="str">
        <f ca="1">issuerTable!X40</f>
        <v>-</v>
      </c>
    </row>
    <row r="41" spans="1:9">
      <c r="B41" s="5" t="str">
        <f>issuerTable!A41</f>
        <v>whole curve</v>
      </c>
      <c r="C41" s="5" t="str">
        <f>issuerTable!B41</f>
        <v>VW 2.7 PERP nc-22</v>
      </c>
      <c r="D41" s="5" t="str">
        <f>issuerTable!C41</f>
        <v>VW 3 7/8 PERP nc-29</v>
      </c>
      <c r="E41" s="18">
        <f>issuerTable!J41</f>
        <v>382.25870535694503</v>
      </c>
      <c r="F41" s="18">
        <f>issuerTable!K41</f>
        <v>422.73181251914565</v>
      </c>
      <c r="G41" s="18">
        <f>issuerTable!M41</f>
        <v>6.2186592310679565</v>
      </c>
      <c r="H41" s="18" t="str">
        <f ca="1">issuerTable!S41</f>
        <v>-</v>
      </c>
      <c r="I41" s="18" t="str">
        <f ca="1">issuerTable!X41</f>
        <v>-</v>
      </c>
    </row>
    <row r="43" spans="1:9">
      <c r="B43" s="5" t="str">
        <f>issuerTable!A43</f>
        <v>long end</v>
      </c>
      <c r="C43" s="5" t="str">
        <f>issuerTable!B43</f>
        <v>VW 4 5/8 PERP nc-26</v>
      </c>
      <c r="D43" s="5" t="str">
        <f>issuerTable!C43</f>
        <v>VW 3 1/2 PERP nc-30</v>
      </c>
      <c r="E43" s="18">
        <f>issuerTable!J43</f>
        <v>399.52029535976709</v>
      </c>
      <c r="F43" s="18">
        <f>issuerTable!K43</f>
        <v>395.40348405531819</v>
      </c>
      <c r="G43" s="18">
        <f>issuerTable!M43</f>
        <v>-1.0320696863520924</v>
      </c>
      <c r="H43" s="18" t="str">
        <f ca="1">issuerTable!S43</f>
        <v>-</v>
      </c>
      <c r="I43" s="18" t="str">
        <f ca="1">issuerTable!X43</f>
        <v>-</v>
      </c>
    </row>
    <row r="48" spans="1:9">
      <c r="A48" s="5" t="s">
        <v>10</v>
      </c>
      <c r="B48" s="5" t="str">
        <f>issuerTable!A64</f>
        <v>pairBasis</v>
      </c>
      <c r="C48" s="5" t="str">
        <f>issuerTable!B64</f>
        <v>TELEFO 3 3/4 PERP nc-22</v>
      </c>
      <c r="D48" s="5" t="str">
        <f>issuerTable!C64</f>
        <v>TELEFO 2 5/8 PERP nc-23</v>
      </c>
      <c r="E48" s="18">
        <f>issuerTable!J64</f>
        <v>366.28821605722584</v>
      </c>
      <c r="F48" s="18">
        <f>issuerTable!K64</f>
        <v>383.46656922990354</v>
      </c>
      <c r="G48" s="18">
        <f>issuerTable!M64</f>
        <v>17.568770290238561</v>
      </c>
      <c r="H48" s="18" t="str">
        <f ca="1">issuerTable!S64</f>
        <v>-</v>
      </c>
      <c r="I48" s="18" t="str">
        <f ca="1">issuerTable!X64</f>
        <v>-</v>
      </c>
    </row>
    <row r="49" spans="2:9">
      <c r="B49" s="5" t="str">
        <f>issuerTable!A65</f>
        <v>pairBasis</v>
      </c>
      <c r="C49" s="5" t="str">
        <f>issuerTable!B65</f>
        <v>TELEFO 2 5/8 PERP nc-23</v>
      </c>
      <c r="D49" s="5" t="str">
        <f>issuerTable!C65</f>
        <v>TELEFO 3 PERP nc-23</v>
      </c>
      <c r="E49" s="18">
        <f>issuerTable!J65</f>
        <v>383.46656922990354</v>
      </c>
      <c r="F49" s="18">
        <f>issuerTable!K65</f>
        <v>394.73475961624416</v>
      </c>
      <c r="G49" s="18">
        <f>issuerTable!M65</f>
        <v>22.918353328150417</v>
      </c>
      <c r="H49" s="18" t="str">
        <f ca="1">issuerTable!S65</f>
        <v>-</v>
      </c>
      <c r="I49" s="18" t="str">
        <f ca="1">issuerTable!X65</f>
        <v>-</v>
      </c>
    </row>
    <row r="50" spans="2:9">
      <c r="B50" s="5" t="str">
        <f>issuerTable!A66</f>
        <v>pairBasis</v>
      </c>
      <c r="C50" s="5" t="str">
        <f>issuerTable!B66</f>
        <v>TELEFO 3 PERP nc-23</v>
      </c>
      <c r="D50" s="5" t="str">
        <f>issuerTable!C66</f>
        <v>TELEFO 5 7/8 PERP nc-24</v>
      </c>
      <c r="E50" s="18">
        <f>issuerTable!J66</f>
        <v>394.73475961624416</v>
      </c>
      <c r="F50" s="18">
        <f>issuerTable!K66</f>
        <v>374.94167617181466</v>
      </c>
      <c r="G50" s="18">
        <f>issuerTable!M66</f>
        <v>-34.42275381639913</v>
      </c>
      <c r="H50" s="18" t="str">
        <f ca="1">issuerTable!S66</f>
        <v>-</v>
      </c>
      <c r="I50" s="18" t="str">
        <f ca="1">issuerTable!X66</f>
        <v>-</v>
      </c>
    </row>
    <row r="51" spans="2:9">
      <c r="B51" s="5" t="str">
        <f>issuerTable!A67</f>
        <v>pairBasis</v>
      </c>
      <c r="C51" s="5" t="str">
        <f>issuerTable!B67</f>
        <v>TELEFO 5 7/8 PERP nc-24</v>
      </c>
      <c r="D51" s="5" t="str">
        <f>issuerTable!C67</f>
        <v>TELEFO 4 3/8 PERP nc-24</v>
      </c>
      <c r="E51" s="18">
        <f>issuerTable!J67</f>
        <v>374.94167617181466</v>
      </c>
      <c r="F51" s="18">
        <f>issuerTable!K67</f>
        <v>383.97053162966097</v>
      </c>
      <c r="G51" s="18">
        <f>issuerTable!M67</f>
        <v>12.796803011120746</v>
      </c>
      <c r="H51" s="18" t="str">
        <f ca="1">issuerTable!S67</f>
        <v>-</v>
      </c>
      <c r="I51" s="18" t="str">
        <f ca="1">issuerTable!X67</f>
        <v>-</v>
      </c>
    </row>
    <row r="52" spans="2:9">
      <c r="B52" s="5" t="str">
        <f>issuerTable!A68</f>
        <v>pairBasis</v>
      </c>
      <c r="C52" s="5" t="str">
        <f>issuerTable!B68</f>
        <v>TELEFO 4 3/8 PERP nc-24</v>
      </c>
      <c r="D52" s="5" t="str">
        <f>issuerTable!C68</f>
        <v>TELEFO 3 7/8 PERP nc-26</v>
      </c>
      <c r="E52" s="18">
        <f>issuerTable!J68</f>
        <v>383.97053162966097</v>
      </c>
      <c r="F52" s="18">
        <f>issuerTable!K68</f>
        <v>409.32201069316233</v>
      </c>
      <c r="G52" s="18">
        <f>issuerTable!M68</f>
        <v>16.654256319088486</v>
      </c>
      <c r="H52" s="18" t="str">
        <f ca="1">issuerTable!S68</f>
        <v>-</v>
      </c>
      <c r="I52" s="18" t="str">
        <f ca="1">issuerTable!X68</f>
        <v>-</v>
      </c>
    </row>
    <row r="53" spans="2:9">
      <c r="B53" s="5" t="str">
        <f>issuerTable!A69</f>
        <v>pairBasis</v>
      </c>
      <c r="C53" s="5" t="str">
        <f>issuerTable!B69</f>
        <v>TELEFO 3 7/8 PERP nc-26</v>
      </c>
      <c r="D53" s="5" t="str">
        <f>issuerTable!C69</f>
        <v>TELEFO 2.502 PERP nc-27</v>
      </c>
      <c r="E53" s="18">
        <f>issuerTable!J69</f>
        <v>409.32201069316233</v>
      </c>
      <c r="F53" s="18">
        <f>issuerTable!K69</f>
        <v>363.02300520112914</v>
      </c>
      <c r="G53" s="18">
        <f>issuerTable!M69</f>
        <v>-74.742789135120844</v>
      </c>
      <c r="H53" s="18" t="str">
        <f ca="1">issuerTable!S69</f>
        <v>-</v>
      </c>
      <c r="I53" s="18" t="str">
        <f ca="1">issuerTable!X69</f>
        <v>-</v>
      </c>
    </row>
    <row r="54" spans="2:9">
      <c r="B54" s="5" t="str">
        <f>issuerTable!A70</f>
        <v>pairBasis</v>
      </c>
      <c r="C54" s="5" t="str">
        <f>issuerTable!B70</f>
        <v>TELEFO 2.502 PERP nc-27</v>
      </c>
      <c r="D54" s="5" t="str">
        <f>issuerTable!C70</f>
        <v>TELEFO 2 7/8 PERP nc-27</v>
      </c>
      <c r="E54" s="18">
        <f>issuerTable!J70</f>
        <v>363.02300520112914</v>
      </c>
      <c r="F54" s="18">
        <f>issuerTable!K70</f>
        <v>387.22448287297647</v>
      </c>
      <c r="G54" s="18">
        <f>issuerTable!M70</f>
        <v>62.680086056583008</v>
      </c>
      <c r="H54" s="18" t="str">
        <f ca="1">issuerTable!S70</f>
        <v>-</v>
      </c>
      <c r="I54" s="18" t="str">
        <f ca="1">issuerTable!X70</f>
        <v>-</v>
      </c>
    </row>
    <row r="55" spans="2:9">
      <c r="E55" s="18"/>
      <c r="F55" s="18"/>
      <c r="G55" s="18"/>
      <c r="H55" s="18"/>
      <c r="I55" s="18"/>
    </row>
    <row r="56" spans="2:9">
      <c r="E56" s="18"/>
      <c r="F56" s="18"/>
      <c r="G56" s="18"/>
      <c r="H56" s="18"/>
      <c r="I56" s="18"/>
    </row>
    <row r="57" spans="2:9">
      <c r="B57" s="5" t="str">
        <f>issuerTable!A75</f>
        <v>whole curve</v>
      </c>
      <c r="C57" s="5" t="str">
        <f>issuerTable!B75</f>
        <v>TELEFO 2 5/8 PERP nc-23</v>
      </c>
      <c r="D57" s="5" t="str">
        <f>issuerTable!C75</f>
        <v>TELEFO 3 7/8 PERP nc-26</v>
      </c>
      <c r="E57" s="18">
        <f>issuerTable!J75</f>
        <v>383.46656922990354</v>
      </c>
      <c r="F57" s="18">
        <f>issuerTable!K75</f>
        <v>409.32201069316233</v>
      </c>
      <c r="G57" s="18">
        <f>issuerTable!M75</f>
        <v>7.8548176597241879</v>
      </c>
      <c r="H57" s="18" t="str">
        <f ca="1">issuerTable!S75</f>
        <v>-</v>
      </c>
      <c r="I57" s="18" t="str">
        <f ca="1">issuerTable!X75</f>
        <v>-</v>
      </c>
    </row>
    <row r="58" spans="2:9">
      <c r="B58" s="5" t="str">
        <f>issuerTable!A76</f>
        <v>whole curve</v>
      </c>
      <c r="C58" s="5" t="str">
        <f>issuerTable!B76</f>
        <v>TELEFO 3 PERP nc-23</v>
      </c>
      <c r="D58" s="5" t="str">
        <f>issuerTable!C76</f>
        <v>TELEFO 2 7/8 PERP nc-27</v>
      </c>
      <c r="E58" s="18">
        <f>issuerTable!J76</f>
        <v>394.73475961624416</v>
      </c>
      <c r="F58" s="18">
        <f>issuerTable!K76</f>
        <v>387.22448287297647</v>
      </c>
      <c r="G58" s="18">
        <f>issuerTable!M76</f>
        <v>-1.9735033777929711</v>
      </c>
      <c r="H58" s="18" t="str">
        <f ca="1">issuerTable!S76</f>
        <v>-</v>
      </c>
      <c r="I58" s="18" t="str">
        <f ca="1">issuerTable!X76</f>
        <v>-</v>
      </c>
    </row>
    <row r="59" spans="2:9">
      <c r="E59" s="18"/>
      <c r="F59" s="18"/>
      <c r="G59" s="18"/>
      <c r="H59" s="18"/>
      <c r="I59" s="18"/>
    </row>
    <row r="60" spans="2:9">
      <c r="B60" s="5" t="str">
        <f>issuerTable!A78</f>
        <v>long end</v>
      </c>
      <c r="C60" s="5" t="str">
        <f>issuerTable!B78</f>
        <v>TELEFO 5 7/8 PERP nc-24</v>
      </c>
      <c r="D60" s="5" t="str">
        <f>issuerTable!C78</f>
        <v>TELEFO 2 7/8 PERP nc-27</v>
      </c>
      <c r="E60" s="18">
        <f>issuerTable!J78</f>
        <v>374.94167617181466</v>
      </c>
      <c r="F60" s="18">
        <f>issuerTable!K78</f>
        <v>387.22448287297647</v>
      </c>
      <c r="G60" s="18">
        <f>issuerTable!M78</f>
        <v>3.798806196235609</v>
      </c>
      <c r="H60" s="18" t="str">
        <f ca="1">issuerTable!S78</f>
        <v>-</v>
      </c>
      <c r="I60" s="18" t="str">
        <f ca="1">issuerTable!X78</f>
        <v>-</v>
      </c>
    </row>
    <row r="61" spans="2:9">
      <c r="E61" s="18"/>
      <c r="F61" s="18"/>
      <c r="G61" s="18"/>
      <c r="H61" s="18"/>
      <c r="I61" s="18"/>
    </row>
    <row r="62" spans="2:9">
      <c r="E62" s="18"/>
      <c r="F62" s="18"/>
      <c r="G62" s="18"/>
      <c r="H62" s="18"/>
      <c r="I62" s="18"/>
    </row>
    <row r="63" spans="2:9">
      <c r="E63" s="18"/>
      <c r="F63" s="18"/>
      <c r="G63" s="18"/>
      <c r="H63" s="18"/>
      <c r="I63" s="18"/>
    </row>
    <row r="64" spans="2:9">
      <c r="E64" s="18"/>
      <c r="F64" s="18"/>
      <c r="G64" s="18"/>
      <c r="H64" s="18"/>
      <c r="I64" s="18"/>
    </row>
    <row r="65" spans="1:9">
      <c r="A65" s="5" t="s">
        <v>11</v>
      </c>
      <c r="B65" s="5" t="str">
        <f>issuerTable!A101</f>
        <v>pairBasis</v>
      </c>
      <c r="C65" s="5" t="str">
        <f>issuerTable!B101</f>
        <v>TOTAL 2 1/4 PERP nc-21</v>
      </c>
      <c r="D65" s="5" t="str">
        <f>issuerTable!C101</f>
        <v>TOTAL 3 7/8 PERP nc-22</v>
      </c>
      <c r="E65" s="18">
        <f>issuerTable!J101</f>
        <v>198.92368190199906</v>
      </c>
      <c r="F65" s="18">
        <f>issuerTable!K101</f>
        <v>210.48744328501749</v>
      </c>
      <c r="G65" s="18">
        <f>issuerTable!M101</f>
        <v>9.4184481852638804</v>
      </c>
      <c r="H65" s="18" t="str">
        <f ca="1">issuerTable!S101</f>
        <v>-</v>
      </c>
      <c r="I65" s="18" t="str">
        <f ca="1">issuerTable!X101</f>
        <v>-</v>
      </c>
    </row>
    <row r="66" spans="1:9">
      <c r="B66" s="5" t="str">
        <f>issuerTable!A102</f>
        <v>pairBasis</v>
      </c>
      <c r="C66" s="5" t="str">
        <f>issuerTable!B102</f>
        <v>TOTAL 3 7/8 PERP nc-22</v>
      </c>
      <c r="D66" s="5" t="str">
        <f>issuerTable!C102</f>
        <v>TOTAL 2.708 PERP nc-23</v>
      </c>
      <c r="E66" s="18">
        <f>issuerTable!J102</f>
        <v>210.48744328501749</v>
      </c>
      <c r="F66" s="18">
        <f>issuerTable!K102</f>
        <v>221.63434195408738</v>
      </c>
      <c r="G66" s="18">
        <f>issuerTable!M102</f>
        <v>11.5645058238189</v>
      </c>
      <c r="H66" s="18" t="str">
        <f ca="1">issuerTable!S102</f>
        <v>-</v>
      </c>
      <c r="I66" s="18" t="str">
        <f ca="1">issuerTable!X102</f>
        <v>-</v>
      </c>
    </row>
    <row r="67" spans="1:9">
      <c r="B67" s="5" t="str">
        <f>issuerTable!A103</f>
        <v>pairBasis</v>
      </c>
      <c r="C67" s="5" t="str">
        <f>issuerTable!B103</f>
        <v>TOTAL 2.708 PERP nc-23</v>
      </c>
      <c r="D67" s="5" t="str">
        <f>issuerTable!C103</f>
        <v>TOTAL 1 3/4 PERP nc-24</v>
      </c>
      <c r="E67" s="18">
        <f>issuerTable!J103</f>
        <v>221.63434195408738</v>
      </c>
      <c r="F67" s="18">
        <f>issuerTable!K103</f>
        <v>229.72418306140528</v>
      </c>
      <c r="G67" s="18">
        <f>issuerTable!M103</f>
        <v>8.8521057709253714</v>
      </c>
      <c r="H67" s="18" t="str">
        <f ca="1">issuerTable!S103</f>
        <v>-</v>
      </c>
      <c r="I67" s="18" t="str">
        <f ca="1">issuerTable!X103</f>
        <v>-</v>
      </c>
    </row>
    <row r="68" spans="1:9">
      <c r="B68" s="5" t="str">
        <f>issuerTable!A104</f>
        <v>pairBasis</v>
      </c>
      <c r="C68" s="5" t="str">
        <f>issuerTable!B104</f>
        <v>TOTAL 1 3/4 PERP nc-24</v>
      </c>
      <c r="D68" s="5" t="str">
        <f>issuerTable!C104</f>
        <v>TOTAL 2 5/8 PERP nc-25</v>
      </c>
      <c r="E68" s="18">
        <f>issuerTable!J104</f>
        <v>229.72418306140528</v>
      </c>
      <c r="F68" s="18">
        <f>issuerTable!K104</f>
        <v>233.86443835522391</v>
      </c>
      <c r="G68" s="18">
        <f>issuerTable!M104</f>
        <v>4.6288568502320038</v>
      </c>
      <c r="H68" s="18" t="str">
        <f ca="1">issuerTable!S104</f>
        <v>-</v>
      </c>
      <c r="I68" s="18" t="str">
        <f ca="1">issuerTable!X104</f>
        <v>-</v>
      </c>
    </row>
    <row r="69" spans="1:9">
      <c r="B69" s="5" t="str">
        <f>issuerTable!A105</f>
        <v>pairBasis</v>
      </c>
      <c r="C69" s="5" t="str">
        <f>issuerTable!B105</f>
        <v>TOTAL 2 5/8 PERP nc-25</v>
      </c>
      <c r="D69" s="5" t="str">
        <f>issuerTable!C105</f>
        <v>TOTAL 3.369 PERP nc-26</v>
      </c>
      <c r="E69" s="18">
        <f>issuerTable!J105</f>
        <v>233.86443835522391</v>
      </c>
      <c r="F69" s="18">
        <f>issuerTable!K105</f>
        <v>241.43739043717667</v>
      </c>
      <c r="G69" s="18">
        <f>issuerTable!M105</f>
        <v>4.7004530163844738</v>
      </c>
      <c r="H69" s="18" t="str">
        <f ca="1">issuerTable!S105</f>
        <v>-</v>
      </c>
      <c r="I69" s="18" t="str">
        <f ca="1">issuerTable!X105</f>
        <v>-</v>
      </c>
    </row>
    <row r="70" spans="1:9">
      <c r="E70" s="18"/>
      <c r="F70" s="18"/>
      <c r="G70" s="18"/>
      <c r="H70" s="18"/>
      <c r="I70" s="18"/>
    </row>
    <row r="71" spans="1:9">
      <c r="E71" s="18"/>
      <c r="F71" s="18"/>
      <c r="G71" s="18"/>
      <c r="H71" s="18"/>
      <c r="I71" s="18"/>
    </row>
    <row r="72" spans="1:9">
      <c r="B72" s="5" t="str">
        <f>issuerTable!A110</f>
        <v>whole curve</v>
      </c>
      <c r="C72" s="5" t="str">
        <f>issuerTable!B110</f>
        <v>TOTAL 3 7/8 PERP nc-22</v>
      </c>
      <c r="D72" s="5" t="str">
        <f>issuerTable!C110</f>
        <v>TOTAL 2 5/8 PERP nc-25</v>
      </c>
      <c r="E72" s="18">
        <f>issuerTable!J110</f>
        <v>210.48744328501749</v>
      </c>
      <c r="F72" s="18">
        <f>issuerTable!K110</f>
        <v>233.86443835522391</v>
      </c>
      <c r="G72" s="18">
        <f>issuerTable!M110</f>
        <v>8.4325833920584277</v>
      </c>
      <c r="H72" s="18" t="str">
        <f ca="1">issuerTable!S110</f>
        <v>-</v>
      </c>
      <c r="I72" s="18" t="str">
        <f ca="1">issuerTable!X110</f>
        <v>-</v>
      </c>
    </row>
    <row r="73" spans="1:9">
      <c r="E73" s="18"/>
      <c r="F73" s="18"/>
      <c r="G73" s="18"/>
      <c r="H73" s="18"/>
      <c r="I73" s="18"/>
    </row>
    <row r="74" spans="1:9">
      <c r="B74" s="5" t="str">
        <f>issuerTable!A112</f>
        <v>long end</v>
      </c>
      <c r="C74" s="5" t="str">
        <f>issuerTable!B112</f>
        <v>TOTAL 2.708 PERP nc-23</v>
      </c>
      <c r="D74" s="5" t="str">
        <f>issuerTable!C112</f>
        <v>TOTAL 3.369 PERP nc-26</v>
      </c>
      <c r="E74" s="18">
        <f>issuerTable!J112</f>
        <v>221.63434195408738</v>
      </c>
      <c r="F74" s="18">
        <f>issuerTable!K112</f>
        <v>241.43739043717667</v>
      </c>
      <c r="G74" s="18">
        <f>issuerTable!M112</f>
        <v>5.7913058114639711</v>
      </c>
      <c r="H74" s="18" t="str">
        <f ca="1">issuerTable!S112</f>
        <v>-</v>
      </c>
      <c r="I74" s="18" t="str">
        <f ca="1">issuerTable!X112</f>
        <v>-</v>
      </c>
    </row>
    <row r="75" spans="1:9">
      <c r="E75" s="18"/>
      <c r="F75" s="18"/>
      <c r="G75" s="18"/>
      <c r="H75" s="18"/>
      <c r="I75" s="18"/>
    </row>
    <row r="76" spans="1:9">
      <c r="E76" s="18"/>
      <c r="F76" s="18"/>
      <c r="G76" s="18"/>
      <c r="H76" s="18"/>
      <c r="I76" s="18"/>
    </row>
  </sheetData>
  <conditionalFormatting sqref="B2:B2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{492B07E1-1F6D-4F76-A718-E57E2ACB4C68}</x14:id>
        </ext>
      </extLst>
    </cfRule>
  </conditionalFormatting>
  <conditionalFormatting sqref="G28:G3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{D4DA7778-F115-46D9-999B-434B7EEE5995}</x14:id>
        </ext>
      </extLst>
    </cfRule>
  </conditionalFormatting>
  <conditionalFormatting sqref="G48:G5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{8DFA0B08-A446-4A0B-9D04-CAF41396FBC9}</x14:id>
        </ext>
      </extLst>
    </cfRule>
  </conditionalFormatting>
  <conditionalFormatting sqref="G65:G6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{199D3665-D119-4B36-83B8-FFC2DFE584DB}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2B07E1-1F6D-4F76-A718-E57E2ACB4C6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B2:B23</xm:sqref>
        </x14:conditionalFormatting>
        <x14:conditionalFormatting xmlns:xm="http://schemas.microsoft.com/office/excel/2006/main">
          <x14:cfRule type="dataBar" id="{D4DA7778-F115-46D9-999B-434B7EEE59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G28:G37</xm:sqref>
        </x14:conditionalFormatting>
        <x14:conditionalFormatting xmlns:xm="http://schemas.microsoft.com/office/excel/2006/main">
          <x14:cfRule type="dataBar" id="{8DFA0B08-A446-4A0B-9D04-CAF41396FB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G48:G55</xm:sqref>
        </x14:conditionalFormatting>
        <x14:conditionalFormatting xmlns:xm="http://schemas.microsoft.com/office/excel/2006/main">
          <x14:cfRule type="dataBar" id="{199D3665-D119-4B36-83B8-FFC2DFE584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G65:G69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BD1A-4F27-495F-B59C-F76251D39EF1}">
  <sheetPr>
    <tabColor theme="8"/>
  </sheetPr>
  <dimension ref="A2:AB112"/>
  <sheetViews>
    <sheetView workbookViewId="0">
      <selection activeCell="B13" sqref="B13"/>
    </sheetView>
  </sheetViews>
  <sheetFormatPr defaultColWidth="8.7109375" defaultRowHeight="10.5"/>
  <cols>
    <col min="1" max="1" width="10.85546875" style="5" bestFit="1" customWidth="1"/>
    <col min="2" max="2" width="18.28515625" style="5" bestFit="1" customWidth="1"/>
    <col min="3" max="3" width="22" style="5" bestFit="1" customWidth="1"/>
    <col min="4" max="4" width="11.7109375" style="5" bestFit="1" customWidth="1"/>
    <col min="5" max="5" width="9" style="5" bestFit="1" customWidth="1"/>
    <col min="6" max="7" width="9.85546875" style="5" bestFit="1" customWidth="1"/>
    <col min="8" max="14" width="8.7109375" style="5"/>
    <col min="15" max="15" width="9.85546875" style="5" bestFit="1" customWidth="1"/>
    <col min="16" max="19" width="8.7109375" style="5"/>
    <col min="20" max="20" width="9.85546875" style="5" bestFit="1" customWidth="1"/>
    <col min="21" max="16384" width="8.7109375" style="5"/>
  </cols>
  <sheetData>
    <row r="2" spans="2:25">
      <c r="B2" s="5" t="s">
        <v>12</v>
      </c>
      <c r="C2" s="11" t="s">
        <v>9</v>
      </c>
    </row>
    <row r="3" spans="2:25" ht="11.1">
      <c r="C3" s="4" t="s">
        <v>13</v>
      </c>
      <c r="D3" s="4" t="s">
        <v>14</v>
      </c>
      <c r="E3" s="4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P3" s="5">
        <f>COUNTA(_xlfn.ANCHORARRAY(C4))</f>
        <v>11</v>
      </c>
    </row>
    <row r="4" spans="2:25">
      <c r="C4" s="5" t="str" cm="1">
        <f t="array" ref="C4:C14">_xlfn._xlws.FILTER(bonds[unique lookup],bonds[ticker]=C2)</f>
        <v>VW 3 3/4 PERP nc-21</v>
      </c>
      <c r="D4" s="22" t="str" cm="1">
        <f t="array" ref="D4:D14">_xlfn.XLOOKUP(_xlfn.ANCHORARRAY(C4),bonds[unique lookup],bonds[ID_ISIN])</f>
        <v>XS1048428012</v>
      </c>
      <c r="E4" s="21" t="s">
        <v>25</v>
      </c>
      <c r="F4" s="25" cm="1">
        <f t="array" ref="F4:F14">_xll.BDP(_xlfn.ANCHORARRAY(D4)&amp;" Corp","nxt_call_dt")*1</f>
        <v>44279</v>
      </c>
      <c r="H4" s="18" cm="1">
        <f t="array" ref="H4:H14">_xll.BDP(_xlfn.ANCHORARRAY(D4)&amp;" Corp","yas_ispread")</f>
        <v>256.74714886156551</v>
      </c>
      <c r="I4" s="18"/>
      <c r="K4" s="18" cm="1">
        <f t="array" ref="K4:K14">_xll.BDP(_xlfn.ANCHORARRAY(D4)&amp;" Corp","interval_avg","calc_interval=30d","market_data_override=sp210")</f>
        <v>330.41968965517236</v>
      </c>
      <c r="N4" s="18" cm="1">
        <f t="array" ref="N4:N14">_xll.BDP(_xlfn.ANCHORARRAY(D4)&amp;" Corp","interval_std_dev","calc_interval=30d","market_data_override=sp210")</f>
        <v>107.90596397594906</v>
      </c>
    </row>
    <row r="5" spans="2:25">
      <c r="C5" s="5" t="str">
        <v>VW 2 1/2 PERP nc-22</v>
      </c>
      <c r="D5" s="22" t="str">
        <v>XS1206540806</v>
      </c>
      <c r="E5" s="21">
        <v>2500000</v>
      </c>
      <c r="F5" s="25">
        <v>44640</v>
      </c>
      <c r="G5" s="17">
        <f>(F5-F4)/365</f>
        <v>0.989041095890411</v>
      </c>
      <c r="H5" s="18">
        <v>381.02749689995795</v>
      </c>
      <c r="I5" s="18">
        <f>H5-H4</f>
        <v>124.28034803839245</v>
      </c>
      <c r="J5" s="18">
        <f>I5/G5</f>
        <v>125.65741560668488</v>
      </c>
      <c r="K5" s="18">
        <v>338.63051724137927</v>
      </c>
      <c r="L5" s="18">
        <f>K5-K4</f>
        <v>8.2108275862069036</v>
      </c>
      <c r="M5" s="18">
        <f>L5/G5</f>
        <v>8.3018062852230461</v>
      </c>
      <c r="N5" s="18">
        <v>52.153993462095826</v>
      </c>
    </row>
    <row r="6" spans="2:25">
      <c r="C6" s="5" t="str">
        <v>VW 2.7 PERP nc-22</v>
      </c>
      <c r="D6" s="22" t="str">
        <v>XS1629658755</v>
      </c>
      <c r="E6" s="21" t="s">
        <v>25</v>
      </c>
      <c r="F6" s="25">
        <v>44909</v>
      </c>
      <c r="G6" s="17">
        <f t="shared" ref="G6:G14" si="0">(F6-F5)/365</f>
        <v>0.73698630136986298</v>
      </c>
      <c r="H6" s="18">
        <v>382.25870535694503</v>
      </c>
      <c r="I6" s="18">
        <f t="shared" ref="I6:I14" si="1">H6-H5</f>
        <v>1.2312084569870763</v>
      </c>
      <c r="J6" s="18">
        <f t="shared" ref="J6:J14" si="2">I6/G6</f>
        <v>1.6705988356887838</v>
      </c>
      <c r="K6" s="18">
        <v>351.96596551724139</v>
      </c>
      <c r="L6" s="18">
        <f t="shared" ref="L6:L14" si="3">K6-K5</f>
        <v>13.33544827586212</v>
      </c>
      <c r="M6" s="18">
        <f t="shared" ref="M6:M14" si="4">L6/G6</f>
        <v>18.094567363158639</v>
      </c>
      <c r="N6" s="18">
        <v>47.7051698205332</v>
      </c>
    </row>
    <row r="7" spans="2:25">
      <c r="C7" s="5" t="str">
        <v>VW 5 1/8 PERP nc-23</v>
      </c>
      <c r="D7" s="22" t="str">
        <v>XS0968913342</v>
      </c>
      <c r="E7" s="21">
        <v>3986000</v>
      </c>
      <c r="F7" s="25">
        <v>45173</v>
      </c>
      <c r="G7" s="17">
        <f t="shared" si="0"/>
        <v>0.72328767123287674</v>
      </c>
      <c r="H7" s="18">
        <v>351.40181428436239</v>
      </c>
      <c r="I7" s="18">
        <f t="shared" si="1"/>
        <v>-30.856891072582641</v>
      </c>
      <c r="J7" s="18">
        <f t="shared" si="2"/>
        <v>-42.661989551108576</v>
      </c>
      <c r="K7" s="18">
        <v>339.23517241379312</v>
      </c>
      <c r="L7" s="18">
        <f t="shared" si="3"/>
        <v>-12.730793103448264</v>
      </c>
      <c r="M7" s="18">
        <f t="shared" si="4"/>
        <v>-17.601285919540214</v>
      </c>
      <c r="N7" s="18">
        <v>34.41753735386839</v>
      </c>
    </row>
    <row r="8" spans="2:25">
      <c r="C8" s="5" t="str">
        <v>VW 3 3/8 PERP nc-24</v>
      </c>
      <c r="D8" s="22" t="str">
        <v>XS1799938995</v>
      </c>
      <c r="E8" s="21">
        <v>1000000</v>
      </c>
      <c r="F8" s="25">
        <v>45470</v>
      </c>
      <c r="G8" s="17">
        <f t="shared" si="0"/>
        <v>0.81369863013698629</v>
      </c>
      <c r="H8" s="18">
        <v>387.61706267189061</v>
      </c>
      <c r="I8" s="18">
        <f t="shared" si="1"/>
        <v>36.21524838752822</v>
      </c>
      <c r="J8" s="18">
        <f t="shared" si="2"/>
        <v>44.506955089049832</v>
      </c>
      <c r="K8" s="18">
        <v>380.78441379310351</v>
      </c>
      <c r="L8" s="18">
        <f t="shared" si="3"/>
        <v>41.549241379310388</v>
      </c>
      <c r="M8" s="18">
        <f t="shared" si="4"/>
        <v>51.062199001509398</v>
      </c>
      <c r="N8" s="18">
        <v>36.193660823722439</v>
      </c>
    </row>
    <row r="9" spans="2:25">
      <c r="C9" s="5" t="str">
        <v>VW 3 1/2 PERP nc-25</v>
      </c>
      <c r="D9" s="22" t="str">
        <v>XS2187689034</v>
      </c>
      <c r="E9" s="21" t="s">
        <v>25</v>
      </c>
      <c r="F9" s="25">
        <v>45825</v>
      </c>
      <c r="G9" s="17">
        <f t="shared" si="0"/>
        <v>0.9726027397260274</v>
      </c>
      <c r="H9" s="18">
        <v>399.02409370497179</v>
      </c>
      <c r="I9" s="18">
        <f t="shared" si="1"/>
        <v>11.407031033081182</v>
      </c>
      <c r="J9" s="18">
        <f t="shared" si="2"/>
        <v>11.728355850914454</v>
      </c>
      <c r="K9" s="18">
        <v>402.26684615384613</v>
      </c>
      <c r="L9" s="18">
        <f t="shared" si="3"/>
        <v>21.482432360742621</v>
      </c>
      <c r="M9" s="18">
        <f t="shared" si="4"/>
        <v>22.087571300481848</v>
      </c>
      <c r="N9" s="18">
        <v>15.958826235274712</v>
      </c>
    </row>
    <row r="10" spans="2:25">
      <c r="C10" s="5" t="str">
        <v>VW 4 5/8 PERP nc-26</v>
      </c>
      <c r="D10" s="22" t="str">
        <v>XS1048428442</v>
      </c>
      <c r="E10" s="21">
        <v>1969000</v>
      </c>
      <c r="F10" s="25">
        <v>46105</v>
      </c>
      <c r="G10" s="17">
        <f t="shared" si="0"/>
        <v>0.76712328767123283</v>
      </c>
      <c r="H10" s="18">
        <v>399.52029535976709</v>
      </c>
      <c r="I10" s="18">
        <f t="shared" si="1"/>
        <v>0.49620165479529987</v>
      </c>
      <c r="J10" s="18">
        <f t="shared" si="2"/>
        <v>0.64683430000101594</v>
      </c>
      <c r="K10" s="18">
        <v>388.79127586206891</v>
      </c>
      <c r="L10" s="18">
        <f t="shared" si="3"/>
        <v>-13.475570291777217</v>
      </c>
      <c r="M10" s="18">
        <f t="shared" si="4"/>
        <v>-17.56636841606673</v>
      </c>
      <c r="N10" s="18">
        <v>30.097578682745212</v>
      </c>
    </row>
    <row r="11" spans="2:25">
      <c r="C11" s="5" t="str">
        <v>VW 3 7/8 PERP nc-27</v>
      </c>
      <c r="D11" s="22" t="str">
        <v>XS1629774230</v>
      </c>
      <c r="E11" s="21">
        <v>700000</v>
      </c>
      <c r="F11" s="25">
        <v>46552</v>
      </c>
      <c r="G11" s="17">
        <f t="shared" si="0"/>
        <v>1.2246575342465753</v>
      </c>
      <c r="H11" s="18">
        <v>410.4075538874157</v>
      </c>
      <c r="I11" s="18">
        <f t="shared" si="1"/>
        <v>10.887258527648612</v>
      </c>
      <c r="J11" s="18">
        <f t="shared" si="2"/>
        <v>8.8900433167600532</v>
      </c>
      <c r="K11" s="18">
        <v>408.99275862068976</v>
      </c>
      <c r="L11" s="18">
        <f t="shared" si="3"/>
        <v>20.201482758620841</v>
      </c>
      <c r="M11" s="18">
        <f t="shared" si="4"/>
        <v>16.495617912520373</v>
      </c>
      <c r="N11" s="18">
        <v>30.22089042799837</v>
      </c>
    </row>
    <row r="12" spans="2:25">
      <c r="C12" s="5" t="str">
        <v>VW 4 5/8 PERP nc-28</v>
      </c>
      <c r="D12" s="22" t="str">
        <v>XS1799939027</v>
      </c>
      <c r="E12" s="21">
        <v>1900000</v>
      </c>
      <c r="F12" s="25">
        <v>46931</v>
      </c>
      <c r="G12" s="17">
        <f t="shared" si="0"/>
        <v>1.0383561643835617</v>
      </c>
      <c r="H12" s="18">
        <v>420.75963428567906</v>
      </c>
      <c r="I12" s="18">
        <f t="shared" si="1"/>
        <v>10.352080398263354</v>
      </c>
      <c r="J12" s="18">
        <f t="shared" si="2"/>
        <v>9.9696816500425438</v>
      </c>
      <c r="K12" s="18">
        <v>413.4364137931035</v>
      </c>
      <c r="L12" s="18">
        <f t="shared" si="3"/>
        <v>4.4436551724137416</v>
      </c>
      <c r="M12" s="18">
        <f t="shared" si="4"/>
        <v>4.2795095987625738</v>
      </c>
      <c r="N12" s="18">
        <v>26.656441036853206</v>
      </c>
    </row>
    <row r="13" spans="2:25">
      <c r="C13" s="5" t="str">
        <v>VW 3 7/8 PERP nc-29</v>
      </c>
      <c r="D13" s="22" t="str">
        <v>XS2187689380</v>
      </c>
      <c r="E13" s="21">
        <v>1500000</v>
      </c>
      <c r="F13" s="25">
        <v>47286</v>
      </c>
      <c r="G13" s="17">
        <f t="shared" si="0"/>
        <v>0.9726027397260274</v>
      </c>
      <c r="H13" s="18">
        <v>422.73181251914565</v>
      </c>
      <c r="I13" s="18">
        <f t="shared" si="1"/>
        <v>1.9721782334665932</v>
      </c>
      <c r="J13" s="18">
        <f t="shared" si="2"/>
        <v>2.027732549902272</v>
      </c>
      <c r="K13" s="18">
        <v>426.92192307692301</v>
      </c>
      <c r="L13" s="18">
        <f t="shared" si="3"/>
        <v>13.485509283819511</v>
      </c>
      <c r="M13" s="18">
        <f t="shared" si="4"/>
        <v>13.865382784772173</v>
      </c>
      <c r="N13" s="18">
        <v>13.070389087944413</v>
      </c>
    </row>
    <row r="14" spans="2:25">
      <c r="C14" s="5" t="str">
        <v>VW 3 1/2 PERP nc-30</v>
      </c>
      <c r="D14" s="22" t="str">
        <v>XS1206541366</v>
      </c>
      <c r="E14" s="21">
        <v>-3338000</v>
      </c>
      <c r="F14" s="25">
        <v>47562</v>
      </c>
      <c r="G14" s="17">
        <f t="shared" si="0"/>
        <v>0.75616438356164384</v>
      </c>
      <c r="H14" s="18">
        <v>395.40348405531819</v>
      </c>
      <c r="I14" s="18">
        <f t="shared" si="1"/>
        <v>-27.328328463827461</v>
      </c>
      <c r="J14" s="18">
        <f t="shared" si="2"/>
        <v>-36.140724236583416</v>
      </c>
      <c r="K14" s="18">
        <v>378.15882758620694</v>
      </c>
      <c r="L14" s="18">
        <f t="shared" si="3"/>
        <v>-48.763095490716069</v>
      </c>
      <c r="M14" s="18">
        <f t="shared" si="4"/>
        <v>-64.48742700764987</v>
      </c>
      <c r="N14" s="18">
        <v>21.038597953810253</v>
      </c>
    </row>
    <row r="16" spans="2:25">
      <c r="O16" s="23">
        <v>7</v>
      </c>
      <c r="T16" s="23">
        <v>25</v>
      </c>
      <c r="Y16" s="23">
        <v>30</v>
      </c>
    </row>
    <row r="17" spans="1:28">
      <c r="O17" s="25">
        <f ca="1">WORKDAY(TODAY(),-O16)</f>
        <v>44004</v>
      </c>
      <c r="T17" s="25">
        <f ca="1">WORKDAY(TODAY(),-T16)</f>
        <v>43978</v>
      </c>
    </row>
    <row r="18" spans="1:28">
      <c r="O18" s="25"/>
      <c r="T18" s="25"/>
    </row>
    <row r="20" spans="1:28" ht="33">
      <c r="B20" s="19" t="s">
        <v>26</v>
      </c>
      <c r="C20" s="19" t="s">
        <v>27</v>
      </c>
      <c r="D20" s="19" t="s">
        <v>28</v>
      </c>
      <c r="E20" s="19" t="s">
        <v>29</v>
      </c>
      <c r="F20" s="19" t="s">
        <v>30</v>
      </c>
      <c r="G20" s="19" t="s">
        <v>31</v>
      </c>
      <c r="H20" s="19" t="s">
        <v>32</v>
      </c>
      <c r="I20" s="20" t="s">
        <v>33</v>
      </c>
      <c r="J20" s="19" t="s">
        <v>4</v>
      </c>
      <c r="K20" s="19" t="s">
        <v>5</v>
      </c>
      <c r="L20" s="19" t="s">
        <v>19</v>
      </c>
      <c r="M20" s="19" t="s">
        <v>34</v>
      </c>
      <c r="N20" s="19" t="s">
        <v>35</v>
      </c>
      <c r="O20" s="19" t="s">
        <v>36</v>
      </c>
      <c r="P20" s="19" t="s">
        <v>37</v>
      </c>
      <c r="Q20" s="19" t="s">
        <v>38</v>
      </c>
      <c r="R20" s="19" t="s">
        <v>39</v>
      </c>
      <c r="S20" s="19" t="s">
        <v>40</v>
      </c>
      <c r="T20" s="19" t="s">
        <v>41</v>
      </c>
      <c r="U20" s="19" t="s">
        <v>42</v>
      </c>
      <c r="V20" s="19" t="s">
        <v>43</v>
      </c>
      <c r="W20" s="19" t="s">
        <v>44</v>
      </c>
      <c r="X20" s="19" t="s">
        <v>45</v>
      </c>
      <c r="Y20" s="19" t="s">
        <v>46</v>
      </c>
      <c r="Z20" s="19" t="s">
        <v>47</v>
      </c>
      <c r="AA20" s="19" t="s">
        <v>48</v>
      </c>
      <c r="AB20" s="19" t="s">
        <v>49</v>
      </c>
    </row>
    <row r="21" spans="1:28">
      <c r="A21" s="5" t="s">
        <v>50</v>
      </c>
      <c r="B21" s="11" t="str">
        <f>C4</f>
        <v>VW 3 3/4 PERP nc-21</v>
      </c>
      <c r="C21" s="11" t="str">
        <f>C5</f>
        <v>VW 2 1/2 PERP nc-22</v>
      </c>
      <c r="D21" s="22" t="str">
        <f>_xlfn.XLOOKUP(B21,bonds[unique lookup],bonds[ID_ISIN])</f>
        <v>XS1048428012</v>
      </c>
      <c r="E21" s="22" t="str">
        <f>_xlfn.XLOOKUP(C21,bonds[unique lookup],bonds[ID_ISIN])</f>
        <v>XS1206540806</v>
      </c>
      <c r="F21" s="25">
        <f>_xlfn.XLOOKUP(B21,bonds[unique lookup],bonds[nxt_call_dt])</f>
        <v>44279</v>
      </c>
      <c r="G21" s="25">
        <f>_xlfn.XLOOKUP(C21,bonds[unique lookup],bonds[nxt_call_dt])</f>
        <v>44640</v>
      </c>
      <c r="H21" s="17">
        <f>YEARFRAC(F21,G21)</f>
        <v>0.98888888888888893</v>
      </c>
      <c r="I21" s="12" t="s">
        <v>51</v>
      </c>
      <c r="J21" s="18" cm="1">
        <f t="array" ref="J21">_xll.BDP(D21&amp;" Corp",$I21)</f>
        <v>256.74714886156551</v>
      </c>
      <c r="K21" s="18" cm="1">
        <f t="array" ref="K21">_xll.BDP(E21&amp;" Corp",$I21)</f>
        <v>381.02749689995795</v>
      </c>
      <c r="L21" s="18">
        <f>K21-J21</f>
        <v>124.28034803839245</v>
      </c>
      <c r="M21" s="18">
        <f>L21/H21</f>
        <v>125.6767564433182</v>
      </c>
      <c r="N21" s="12" t="s">
        <v>52</v>
      </c>
      <c r="O21" s="18" t="e" cm="1">
        <f t="array" aca="1" ref="O21" ca="1">_xll.BDH(D21&amp;" Corp",$N21,$O$17)</f>
        <v>#NAME?</v>
      </c>
      <c r="P21" s="18" t="e" cm="1">
        <f t="array" aca="1" ref="P21" ca="1">_xll.BDH(E21&amp;" Corp",$N21,$O$17)</f>
        <v>#NAME?</v>
      </c>
      <c r="Q21" s="18" t="str">
        <f t="shared" ref="Q21:Q27" ca="1" si="5">IFERROR(P21-O21,"-")</f>
        <v>-</v>
      </c>
      <c r="R21" s="18" t="str">
        <f ca="1">IFERROR(Q21/H21,"-")</f>
        <v>-</v>
      </c>
      <c r="S21" s="18" t="str">
        <f ca="1">IFERROR(M21-R21,"-")</f>
        <v>-</v>
      </c>
      <c r="T21" s="18" t="e" cm="1">
        <f t="array" aca="1" ref="T21" ca="1">_xll.BDH(D21&amp;" Corp",$N21,$T$17)</f>
        <v>#NAME?</v>
      </c>
      <c r="U21" s="18" t="e" cm="1">
        <f t="array" aca="1" ref="U21" ca="1">_xll.BDH(E21&amp;" Corp",$N21,$T$17)</f>
        <v>#NAME?</v>
      </c>
      <c r="V21" s="18" t="str">
        <f ca="1">IFERROR(U21-T21,"-")</f>
        <v>-</v>
      </c>
      <c r="W21" s="18" t="str">
        <f ca="1">IFERROR(V21/H21,"-")</f>
        <v>-</v>
      </c>
      <c r="X21" s="18" t="str">
        <f ca="1">IFERROR(M21-W21,"-")</f>
        <v>-</v>
      </c>
    </row>
    <row r="22" spans="1:28">
      <c r="A22" s="5" t="s">
        <v>50</v>
      </c>
      <c r="B22" s="11" t="str">
        <f>C5</f>
        <v>VW 2 1/2 PERP nc-22</v>
      </c>
      <c r="C22" s="11" t="str">
        <f>C6</f>
        <v>VW 2.7 PERP nc-22</v>
      </c>
      <c r="D22" s="22" t="str">
        <f>_xlfn.XLOOKUP(B22,bonds[unique lookup],bonds[ID_ISIN])</f>
        <v>XS1206540806</v>
      </c>
      <c r="E22" s="22" t="str">
        <f>_xlfn.XLOOKUP(C22,bonds[unique lookup],bonds[ID_ISIN])</f>
        <v>XS1629658755</v>
      </c>
      <c r="F22" s="25">
        <f>_xlfn.XLOOKUP(B22,bonds[unique lookup],bonds[nxt_call_dt])</f>
        <v>44640</v>
      </c>
      <c r="G22" s="25">
        <f>_xlfn.XLOOKUP(C22,bonds[unique lookup],bonds[nxt_call_dt])</f>
        <v>44909</v>
      </c>
      <c r="H22" s="17">
        <f>YEARFRAC(F22,G22)</f>
        <v>0.73333333333333328</v>
      </c>
      <c r="I22" s="12" t="s">
        <v>51</v>
      </c>
      <c r="J22" s="18" cm="1">
        <f t="array" ref="J22">_xll.BDP(D22&amp;" Corp",$I22)</f>
        <v>381.02749689995795</v>
      </c>
      <c r="K22" s="18" cm="1">
        <f t="array" ref="K22">_xll.BDP(E22&amp;" Corp",$I22)</f>
        <v>382.25870535694503</v>
      </c>
      <c r="L22" s="18">
        <f>K22-J22</f>
        <v>1.2312084569870763</v>
      </c>
      <c r="M22" s="18">
        <f>L22/H22</f>
        <v>1.6789206231641951</v>
      </c>
      <c r="N22" s="12" t="s">
        <v>52</v>
      </c>
      <c r="O22" s="18" t="e" cm="1">
        <f t="array" aca="1" ref="O22" ca="1">_xll.BDH(D22&amp;" Corp",$N22,$O$17)</f>
        <v>#NAME?</v>
      </c>
      <c r="P22" s="18" t="e" cm="1">
        <f t="array" aca="1" ref="P22" ca="1">_xll.BDH(E22&amp;" Corp",$N22,$O$17)</f>
        <v>#NAME?</v>
      </c>
      <c r="Q22" s="18" t="str">
        <f t="shared" ca="1" si="5"/>
        <v>-</v>
      </c>
      <c r="R22" s="18" t="str">
        <f t="shared" ref="R22:R30" ca="1" si="6">IFERROR(Q22/H22,"-")</f>
        <v>-</v>
      </c>
      <c r="S22" s="18" t="str">
        <f t="shared" ref="S22:S30" ca="1" si="7">IFERROR(M22-R22,"-")</f>
        <v>-</v>
      </c>
      <c r="T22" s="18" t="e" cm="1">
        <f t="array" aca="1" ref="T22" ca="1">_xll.BDH(D22&amp;" Corp",$N22,$T$17)</f>
        <v>#NAME?</v>
      </c>
      <c r="U22" s="18" t="e" cm="1">
        <f t="array" aca="1" ref="U22" ca="1">_xll.BDH(E22&amp;" Corp",$N22,$T$17)</f>
        <v>#NAME?</v>
      </c>
      <c r="V22" s="18" t="str">
        <f t="shared" ref="V22:V30" ca="1" si="8">IFERROR(U22-T22,"-")</f>
        <v>-</v>
      </c>
      <c r="W22" s="18" t="str">
        <f t="shared" ref="W22:W30" ca="1" si="9">IFERROR(V22/H22,"-")</f>
        <v>-</v>
      </c>
      <c r="X22" s="18" t="str">
        <f t="shared" ref="X22:X30" ca="1" si="10">IFERROR(M22-W22,"-")</f>
        <v>-</v>
      </c>
    </row>
    <row r="23" spans="1:28">
      <c r="A23" s="5" t="s">
        <v>50</v>
      </c>
      <c r="B23" s="11" t="str">
        <f>C6</f>
        <v>VW 2.7 PERP nc-22</v>
      </c>
      <c r="C23" s="11" t="str">
        <f>C7</f>
        <v>VW 5 1/8 PERP nc-23</v>
      </c>
      <c r="D23" s="22" t="str">
        <f>_xlfn.XLOOKUP(B23,bonds[unique lookup],bonds[ID_ISIN])</f>
        <v>XS1629658755</v>
      </c>
      <c r="E23" s="22" t="str">
        <f>_xlfn.XLOOKUP(C23,bonds[unique lookup],bonds[ID_ISIN])</f>
        <v>XS0968913342</v>
      </c>
      <c r="F23" s="25">
        <f>_xlfn.XLOOKUP(B23,bonds[unique lookup],bonds[nxt_call_dt])</f>
        <v>44909</v>
      </c>
      <c r="G23" s="25">
        <f>_xlfn.XLOOKUP(C23,bonds[unique lookup],bonds[nxt_call_dt])</f>
        <v>45173</v>
      </c>
      <c r="H23" s="17">
        <f>YEARFRAC(F23,G23)</f>
        <v>0.72222222222222221</v>
      </c>
      <c r="I23" s="12" t="s">
        <v>51</v>
      </c>
      <c r="J23" s="18" cm="1">
        <f t="array" ref="J23">_xll.BDP(D23&amp;" Corp",$I23)</f>
        <v>382.25870535694503</v>
      </c>
      <c r="K23" s="18" cm="1">
        <f t="array" ref="K23">_xll.BDP(E23&amp;" Corp",$I23)</f>
        <v>351.40181428436239</v>
      </c>
      <c r="L23" s="18">
        <f>K23-J23</f>
        <v>-30.856891072582641</v>
      </c>
      <c r="M23" s="18">
        <f>L23/H23</f>
        <v>-42.72492610049904</v>
      </c>
      <c r="N23" s="12" t="s">
        <v>52</v>
      </c>
      <c r="O23" s="18" t="e" cm="1">
        <f t="array" aca="1" ref="O23" ca="1">_xll.BDH(D23&amp;" Corp",$N23,$O$17)</f>
        <v>#NAME?</v>
      </c>
      <c r="P23" s="18" t="e" cm="1">
        <f t="array" aca="1" ref="P23" ca="1">_xll.BDH(E23&amp;" Corp",$N23,$O$17)</f>
        <v>#NAME?</v>
      </c>
      <c r="Q23" s="18" t="str">
        <f t="shared" ca="1" si="5"/>
        <v>-</v>
      </c>
      <c r="R23" s="18" t="str">
        <f t="shared" ca="1" si="6"/>
        <v>-</v>
      </c>
      <c r="S23" s="18" t="str">
        <f t="shared" ca="1" si="7"/>
        <v>-</v>
      </c>
      <c r="T23" s="18" t="e" cm="1">
        <f t="array" aca="1" ref="T23" ca="1">_xll.BDH(D23&amp;" Corp",$N23,$T$17)</f>
        <v>#NAME?</v>
      </c>
      <c r="U23" s="18" t="e" cm="1">
        <f t="array" aca="1" ref="U23" ca="1">_xll.BDH(E23&amp;" Corp",$N23,$T$17)</f>
        <v>#NAME?</v>
      </c>
      <c r="V23" s="18" t="str">
        <f t="shared" ca="1" si="8"/>
        <v>-</v>
      </c>
      <c r="W23" s="18" t="str">
        <f t="shared" ca="1" si="9"/>
        <v>-</v>
      </c>
      <c r="X23" s="18" t="str">
        <f t="shared" ca="1" si="10"/>
        <v>-</v>
      </c>
    </row>
    <row r="24" spans="1:28">
      <c r="A24" s="5" t="s">
        <v>50</v>
      </c>
      <c r="B24" s="11" t="str">
        <f>C7</f>
        <v>VW 5 1/8 PERP nc-23</v>
      </c>
      <c r="C24" s="11" t="str">
        <f>C8</f>
        <v>VW 3 3/8 PERP nc-24</v>
      </c>
      <c r="D24" s="22" t="str">
        <f>_xlfn.XLOOKUP(B24,bonds[unique lookup],bonds[ID_ISIN])</f>
        <v>XS0968913342</v>
      </c>
      <c r="E24" s="22" t="str">
        <f>_xlfn.XLOOKUP(C24,bonds[unique lookup],bonds[ID_ISIN])</f>
        <v>XS1799938995</v>
      </c>
      <c r="F24" s="25">
        <f>_xlfn.XLOOKUP(B24,bonds[unique lookup],bonds[nxt_call_dt])</f>
        <v>45173</v>
      </c>
      <c r="G24" s="25">
        <f>_xlfn.XLOOKUP(C24,bonds[unique lookup],bonds[nxt_call_dt])</f>
        <v>45470</v>
      </c>
      <c r="H24" s="17">
        <f>YEARFRAC(F24,G24)</f>
        <v>0.81388888888888888</v>
      </c>
      <c r="I24" s="12" t="s">
        <v>51</v>
      </c>
      <c r="J24" s="18" cm="1">
        <f t="array" ref="J24">_xll.BDP(D24&amp;" Corp",$I24)</f>
        <v>351.40181428436239</v>
      </c>
      <c r="K24" s="18" cm="1">
        <f t="array" ref="K24">_xll.BDP(E24&amp;" Corp",$I24)</f>
        <v>387.61706267189061</v>
      </c>
      <c r="L24" s="18">
        <f>K24-J24</f>
        <v>36.21524838752822</v>
      </c>
      <c r="M24" s="18">
        <f>L24/H24</f>
        <v>44.496550919829893</v>
      </c>
      <c r="N24" s="12" t="s">
        <v>52</v>
      </c>
      <c r="O24" s="18" t="e" cm="1">
        <f t="array" aca="1" ref="O24" ca="1">_xll.BDH(D24&amp;" Corp",$N24,$O$17)</f>
        <v>#NAME?</v>
      </c>
      <c r="P24" s="18" t="e" cm="1">
        <f t="array" aca="1" ref="P24" ca="1">_xll.BDH(E24&amp;" Corp",$N24,$O$17)</f>
        <v>#NAME?</v>
      </c>
      <c r="Q24" s="18" t="str">
        <f t="shared" ca="1" si="5"/>
        <v>-</v>
      </c>
      <c r="R24" s="18" t="str">
        <f t="shared" ca="1" si="6"/>
        <v>-</v>
      </c>
      <c r="S24" s="18" t="str">
        <f t="shared" ca="1" si="7"/>
        <v>-</v>
      </c>
      <c r="T24" s="18" t="e" cm="1">
        <f t="array" aca="1" ref="T24" ca="1">_xll.BDH(D24&amp;" Corp",$N24,$T$17)</f>
        <v>#NAME?</v>
      </c>
      <c r="U24" s="18" t="e" cm="1">
        <f t="array" aca="1" ref="U24" ca="1">_xll.BDH(E24&amp;" Corp",$N24,$T$17)</f>
        <v>#NAME?</v>
      </c>
      <c r="V24" s="18" t="str">
        <f t="shared" ca="1" si="8"/>
        <v>-</v>
      </c>
      <c r="W24" s="18" t="str">
        <f t="shared" ca="1" si="9"/>
        <v>-</v>
      </c>
      <c r="X24" s="18" t="str">
        <f t="shared" ca="1" si="10"/>
        <v>-</v>
      </c>
    </row>
    <row r="25" spans="1:28">
      <c r="A25" s="5" t="s">
        <v>50</v>
      </c>
      <c r="B25" s="11" t="str">
        <f>C8</f>
        <v>VW 3 3/8 PERP nc-24</v>
      </c>
      <c r="C25" s="11" t="str">
        <f>C9</f>
        <v>VW 3 1/2 PERP nc-25</v>
      </c>
      <c r="D25" s="22" t="str">
        <f>_xlfn.XLOOKUP(B25,bonds[unique lookup],bonds[ID_ISIN])</f>
        <v>XS1799938995</v>
      </c>
      <c r="E25" s="22" t="str">
        <f>_xlfn.XLOOKUP(C25,bonds[unique lookup],bonds[ID_ISIN])</f>
        <v>XS2187689034</v>
      </c>
      <c r="F25" s="25">
        <f>_xlfn.XLOOKUP(B25,bonds[unique lookup],bonds[nxt_call_dt])</f>
        <v>45470</v>
      </c>
      <c r="G25" s="25">
        <f>_xlfn.XLOOKUP(C25,bonds[unique lookup],bonds[nxt_call_dt])</f>
        <v>45825</v>
      </c>
      <c r="H25" s="17">
        <f t="shared" ref="H25:H30" si="11">YEARFRAC(F25,G25)</f>
        <v>0.97222222222222221</v>
      </c>
      <c r="I25" s="12" t="s">
        <v>51</v>
      </c>
      <c r="J25" s="18" cm="1">
        <f t="array" ref="J25">_xll.BDP(D25&amp;" Corp",$I25)</f>
        <v>387.61706267189061</v>
      </c>
      <c r="K25" s="18" cm="1">
        <f t="array" ref="K25">_xll.BDP(E25&amp;" Corp",$I25)</f>
        <v>399.02409370497179</v>
      </c>
      <c r="L25" s="18">
        <f t="shared" ref="L25:L30" si="12">K25-J25</f>
        <v>11.407031033081182</v>
      </c>
      <c r="M25" s="18">
        <f t="shared" ref="M25:M30" si="13">L25/H25</f>
        <v>11.73294620545493</v>
      </c>
      <c r="N25" s="12" t="s">
        <v>52</v>
      </c>
      <c r="O25" s="18" t="e" cm="1">
        <f t="array" aca="1" ref="O25" ca="1">_xll.BDH(D25&amp;" Corp",$N25,$O$17)</f>
        <v>#NAME?</v>
      </c>
      <c r="P25" s="18" t="e" cm="1">
        <f t="array" aca="1" ref="P25" ca="1">_xll.BDH(E25&amp;" Corp",$N25,$O$17)</f>
        <v>#NAME?</v>
      </c>
      <c r="Q25" s="18" t="str">
        <f t="shared" ca="1" si="5"/>
        <v>-</v>
      </c>
      <c r="R25" s="18" t="str">
        <f t="shared" ca="1" si="6"/>
        <v>-</v>
      </c>
      <c r="S25" s="18" t="str">
        <f t="shared" ca="1" si="7"/>
        <v>-</v>
      </c>
      <c r="T25" s="18" t="e" cm="1">
        <f t="array" aca="1" ref="T25" ca="1">_xll.BDH(D25&amp;" Corp",$N25,$T$17)</f>
        <v>#NAME?</v>
      </c>
      <c r="U25" s="18" t="e" cm="1">
        <f t="array" aca="1" ref="U25" ca="1">_xll.BDH(E25&amp;" Corp",$N25,$T$17)</f>
        <v>#NAME?</v>
      </c>
      <c r="V25" s="18" t="str">
        <f t="shared" ca="1" si="8"/>
        <v>-</v>
      </c>
      <c r="W25" s="18" t="str">
        <f t="shared" ca="1" si="9"/>
        <v>-</v>
      </c>
      <c r="X25" s="18" t="str">
        <f t="shared" ca="1" si="10"/>
        <v>-</v>
      </c>
    </row>
    <row r="26" spans="1:28">
      <c r="A26" s="5" t="s">
        <v>50</v>
      </c>
      <c r="B26" s="11" t="str">
        <f>C9</f>
        <v>VW 3 1/2 PERP nc-25</v>
      </c>
      <c r="C26" s="11" t="str">
        <f>C10</f>
        <v>VW 4 5/8 PERP nc-26</v>
      </c>
      <c r="D26" s="22" t="str">
        <f>_xlfn.XLOOKUP(B26,bonds[unique lookup],bonds[ID_ISIN])</f>
        <v>XS2187689034</v>
      </c>
      <c r="E26" s="22" t="str">
        <f>_xlfn.XLOOKUP(C26,bonds[unique lookup],bonds[ID_ISIN])</f>
        <v>XS1048428442</v>
      </c>
      <c r="F26" s="25">
        <f>_xlfn.XLOOKUP(B26,bonds[unique lookup],bonds[nxt_call_dt])</f>
        <v>45825</v>
      </c>
      <c r="G26" s="25">
        <f>_xlfn.XLOOKUP(C26,bonds[unique lookup],bonds[nxt_call_dt])</f>
        <v>46105</v>
      </c>
      <c r="H26" s="17">
        <f t="shared" si="11"/>
        <v>0.76944444444444449</v>
      </c>
      <c r="I26" s="12" t="s">
        <v>51</v>
      </c>
      <c r="J26" s="18" cm="1">
        <f t="array" ref="J26">_xll.BDP(D26&amp;" Corp",$I26)</f>
        <v>399.02409370497179</v>
      </c>
      <c r="K26" s="18" cm="1">
        <f t="array" ref="K26">_xll.BDP(E26&amp;" Corp",$I26)</f>
        <v>399.52029535976709</v>
      </c>
      <c r="L26" s="18">
        <f t="shared" si="12"/>
        <v>0.49620165479529987</v>
      </c>
      <c r="M26" s="18">
        <f t="shared" si="13"/>
        <v>0.64488301706248352</v>
      </c>
      <c r="N26" s="12" t="s">
        <v>52</v>
      </c>
      <c r="O26" s="18" t="e" cm="1">
        <f t="array" aca="1" ref="O26" ca="1">_xll.BDH(D26&amp;" Corp",$N26,$O$17)</f>
        <v>#NAME?</v>
      </c>
      <c r="P26" s="18" t="e" cm="1">
        <f t="array" aca="1" ref="P26" ca="1">_xll.BDH(E26&amp;" Corp",$N26,$O$17)</f>
        <v>#NAME?</v>
      </c>
      <c r="Q26" s="18" t="str">
        <f t="shared" ca="1" si="5"/>
        <v>-</v>
      </c>
      <c r="R26" s="18" t="str">
        <f t="shared" ca="1" si="6"/>
        <v>-</v>
      </c>
      <c r="S26" s="18" t="str">
        <f t="shared" ca="1" si="7"/>
        <v>-</v>
      </c>
      <c r="T26" s="18" t="e" cm="1">
        <f t="array" aca="1" ref="T26" ca="1">_xll.BDH(D26&amp;" Corp",$N26,$T$17)</f>
        <v>#NAME?</v>
      </c>
      <c r="U26" s="18" t="e" cm="1">
        <f t="array" aca="1" ref="U26" ca="1">_xll.BDH(E26&amp;" Corp",$N26,$T$17)</f>
        <v>#NAME?</v>
      </c>
      <c r="V26" s="18" t="str">
        <f t="shared" ca="1" si="8"/>
        <v>-</v>
      </c>
      <c r="W26" s="18" t="str">
        <f t="shared" ca="1" si="9"/>
        <v>-</v>
      </c>
      <c r="X26" s="18" t="str">
        <f t="shared" ca="1" si="10"/>
        <v>-</v>
      </c>
    </row>
    <row r="27" spans="1:28">
      <c r="A27" s="5" t="s">
        <v>50</v>
      </c>
      <c r="B27" s="11" t="str">
        <f>C10</f>
        <v>VW 4 5/8 PERP nc-26</v>
      </c>
      <c r="C27" s="11" t="str">
        <f>C11</f>
        <v>VW 3 7/8 PERP nc-27</v>
      </c>
      <c r="D27" s="22" t="str">
        <f>_xlfn.XLOOKUP(B27,bonds[unique lookup],bonds[ID_ISIN])</f>
        <v>XS1048428442</v>
      </c>
      <c r="E27" s="22" t="str">
        <f>_xlfn.XLOOKUP(C27,bonds[unique lookup],bonds[ID_ISIN])</f>
        <v>XS1629774230</v>
      </c>
      <c r="F27" s="25">
        <f>_xlfn.XLOOKUP(B27,bonds[unique lookup],bonds[nxt_call_dt])</f>
        <v>46105</v>
      </c>
      <c r="G27" s="25">
        <f>_xlfn.XLOOKUP(C27,bonds[unique lookup],bonds[nxt_call_dt])</f>
        <v>46552</v>
      </c>
      <c r="H27" s="17">
        <f t="shared" si="11"/>
        <v>1.2222222222222223</v>
      </c>
      <c r="I27" s="12" t="s">
        <v>51</v>
      </c>
      <c r="J27" s="18" cm="1">
        <f t="array" ref="J27">_xll.BDP(D27&amp;" Corp",$I27)</f>
        <v>399.52029535976709</v>
      </c>
      <c r="K27" s="18" cm="1">
        <f t="array" ref="K27">_xll.BDP(E27&amp;" Corp",$I27)</f>
        <v>410.4075538874157</v>
      </c>
      <c r="L27" s="18">
        <f t="shared" si="12"/>
        <v>10.887258527648612</v>
      </c>
      <c r="M27" s="18">
        <f t="shared" si="13"/>
        <v>8.9077569771670451</v>
      </c>
      <c r="N27" s="12" t="s">
        <v>52</v>
      </c>
      <c r="O27" s="18" t="e" cm="1">
        <f t="array" aca="1" ref="O27" ca="1">_xll.BDH(D27&amp;" Corp",$N27,$O$17)</f>
        <v>#NAME?</v>
      </c>
      <c r="P27" s="18" t="e" cm="1">
        <f t="array" aca="1" ref="P27" ca="1">_xll.BDH(E27&amp;" Corp",$N27,$O$17)</f>
        <v>#NAME?</v>
      </c>
      <c r="Q27" s="18" t="str">
        <f t="shared" ca="1" si="5"/>
        <v>-</v>
      </c>
      <c r="R27" s="18" t="str">
        <f t="shared" ca="1" si="6"/>
        <v>-</v>
      </c>
      <c r="S27" s="18" t="str">
        <f t="shared" ca="1" si="7"/>
        <v>-</v>
      </c>
      <c r="T27" s="18" t="e" cm="1">
        <f t="array" aca="1" ref="T27" ca="1">_xll.BDH(D27&amp;" Corp",$N27,$T$17)</f>
        <v>#NAME?</v>
      </c>
      <c r="U27" s="18" t="e" cm="1">
        <f t="array" aca="1" ref="U27" ca="1">_xll.BDH(E27&amp;" Corp",$N27,$T$17)</f>
        <v>#NAME?</v>
      </c>
      <c r="V27" s="18" t="str">
        <f t="shared" ca="1" si="8"/>
        <v>-</v>
      </c>
      <c r="W27" s="18" t="str">
        <f t="shared" ca="1" si="9"/>
        <v>-</v>
      </c>
      <c r="X27" s="18" t="str">
        <f t="shared" ca="1" si="10"/>
        <v>-</v>
      </c>
    </row>
    <row r="28" spans="1:28">
      <c r="A28" s="5" t="s">
        <v>50</v>
      </c>
      <c r="B28" s="11" t="str">
        <f>C11</f>
        <v>VW 3 7/8 PERP nc-27</v>
      </c>
      <c r="C28" s="11" t="str">
        <f>C12</f>
        <v>VW 4 5/8 PERP nc-28</v>
      </c>
      <c r="D28" s="22" t="str">
        <f>_xlfn.XLOOKUP(B28,bonds[unique lookup],bonds[ID_ISIN])</f>
        <v>XS1629774230</v>
      </c>
      <c r="E28" s="22" t="str">
        <f>_xlfn.XLOOKUP(C28,bonds[unique lookup],bonds[ID_ISIN])</f>
        <v>XS1799939027</v>
      </c>
      <c r="F28" s="25">
        <f>_xlfn.XLOOKUP(B28,bonds[unique lookup],bonds[nxt_call_dt])</f>
        <v>46552</v>
      </c>
      <c r="G28" s="25">
        <f>_xlfn.XLOOKUP(C28,bonds[unique lookup],bonds[nxt_call_dt])</f>
        <v>46931</v>
      </c>
      <c r="H28" s="17">
        <f t="shared" si="11"/>
        <v>1.0361111111111112</v>
      </c>
      <c r="I28" s="12" t="s">
        <v>51</v>
      </c>
      <c r="J28" s="18" cm="1">
        <f t="array" ref="J28">_xll.BDP(D28&amp;" Corp",$I28)</f>
        <v>410.4075538874157</v>
      </c>
      <c r="K28" s="18" cm="1">
        <f t="array" ref="K28">_xll.BDP(E28&amp;" Corp",$I28)</f>
        <v>420.75963428567906</v>
      </c>
      <c r="L28" s="18">
        <f t="shared" si="12"/>
        <v>10.352080398263354</v>
      </c>
      <c r="M28" s="18">
        <f t="shared" si="13"/>
        <v>9.9912840304954607</v>
      </c>
      <c r="N28" s="12" t="s">
        <v>52</v>
      </c>
      <c r="O28" s="18" t="e" cm="1">
        <f t="array" aca="1" ref="O28" ca="1">_xll.BDH(D28&amp;" Corp",$N28,$O$17)</f>
        <v>#NAME?</v>
      </c>
      <c r="P28" s="18" t="e" cm="1">
        <f t="array" aca="1" ref="P28" ca="1">_xll.BDH(E28&amp;" Corp",$N28,$O$17)</f>
        <v>#NAME?</v>
      </c>
      <c r="Q28" s="18" t="str">
        <f t="shared" ref="Q28:Q30" ca="1" si="14">IFERROR(P28-O28,"-")</f>
        <v>-</v>
      </c>
      <c r="R28" s="18" t="str">
        <f t="shared" ca="1" si="6"/>
        <v>-</v>
      </c>
      <c r="S28" s="18" t="str">
        <f t="shared" ca="1" si="7"/>
        <v>-</v>
      </c>
      <c r="T28" s="18" t="e" cm="1">
        <f t="array" aca="1" ref="T28" ca="1">_xll.BDH(D28&amp;" Corp",$N28,$T$17)</f>
        <v>#NAME?</v>
      </c>
      <c r="U28" s="18" t="e" cm="1">
        <f t="array" aca="1" ref="U28" ca="1">_xll.BDH(E28&amp;" Corp",$N28,$T$17)</f>
        <v>#NAME?</v>
      </c>
      <c r="V28" s="18" t="str">
        <f t="shared" ca="1" si="8"/>
        <v>-</v>
      </c>
      <c r="W28" s="18" t="str">
        <f t="shared" ca="1" si="9"/>
        <v>-</v>
      </c>
      <c r="X28" s="18" t="str">
        <f t="shared" ca="1" si="10"/>
        <v>-</v>
      </c>
    </row>
    <row r="29" spans="1:28">
      <c r="A29" s="5" t="s">
        <v>50</v>
      </c>
      <c r="B29" s="11" t="str">
        <f>C12</f>
        <v>VW 4 5/8 PERP nc-28</v>
      </c>
      <c r="C29" s="11" t="str">
        <f>C13</f>
        <v>VW 3 7/8 PERP nc-29</v>
      </c>
      <c r="D29" s="22" t="str">
        <f>_xlfn.XLOOKUP(B29,bonds[unique lookup],bonds[ID_ISIN])</f>
        <v>XS1799939027</v>
      </c>
      <c r="E29" s="22" t="str">
        <f>_xlfn.XLOOKUP(C29,bonds[unique lookup],bonds[ID_ISIN])</f>
        <v>XS2187689380</v>
      </c>
      <c r="F29" s="25">
        <f>_xlfn.XLOOKUP(B29,bonds[unique lookup],bonds[nxt_call_dt])</f>
        <v>46931</v>
      </c>
      <c r="G29" s="25">
        <f>_xlfn.XLOOKUP(C29,bonds[unique lookup],bonds[nxt_call_dt])</f>
        <v>47286</v>
      </c>
      <c r="H29" s="17">
        <f t="shared" si="11"/>
        <v>0.97222222222222221</v>
      </c>
      <c r="I29" s="12" t="s">
        <v>51</v>
      </c>
      <c r="J29" s="18" cm="1">
        <f t="array" ref="J29">_xll.BDP(D29&amp;" Corp",$I29)</f>
        <v>420.75963428567906</v>
      </c>
      <c r="K29" s="18" cm="1">
        <f t="array" ref="K29">_xll.BDP(E29&amp;" Corp",$I29)</f>
        <v>422.73181251914565</v>
      </c>
      <c r="L29" s="18">
        <f t="shared" si="12"/>
        <v>1.9721782334665932</v>
      </c>
      <c r="M29" s="18">
        <f t="shared" si="13"/>
        <v>2.0285261829942103</v>
      </c>
      <c r="N29" s="12" t="s">
        <v>52</v>
      </c>
      <c r="O29" s="18" t="e" cm="1">
        <f t="array" aca="1" ref="O29" ca="1">_xll.BDH(D29&amp;" Corp",$N29,$O$17)</f>
        <v>#NAME?</v>
      </c>
      <c r="P29" s="18" t="e" cm="1">
        <f t="array" aca="1" ref="P29" ca="1">_xll.BDH(E29&amp;" Corp",$N29,$O$17)</f>
        <v>#NAME?</v>
      </c>
      <c r="Q29" s="18" t="str">
        <f t="shared" ca="1" si="14"/>
        <v>-</v>
      </c>
      <c r="R29" s="18" t="str">
        <f t="shared" ca="1" si="6"/>
        <v>-</v>
      </c>
      <c r="S29" s="18" t="str">
        <f t="shared" ca="1" si="7"/>
        <v>-</v>
      </c>
      <c r="T29" s="18" t="e" cm="1">
        <f t="array" aca="1" ref="T29" ca="1">_xll.BDH(D29&amp;" Corp",$N29,$T$17)</f>
        <v>#NAME?</v>
      </c>
      <c r="U29" s="18" t="e" cm="1">
        <f t="array" aca="1" ref="U29" ca="1">_xll.BDH(E29&amp;" Corp",$N29,$T$17)</f>
        <v>#NAME?</v>
      </c>
      <c r="V29" s="18" t="str">
        <f t="shared" ca="1" si="8"/>
        <v>-</v>
      </c>
      <c r="W29" s="18" t="str">
        <f t="shared" ca="1" si="9"/>
        <v>-</v>
      </c>
      <c r="X29" s="18" t="str">
        <f t="shared" ca="1" si="10"/>
        <v>-</v>
      </c>
    </row>
    <row r="30" spans="1:28">
      <c r="A30" s="5" t="s">
        <v>50</v>
      </c>
      <c r="B30" s="11" t="str">
        <f>C13</f>
        <v>VW 3 7/8 PERP nc-29</v>
      </c>
      <c r="C30" s="11" t="str">
        <f>C14</f>
        <v>VW 3 1/2 PERP nc-30</v>
      </c>
      <c r="D30" s="22" t="str">
        <f>_xlfn.XLOOKUP(B30,bonds[unique lookup],bonds[ID_ISIN])</f>
        <v>XS2187689380</v>
      </c>
      <c r="E30" s="22" t="str">
        <f>_xlfn.XLOOKUP(C30,bonds[unique lookup],bonds[ID_ISIN])</f>
        <v>XS1206541366</v>
      </c>
      <c r="F30" s="25">
        <f>_xlfn.XLOOKUP(B30,bonds[unique lookup],bonds[nxt_call_dt])</f>
        <v>47286</v>
      </c>
      <c r="G30" s="25">
        <f>_xlfn.XLOOKUP(C30,bonds[unique lookup],bonds[nxt_call_dt])</f>
        <v>47562</v>
      </c>
      <c r="H30" s="17">
        <f t="shared" si="11"/>
        <v>0.7583333333333333</v>
      </c>
      <c r="I30" s="12" t="s">
        <v>51</v>
      </c>
      <c r="J30" s="18" cm="1">
        <f t="array" ref="J30">_xll.BDP(D30&amp;" Corp",$I30)</f>
        <v>422.73181251914565</v>
      </c>
      <c r="K30" s="18" cm="1">
        <f t="array" ref="K30">_xll.BDP(E30&amp;" Corp",$I30)</f>
        <v>395.40348405531819</v>
      </c>
      <c r="L30" s="18">
        <f t="shared" si="12"/>
        <v>-27.328328463827461</v>
      </c>
      <c r="M30" s="18">
        <f t="shared" si="13"/>
        <v>-36.037356216036216</v>
      </c>
      <c r="N30" s="12" t="s">
        <v>52</v>
      </c>
      <c r="O30" s="18" t="e" cm="1">
        <f t="array" aca="1" ref="O30" ca="1">_xll.BDH(D30&amp;" Corp",$N30,$O$17)</f>
        <v>#NAME?</v>
      </c>
      <c r="P30" s="18" t="e" cm="1">
        <f t="array" aca="1" ref="P30" ca="1">_xll.BDH(E30&amp;" Corp",$N30,$O$17)</f>
        <v>#NAME?</v>
      </c>
      <c r="Q30" s="18" t="str">
        <f t="shared" ca="1" si="14"/>
        <v>-</v>
      </c>
      <c r="R30" s="18" t="str">
        <f t="shared" ca="1" si="6"/>
        <v>-</v>
      </c>
      <c r="S30" s="18" t="str">
        <f t="shared" ca="1" si="7"/>
        <v>-</v>
      </c>
      <c r="T30" s="18" t="e" cm="1">
        <f t="array" aca="1" ref="T30" ca="1">_xll.BDH(D30&amp;" Corp",$N30,$T$17)</f>
        <v>#NAME?</v>
      </c>
      <c r="U30" s="18" t="e" cm="1">
        <f t="array" aca="1" ref="U30" ca="1">_xll.BDH(E30&amp;" Corp",$N30,$T$17)</f>
        <v>#NAME?</v>
      </c>
      <c r="V30" s="18" t="str">
        <f t="shared" ca="1" si="8"/>
        <v>-</v>
      </c>
      <c r="W30" s="18" t="str">
        <f t="shared" ca="1" si="9"/>
        <v>-</v>
      </c>
      <c r="X30" s="18" t="str">
        <f t="shared" ca="1" si="10"/>
        <v>-</v>
      </c>
    </row>
    <row r="33" spans="1:24">
      <c r="G33" s="5" t="s">
        <v>53</v>
      </c>
      <c r="H33" s="17">
        <f>AVERAGE(H21:H30)</f>
        <v>0.89888888888888885</v>
      </c>
      <c r="L33" s="5" t="s">
        <v>53</v>
      </c>
      <c r="M33" s="18">
        <f>AVERAGE(M21:M30)</f>
        <v>12.639534208295114</v>
      </c>
      <c r="R33" s="18" t="e">
        <f ca="1">AVERAGE(R21:R30)</f>
        <v>#DIV/0!</v>
      </c>
      <c r="S33" s="18" t="e">
        <f ca="1">AVERAGE(S21:S30)</f>
        <v>#DIV/0!</v>
      </c>
      <c r="W33" s="18" t="e">
        <f t="shared" ref="W33:X33" ca="1" si="15">AVERAGE(W21:W30)</f>
        <v>#DIV/0!</v>
      </c>
      <c r="X33" s="18" t="e">
        <f t="shared" ca="1" si="15"/>
        <v>#DIV/0!</v>
      </c>
    </row>
    <row r="34" spans="1:24">
      <c r="G34" s="5" t="s">
        <v>24</v>
      </c>
      <c r="H34" s="17">
        <f>_xlfn.STDEV.P(H21:H30)</f>
        <v>0.15639258925955751</v>
      </c>
      <c r="L34" s="5" t="s">
        <v>24</v>
      </c>
      <c r="M34" s="18">
        <f>_xlfn.STDEV.P(M21:M30)</f>
        <v>44.300460202828788</v>
      </c>
      <c r="R34" s="18" t="e">
        <f ca="1">_xlfn.STDEV.P(R21:R30)</f>
        <v>#DIV/0!</v>
      </c>
      <c r="S34" s="18" t="e">
        <f ca="1">_xlfn.STDEV.P(S21:S30)</f>
        <v>#DIV/0!</v>
      </c>
      <c r="W34" s="18" t="e">
        <f t="shared" ref="W34:X34" ca="1" si="16">_xlfn.STDEV.P(W21:W30)</f>
        <v>#DIV/0!</v>
      </c>
      <c r="X34" s="18" t="e">
        <f t="shared" ca="1" si="16"/>
        <v>#DIV/0!</v>
      </c>
    </row>
    <row r="39" spans="1:24" ht="33">
      <c r="B39" s="19" t="s">
        <v>26</v>
      </c>
      <c r="C39" s="19" t="s">
        <v>27</v>
      </c>
      <c r="D39" s="19" t="s">
        <v>28</v>
      </c>
      <c r="E39" s="19" t="s">
        <v>29</v>
      </c>
      <c r="F39" s="19" t="s">
        <v>30</v>
      </c>
      <c r="G39" s="19" t="s">
        <v>31</v>
      </c>
      <c r="H39" s="19" t="s">
        <v>32</v>
      </c>
      <c r="I39" s="20" t="s">
        <v>33</v>
      </c>
      <c r="J39" s="19" t="s">
        <v>4</v>
      </c>
      <c r="K39" s="19" t="s">
        <v>5</v>
      </c>
      <c r="L39" s="19" t="s">
        <v>19</v>
      </c>
      <c r="M39" s="19" t="s">
        <v>34</v>
      </c>
      <c r="N39" s="19" t="s">
        <v>35</v>
      </c>
      <c r="O39" s="19" t="s">
        <v>36</v>
      </c>
      <c r="P39" s="19" t="s">
        <v>37</v>
      </c>
      <c r="Q39" s="19" t="s">
        <v>38</v>
      </c>
      <c r="R39" s="19" t="s">
        <v>39</v>
      </c>
      <c r="S39" s="19" t="s">
        <v>40</v>
      </c>
      <c r="T39" s="19" t="s">
        <v>41</v>
      </c>
      <c r="U39" s="19" t="s">
        <v>42</v>
      </c>
      <c r="V39" s="19" t="s">
        <v>43</v>
      </c>
      <c r="W39" s="19" t="s">
        <v>44</v>
      </c>
      <c r="X39" s="19" t="s">
        <v>45</v>
      </c>
    </row>
    <row r="40" spans="1:24">
      <c r="A40" s="5" t="s">
        <v>54</v>
      </c>
      <c r="B40" s="11" t="str">
        <f>C5</f>
        <v>VW 2 1/2 PERP nc-22</v>
      </c>
      <c r="C40" s="11" t="str">
        <f>C12</f>
        <v>VW 4 5/8 PERP nc-28</v>
      </c>
      <c r="D40" s="22" t="str">
        <f>_xlfn.XLOOKUP(B40,bonds[unique lookup],bonds[ID_ISIN])</f>
        <v>XS1206540806</v>
      </c>
      <c r="E40" s="22" t="str">
        <f>_xlfn.XLOOKUP(C40,bonds[unique lookup],bonds[ID_ISIN])</f>
        <v>XS1799939027</v>
      </c>
      <c r="F40" s="25">
        <f>_xlfn.XLOOKUP(B40,bonds[unique lookup],bonds[nxt_call_dt])</f>
        <v>44640</v>
      </c>
      <c r="G40" s="25">
        <f>_xlfn.XLOOKUP(C40,bonds[unique lookup],bonds[nxt_call_dt])</f>
        <v>46931</v>
      </c>
      <c r="H40" s="17">
        <f>YEARFRAC(F40,G40)</f>
        <v>6.2694444444444448</v>
      </c>
      <c r="I40" s="12" t="s">
        <v>51</v>
      </c>
      <c r="J40" s="18" cm="1">
        <f t="array" ref="J40">_xll.BDP(D40&amp;" Corp",$I40)</f>
        <v>381.02749689995795</v>
      </c>
      <c r="K40" s="18" cm="1">
        <f t="array" ref="K40">_xll.BDP(E40&amp;" Corp",$I40)</f>
        <v>420.75963428567906</v>
      </c>
      <c r="L40" s="18">
        <f>K40-J40</f>
        <v>39.732137385721103</v>
      </c>
      <c r="M40" s="18">
        <f>L40/H40</f>
        <v>6.3374255466812563</v>
      </c>
      <c r="N40" s="12" t="s">
        <v>52</v>
      </c>
      <c r="O40" s="18" t="e" cm="1">
        <f t="array" aca="1" ref="O40" ca="1">_xll.BDH(D40&amp;" Corp",$N40,$O$17)</f>
        <v>#NAME?</v>
      </c>
      <c r="P40" s="18" t="e" cm="1">
        <f t="array" aca="1" ref="P40" ca="1">_xll.BDH(E40&amp;" Corp",$N40,$O$17)</f>
        <v>#NAME?</v>
      </c>
      <c r="Q40" s="18" t="str">
        <f ca="1">IFERROR(P40-O40,"-")</f>
        <v>-</v>
      </c>
      <c r="R40" s="18" t="str">
        <f ca="1">IFERROR(Q40/H40,"-")</f>
        <v>-</v>
      </c>
      <c r="S40" s="18" t="str">
        <f ca="1">IFERROR(M40-R40,"-")</f>
        <v>-</v>
      </c>
      <c r="T40" s="18" t="e" cm="1">
        <f t="array" aca="1" ref="T40" ca="1">_xll.BDH(D40&amp;" Corp",$N40,$T$17)</f>
        <v>#NAME?</v>
      </c>
      <c r="U40" s="18" t="e" cm="1">
        <f t="array" aca="1" ref="U40" ca="1">_xll.BDH(E40&amp;" Corp",$N40,$T$17)</f>
        <v>#NAME?</v>
      </c>
      <c r="V40" s="18" t="str">
        <f ca="1">IFERROR(U40-T40,"-")</f>
        <v>-</v>
      </c>
      <c r="W40" s="18" t="str">
        <f ca="1">IFERROR(V40/H40,"-")</f>
        <v>-</v>
      </c>
      <c r="X40" s="18" t="str">
        <f ca="1">IFERROR(M40-W40,"-")</f>
        <v>-</v>
      </c>
    </row>
    <row r="41" spans="1:24">
      <c r="A41" s="5" t="s">
        <v>54</v>
      </c>
      <c r="B41" s="11" t="str">
        <f>C6</f>
        <v>VW 2.7 PERP nc-22</v>
      </c>
      <c r="C41" s="11" t="str">
        <f>C13</f>
        <v>VW 3 7/8 PERP nc-29</v>
      </c>
      <c r="D41" s="22" t="str">
        <f>_xlfn.XLOOKUP(B41,bonds[unique lookup],bonds[ID_ISIN])</f>
        <v>XS1629658755</v>
      </c>
      <c r="E41" s="22" t="str">
        <f>_xlfn.XLOOKUP(C41,bonds[unique lookup],bonds[ID_ISIN])</f>
        <v>XS2187689380</v>
      </c>
      <c r="F41" s="25">
        <f>_xlfn.XLOOKUP(B41,bonds[unique lookup],bonds[nxt_call_dt])</f>
        <v>44909</v>
      </c>
      <c r="G41" s="25">
        <f>_xlfn.XLOOKUP(C41,bonds[unique lookup],bonds[nxt_call_dt])</f>
        <v>47286</v>
      </c>
      <c r="H41" s="17">
        <f>YEARFRAC(F41,G41)</f>
        <v>6.5083333333333337</v>
      </c>
      <c r="I41" s="12" t="s">
        <v>51</v>
      </c>
      <c r="J41" s="18" cm="1">
        <f t="array" ref="J41">_xll.BDP(D41&amp;" Corp",$I41)</f>
        <v>382.25870535694503</v>
      </c>
      <c r="K41" s="18" cm="1">
        <f t="array" ref="K41">_xll.BDP(E41&amp;" Corp",$I41)</f>
        <v>422.73181251914565</v>
      </c>
      <c r="L41" s="18">
        <f>K41-J41</f>
        <v>40.47310716220062</v>
      </c>
      <c r="M41" s="18">
        <f>L41/H41</f>
        <v>6.2186592310679565</v>
      </c>
      <c r="N41" s="12" t="s">
        <v>52</v>
      </c>
      <c r="O41" s="18" t="e" cm="1">
        <f t="array" aca="1" ref="O41" ca="1">_xll.BDH(D41&amp;" Corp",$N41,$O$17)</f>
        <v>#NAME?</v>
      </c>
      <c r="P41" s="18" t="e" cm="1">
        <f t="array" aca="1" ref="P41" ca="1">_xll.BDH(E41&amp;" Corp",$N41,$O$17)</f>
        <v>#NAME?</v>
      </c>
      <c r="Q41" s="18" t="str">
        <f ca="1">IFERROR(P41-O41,"-")</f>
        <v>-</v>
      </c>
      <c r="R41" s="18" t="str">
        <f ca="1">IFERROR(Q41/H41,"-")</f>
        <v>-</v>
      </c>
      <c r="S41" s="18" t="str">
        <f ca="1">IFERROR(M41-R41,"-")</f>
        <v>-</v>
      </c>
      <c r="T41" s="18" t="e" cm="1">
        <f t="array" aca="1" ref="T41" ca="1">_xll.BDH(D41&amp;" Corp",$N41,$T$17)</f>
        <v>#NAME?</v>
      </c>
      <c r="U41" s="18" t="e" cm="1">
        <f t="array" aca="1" ref="U41" ca="1">_xll.BDH(E41&amp;" Corp",$N41,$T$17)</f>
        <v>#NAME?</v>
      </c>
      <c r="V41" s="18" t="str">
        <f ca="1">IFERROR(U41-T41,"-")</f>
        <v>-</v>
      </c>
      <c r="W41" s="18" t="str">
        <f ca="1">IFERROR(V41/H41,"-")</f>
        <v>-</v>
      </c>
      <c r="X41" s="18" t="str">
        <f ca="1">IFERROR(M41-W41,"-")</f>
        <v>-</v>
      </c>
    </row>
    <row r="43" spans="1:24">
      <c r="A43" s="5" t="s">
        <v>55</v>
      </c>
      <c r="B43" s="11" t="str">
        <f>C10</f>
        <v>VW 4 5/8 PERP nc-26</v>
      </c>
      <c r="C43" s="11" t="str">
        <f>C14</f>
        <v>VW 3 1/2 PERP nc-30</v>
      </c>
      <c r="D43" s="22" t="str">
        <f>_xlfn.XLOOKUP(B43,bonds[unique lookup],bonds[ID_ISIN])</f>
        <v>XS1048428442</v>
      </c>
      <c r="E43" s="22" t="str">
        <f>_xlfn.XLOOKUP(C43,bonds[unique lookup],bonds[ID_ISIN])</f>
        <v>XS1206541366</v>
      </c>
      <c r="F43" s="25">
        <f>_xlfn.XLOOKUP(B43,bonds[unique lookup],bonds[nxt_call_dt])</f>
        <v>46105</v>
      </c>
      <c r="G43" s="25">
        <f>_xlfn.XLOOKUP(C43,bonds[unique lookup],bonds[nxt_call_dt])</f>
        <v>47562</v>
      </c>
      <c r="H43" s="17">
        <f>YEARFRAC(F43,G43)</f>
        <v>3.9888888888888889</v>
      </c>
      <c r="I43" s="12" t="s">
        <v>51</v>
      </c>
      <c r="J43" s="18" cm="1">
        <f t="array" ref="J43">_xll.BDP(D43&amp;" Corp",$I43)</f>
        <v>399.52029535976709</v>
      </c>
      <c r="K43" s="18" cm="1">
        <f t="array" ref="K43">_xll.BDP(E43&amp;" Corp",$I43)</f>
        <v>395.40348405531819</v>
      </c>
      <c r="L43" s="18">
        <f>K43-J43</f>
        <v>-4.1168113044489019</v>
      </c>
      <c r="M43" s="18">
        <f>L43/H43</f>
        <v>-1.0320696863520924</v>
      </c>
      <c r="N43" s="12" t="s">
        <v>52</v>
      </c>
      <c r="O43" s="18" t="e" cm="1">
        <f t="array" aca="1" ref="O43" ca="1">_xll.BDH(D43&amp;" Corp",$N43,$O$17)</f>
        <v>#NAME?</v>
      </c>
      <c r="P43" s="18" t="e" cm="1">
        <f t="array" aca="1" ref="P43" ca="1">_xll.BDH(E43&amp;" Corp",$N43,$O$17)</f>
        <v>#NAME?</v>
      </c>
      <c r="Q43" s="18" t="str">
        <f ca="1">IFERROR(P43-O43,"-")</f>
        <v>-</v>
      </c>
      <c r="R43" s="18" t="str">
        <f ca="1">IFERROR(Q43/H43,"-")</f>
        <v>-</v>
      </c>
      <c r="S43" s="18" t="str">
        <f ca="1">IFERROR(M43-R43,"-")</f>
        <v>-</v>
      </c>
      <c r="T43" s="18" t="e" cm="1">
        <f t="array" aca="1" ref="T43" ca="1">_xll.BDH(D43&amp;" Corp",$N43,$T$17)</f>
        <v>#NAME?</v>
      </c>
      <c r="U43" s="18" t="e" cm="1">
        <f t="array" aca="1" ref="U43" ca="1">_xll.BDH(E43&amp;" Corp",$N43,$T$17)</f>
        <v>#NAME?</v>
      </c>
      <c r="V43" s="18" t="str">
        <f ca="1">IFERROR(U43-T43,"-")</f>
        <v>-</v>
      </c>
      <c r="W43" s="18" t="str">
        <f ca="1">IFERROR(V43/H43,"-")</f>
        <v>-</v>
      </c>
      <c r="X43" s="18" t="str">
        <f ca="1">IFERROR(M43-W43,"-")</f>
        <v>-</v>
      </c>
    </row>
    <row r="50" spans="1:24">
      <c r="B50" s="5" t="s">
        <v>12</v>
      </c>
      <c r="C50" s="11" t="s">
        <v>10</v>
      </c>
    </row>
    <row r="51" spans="1:24" ht="11.1">
      <c r="C51" s="4" t="s">
        <v>13</v>
      </c>
      <c r="D51" s="4" t="s">
        <v>14</v>
      </c>
      <c r="G51" s="5">
        <f>COUNTA(_xlfn.ANCHORARRAY(C52))</f>
        <v>8</v>
      </c>
    </row>
    <row r="52" spans="1:24">
      <c r="C52" s="5" t="str" cm="1">
        <f t="array" ref="C52:C59">_xlfn._xlws.FILTER(bonds[unique lookup],bonds[ticker]=C50)</f>
        <v>TELEFO 3 3/4 PERP nc-22</v>
      </c>
      <c r="D52" s="22" t="str" cm="1">
        <f t="array" ref="D52:D59">_xlfn.XLOOKUP(_xlfn.ANCHORARRAY(C52),bonds[unique lookup],bonds[ID_ISIN])</f>
        <v>XS1490960942</v>
      </c>
    </row>
    <row r="53" spans="1:24">
      <c r="C53" s="5" t="str">
        <v>TELEFO 2 5/8 PERP nc-23</v>
      </c>
      <c r="D53" s="22" t="str">
        <v>XS1731823255</v>
      </c>
    </row>
    <row r="54" spans="1:24">
      <c r="C54" s="5" t="str">
        <v>TELEFO 3 PERP nc-23</v>
      </c>
      <c r="D54" s="22" t="str">
        <v>XS1795406575</v>
      </c>
    </row>
    <row r="55" spans="1:24">
      <c r="C55" s="5" t="str">
        <v>TELEFO 5 7/8 PERP nc-24</v>
      </c>
      <c r="D55" s="22" t="str">
        <v>XS1050461034</v>
      </c>
    </row>
    <row r="56" spans="1:24">
      <c r="C56" s="5" t="str">
        <v>TELEFO 4 3/8 PERP nc-24</v>
      </c>
      <c r="D56" s="22" t="str">
        <v>XS1933828433</v>
      </c>
    </row>
    <row r="57" spans="1:24">
      <c r="C57" s="5" t="str">
        <v>TELEFO 3 7/8 PERP nc-26</v>
      </c>
      <c r="D57" s="22" t="str">
        <v>XS1795406658</v>
      </c>
    </row>
    <row r="58" spans="1:24">
      <c r="C58" s="5" t="str">
        <v>TELEFO 2.502 PERP nc-27</v>
      </c>
      <c r="D58" s="22" t="str">
        <v>XS2109819859</v>
      </c>
    </row>
    <row r="59" spans="1:24">
      <c r="C59" s="5" t="str">
        <v>TELEFO 2 7/8 PERP nc-27</v>
      </c>
      <c r="D59" s="22" t="str">
        <v>XS2056371334</v>
      </c>
    </row>
    <row r="60" spans="1:24">
      <c r="O60" s="23">
        <v>7</v>
      </c>
      <c r="T60" s="23">
        <v>25</v>
      </c>
    </row>
    <row r="61" spans="1:24">
      <c r="O61" s="25">
        <f ca="1">WORKDAY(TODAY(),-O60)</f>
        <v>44004</v>
      </c>
      <c r="T61" s="25">
        <f ca="1">WORKDAY(TODAY(),-T60)</f>
        <v>43978</v>
      </c>
    </row>
    <row r="63" spans="1:24" ht="33">
      <c r="B63" s="19" t="s">
        <v>26</v>
      </c>
      <c r="C63" s="19" t="s">
        <v>27</v>
      </c>
      <c r="D63" s="19" t="s">
        <v>28</v>
      </c>
      <c r="E63" s="19" t="s">
        <v>29</v>
      </c>
      <c r="F63" s="19" t="s">
        <v>30</v>
      </c>
      <c r="G63" s="19" t="s">
        <v>31</v>
      </c>
      <c r="H63" s="19" t="s">
        <v>32</v>
      </c>
      <c r="I63" s="20" t="s">
        <v>33</v>
      </c>
      <c r="J63" s="19" t="s">
        <v>4</v>
      </c>
      <c r="K63" s="19" t="s">
        <v>5</v>
      </c>
      <c r="L63" s="19" t="s">
        <v>19</v>
      </c>
      <c r="M63" s="19" t="s">
        <v>34</v>
      </c>
      <c r="N63" s="19" t="s">
        <v>35</v>
      </c>
      <c r="O63" s="19" t="s">
        <v>36</v>
      </c>
      <c r="P63" s="19" t="s">
        <v>37</v>
      </c>
      <c r="Q63" s="19" t="s">
        <v>38</v>
      </c>
      <c r="R63" s="19" t="s">
        <v>39</v>
      </c>
      <c r="S63" s="19" t="s">
        <v>40</v>
      </c>
      <c r="T63" s="19" t="s">
        <v>41</v>
      </c>
      <c r="U63" s="19" t="s">
        <v>42</v>
      </c>
      <c r="V63" s="19" t="s">
        <v>43</v>
      </c>
      <c r="W63" s="19" t="s">
        <v>44</v>
      </c>
      <c r="X63" s="19" t="s">
        <v>45</v>
      </c>
    </row>
    <row r="64" spans="1:24">
      <c r="A64" s="5" t="s">
        <v>50</v>
      </c>
      <c r="B64" s="11" t="str">
        <f>C52</f>
        <v>TELEFO 3 3/4 PERP nc-22</v>
      </c>
      <c r="C64" s="11" t="str">
        <f>C53</f>
        <v>TELEFO 2 5/8 PERP nc-23</v>
      </c>
      <c r="D64" s="22" t="str">
        <f>_xlfn.XLOOKUP(B64,bonds[unique lookup],bonds[ID_ISIN])</f>
        <v>XS1490960942</v>
      </c>
      <c r="E64" s="22" t="str">
        <f>_xlfn.XLOOKUP(C64,bonds[unique lookup],bonds[ID_ISIN])</f>
        <v>XS1731823255</v>
      </c>
      <c r="F64" s="25">
        <f>_xlfn.XLOOKUP(B64,bonds[unique lookup],bonds[nxt_call_dt])</f>
        <v>44635</v>
      </c>
      <c r="G64" s="25">
        <f>_xlfn.XLOOKUP(C64,bonds[unique lookup],bonds[nxt_call_dt])</f>
        <v>44992</v>
      </c>
      <c r="H64" s="17">
        <f>YEARFRAC(F64,G64)</f>
        <v>0.97777777777777775</v>
      </c>
      <c r="I64" s="12" t="s">
        <v>51</v>
      </c>
      <c r="J64" s="18" cm="1">
        <f t="array" ref="J64">_xll.BDP(D64&amp;" Corp",$I64)</f>
        <v>366.28821605722584</v>
      </c>
      <c r="K64" s="18" cm="1">
        <f t="array" ref="K64">_xll.BDP(E64&amp;" Corp",$I64)</f>
        <v>383.46656922990354</v>
      </c>
      <c r="L64" s="18">
        <f>K64-J64</f>
        <v>17.178353172677703</v>
      </c>
      <c r="M64" s="18">
        <f>L64/H64</f>
        <v>17.568770290238561</v>
      </c>
      <c r="N64" s="12" t="s">
        <v>52</v>
      </c>
      <c r="O64" s="18" t="e" cm="1">
        <f t="array" aca="1" ref="O64" ca="1">_xll.BDH(D64&amp;" Corp",$N64,$O$61)</f>
        <v>#NAME?</v>
      </c>
      <c r="P64" s="18" t="e" cm="1">
        <f t="array" aca="1" ref="P64" ca="1">_xll.BDH(E64&amp;" Corp",$N64,$O$61)</f>
        <v>#NAME?</v>
      </c>
      <c r="Q64" s="18" t="str">
        <f ca="1">IFERROR(P64-O64,"-")</f>
        <v>-</v>
      </c>
      <c r="R64" s="18" t="str">
        <f ca="1">IFERROR(Q64/H64,"-")</f>
        <v>-</v>
      </c>
      <c r="S64" s="18" t="str">
        <f ca="1">IFERROR(M64-R64,"-")</f>
        <v>-</v>
      </c>
      <c r="T64" s="18" t="e" cm="1">
        <f t="array" aca="1" ref="T64" ca="1">_xll.BDH(D64&amp;" Corp",$N64,$T$61)</f>
        <v>#NAME?</v>
      </c>
      <c r="U64" s="18" t="e" cm="1">
        <f t="array" aca="1" ref="U64" ca="1">_xll.BDH(E64&amp;" Corp",$N64,$T$61)</f>
        <v>#NAME?</v>
      </c>
      <c r="V64" s="18" t="str">
        <f ca="1">IFERROR(U64-T64,"-")</f>
        <v>-</v>
      </c>
      <c r="W64" s="18" t="str">
        <f ca="1">IFERROR(V64/H64,"-")</f>
        <v>-</v>
      </c>
      <c r="X64" s="18" t="str">
        <f ca="1">IFERROR(M64-W64,"-")</f>
        <v>-</v>
      </c>
    </row>
    <row r="65" spans="1:24">
      <c r="A65" s="5" t="s">
        <v>50</v>
      </c>
      <c r="B65" s="11" t="str">
        <f t="shared" ref="B65:B70" si="17">C53</f>
        <v>TELEFO 2 5/8 PERP nc-23</v>
      </c>
      <c r="C65" s="11" t="str">
        <f t="shared" ref="C65:C70" si="18">C54</f>
        <v>TELEFO 3 PERP nc-23</v>
      </c>
      <c r="D65" s="22" t="str">
        <f>_xlfn.XLOOKUP(B65,bonds[unique lookup],bonds[ID_ISIN])</f>
        <v>XS1731823255</v>
      </c>
      <c r="E65" s="22" t="str">
        <f>_xlfn.XLOOKUP(C65,bonds[unique lookup],bonds[ID_ISIN])</f>
        <v>XS1795406575</v>
      </c>
      <c r="F65" s="25">
        <f>_xlfn.XLOOKUP(B65,bonds[unique lookup],bonds[nxt_call_dt])</f>
        <v>44992</v>
      </c>
      <c r="G65" s="25">
        <f>_xlfn.XLOOKUP(C65,bonds[unique lookup],bonds[nxt_call_dt])</f>
        <v>45173</v>
      </c>
      <c r="H65" s="17">
        <f t="shared" ref="H65:H70" si="19">YEARFRAC(F65,G65)</f>
        <v>0.49166666666666664</v>
      </c>
      <c r="I65" s="12" t="s">
        <v>51</v>
      </c>
      <c r="J65" s="18" cm="1">
        <f t="array" ref="J65">_xll.BDP(D65&amp;" Corp",$I65)</f>
        <v>383.46656922990354</v>
      </c>
      <c r="K65" s="18" cm="1">
        <f t="array" ref="K65">_xll.BDP(E65&amp;" Corp",$I65)</f>
        <v>394.73475961624416</v>
      </c>
      <c r="L65" s="18">
        <f t="shared" ref="L65:L70" si="20">K65-J65</f>
        <v>11.268190386340621</v>
      </c>
      <c r="M65" s="18">
        <f t="shared" ref="M65:M70" si="21">L65/H65</f>
        <v>22.918353328150417</v>
      </c>
      <c r="N65" s="12" t="s">
        <v>52</v>
      </c>
      <c r="O65" s="18" t="e" cm="1">
        <f t="array" aca="1" ref="O65" ca="1">_xll.BDH(D65&amp;" Corp",$N65,$O$61)</f>
        <v>#NAME?</v>
      </c>
      <c r="P65" s="18" t="e" cm="1">
        <f t="array" aca="1" ref="P65" ca="1">_xll.BDH(E65&amp;" Corp",$N65,$O$61)</f>
        <v>#NAME?</v>
      </c>
      <c r="Q65" s="18" t="str">
        <f t="shared" ref="Q65:Q70" ca="1" si="22">IFERROR(P65-O65,"-")</f>
        <v>-</v>
      </c>
      <c r="R65" s="18" t="str">
        <f t="shared" ref="R65:R70" ca="1" si="23">IFERROR(Q65/H65,"-")</f>
        <v>-</v>
      </c>
      <c r="S65" s="18" t="str">
        <f t="shared" ref="S65:S70" ca="1" si="24">IFERROR(M65-R65,"-")</f>
        <v>-</v>
      </c>
      <c r="T65" s="18" t="e" cm="1">
        <f t="array" aca="1" ref="T65" ca="1">_xll.BDH(D65&amp;" Corp",$N65,$T$61)</f>
        <v>#NAME?</v>
      </c>
      <c r="U65" s="18" t="e" cm="1">
        <f t="array" aca="1" ref="U65" ca="1">_xll.BDH(E65&amp;" Corp",$N65,$T$61)</f>
        <v>#NAME?</v>
      </c>
      <c r="V65" s="18" t="str">
        <f t="shared" ref="V65:V70" ca="1" si="25">IFERROR(U65-T65,"-")</f>
        <v>-</v>
      </c>
      <c r="W65" s="18" t="str">
        <f t="shared" ref="W65:W70" ca="1" si="26">IFERROR(V65/H65,"-")</f>
        <v>-</v>
      </c>
      <c r="X65" s="18" t="str">
        <f t="shared" ref="X65:X70" ca="1" si="27">IFERROR(M65-W65,"-")</f>
        <v>-</v>
      </c>
    </row>
    <row r="66" spans="1:24">
      <c r="A66" s="5" t="s">
        <v>50</v>
      </c>
      <c r="B66" s="11" t="str">
        <f t="shared" si="17"/>
        <v>TELEFO 3 PERP nc-23</v>
      </c>
      <c r="C66" s="11" t="str">
        <f t="shared" si="18"/>
        <v>TELEFO 5 7/8 PERP nc-24</v>
      </c>
      <c r="D66" s="22" t="str">
        <f>_xlfn.XLOOKUP(B66,bonds[unique lookup],bonds[ID_ISIN])</f>
        <v>XS1795406575</v>
      </c>
      <c r="E66" s="22" t="str">
        <f>_xlfn.XLOOKUP(C66,bonds[unique lookup],bonds[ID_ISIN])</f>
        <v>XS1050461034</v>
      </c>
      <c r="F66" s="25">
        <f>_xlfn.XLOOKUP(B66,bonds[unique lookup],bonds[nxt_call_dt])</f>
        <v>45173</v>
      </c>
      <c r="G66" s="25">
        <f>_xlfn.XLOOKUP(C66,bonds[unique lookup],bonds[nxt_call_dt])</f>
        <v>45382</v>
      </c>
      <c r="H66" s="17">
        <f t="shared" si="19"/>
        <v>0.57499999999999996</v>
      </c>
      <c r="I66" s="12" t="s">
        <v>51</v>
      </c>
      <c r="J66" s="18" cm="1">
        <f t="array" ref="J66">_xll.BDP(D66&amp;" Corp",$I66)</f>
        <v>394.73475961624416</v>
      </c>
      <c r="K66" s="18" cm="1">
        <f t="array" ref="K66">_xll.BDP(E66&amp;" Corp",$I66)</f>
        <v>374.94167617181466</v>
      </c>
      <c r="L66" s="18">
        <f t="shared" si="20"/>
        <v>-19.793083444429499</v>
      </c>
      <c r="M66" s="18">
        <f t="shared" si="21"/>
        <v>-34.42275381639913</v>
      </c>
      <c r="N66" s="12" t="s">
        <v>52</v>
      </c>
      <c r="O66" s="18" t="e" cm="1">
        <f t="array" aca="1" ref="O66" ca="1">_xll.BDH(D66&amp;" Corp",$N66,$O$61)</f>
        <v>#NAME?</v>
      </c>
      <c r="P66" s="18" t="e" cm="1">
        <f t="array" aca="1" ref="P66" ca="1">_xll.BDH(E66&amp;" Corp",$N66,$O$61)</f>
        <v>#NAME?</v>
      </c>
      <c r="Q66" s="18" t="str">
        <f t="shared" ca="1" si="22"/>
        <v>-</v>
      </c>
      <c r="R66" s="18" t="str">
        <f t="shared" ca="1" si="23"/>
        <v>-</v>
      </c>
      <c r="S66" s="18" t="str">
        <f t="shared" ca="1" si="24"/>
        <v>-</v>
      </c>
      <c r="T66" s="18" t="e" cm="1">
        <f t="array" aca="1" ref="T66" ca="1">_xll.BDH(D66&amp;" Corp",$N66,$T$61)</f>
        <v>#NAME?</v>
      </c>
      <c r="U66" s="18" t="e" cm="1">
        <f t="array" aca="1" ref="U66" ca="1">_xll.BDH(E66&amp;" Corp",$N66,$T$61)</f>
        <v>#NAME?</v>
      </c>
      <c r="V66" s="18" t="str">
        <f t="shared" ca="1" si="25"/>
        <v>-</v>
      </c>
      <c r="W66" s="18" t="str">
        <f t="shared" ca="1" si="26"/>
        <v>-</v>
      </c>
      <c r="X66" s="18" t="str">
        <f t="shared" ca="1" si="27"/>
        <v>-</v>
      </c>
    </row>
    <row r="67" spans="1:24">
      <c r="A67" s="5" t="s">
        <v>50</v>
      </c>
      <c r="B67" s="11" t="str">
        <f t="shared" si="17"/>
        <v>TELEFO 5 7/8 PERP nc-24</v>
      </c>
      <c r="C67" s="11" t="str">
        <f t="shared" si="18"/>
        <v>TELEFO 4 3/8 PERP nc-24</v>
      </c>
      <c r="D67" s="22" t="str">
        <f>_xlfn.XLOOKUP(B67,bonds[unique lookup],bonds[ID_ISIN])</f>
        <v>XS1050461034</v>
      </c>
      <c r="E67" s="22" t="str">
        <f>_xlfn.XLOOKUP(C67,bonds[unique lookup],bonds[ID_ISIN])</f>
        <v>XS1933828433</v>
      </c>
      <c r="F67" s="25">
        <f>_xlfn.XLOOKUP(B67,bonds[unique lookup],bonds[nxt_call_dt])</f>
        <v>45382</v>
      </c>
      <c r="G67" s="25">
        <f>_xlfn.XLOOKUP(C67,bonds[unique lookup],bonds[nxt_call_dt])</f>
        <v>45640</v>
      </c>
      <c r="H67" s="17">
        <f t="shared" si="19"/>
        <v>0.7055555555555556</v>
      </c>
      <c r="I67" s="12" t="s">
        <v>51</v>
      </c>
      <c r="J67" s="18" cm="1">
        <f t="array" ref="J67">_xll.BDP(D67&amp;" Corp",$I67)</f>
        <v>374.94167617181466</v>
      </c>
      <c r="K67" s="18" cm="1">
        <f t="array" ref="K67">_xll.BDP(E67&amp;" Corp",$I67)</f>
        <v>383.97053162966097</v>
      </c>
      <c r="L67" s="18">
        <f t="shared" si="20"/>
        <v>9.0288554578463049</v>
      </c>
      <c r="M67" s="18">
        <f t="shared" si="21"/>
        <v>12.796803011120746</v>
      </c>
      <c r="N67" s="12" t="s">
        <v>52</v>
      </c>
      <c r="O67" s="18" t="e" cm="1">
        <f t="array" aca="1" ref="O67" ca="1">_xll.BDH(D67&amp;" Corp",$N67,$O$61)</f>
        <v>#NAME?</v>
      </c>
      <c r="P67" s="18" t="e" cm="1">
        <f t="array" aca="1" ref="P67" ca="1">_xll.BDH(E67&amp;" Corp",$N67,$O$61)</f>
        <v>#NAME?</v>
      </c>
      <c r="Q67" s="18" t="str">
        <f t="shared" ca="1" si="22"/>
        <v>-</v>
      </c>
      <c r="R67" s="18" t="str">
        <f t="shared" ca="1" si="23"/>
        <v>-</v>
      </c>
      <c r="S67" s="18" t="str">
        <f t="shared" ca="1" si="24"/>
        <v>-</v>
      </c>
      <c r="T67" s="18" t="e" cm="1">
        <f t="array" aca="1" ref="T67" ca="1">_xll.BDH(D67&amp;" Corp",$N67,$T$61)</f>
        <v>#NAME?</v>
      </c>
      <c r="U67" s="18" t="e" cm="1">
        <f t="array" aca="1" ref="U67" ca="1">_xll.BDH(E67&amp;" Corp",$N67,$T$61)</f>
        <v>#NAME?</v>
      </c>
      <c r="V67" s="18" t="str">
        <f t="shared" ca="1" si="25"/>
        <v>-</v>
      </c>
      <c r="W67" s="18" t="str">
        <f t="shared" ca="1" si="26"/>
        <v>-</v>
      </c>
      <c r="X67" s="18" t="str">
        <f t="shared" ca="1" si="27"/>
        <v>-</v>
      </c>
    </row>
    <row r="68" spans="1:24">
      <c r="A68" s="5" t="s">
        <v>50</v>
      </c>
      <c r="B68" s="11" t="str">
        <f t="shared" si="17"/>
        <v>TELEFO 4 3/8 PERP nc-24</v>
      </c>
      <c r="C68" s="11" t="str">
        <f t="shared" si="18"/>
        <v>TELEFO 3 7/8 PERP nc-26</v>
      </c>
      <c r="D68" s="22" t="str">
        <f>_xlfn.XLOOKUP(B68,bonds[unique lookup],bonds[ID_ISIN])</f>
        <v>XS1933828433</v>
      </c>
      <c r="E68" s="22" t="str">
        <f>_xlfn.XLOOKUP(C68,bonds[unique lookup],bonds[ID_ISIN])</f>
        <v>XS1795406658</v>
      </c>
      <c r="F68" s="25">
        <f>_xlfn.XLOOKUP(B68,bonds[unique lookup],bonds[nxt_call_dt])</f>
        <v>45640</v>
      </c>
      <c r="G68" s="25">
        <f>_xlfn.XLOOKUP(C68,bonds[unique lookup],bonds[nxt_call_dt])</f>
        <v>46195</v>
      </c>
      <c r="H68" s="17">
        <f t="shared" si="19"/>
        <v>1.5222222222222221</v>
      </c>
      <c r="I68" s="12" t="s">
        <v>51</v>
      </c>
      <c r="J68" s="18" cm="1">
        <f t="array" ref="J68">_xll.BDP(D68&amp;" Corp",$I68)</f>
        <v>383.97053162966097</v>
      </c>
      <c r="K68" s="18" cm="1">
        <f t="array" ref="K68">_xll.BDP(E68&amp;" Corp",$I68)</f>
        <v>409.32201069316233</v>
      </c>
      <c r="L68" s="18">
        <f t="shared" si="20"/>
        <v>25.351479063501358</v>
      </c>
      <c r="M68" s="18">
        <f t="shared" si="21"/>
        <v>16.654256319088486</v>
      </c>
      <c r="N68" s="12" t="s">
        <v>52</v>
      </c>
      <c r="O68" s="18" t="e" cm="1">
        <f t="array" aca="1" ref="O68" ca="1">_xll.BDH(D68&amp;" Corp",$N68,$O$61)</f>
        <v>#NAME?</v>
      </c>
      <c r="P68" s="18" t="e" cm="1">
        <f t="array" aca="1" ref="P68" ca="1">_xll.BDH(E68&amp;" Corp",$N68,$O$61)</f>
        <v>#NAME?</v>
      </c>
      <c r="Q68" s="18" t="str">
        <f t="shared" ca="1" si="22"/>
        <v>-</v>
      </c>
      <c r="R68" s="18" t="str">
        <f t="shared" ca="1" si="23"/>
        <v>-</v>
      </c>
      <c r="S68" s="18" t="str">
        <f t="shared" ca="1" si="24"/>
        <v>-</v>
      </c>
      <c r="T68" s="18" t="e" cm="1">
        <f t="array" aca="1" ref="T68" ca="1">_xll.BDH(D68&amp;" Corp",$N68,$T$61)</f>
        <v>#NAME?</v>
      </c>
      <c r="U68" s="18" t="e" cm="1">
        <f t="array" aca="1" ref="U68" ca="1">_xll.BDH(E68&amp;" Corp",$N68,$T$61)</f>
        <v>#NAME?</v>
      </c>
      <c r="V68" s="18" t="str">
        <f t="shared" ca="1" si="25"/>
        <v>-</v>
      </c>
      <c r="W68" s="18" t="str">
        <f t="shared" ca="1" si="26"/>
        <v>-</v>
      </c>
      <c r="X68" s="18" t="str">
        <f t="shared" ca="1" si="27"/>
        <v>-</v>
      </c>
    </row>
    <row r="69" spans="1:24">
      <c r="A69" s="5" t="s">
        <v>50</v>
      </c>
      <c r="B69" s="11" t="str">
        <f t="shared" si="17"/>
        <v>TELEFO 3 7/8 PERP nc-26</v>
      </c>
      <c r="C69" s="11" t="str">
        <f t="shared" si="18"/>
        <v>TELEFO 2.502 PERP nc-27</v>
      </c>
      <c r="D69" s="22" t="str">
        <f>_xlfn.XLOOKUP(B69,bonds[unique lookup],bonds[ID_ISIN])</f>
        <v>XS1795406658</v>
      </c>
      <c r="E69" s="22" t="str">
        <f>_xlfn.XLOOKUP(C69,bonds[unique lookup],bonds[ID_ISIN])</f>
        <v>XS2109819859</v>
      </c>
      <c r="F69" s="25">
        <f>_xlfn.XLOOKUP(B69,bonds[unique lookup],bonds[nxt_call_dt])</f>
        <v>46195</v>
      </c>
      <c r="G69" s="25">
        <f>_xlfn.XLOOKUP(C69,bonds[unique lookup],bonds[nxt_call_dt])</f>
        <v>46423</v>
      </c>
      <c r="H69" s="17">
        <f t="shared" si="19"/>
        <v>0.61944444444444446</v>
      </c>
      <c r="I69" s="12" t="s">
        <v>51</v>
      </c>
      <c r="J69" s="18" cm="1">
        <f t="array" ref="J69">_xll.BDP(D69&amp;" Corp",$I69)</f>
        <v>409.32201069316233</v>
      </c>
      <c r="K69" s="18" cm="1">
        <f t="array" ref="K69">_xll.BDP(E69&amp;" Corp",$I69)</f>
        <v>363.02300520112914</v>
      </c>
      <c r="L69" s="18">
        <f t="shared" si="20"/>
        <v>-46.299005492033189</v>
      </c>
      <c r="M69" s="18">
        <f t="shared" si="21"/>
        <v>-74.742789135120844</v>
      </c>
      <c r="N69" s="12" t="s">
        <v>52</v>
      </c>
      <c r="O69" s="18" t="e" cm="1">
        <f t="array" aca="1" ref="O69" ca="1">_xll.BDH(D69&amp;" Corp",$N69,$O$61)</f>
        <v>#NAME?</v>
      </c>
      <c r="P69" s="18" t="e" cm="1">
        <f t="array" aca="1" ref="P69" ca="1">_xll.BDH(E69&amp;" Corp",$N69,$O$61)</f>
        <v>#NAME?</v>
      </c>
      <c r="Q69" s="18" t="str">
        <f t="shared" ca="1" si="22"/>
        <v>-</v>
      </c>
      <c r="R69" s="18" t="str">
        <f t="shared" ca="1" si="23"/>
        <v>-</v>
      </c>
      <c r="S69" s="18" t="str">
        <f t="shared" ca="1" si="24"/>
        <v>-</v>
      </c>
      <c r="T69" s="18" t="e" cm="1">
        <f t="array" aca="1" ref="T69" ca="1">_xll.BDH(D69&amp;" Corp",$N69,$T$61)</f>
        <v>#NAME?</v>
      </c>
      <c r="U69" s="18" t="e" cm="1">
        <f t="array" aca="1" ref="U69" ca="1">_xll.BDH(E69&amp;" Corp",$N69,$T$61)</f>
        <v>#NAME?</v>
      </c>
      <c r="V69" s="18" t="str">
        <f t="shared" ca="1" si="25"/>
        <v>-</v>
      </c>
      <c r="W69" s="18" t="str">
        <f t="shared" ca="1" si="26"/>
        <v>-</v>
      </c>
      <c r="X69" s="18" t="str">
        <f t="shared" ca="1" si="27"/>
        <v>-</v>
      </c>
    </row>
    <row r="70" spans="1:24">
      <c r="A70" s="5" t="s">
        <v>50</v>
      </c>
      <c r="B70" s="11" t="str">
        <f t="shared" si="17"/>
        <v>TELEFO 2.502 PERP nc-27</v>
      </c>
      <c r="C70" s="11" t="str">
        <f t="shared" si="18"/>
        <v>TELEFO 2 7/8 PERP nc-27</v>
      </c>
      <c r="D70" s="22" t="str">
        <f>_xlfn.XLOOKUP(B70,bonds[unique lookup],bonds[ID_ISIN])</f>
        <v>XS2109819859</v>
      </c>
      <c r="E70" s="22" t="str">
        <f>_xlfn.XLOOKUP(C70,bonds[unique lookup],bonds[ID_ISIN])</f>
        <v>XS2056371334</v>
      </c>
      <c r="F70" s="25">
        <f>_xlfn.XLOOKUP(B70,bonds[unique lookup],bonds[nxt_call_dt])</f>
        <v>46423</v>
      </c>
      <c r="G70" s="25">
        <f>_xlfn.XLOOKUP(C70,bonds[unique lookup],bonds[nxt_call_dt])</f>
        <v>46562</v>
      </c>
      <c r="H70" s="17">
        <f t="shared" si="19"/>
        <v>0.38611111111111113</v>
      </c>
      <c r="I70" s="12" t="s">
        <v>51</v>
      </c>
      <c r="J70" s="18" cm="1">
        <f t="array" ref="J70">_xll.BDP(D70&amp;" Corp",$I70)</f>
        <v>363.02300520112914</v>
      </c>
      <c r="K70" s="18" cm="1">
        <f t="array" ref="K70">_xll.BDP(E70&amp;" Corp",$I70)</f>
        <v>387.22448287297647</v>
      </c>
      <c r="L70" s="18">
        <f t="shared" si="20"/>
        <v>24.201477671847329</v>
      </c>
      <c r="M70" s="18">
        <f t="shared" si="21"/>
        <v>62.680086056583008</v>
      </c>
      <c r="N70" s="12" t="s">
        <v>52</v>
      </c>
      <c r="O70" s="18" t="e" cm="1">
        <f t="array" aca="1" ref="O70" ca="1">_xll.BDH(D70&amp;" Corp",$N70,$O$61)</f>
        <v>#NAME?</v>
      </c>
      <c r="P70" s="18" t="e" cm="1">
        <f t="array" aca="1" ref="P70" ca="1">_xll.BDH(E70&amp;" Corp",$N70,$O$61)</f>
        <v>#NAME?</v>
      </c>
      <c r="Q70" s="18" t="str">
        <f t="shared" ca="1" si="22"/>
        <v>-</v>
      </c>
      <c r="R70" s="18" t="str">
        <f t="shared" ca="1" si="23"/>
        <v>-</v>
      </c>
      <c r="S70" s="18" t="str">
        <f t="shared" ca="1" si="24"/>
        <v>-</v>
      </c>
      <c r="T70" s="18" t="e" cm="1">
        <f t="array" aca="1" ref="T70" ca="1">_xll.BDH(D70&amp;" Corp",$N70,$T$61)</f>
        <v>#NAME?</v>
      </c>
      <c r="U70" s="18" t="e" cm="1">
        <f t="array" aca="1" ref="U70" ca="1">_xll.BDH(E70&amp;" Corp",$N70,$T$61)</f>
        <v>#NAME?</v>
      </c>
      <c r="V70" s="18" t="str">
        <f t="shared" ca="1" si="25"/>
        <v>-</v>
      </c>
      <c r="W70" s="18" t="str">
        <f t="shared" ca="1" si="26"/>
        <v>-</v>
      </c>
      <c r="X70" s="18" t="str">
        <f t="shared" ca="1" si="27"/>
        <v>-</v>
      </c>
    </row>
    <row r="72" spans="1:24">
      <c r="G72" s="5" t="s">
        <v>53</v>
      </c>
      <c r="H72" s="17">
        <f>AVERAGE(H64:H70)</f>
        <v>0.75396825396825395</v>
      </c>
      <c r="M72" s="18">
        <f>AVERAGE(M64:M70)</f>
        <v>3.3503894362373194</v>
      </c>
      <c r="R72" s="18" t="e">
        <f t="shared" ref="R72:S72" ca="1" si="28">AVERAGE(R64:R70)</f>
        <v>#DIV/0!</v>
      </c>
      <c r="S72" s="18" t="e">
        <f t="shared" ca="1" si="28"/>
        <v>#DIV/0!</v>
      </c>
      <c r="W72" s="18" t="e">
        <f t="shared" ref="W72:X72" ca="1" si="29">AVERAGE(W64:W70)</f>
        <v>#DIV/0!</v>
      </c>
      <c r="X72" s="18" t="e">
        <f t="shared" ca="1" si="29"/>
        <v>#DIV/0!</v>
      </c>
    </row>
    <row r="73" spans="1:24">
      <c r="G73" s="5" t="s">
        <v>56</v>
      </c>
      <c r="H73" s="17">
        <f>_xlfn.STDEV.P(H64:H70)</f>
        <v>0.35794970587711855</v>
      </c>
      <c r="M73" s="18">
        <f>_xlfn.STDEV.P(M64:M70)</f>
        <v>41.225274771801089</v>
      </c>
      <c r="R73" s="18" t="e">
        <f t="shared" ref="R73:S73" ca="1" si="30">_xlfn.STDEV.P(R64:R70)</f>
        <v>#DIV/0!</v>
      </c>
      <c r="S73" s="18" t="e">
        <f t="shared" ca="1" si="30"/>
        <v>#DIV/0!</v>
      </c>
      <c r="W73" s="18" t="e">
        <f t="shared" ref="W73:X73" ca="1" si="31">_xlfn.STDEV.P(W64:W70)</f>
        <v>#DIV/0!</v>
      </c>
      <c r="X73" s="18" t="e">
        <f t="shared" ca="1" si="31"/>
        <v>#DIV/0!</v>
      </c>
    </row>
    <row r="75" spans="1:24">
      <c r="A75" s="5" t="s">
        <v>54</v>
      </c>
      <c r="B75" s="11" t="str">
        <f>C53</f>
        <v>TELEFO 2 5/8 PERP nc-23</v>
      </c>
      <c r="C75" s="11" t="str">
        <f>C57</f>
        <v>TELEFO 3 7/8 PERP nc-26</v>
      </c>
      <c r="D75" s="22" t="str">
        <f>_xlfn.XLOOKUP(B75,bonds[unique lookup],bonds[ID_ISIN])</f>
        <v>XS1731823255</v>
      </c>
      <c r="E75" s="22" t="str">
        <f>_xlfn.XLOOKUP(C75,bonds[unique lookup],bonds[ID_ISIN])</f>
        <v>XS1795406658</v>
      </c>
      <c r="F75" s="25">
        <f>_xlfn.XLOOKUP(B75,bonds[unique lookup],bonds[nxt_call_dt])</f>
        <v>44992</v>
      </c>
      <c r="G75" s="25">
        <f>_xlfn.XLOOKUP(C75,bonds[unique lookup],bonds[nxt_call_dt])</f>
        <v>46195</v>
      </c>
      <c r="H75" s="17">
        <f>YEARFRAC(F75,G75)</f>
        <v>3.2916666666666665</v>
      </c>
      <c r="I75" s="12" t="s">
        <v>51</v>
      </c>
      <c r="J75" s="18" cm="1">
        <f t="array" ref="J75">_xll.BDP(D75&amp;" Corp",$I75)</f>
        <v>383.46656922990354</v>
      </c>
      <c r="K75" s="18" cm="1">
        <f t="array" ref="K75">_xll.BDP(E75&amp;" Corp",$I75)</f>
        <v>409.32201069316233</v>
      </c>
      <c r="L75" s="18">
        <f>K75-J75</f>
        <v>25.855441463258785</v>
      </c>
      <c r="M75" s="18">
        <f>L75/H75</f>
        <v>7.8548176597241879</v>
      </c>
      <c r="N75" s="12" t="s">
        <v>52</v>
      </c>
      <c r="O75" s="18" t="e" cm="1">
        <f t="array" aca="1" ref="O75" ca="1">_xll.BDH(D75&amp;" Corp",$N75,$O$17)</f>
        <v>#NAME?</v>
      </c>
      <c r="P75" s="18" t="e" cm="1">
        <f t="array" aca="1" ref="P75" ca="1">_xll.BDH(E75&amp;" Corp",$N75,$O$17)</f>
        <v>#NAME?</v>
      </c>
      <c r="Q75" s="18" t="str">
        <f ca="1">IFERROR(P75-O75,"-")</f>
        <v>-</v>
      </c>
      <c r="R75" s="18" t="str">
        <f ca="1">IFERROR(Q75/H75,"-")</f>
        <v>-</v>
      </c>
      <c r="S75" s="18" t="str">
        <f ca="1">IFERROR(M75-R75,"-")</f>
        <v>-</v>
      </c>
      <c r="T75" s="18" t="e" cm="1">
        <f t="array" aca="1" ref="T75" ca="1">_xll.BDH(D75&amp;" Corp",$N75,$T$17)</f>
        <v>#NAME?</v>
      </c>
      <c r="U75" s="18" t="e" cm="1">
        <f t="array" aca="1" ref="U75" ca="1">_xll.BDH(E75&amp;" Corp",$N75,$T$17)</f>
        <v>#NAME?</v>
      </c>
      <c r="V75" s="18" t="str">
        <f ca="1">IFERROR(U75-T75,"-")</f>
        <v>-</v>
      </c>
      <c r="W75" s="18" t="str">
        <f ca="1">IFERROR(V75/H75,"-")</f>
        <v>-</v>
      </c>
      <c r="X75" s="18" t="str">
        <f ca="1">IFERROR(M75-W75,"-")</f>
        <v>-</v>
      </c>
    </row>
    <row r="76" spans="1:24">
      <c r="A76" s="5" t="s">
        <v>54</v>
      </c>
      <c r="B76" s="11" t="str">
        <f>C54</f>
        <v>TELEFO 3 PERP nc-23</v>
      </c>
      <c r="C76" s="11" t="str">
        <f>C59</f>
        <v>TELEFO 2 7/8 PERP nc-27</v>
      </c>
      <c r="D76" s="22" t="str">
        <f>_xlfn.XLOOKUP(B76,bonds[unique lookup],bonds[ID_ISIN])</f>
        <v>XS1795406575</v>
      </c>
      <c r="E76" s="22" t="str">
        <f>_xlfn.XLOOKUP(C76,bonds[unique lookup],bonds[ID_ISIN])</f>
        <v>XS2056371334</v>
      </c>
      <c r="F76" s="25">
        <f>_xlfn.XLOOKUP(B76,bonds[unique lookup],bonds[nxt_call_dt])</f>
        <v>45173</v>
      </c>
      <c r="G76" s="25">
        <f>_xlfn.XLOOKUP(C76,bonds[unique lookup],bonds[nxt_call_dt])</f>
        <v>46562</v>
      </c>
      <c r="H76" s="17">
        <f>YEARFRAC(F76,G76)</f>
        <v>3.8055555555555554</v>
      </c>
      <c r="I76" s="12" t="s">
        <v>51</v>
      </c>
      <c r="J76" s="18" cm="1">
        <f t="array" ref="J76">_xll.BDP(D76&amp;" Corp",$I76)</f>
        <v>394.73475961624416</v>
      </c>
      <c r="K76" s="18" cm="1">
        <f t="array" ref="K76">_xll.BDP(E76&amp;" Corp",$I76)</f>
        <v>387.22448287297647</v>
      </c>
      <c r="L76" s="18">
        <f>K76-J76</f>
        <v>-7.5102767432676956</v>
      </c>
      <c r="M76" s="18">
        <f>L76/H76</f>
        <v>-1.9735033777929711</v>
      </c>
      <c r="N76" s="12" t="s">
        <v>52</v>
      </c>
      <c r="O76" s="18" t="e" cm="1">
        <f t="array" aca="1" ref="O76" ca="1">_xll.BDH(D76&amp;" Corp",$N76,$O$17)</f>
        <v>#NAME?</v>
      </c>
      <c r="P76" s="18" t="e" cm="1">
        <f t="array" aca="1" ref="P76" ca="1">_xll.BDH(E76&amp;" Corp",$N76,$O$17)</f>
        <v>#NAME?</v>
      </c>
      <c r="Q76" s="18" t="str">
        <f ca="1">IFERROR(P76-O76,"-")</f>
        <v>-</v>
      </c>
      <c r="R76" s="18" t="str">
        <f ca="1">IFERROR(Q76/H76,"-")</f>
        <v>-</v>
      </c>
      <c r="S76" s="18" t="str">
        <f ca="1">IFERROR(M76-R76,"-")</f>
        <v>-</v>
      </c>
      <c r="T76" s="18" t="e" cm="1">
        <f t="array" aca="1" ref="T76" ca="1">_xll.BDH(D76&amp;" Corp",$N76,$T$17)</f>
        <v>#NAME?</v>
      </c>
      <c r="U76" s="18" t="e" cm="1">
        <f t="array" aca="1" ref="U76" ca="1">_xll.BDH(E76&amp;" Corp",$N76,$T$17)</f>
        <v>#NAME?</v>
      </c>
      <c r="V76" s="18" t="str">
        <f ca="1">IFERROR(U76-T76,"-")</f>
        <v>-</v>
      </c>
      <c r="W76" s="18" t="str">
        <f ca="1">IFERROR(V76/H76,"-")</f>
        <v>-</v>
      </c>
      <c r="X76" s="18" t="str">
        <f ca="1">IFERROR(M76-W76,"-")</f>
        <v>-</v>
      </c>
    </row>
    <row r="78" spans="1:24">
      <c r="A78" s="5" t="s">
        <v>55</v>
      </c>
      <c r="B78" s="11" t="str">
        <f>C55</f>
        <v>TELEFO 5 7/8 PERP nc-24</v>
      </c>
      <c r="C78" s="11" t="str">
        <f>C59</f>
        <v>TELEFO 2 7/8 PERP nc-27</v>
      </c>
      <c r="D78" s="22" t="str">
        <f>_xlfn.XLOOKUP(B78,bonds[unique lookup],bonds[ID_ISIN])</f>
        <v>XS1050461034</v>
      </c>
      <c r="E78" s="22" t="str">
        <f>_xlfn.XLOOKUP(C78,bonds[unique lookup],bonds[ID_ISIN])</f>
        <v>XS2056371334</v>
      </c>
      <c r="F78" s="25">
        <f>_xlfn.XLOOKUP(B78,bonds[unique lookup],bonds[nxt_call_dt])</f>
        <v>45382</v>
      </c>
      <c r="G78" s="25">
        <f>_xlfn.XLOOKUP(C78,bonds[unique lookup],bonds[nxt_call_dt])</f>
        <v>46562</v>
      </c>
      <c r="H78" s="17">
        <f>YEARFRAC(F78,G78)</f>
        <v>3.2333333333333334</v>
      </c>
      <c r="I78" s="12" t="s">
        <v>51</v>
      </c>
      <c r="J78" s="18" cm="1">
        <f t="array" ref="J78">_xll.BDP(D78&amp;" Corp",$I78)</f>
        <v>374.94167617181466</v>
      </c>
      <c r="K78" s="18" cm="1">
        <f t="array" ref="K78">_xll.BDP(E78&amp;" Corp",$I78)</f>
        <v>387.22448287297647</v>
      </c>
      <c r="L78" s="18">
        <f>K78-J78</f>
        <v>12.282806701161803</v>
      </c>
      <c r="M78" s="18">
        <f>L78/H78</f>
        <v>3.798806196235609</v>
      </c>
      <c r="N78" s="12" t="s">
        <v>52</v>
      </c>
      <c r="O78" s="18" t="e" cm="1">
        <f t="array" aca="1" ref="O78" ca="1">_xll.BDH(D78&amp;" Corp",$N78,$O$17)</f>
        <v>#NAME?</v>
      </c>
      <c r="P78" s="18" t="e" cm="1">
        <f t="array" aca="1" ref="P78" ca="1">_xll.BDH(E78&amp;" Corp",$N78,$O$17)</f>
        <v>#NAME?</v>
      </c>
      <c r="Q78" s="18" t="str">
        <f ca="1">IFERROR(P78-O78,"-")</f>
        <v>-</v>
      </c>
      <c r="R78" s="18" t="str">
        <f ca="1">IFERROR(Q78/H78,"-")</f>
        <v>-</v>
      </c>
      <c r="S78" s="18" t="str">
        <f ca="1">IFERROR(M78-R78,"-")</f>
        <v>-</v>
      </c>
      <c r="T78" s="18" t="e" cm="1">
        <f t="array" aca="1" ref="T78" ca="1">_xll.BDH(D78&amp;" Corp",$N78,$T$17)</f>
        <v>#NAME?</v>
      </c>
      <c r="U78" s="18" t="e" cm="1">
        <f t="array" aca="1" ref="U78" ca="1">_xll.BDH(E78&amp;" Corp",$N78,$T$17)</f>
        <v>#NAME?</v>
      </c>
      <c r="V78" s="18" t="str">
        <f ca="1">IFERROR(U78-T78,"-")</f>
        <v>-</v>
      </c>
      <c r="W78" s="18" t="str">
        <f ca="1">IFERROR(V78/H78,"-")</f>
        <v>-</v>
      </c>
      <c r="X78" s="18" t="str">
        <f ca="1">IFERROR(M78-W78,"-")</f>
        <v>-</v>
      </c>
    </row>
    <row r="90" spans="2:7">
      <c r="B90" s="5" t="s">
        <v>12</v>
      </c>
      <c r="C90" s="11" t="s">
        <v>11</v>
      </c>
    </row>
    <row r="91" spans="2:7" ht="11.1">
      <c r="C91" s="4" t="s">
        <v>13</v>
      </c>
      <c r="D91" s="4" t="s">
        <v>14</v>
      </c>
      <c r="G91" s="5">
        <f>COUNTA(_xlfn.ANCHORARRAY(C92))</f>
        <v>6</v>
      </c>
    </row>
    <row r="92" spans="2:7">
      <c r="C92" s="5" t="str" cm="1">
        <f t="array" ref="C92:C97">_xlfn._xlws.FILTER(bonds[unique lookup],bonds[ticker]=C90)</f>
        <v>TOTAL 2 1/4 PERP nc-21</v>
      </c>
      <c r="D92" s="22" t="str" cm="1">
        <f t="array" ref="D92:D97">_xlfn.XLOOKUP(_xlfn.ANCHORARRAY(C92),bonds[unique lookup],bonds[ID_ISIN])</f>
        <v>XS1195201931</v>
      </c>
    </row>
    <row r="93" spans="2:7">
      <c r="C93" s="5" t="str">
        <v>TOTAL 3 7/8 PERP nc-22</v>
      </c>
      <c r="D93" s="5" t="str">
        <v>XS1413581205</v>
      </c>
    </row>
    <row r="94" spans="2:7">
      <c r="C94" s="5" t="str">
        <v>TOTAL 2.708 PERP nc-23</v>
      </c>
      <c r="D94" s="5" t="str">
        <v>XS1501167164</v>
      </c>
    </row>
    <row r="95" spans="2:7">
      <c r="C95" s="5" t="str">
        <v>TOTAL 1 3/4 PERP nc-24</v>
      </c>
      <c r="D95" s="5" t="str">
        <v>XS1974787480</v>
      </c>
    </row>
    <row r="96" spans="2:7">
      <c r="C96" s="5" t="str">
        <v>TOTAL 2 5/8 PERP nc-25</v>
      </c>
      <c r="D96" s="5" t="str">
        <v>XS1195202822</v>
      </c>
    </row>
    <row r="97" spans="1:24">
      <c r="C97" s="5" t="str">
        <v>TOTAL 3.369 PERP nc-26</v>
      </c>
      <c r="D97" s="5" t="str">
        <v>XS1501166869</v>
      </c>
      <c r="O97" s="23">
        <v>7</v>
      </c>
      <c r="T97" s="23">
        <v>25</v>
      </c>
    </row>
    <row r="98" spans="1:24">
      <c r="O98" s="25">
        <f ca="1">WORKDAY(TODAY(),-O97)</f>
        <v>44004</v>
      </c>
      <c r="T98" s="25">
        <f ca="1">WORKDAY(TODAY(),-T97)</f>
        <v>43978</v>
      </c>
    </row>
    <row r="100" spans="1:24" ht="33">
      <c r="B100" s="19" t="s">
        <v>26</v>
      </c>
      <c r="C100" s="19" t="s">
        <v>27</v>
      </c>
      <c r="D100" s="19" t="s">
        <v>28</v>
      </c>
      <c r="E100" s="19" t="s">
        <v>29</v>
      </c>
      <c r="F100" s="19" t="s">
        <v>30</v>
      </c>
      <c r="G100" s="19" t="s">
        <v>31</v>
      </c>
      <c r="H100" s="19" t="s">
        <v>32</v>
      </c>
      <c r="I100" s="20" t="s">
        <v>33</v>
      </c>
      <c r="J100" s="19" t="s">
        <v>4</v>
      </c>
      <c r="K100" s="19" t="s">
        <v>5</v>
      </c>
      <c r="L100" s="19" t="s">
        <v>19</v>
      </c>
      <c r="M100" s="19" t="s">
        <v>34</v>
      </c>
      <c r="N100" s="19" t="s">
        <v>35</v>
      </c>
      <c r="O100" s="19" t="s">
        <v>36</v>
      </c>
      <c r="P100" s="19" t="s">
        <v>37</v>
      </c>
      <c r="Q100" s="19" t="s">
        <v>38</v>
      </c>
      <c r="R100" s="19" t="s">
        <v>39</v>
      </c>
      <c r="S100" s="19" t="s">
        <v>40</v>
      </c>
      <c r="T100" s="19" t="s">
        <v>41</v>
      </c>
      <c r="U100" s="19" t="s">
        <v>42</v>
      </c>
      <c r="V100" s="19" t="s">
        <v>43</v>
      </c>
      <c r="W100" s="19" t="s">
        <v>44</v>
      </c>
      <c r="X100" s="19" t="s">
        <v>45</v>
      </c>
    </row>
    <row r="101" spans="1:24">
      <c r="A101" s="5" t="s">
        <v>50</v>
      </c>
      <c r="B101" s="11" t="str">
        <f>C92</f>
        <v>TOTAL 2 1/4 PERP nc-21</v>
      </c>
      <c r="C101" s="11" t="str">
        <f>C93</f>
        <v>TOTAL 3 7/8 PERP nc-22</v>
      </c>
      <c r="D101" s="22" t="str">
        <f>_xlfn.XLOOKUP(B101,bonds[unique lookup],bonds[ID_ISIN])</f>
        <v>XS1195201931</v>
      </c>
      <c r="E101" s="22" t="str">
        <f>_xlfn.XLOOKUP(C101,bonds[unique lookup],bonds[ID_ISIN])</f>
        <v>XS1413581205</v>
      </c>
      <c r="F101" s="25">
        <f>_xlfn.XLOOKUP(B101,bonds[unique lookup],bonds[nxt_call_dt])</f>
        <v>44253</v>
      </c>
      <c r="G101" s="25">
        <f>_xlfn.XLOOKUP(C101,bonds[unique lookup],bonds[nxt_call_dt])</f>
        <v>44699</v>
      </c>
      <c r="H101" s="17">
        <f>YEARFRAC(F101,G101)</f>
        <v>1.2277777777777779</v>
      </c>
      <c r="I101" s="12" t="s">
        <v>51</v>
      </c>
      <c r="J101" s="18" cm="1">
        <f t="array" ref="J101">_xll.BDP(D101&amp;" Corp",$I101)</f>
        <v>198.92368190199906</v>
      </c>
      <c r="K101" s="18" cm="1">
        <f t="array" ref="K101">_xll.BDP(E101&amp;" Corp",$I101)</f>
        <v>210.48744328501749</v>
      </c>
      <c r="L101" s="18">
        <f>K101-J101</f>
        <v>11.563761383018431</v>
      </c>
      <c r="M101" s="18">
        <f>L101/H101</f>
        <v>9.4184481852638804</v>
      </c>
      <c r="N101" s="12" t="s">
        <v>52</v>
      </c>
      <c r="O101" s="18" t="e" cm="1">
        <f t="array" aca="1" ref="O101" ca="1">_xll.BDH(D101&amp;" Corp",$N101,$O$98)</f>
        <v>#NAME?</v>
      </c>
      <c r="P101" s="18" t="e" cm="1">
        <f t="array" aca="1" ref="P101" ca="1">_xll.BDH(E101&amp;" Corp",$N101,$O$98)</f>
        <v>#NAME?</v>
      </c>
      <c r="Q101" s="18" t="str">
        <f ca="1">IFERROR(P101-O101,"-")</f>
        <v>-</v>
      </c>
      <c r="R101" s="18" t="str">
        <f ca="1">IFERROR(Q101/H101,"-")</f>
        <v>-</v>
      </c>
      <c r="S101" s="18" t="str">
        <f ca="1">IFERROR(M101-R101,"-")</f>
        <v>-</v>
      </c>
      <c r="T101" s="18" t="e" cm="1">
        <f t="array" aca="1" ref="T101" ca="1">_xll.BDH(D101&amp;" Corp",$N101,$T$98)</f>
        <v>#NAME?</v>
      </c>
      <c r="U101" s="18" t="e" cm="1">
        <f t="array" aca="1" ref="U101" ca="1">_xll.BDH(E101&amp;" Corp",$N101,$T$98)</f>
        <v>#NAME?</v>
      </c>
      <c r="V101" s="18" t="str">
        <f ca="1">IFERROR(U101-T101,"-")</f>
        <v>-</v>
      </c>
      <c r="W101" s="18" t="str">
        <f ca="1">IFERROR(V101/H101,"-")</f>
        <v>-</v>
      </c>
      <c r="X101" s="18" t="str">
        <f ca="1">IFERROR(M101-W101,"-")</f>
        <v>-</v>
      </c>
    </row>
    <row r="102" spans="1:24">
      <c r="A102" s="5" t="s">
        <v>50</v>
      </c>
      <c r="B102" s="11" t="str">
        <f t="shared" ref="B102:B105" si="32">C93</f>
        <v>TOTAL 3 7/8 PERP nc-22</v>
      </c>
      <c r="C102" s="11" t="str">
        <f t="shared" ref="C102:C105" si="33">C94</f>
        <v>TOTAL 2.708 PERP nc-23</v>
      </c>
      <c r="D102" s="22" t="str">
        <f>_xlfn.XLOOKUP(B102,bonds[unique lookup],bonds[ID_ISIN])</f>
        <v>XS1413581205</v>
      </c>
      <c r="E102" s="22" t="str">
        <f>_xlfn.XLOOKUP(C102,bonds[unique lookup],bonds[ID_ISIN])</f>
        <v>XS1501167164</v>
      </c>
      <c r="F102" s="25">
        <f>_xlfn.XLOOKUP(B102,bonds[unique lookup],bonds[nxt_call_dt])</f>
        <v>44699</v>
      </c>
      <c r="G102" s="25">
        <f>_xlfn.XLOOKUP(C102,bonds[unique lookup],bonds[nxt_call_dt])</f>
        <v>45051</v>
      </c>
      <c r="H102" s="17">
        <f t="shared" ref="H102:H105" si="34">YEARFRAC(F102,G102)</f>
        <v>0.96388888888888891</v>
      </c>
      <c r="I102" s="12" t="s">
        <v>51</v>
      </c>
      <c r="J102" s="18" cm="1">
        <f t="array" ref="J102">_xll.BDP(D102&amp;" Corp",$I102)</f>
        <v>210.48744328501749</v>
      </c>
      <c r="K102" s="18" cm="1">
        <f t="array" ref="K102">_xll.BDP(E102&amp;" Corp",$I102)</f>
        <v>221.63434195408738</v>
      </c>
      <c r="L102" s="18">
        <f t="shared" ref="L102:L105" si="35">K102-J102</f>
        <v>11.146898669069884</v>
      </c>
      <c r="M102" s="18">
        <f t="shared" ref="M102:M105" si="36">L102/H102</f>
        <v>11.5645058238189</v>
      </c>
      <c r="N102" s="12" t="s">
        <v>52</v>
      </c>
      <c r="O102" s="18" t="e" cm="1">
        <f t="array" aca="1" ref="O102" ca="1">_xll.BDH(D102&amp;" Corp",$N102,$O$98)</f>
        <v>#NAME?</v>
      </c>
      <c r="P102" s="18" t="e" cm="1">
        <f t="array" aca="1" ref="P102" ca="1">_xll.BDH(E102&amp;" Corp",$N102,$O$98)</f>
        <v>#NAME?</v>
      </c>
      <c r="Q102" s="18" t="str">
        <f t="shared" ref="Q102:Q105" ca="1" si="37">IFERROR(P102-O102,"-")</f>
        <v>-</v>
      </c>
      <c r="R102" s="18" t="str">
        <f t="shared" ref="R102:R105" ca="1" si="38">IFERROR(Q102/H102,"-")</f>
        <v>-</v>
      </c>
      <c r="S102" s="18" t="str">
        <f t="shared" ref="S102:S105" ca="1" si="39">IFERROR(M102-R102,"-")</f>
        <v>-</v>
      </c>
      <c r="T102" s="18" t="e" cm="1">
        <f t="array" aca="1" ref="T102" ca="1">_xll.BDH(D102&amp;" Corp",$N102,$T$98)</f>
        <v>#NAME?</v>
      </c>
      <c r="U102" s="18" t="e" cm="1">
        <f t="array" aca="1" ref="U102" ca="1">_xll.BDH(E102&amp;" Corp",$N102,$T$98)</f>
        <v>#NAME?</v>
      </c>
      <c r="V102" s="18" t="str">
        <f t="shared" ref="V102:V105" ca="1" si="40">IFERROR(U102-T102,"-")</f>
        <v>-</v>
      </c>
      <c r="W102" s="18" t="str">
        <f t="shared" ref="W102:W105" ca="1" si="41">IFERROR(V102/H102,"-")</f>
        <v>-</v>
      </c>
      <c r="X102" s="18" t="str">
        <f t="shared" ref="X102:X105" ca="1" si="42">IFERROR(M102-W102,"-")</f>
        <v>-</v>
      </c>
    </row>
    <row r="103" spans="1:24">
      <c r="A103" s="5" t="s">
        <v>50</v>
      </c>
      <c r="B103" s="11" t="str">
        <f t="shared" si="32"/>
        <v>TOTAL 2.708 PERP nc-23</v>
      </c>
      <c r="C103" s="11" t="str">
        <f t="shared" si="33"/>
        <v>TOTAL 1 3/4 PERP nc-24</v>
      </c>
      <c r="D103" s="22" t="str">
        <f>_xlfn.XLOOKUP(B103,bonds[unique lookup],bonds[ID_ISIN])</f>
        <v>XS1501167164</v>
      </c>
      <c r="E103" s="22" t="str">
        <f>_xlfn.XLOOKUP(C103,bonds[unique lookup],bonds[ID_ISIN])</f>
        <v>XS1974787480</v>
      </c>
      <c r="F103" s="25">
        <f>_xlfn.XLOOKUP(B103,bonds[unique lookup],bonds[nxt_call_dt])</f>
        <v>45051</v>
      </c>
      <c r="G103" s="25">
        <f>_xlfn.XLOOKUP(C103,bonds[unique lookup],bonds[nxt_call_dt])</f>
        <v>45386</v>
      </c>
      <c r="H103" s="17">
        <f t="shared" si="34"/>
        <v>0.91388888888888886</v>
      </c>
      <c r="I103" s="12" t="s">
        <v>51</v>
      </c>
      <c r="J103" s="18" cm="1">
        <f t="array" ref="J103">_xll.BDP(D103&amp;" Corp",$I103)</f>
        <v>221.63434195408738</v>
      </c>
      <c r="K103" s="18" cm="1">
        <f t="array" ref="K103">_xll.BDP(E103&amp;" Corp",$I103)</f>
        <v>229.72418306140528</v>
      </c>
      <c r="L103" s="18">
        <f t="shared" si="35"/>
        <v>8.0898411073179091</v>
      </c>
      <c r="M103" s="18">
        <f t="shared" si="36"/>
        <v>8.8521057709253714</v>
      </c>
      <c r="N103" s="12" t="s">
        <v>52</v>
      </c>
      <c r="O103" s="18" t="e" cm="1">
        <f t="array" aca="1" ref="O103" ca="1">_xll.BDH(D103&amp;" Corp",$N103,$O$98)</f>
        <v>#NAME?</v>
      </c>
      <c r="P103" s="18" t="e" cm="1">
        <f t="array" aca="1" ref="P103" ca="1">_xll.BDH(E103&amp;" Corp",$N103,$O$98)</f>
        <v>#NAME?</v>
      </c>
      <c r="Q103" s="18" t="str">
        <f t="shared" ca="1" si="37"/>
        <v>-</v>
      </c>
      <c r="R103" s="18" t="str">
        <f t="shared" ca="1" si="38"/>
        <v>-</v>
      </c>
      <c r="S103" s="18" t="str">
        <f t="shared" ca="1" si="39"/>
        <v>-</v>
      </c>
      <c r="T103" s="18" t="e" cm="1">
        <f t="array" aca="1" ref="T103" ca="1">_xll.BDH(D103&amp;" Corp",$N103,$T$98)</f>
        <v>#NAME?</v>
      </c>
      <c r="U103" s="18" t="e" cm="1">
        <f t="array" aca="1" ref="U103" ca="1">_xll.BDH(E103&amp;" Corp",$N103,$T$98)</f>
        <v>#NAME?</v>
      </c>
      <c r="V103" s="18" t="str">
        <f t="shared" ca="1" si="40"/>
        <v>-</v>
      </c>
      <c r="W103" s="18" t="str">
        <f t="shared" ca="1" si="41"/>
        <v>-</v>
      </c>
      <c r="X103" s="18" t="str">
        <f t="shared" ca="1" si="42"/>
        <v>-</v>
      </c>
    </row>
    <row r="104" spans="1:24">
      <c r="A104" s="5" t="s">
        <v>50</v>
      </c>
      <c r="B104" s="11" t="str">
        <f t="shared" si="32"/>
        <v>TOTAL 1 3/4 PERP nc-24</v>
      </c>
      <c r="C104" s="11" t="str">
        <f t="shared" si="33"/>
        <v>TOTAL 2 5/8 PERP nc-25</v>
      </c>
      <c r="D104" s="22" t="str">
        <f>_xlfn.XLOOKUP(B104,bonds[unique lookup],bonds[ID_ISIN])</f>
        <v>XS1974787480</v>
      </c>
      <c r="E104" s="22" t="str">
        <f>_xlfn.XLOOKUP(C104,bonds[unique lookup],bonds[ID_ISIN])</f>
        <v>XS1195202822</v>
      </c>
      <c r="F104" s="25">
        <f>_xlfn.XLOOKUP(B104,bonds[unique lookup],bonds[nxt_call_dt])</f>
        <v>45386</v>
      </c>
      <c r="G104" s="25">
        <f>_xlfn.XLOOKUP(C104,bonds[unique lookup],bonds[nxt_call_dt])</f>
        <v>45714</v>
      </c>
      <c r="H104" s="17">
        <f t="shared" si="34"/>
        <v>0.89444444444444449</v>
      </c>
      <c r="I104" s="12" t="s">
        <v>51</v>
      </c>
      <c r="J104" s="18" cm="1">
        <f t="array" ref="J104">_xll.BDP(D104&amp;" Corp",$I104)</f>
        <v>229.72418306140528</v>
      </c>
      <c r="K104" s="18" cm="1">
        <f t="array" ref="K104">_xll.BDP(E104&amp;" Corp",$I104)</f>
        <v>233.86443835522391</v>
      </c>
      <c r="L104" s="18">
        <f t="shared" si="35"/>
        <v>4.1402552938186261</v>
      </c>
      <c r="M104" s="18">
        <f t="shared" si="36"/>
        <v>4.6288568502320038</v>
      </c>
      <c r="N104" s="12" t="s">
        <v>52</v>
      </c>
      <c r="O104" s="18" t="e" cm="1">
        <f t="array" aca="1" ref="O104" ca="1">_xll.BDH(D104&amp;" Corp",$N104,$O$98)</f>
        <v>#NAME?</v>
      </c>
      <c r="P104" s="18" t="e" cm="1">
        <f t="array" aca="1" ref="P104" ca="1">_xll.BDH(E104&amp;" Corp",$N104,$O$98)</f>
        <v>#NAME?</v>
      </c>
      <c r="Q104" s="18" t="str">
        <f t="shared" ca="1" si="37"/>
        <v>-</v>
      </c>
      <c r="R104" s="18" t="str">
        <f t="shared" ca="1" si="38"/>
        <v>-</v>
      </c>
      <c r="S104" s="18" t="str">
        <f t="shared" ca="1" si="39"/>
        <v>-</v>
      </c>
      <c r="T104" s="18" t="e" cm="1">
        <f t="array" aca="1" ref="T104" ca="1">_xll.BDH(D104&amp;" Corp",$N104,$T$98)</f>
        <v>#NAME?</v>
      </c>
      <c r="U104" s="18" t="e" cm="1">
        <f t="array" aca="1" ref="U104" ca="1">_xll.BDH(E104&amp;" Corp",$N104,$T$98)</f>
        <v>#NAME?</v>
      </c>
      <c r="V104" s="18" t="str">
        <f t="shared" ca="1" si="40"/>
        <v>-</v>
      </c>
      <c r="W104" s="18" t="str">
        <f t="shared" ca="1" si="41"/>
        <v>-</v>
      </c>
      <c r="X104" s="18" t="str">
        <f t="shared" ca="1" si="42"/>
        <v>-</v>
      </c>
    </row>
    <row r="105" spans="1:24">
      <c r="A105" s="5" t="s">
        <v>50</v>
      </c>
      <c r="B105" s="11" t="str">
        <f t="shared" si="32"/>
        <v>TOTAL 2 5/8 PERP nc-25</v>
      </c>
      <c r="C105" s="11" t="str">
        <f t="shared" si="33"/>
        <v>TOTAL 3.369 PERP nc-26</v>
      </c>
      <c r="D105" s="22" t="str">
        <f>_xlfn.XLOOKUP(B105,bonds[unique lookup],bonds[ID_ISIN])</f>
        <v>XS1195202822</v>
      </c>
      <c r="E105" s="22" t="str">
        <f>_xlfn.XLOOKUP(C105,bonds[unique lookup],bonds[ID_ISIN])</f>
        <v>XS1501166869</v>
      </c>
      <c r="F105" s="25">
        <f>_xlfn.XLOOKUP(B105,bonds[unique lookup],bonds[nxt_call_dt])</f>
        <v>45714</v>
      </c>
      <c r="G105" s="25">
        <f>_xlfn.XLOOKUP(C105,bonds[unique lookup],bonds[nxt_call_dt])</f>
        <v>46301</v>
      </c>
      <c r="H105" s="17">
        <f t="shared" si="34"/>
        <v>1.6111111111111112</v>
      </c>
      <c r="I105" s="12" t="s">
        <v>51</v>
      </c>
      <c r="J105" s="18" cm="1">
        <f t="array" ref="J105">_xll.BDP(D105&amp;" Corp",$I105)</f>
        <v>233.86443835522391</v>
      </c>
      <c r="K105" s="18" cm="1">
        <f t="array" ref="K105">_xll.BDP(E105&amp;" Corp",$I105)</f>
        <v>241.43739043717667</v>
      </c>
      <c r="L105" s="18">
        <f t="shared" si="35"/>
        <v>7.5729520819527636</v>
      </c>
      <c r="M105" s="18">
        <f t="shared" si="36"/>
        <v>4.7004530163844738</v>
      </c>
      <c r="N105" s="12" t="s">
        <v>52</v>
      </c>
      <c r="O105" s="18" t="e" cm="1">
        <f t="array" aca="1" ref="O105" ca="1">_xll.BDH(D105&amp;" Corp",$N105,$O$98)</f>
        <v>#NAME?</v>
      </c>
      <c r="P105" s="18" t="e" cm="1">
        <f t="array" aca="1" ref="P105" ca="1">_xll.BDH(E105&amp;" Corp",$N105,$O$98)</f>
        <v>#NAME?</v>
      </c>
      <c r="Q105" s="18" t="str">
        <f t="shared" ca="1" si="37"/>
        <v>-</v>
      </c>
      <c r="R105" s="18" t="str">
        <f t="shared" ca="1" si="38"/>
        <v>-</v>
      </c>
      <c r="S105" s="18" t="str">
        <f t="shared" ca="1" si="39"/>
        <v>-</v>
      </c>
      <c r="T105" s="18" t="e" cm="1">
        <f t="array" aca="1" ref="T105" ca="1">_xll.BDH(D105&amp;" Corp",$N105,$T$98)</f>
        <v>#NAME?</v>
      </c>
      <c r="U105" s="18" t="e" cm="1">
        <f t="array" aca="1" ref="U105" ca="1">_xll.BDH(E105&amp;" Corp",$N105,$T$98)</f>
        <v>#NAME?</v>
      </c>
      <c r="V105" s="18" t="str">
        <f t="shared" ca="1" si="40"/>
        <v>-</v>
      </c>
      <c r="W105" s="18" t="str">
        <f t="shared" ca="1" si="41"/>
        <v>-</v>
      </c>
      <c r="X105" s="18" t="str">
        <f t="shared" ca="1" si="42"/>
        <v>-</v>
      </c>
    </row>
    <row r="107" spans="1:24">
      <c r="G107" s="5" t="s">
        <v>53</v>
      </c>
      <c r="H107" s="17">
        <f>AVERAGE(H99:H105)</f>
        <v>1.1222222222222222</v>
      </c>
      <c r="M107" s="18">
        <f>AVERAGE(M101:M105)</f>
        <v>7.8328739293249257</v>
      </c>
      <c r="R107" s="18" t="e">
        <f t="shared" ref="R107:S107" ca="1" si="43">AVERAGE(R101:R105)</f>
        <v>#DIV/0!</v>
      </c>
      <c r="S107" s="18" t="e">
        <f t="shared" ca="1" si="43"/>
        <v>#DIV/0!</v>
      </c>
      <c r="W107" s="18" t="e">
        <f t="shared" ref="W107:X107" ca="1" si="44">AVERAGE(W101:W105)</f>
        <v>#DIV/0!</v>
      </c>
      <c r="X107" s="18" t="e">
        <f t="shared" ca="1" si="44"/>
        <v>#DIV/0!</v>
      </c>
    </row>
    <row r="108" spans="1:24">
      <c r="G108" s="5" t="s">
        <v>56</v>
      </c>
      <c r="H108" s="17">
        <f>_xlfn.STDEV.P(H99:H105)</f>
        <v>0.27221655322895433</v>
      </c>
      <c r="M108" s="18">
        <f>_xlfn.STDEV.P(M101:M105)</f>
        <v>2.7406474447830451</v>
      </c>
      <c r="R108" s="18" t="e">
        <f t="shared" ref="R108:S108" ca="1" si="45">_xlfn.STDEV.P(R101:R105)</f>
        <v>#DIV/0!</v>
      </c>
      <c r="S108" s="18" t="e">
        <f t="shared" ca="1" si="45"/>
        <v>#DIV/0!</v>
      </c>
      <c r="W108" s="18" t="e">
        <f t="shared" ref="W108:X108" ca="1" si="46">_xlfn.STDEV.P(W101:W105)</f>
        <v>#DIV/0!</v>
      </c>
      <c r="X108" s="18" t="e">
        <f t="shared" ca="1" si="46"/>
        <v>#DIV/0!</v>
      </c>
    </row>
    <row r="110" spans="1:24">
      <c r="A110" s="5" t="s">
        <v>54</v>
      </c>
      <c r="B110" s="11" t="str">
        <f>C93</f>
        <v>TOTAL 3 7/8 PERP nc-22</v>
      </c>
      <c r="C110" s="11" t="str">
        <f>C96</f>
        <v>TOTAL 2 5/8 PERP nc-25</v>
      </c>
      <c r="D110" s="22" t="str">
        <f>_xlfn.XLOOKUP(B110,bonds[unique lookup],bonds[ID_ISIN])</f>
        <v>XS1413581205</v>
      </c>
      <c r="E110" s="22" t="str">
        <f>_xlfn.XLOOKUP(C110,bonds[unique lookup],bonds[ID_ISIN])</f>
        <v>XS1195202822</v>
      </c>
      <c r="F110" s="25">
        <f>_xlfn.XLOOKUP(B110,bonds[unique lookup],bonds[nxt_call_dt])</f>
        <v>44699</v>
      </c>
      <c r="G110" s="25">
        <f>_xlfn.XLOOKUP(C110,bonds[unique lookup],bonds[nxt_call_dt])</f>
        <v>45714</v>
      </c>
      <c r="H110" s="17">
        <f t="shared" ref="H110" si="47">YEARFRAC(F110,G110)</f>
        <v>2.7722222222222221</v>
      </c>
      <c r="I110" s="12" t="s">
        <v>51</v>
      </c>
      <c r="J110" s="18" cm="1">
        <f t="array" ref="J110">_xll.BDP(D110&amp;" Corp",$I110)</f>
        <v>210.48744328501749</v>
      </c>
      <c r="K110" s="18" cm="1">
        <f t="array" ref="K110">_xll.BDP(E110&amp;" Corp",$I110)</f>
        <v>233.86443835522391</v>
      </c>
      <c r="L110" s="18">
        <f t="shared" ref="L110" si="48">K110-J110</f>
        <v>23.376995070206419</v>
      </c>
      <c r="M110" s="18">
        <f t="shared" ref="M110" si="49">L110/H110</f>
        <v>8.4325833920584277</v>
      </c>
      <c r="N110" s="12" t="s">
        <v>52</v>
      </c>
      <c r="O110" s="18" t="e" cm="1">
        <f t="array" aca="1" ref="O110" ca="1">_xll.BDH(D110&amp;" Corp",$N110,$O$98)</f>
        <v>#NAME?</v>
      </c>
      <c r="P110" s="18" t="e" cm="1">
        <f t="array" aca="1" ref="P110" ca="1">_xll.BDH(E110&amp;" Corp",$N110,$O$98)</f>
        <v>#NAME?</v>
      </c>
      <c r="Q110" s="18" t="str">
        <f t="shared" ref="Q110" ca="1" si="50">IFERROR(P110-O110,"-")</f>
        <v>-</v>
      </c>
      <c r="R110" s="18" t="str">
        <f t="shared" ref="R110" ca="1" si="51">IFERROR(Q110/H110,"-")</f>
        <v>-</v>
      </c>
      <c r="S110" s="18" t="str">
        <f t="shared" ref="S110" ca="1" si="52">IFERROR(M110-R110,"-")</f>
        <v>-</v>
      </c>
      <c r="T110" s="18" t="e" cm="1">
        <f t="array" aca="1" ref="T110" ca="1">_xll.BDH(D110&amp;" Corp",$N110,$T$98)</f>
        <v>#NAME?</v>
      </c>
      <c r="U110" s="18" t="e" cm="1">
        <f t="array" aca="1" ref="U110" ca="1">_xll.BDH(E110&amp;" Corp",$N110,$T$98)</f>
        <v>#NAME?</v>
      </c>
      <c r="V110" s="18" t="str">
        <f t="shared" ref="V110" ca="1" si="53">IFERROR(U110-T110,"-")</f>
        <v>-</v>
      </c>
      <c r="W110" s="18" t="str">
        <f t="shared" ref="W110" ca="1" si="54">IFERROR(V110/H110,"-")</f>
        <v>-</v>
      </c>
      <c r="X110" s="18" t="str">
        <f t="shared" ref="X110" ca="1" si="55">IFERROR(M110-W110,"-")</f>
        <v>-</v>
      </c>
    </row>
    <row r="112" spans="1:24">
      <c r="A112" s="5" t="s">
        <v>55</v>
      </c>
      <c r="B112" s="11" t="str">
        <f>C94</f>
        <v>TOTAL 2.708 PERP nc-23</v>
      </c>
      <c r="C112" s="11" t="str">
        <f>C97</f>
        <v>TOTAL 3.369 PERP nc-26</v>
      </c>
      <c r="D112" s="22" t="str">
        <f>_xlfn.XLOOKUP(B112,bonds[unique lookup],bonds[ID_ISIN])</f>
        <v>XS1501167164</v>
      </c>
      <c r="E112" s="22" t="str">
        <f>_xlfn.XLOOKUP(C112,bonds[unique lookup],bonds[ID_ISIN])</f>
        <v>XS1501166869</v>
      </c>
      <c r="F112" s="25">
        <f>_xlfn.XLOOKUP(B112,bonds[unique lookup],bonds[nxt_call_dt])</f>
        <v>45051</v>
      </c>
      <c r="G112" s="25">
        <f>_xlfn.XLOOKUP(C112,bonds[unique lookup],bonds[nxt_call_dt])</f>
        <v>46301</v>
      </c>
      <c r="H112" s="17">
        <f t="shared" ref="H112" si="56">YEARFRAC(F112,G112)</f>
        <v>3.4194444444444443</v>
      </c>
      <c r="I112" s="12" t="s">
        <v>51</v>
      </c>
      <c r="J112" s="18" cm="1">
        <f t="array" ref="J112">_xll.BDP(D112&amp;" Corp",$I112)</f>
        <v>221.63434195408738</v>
      </c>
      <c r="K112" s="18" cm="1">
        <f t="array" ref="K112">_xll.BDP(E112&amp;" Corp",$I112)</f>
        <v>241.43739043717667</v>
      </c>
      <c r="L112" s="18">
        <f t="shared" ref="L112" si="57">K112-J112</f>
        <v>19.803048483089299</v>
      </c>
      <c r="M112" s="18">
        <f t="shared" ref="M112" si="58">L112/H112</f>
        <v>5.7913058114639711</v>
      </c>
      <c r="N112" s="12" t="s">
        <v>52</v>
      </c>
      <c r="O112" s="18" t="e" cm="1">
        <f t="array" aca="1" ref="O112" ca="1">_xll.BDH(D112&amp;" Corp",$N112,$O$98)</f>
        <v>#NAME?</v>
      </c>
      <c r="P112" s="18" t="e" cm="1">
        <f t="array" aca="1" ref="P112" ca="1">_xll.BDH(E112&amp;" Corp",$N112,$O$98)</f>
        <v>#NAME?</v>
      </c>
      <c r="Q112" s="18" t="str">
        <f t="shared" ref="Q112" ca="1" si="59">IFERROR(P112-O112,"-")</f>
        <v>-</v>
      </c>
      <c r="R112" s="18" t="str">
        <f t="shared" ref="R112" ca="1" si="60">IFERROR(Q112/H112,"-")</f>
        <v>-</v>
      </c>
      <c r="S112" s="18" t="str">
        <f t="shared" ref="S112" ca="1" si="61">IFERROR(M112-R112,"-")</f>
        <v>-</v>
      </c>
      <c r="T112" s="18" t="e" cm="1">
        <f t="array" aca="1" ref="T112" ca="1">_xll.BDH(D112&amp;" Corp",$N112,$T$98)</f>
        <v>#NAME?</v>
      </c>
      <c r="U112" s="18" t="e" cm="1">
        <f t="array" aca="1" ref="U112" ca="1">_xll.BDH(E112&amp;" Corp",$N112,$T$98)</f>
        <v>#NAME?</v>
      </c>
      <c r="V112" s="18" t="str">
        <f t="shared" ref="V112" ca="1" si="62">IFERROR(U112-T112,"-")</f>
        <v>-</v>
      </c>
      <c r="W112" s="18" t="str">
        <f t="shared" ref="W112" ca="1" si="63">IFERROR(V112/H112,"-")</f>
        <v>-</v>
      </c>
      <c r="X112" s="18" t="str">
        <f t="shared" ref="X112" ca="1" si="64">IFERROR(M112-W112,"-")</f>
        <v>-</v>
      </c>
    </row>
  </sheetData>
  <conditionalFormatting sqref="M21:M3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{B3888FCE-4F34-4B41-9C6B-879DCCF8C29B}</x14:id>
        </ext>
      </extLst>
    </cfRule>
  </conditionalFormatting>
  <conditionalFormatting sqref="M64:M7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{1B3D0C89-53EA-4896-BC5D-85A11C6F8D2A}</x14:id>
        </ext>
      </extLst>
    </cfRule>
  </conditionalFormatting>
  <conditionalFormatting sqref="M101:M10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{70DA1CC7-E9F1-41A7-82D1-67F6BBCF4342}</x14:id>
        </ext>
      </extLst>
    </cfRule>
  </conditionalFormatting>
  <conditionalFormatting sqref="J5:J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{887FAE31-B3EF-4185-84ED-3F6B84ACAE4E}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888FCE-4F34-4B41-9C6B-879DCCF8C2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M21:M30</xm:sqref>
        </x14:conditionalFormatting>
        <x14:conditionalFormatting xmlns:xm="http://schemas.microsoft.com/office/excel/2006/main">
          <x14:cfRule type="dataBar" id="{1B3D0C89-53EA-4896-BC5D-85A11C6F8D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M64:M70</xm:sqref>
        </x14:conditionalFormatting>
        <x14:conditionalFormatting xmlns:xm="http://schemas.microsoft.com/office/excel/2006/main">
          <x14:cfRule type="dataBar" id="{70DA1CC7-E9F1-41A7-82D1-67F6BBCF43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M101:M105</xm:sqref>
        </x14:conditionalFormatting>
        <x14:conditionalFormatting xmlns:xm="http://schemas.microsoft.com/office/excel/2006/main">
          <x14:cfRule type="dataBar" id="{887FAE31-B3EF-4185-84ED-3F6B84ACAE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J5:J14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D554E5A-5604-472D-A22A-FF8C3C669EC5}">
          <x14:formula1>
            <xm:f>tkrBBG!$X:$X</xm:f>
          </x14:formula1>
          <xm:sqref>I21:I30 N21:N30 I40:I41 N40:N41 I43 N43 I64:I70 N64:N70 I75:I76 N75:N76 I78 N78 I101:I105 N101:N105 I110 N110 I112 N112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89B9-A568-49BA-9801-CEABCF9207F3}">
  <sheetPr>
    <tabColor theme="9"/>
  </sheetPr>
  <dimension ref="B2:AH51"/>
  <sheetViews>
    <sheetView workbookViewId="0">
      <pane xSplit="2" ySplit="3" topLeftCell="C4" activePane="bottomRight" state="frozen"/>
      <selection pane="bottomRight" activeCell="AG3" sqref="AG3"/>
      <selection pane="bottomLeft" activeCell="A4" sqref="A4"/>
      <selection pane="topRight" activeCell="C1" sqref="C1"/>
    </sheetView>
  </sheetViews>
  <sheetFormatPr defaultColWidth="8.7109375" defaultRowHeight="10.5"/>
  <cols>
    <col min="1" max="2" width="8.7109375" style="5"/>
    <col min="3" max="3" width="11.85546875" style="5" customWidth="1"/>
    <col min="4" max="4" width="11.42578125" style="5" bestFit="1" customWidth="1"/>
    <col min="5" max="6" width="20.140625" style="5" bestFit="1" customWidth="1"/>
    <col min="7" max="8" width="11.85546875" style="8" customWidth="1"/>
    <col min="9" max="9" width="8.7109375" style="5"/>
    <col min="10" max="10" width="9.5703125" style="5" bestFit="1" customWidth="1"/>
    <col min="11" max="12" width="8.5703125" style="5" bestFit="1" customWidth="1"/>
    <col min="13" max="13" width="8.7109375" style="5"/>
    <col min="14" max="14" width="6.85546875" style="5" customWidth="1"/>
    <col min="15" max="15" width="7.5703125" style="5" customWidth="1"/>
    <col min="16" max="17" width="7.42578125" style="5" customWidth="1"/>
    <col min="18" max="18" width="7.85546875" style="5" customWidth="1"/>
    <col min="19" max="19" width="11" style="5" customWidth="1"/>
    <col min="20" max="20" width="9.5703125" style="5" customWidth="1"/>
    <col min="21" max="21" width="9.85546875" style="5" customWidth="1"/>
    <col min="22" max="22" width="10.42578125" style="5" customWidth="1"/>
    <col min="23" max="23" width="8" style="5" customWidth="1"/>
    <col min="24" max="24" width="8.85546875" style="5" customWidth="1"/>
    <col min="25" max="25" width="8.42578125" style="5" customWidth="1"/>
    <col min="26" max="26" width="8.85546875" style="5" customWidth="1"/>
    <col min="27" max="27" width="10.140625" style="5" customWidth="1"/>
    <col min="28" max="28" width="6.7109375" style="5" customWidth="1"/>
    <col min="29" max="29" width="12.85546875" style="5" customWidth="1"/>
    <col min="30" max="30" width="7.42578125" style="5" customWidth="1"/>
    <col min="31" max="31" width="8.140625" style="5" customWidth="1"/>
    <col min="32" max="16384" width="8.7109375" style="5"/>
  </cols>
  <sheetData>
    <row r="2" spans="2:33">
      <c r="G2" s="25"/>
      <c r="H2" s="25"/>
      <c r="U2" s="11">
        <v>11</v>
      </c>
      <c r="V2" s="25">
        <f ca="1">WORKDAY(TODAY(),-U2)</f>
        <v>43998</v>
      </c>
      <c r="Z2" s="11">
        <v>25</v>
      </c>
      <c r="AA2" s="25">
        <f ca="1">WORKDAY(TODAY(),-Z2)</f>
        <v>43978</v>
      </c>
    </row>
    <row r="3" spans="2:33" ht="33">
      <c r="B3" s="13" t="s">
        <v>12</v>
      </c>
      <c r="C3" s="14" t="s">
        <v>28</v>
      </c>
      <c r="D3" s="14" t="s">
        <v>29</v>
      </c>
      <c r="E3" s="14" t="s">
        <v>26</v>
      </c>
      <c r="F3" s="14" t="s">
        <v>27</v>
      </c>
      <c r="G3" s="15" t="s">
        <v>30</v>
      </c>
      <c r="H3" s="15" t="s">
        <v>31</v>
      </c>
      <c r="I3" s="14" t="s">
        <v>32</v>
      </c>
      <c r="J3" s="14" t="s">
        <v>33</v>
      </c>
      <c r="K3" s="14" t="s">
        <v>4</v>
      </c>
      <c r="L3" s="14" t="s">
        <v>5</v>
      </c>
      <c r="M3" s="14" t="s">
        <v>20</v>
      </c>
      <c r="N3" s="14" t="s">
        <v>6</v>
      </c>
      <c r="O3" s="14" t="s">
        <v>57</v>
      </c>
      <c r="P3" s="14" t="s">
        <v>58</v>
      </c>
      <c r="Q3" s="14" t="s">
        <v>59</v>
      </c>
      <c r="R3" s="14" t="s">
        <v>60</v>
      </c>
      <c r="S3" s="14" t="s">
        <v>61</v>
      </c>
      <c r="T3" s="14" t="s">
        <v>62</v>
      </c>
      <c r="U3" s="14" t="s">
        <v>63</v>
      </c>
      <c r="V3" s="14" t="s">
        <v>64</v>
      </c>
      <c r="W3" s="14" t="s">
        <v>65</v>
      </c>
      <c r="X3" s="14" t="s">
        <v>66</v>
      </c>
      <c r="Y3" s="14" t="s">
        <v>7</v>
      </c>
      <c r="Z3" s="14" t="s">
        <v>41</v>
      </c>
      <c r="AA3" s="14" t="s">
        <v>42</v>
      </c>
      <c r="AB3" s="14" t="s">
        <v>67</v>
      </c>
      <c r="AC3" s="14" t="s">
        <v>68</v>
      </c>
      <c r="AD3" s="16" t="s">
        <v>8</v>
      </c>
      <c r="AE3" s="26" t="s">
        <v>46</v>
      </c>
      <c r="AF3" s="26" t="s">
        <v>69</v>
      </c>
      <c r="AG3" s="26" t="s">
        <v>47</v>
      </c>
    </row>
    <row r="4" spans="2:33">
      <c r="B4" s="11" t="s">
        <v>70</v>
      </c>
      <c r="C4" s="12" t="s">
        <v>71</v>
      </c>
      <c r="D4" s="12" t="s">
        <v>72</v>
      </c>
      <c r="E4" s="5" t="e" cm="1">
        <f t="array" aca="1" ref="E4" ca="1">_xll.BDP(curve[[#This Row],[short code]],"security_name")</f>
        <v>#NAME?</v>
      </c>
      <c r="F4" s="5" t="e" cm="1">
        <f t="array" aca="1" ref="F4" ca="1">_xll.BDP(curve[[#This Row],[long code]],"security_name")</f>
        <v>#NAME?</v>
      </c>
      <c r="G4" s="25" t="e" cm="1">
        <f t="array" aca="1" ref="G4" ca="1">_xll.BDP(curve[[#This Row],[short code]],"nxt_call_dt")*1</f>
        <v>#NAME?</v>
      </c>
      <c r="H4" s="25" t="e" cm="1">
        <f t="array" aca="1" ref="H4" ca="1">_xll.BDP(curve[[#This Row],[long code]],"nxt_call_dt")*1</f>
        <v>#NAME?</v>
      </c>
      <c r="I4" s="17" t="e">
        <f ca="1">(curve[[#This Row],[long date]]-curve[[#This Row],[short date]])/365</f>
        <v>#NAME?</v>
      </c>
      <c r="J4" s="12" t="s">
        <v>51</v>
      </c>
      <c r="K4" s="18" t="e" cm="1">
        <f t="array" aca="1" ref="K4" ca="1">_xll.BDP(curve[[#This Row],[short code]],curve[[#This Row],[spread measure]])</f>
        <v>#NAME?</v>
      </c>
      <c r="L4" s="18" t="e" cm="1">
        <f t="array" aca="1" ref="L4" ca="1">_xll.BDP(curve[[#This Row],[long code]],curve[[#This Row],[spread measure]])</f>
        <v>#NAME?</v>
      </c>
      <c r="M4" s="18" t="e">
        <f ca="1">curve[[#This Row],[long spread]]-curve[[#This Row],[short spread]]</f>
        <v>#NAME?</v>
      </c>
      <c r="N4" s="18" t="e">
        <f ca="1">curve[[#This Row],[curve]]/curve[[#This Row],[years]]</f>
        <v>#NAME?</v>
      </c>
      <c r="O4" s="5" t="e" cm="1">
        <f t="array" aca="1" ref="O4" ca="1">_xll.BDP(curve[[#This Row],[short code]],"bb_composite")</f>
        <v>#NAME?</v>
      </c>
      <c r="P4" s="5" t="e" cm="1">
        <f t="array" aca="1" ref="P4" ca="1">_xll.BDP(curve[[#This Row],[long code]],"bb_composite")</f>
        <v>#NAME?</v>
      </c>
      <c r="Q4" s="5" t="e" cm="1">
        <f t="array" aca="1" ref="Q4" ca="1">_xll.BDP(curve[[#This Row],[short code]],"crncy")</f>
        <v>#NAME?</v>
      </c>
      <c r="R4" s="5" t="e" cm="1">
        <f t="array" aca="1" ref="R4" ca="1">_xll.BDP(curve[[#This Row],[long code]],"crncy")</f>
        <v>#NAME?</v>
      </c>
      <c r="S4" s="5" t="str">
        <f>INDEX(tkrBBG!AA:AA,MATCH(curve[[#This Row],[ticker]],tkrBBG!Z:Z,0))</f>
        <v>Low Beta</v>
      </c>
      <c r="T4" s="12" t="s">
        <v>52</v>
      </c>
      <c r="U4" s="18" t="e" cm="1">
        <f t="array" aca="1" ref="U4" ca="1">_xll.BDH(curve[[#This Row],[short code]],curve[[#This Row],[hist spread measure]],$V$2)</f>
        <v>#NAME?</v>
      </c>
      <c r="V4" s="18" t="e" cm="1">
        <f t="array" aca="1" ref="V4" ca="1">_xll.BDH(curve[[#This Row],[long code]],curve[[#This Row],[hist spread measure]],$V$2)</f>
        <v>#NAME?</v>
      </c>
      <c r="W4" s="18" t="str">
        <f ca="1">IFERROR(curve[[#This Row],[long Spread (14d)]]-curve[[#This Row],[short Spread (14d)]],"-")</f>
        <v>-</v>
      </c>
      <c r="X4" s="18" t="str">
        <f ca="1">IFERROR(curve[[#This Row],[curve (14d)]]/curve[[#This Row],[years]],"-")</f>
        <v>-</v>
      </c>
      <c r="Y4" s="18" t="str">
        <f ca="1">IFERROR(curve[[#This Row],[curve per year]]-curve[[#This Row],[curve per year (14d)]],"-")</f>
        <v>-</v>
      </c>
      <c r="Z4" s="18" t="e" cm="1">
        <f t="array" aca="1" ref="Z4" ca="1">_xll.BDH(curve[[#This Row],[short code]],curve[[#This Row],[hist spread measure]],$AA$2)</f>
        <v>#NAME?</v>
      </c>
      <c r="AA4" s="18" t="e" cm="1">
        <f t="array" aca="1" ref="AA4" ca="1">_xll.BDH(curve[[#This Row],[long code]],curve[[#This Row],[hist spread measure]],$AA$2)</f>
        <v>#NAME?</v>
      </c>
      <c r="AB4" s="18" t="str">
        <f ca="1">IFERROR(curve[[#This Row],[long spread (30d)]]-curve[[#This Row],[short spread (30d)]],"-")</f>
        <v>-</v>
      </c>
      <c r="AC4" s="18" t="str">
        <f ca="1">IFERROR(curve[[#This Row],[curve (30d)]]/curve[[#This Row],[years]],"-")</f>
        <v>-</v>
      </c>
      <c r="AD4" s="18" t="str">
        <f ca="1">IFERROR(curve[[#This Row],[curve per year]]-curve[[#This Row],[curve per year (30d)]],"-")</f>
        <v>-</v>
      </c>
      <c r="AE4" s="18" t="e" cm="1">
        <f t="array" aca="1" ref="AE4" ca="1">_xll.BDP(curve[[#This Row],[short code]],"interval_avg","calc_interval=30d","market_data_override=sp210")</f>
        <v>#NAME?</v>
      </c>
      <c r="AF4" s="18" t="e" cm="1">
        <f t="array" aca="1" ref="AF4" ca="1">_xll.BDP(curve[[#This Row],[short code]],"interval_avg","calc_interval=90d","market_data_override=sp210")</f>
        <v>#NAME?</v>
      </c>
      <c r="AG4" s="18" t="e" cm="1">
        <f t="array" aca="1" ref="AG4" ca="1">_xll.BDP(curve[[#This Row],[short code]],"interval_std_dev","calc_interval=30d","market_data_override=sp210")</f>
        <v>#NAME?</v>
      </c>
    </row>
    <row r="5" spans="2:33">
      <c r="B5" s="11" t="s">
        <v>73</v>
      </c>
      <c r="C5" s="12" t="s">
        <v>74</v>
      </c>
      <c r="D5" s="12" t="s">
        <v>75</v>
      </c>
      <c r="E5" s="5" t="e" cm="1">
        <f t="array" aca="1" ref="E5" ca="1">_xll.BDP(curve[[#This Row],[short code]],"security_name")</f>
        <v>#NAME?</v>
      </c>
      <c r="F5" s="5" t="e" cm="1">
        <f t="array" aca="1" ref="F5" ca="1">_xll.BDP(curve[[#This Row],[long code]],"security_name")</f>
        <v>#NAME?</v>
      </c>
      <c r="G5" s="25" t="e" cm="1">
        <f t="array" aca="1" ref="G5" ca="1">_xll.BDP(curve[[#This Row],[short code]],"nxt_call_dt")*1</f>
        <v>#NAME?</v>
      </c>
      <c r="H5" s="25" t="e" cm="1">
        <f t="array" aca="1" ref="H5" ca="1">_xll.BDP(curve[[#This Row],[long code]],"nxt_call_dt")*1</f>
        <v>#NAME?</v>
      </c>
      <c r="I5" s="17" t="e">
        <f ca="1">(curve[[#This Row],[long date]]-curve[[#This Row],[short date]])/365</f>
        <v>#NAME?</v>
      </c>
      <c r="J5" s="12" t="s">
        <v>51</v>
      </c>
      <c r="K5" s="18" t="e" cm="1">
        <f t="array" aca="1" ref="K5" ca="1">_xll.BDP(curve[[#This Row],[short code]],curve[[#This Row],[spread measure]])</f>
        <v>#NAME?</v>
      </c>
      <c r="L5" s="18" t="e" cm="1">
        <f t="array" aca="1" ref="L5" ca="1">_xll.BDP(curve[[#This Row],[long code]],curve[[#This Row],[spread measure]])</f>
        <v>#NAME?</v>
      </c>
      <c r="M5" s="18" t="e">
        <f ca="1">curve[[#This Row],[long spread]]-curve[[#This Row],[short spread]]</f>
        <v>#NAME?</v>
      </c>
      <c r="N5" s="18" t="e">
        <f ca="1">curve[[#This Row],[curve]]/curve[[#This Row],[years]]</f>
        <v>#NAME?</v>
      </c>
      <c r="O5" s="5" t="e" cm="1">
        <f t="array" aca="1" ref="O5" ca="1">_xll.BDP(curve[[#This Row],[short code]],"bb_composite")</f>
        <v>#NAME?</v>
      </c>
      <c r="P5" s="5" t="e" cm="1">
        <f t="array" aca="1" ref="P5" ca="1">_xll.BDP(curve[[#This Row],[long code]],"bb_composite")</f>
        <v>#NAME?</v>
      </c>
      <c r="Q5" s="5" t="e" cm="1">
        <f t="array" aca="1" ref="Q5" ca="1">_xll.BDP(curve[[#This Row],[short code]],"crncy")</f>
        <v>#NAME?</v>
      </c>
      <c r="R5" s="5" t="e" cm="1">
        <f t="array" aca="1" ref="R5" ca="1">_xll.BDP(curve[[#This Row],[long code]],"crncy")</f>
        <v>#NAME?</v>
      </c>
      <c r="S5" s="5" t="str">
        <f>INDEX(tkrBBG!AA:AA,MATCH(curve[[#This Row],[ticker]],tkrBBG!Z:Z,0))</f>
        <v>TMT/ AUTO</v>
      </c>
      <c r="T5" s="12" t="s">
        <v>52</v>
      </c>
      <c r="U5" s="18" t="e" cm="1">
        <f t="array" aca="1" ref="U5" ca="1">_xll.BDH(curve[[#This Row],[short code]],curve[[#This Row],[hist spread measure]],$V$2)</f>
        <v>#NAME?</v>
      </c>
      <c r="V5" s="18" t="e" cm="1">
        <f t="array" aca="1" ref="V5" ca="1">_xll.BDH(curve[[#This Row],[long code]],curve[[#This Row],[hist spread measure]],$V$2)</f>
        <v>#NAME?</v>
      </c>
      <c r="W5" s="18" t="str">
        <f ca="1">IFERROR(curve[[#This Row],[long Spread (14d)]]-curve[[#This Row],[short Spread (14d)]],"-")</f>
        <v>-</v>
      </c>
      <c r="X5" s="18" t="str">
        <f ca="1">IFERROR(curve[[#This Row],[curve (14d)]]/curve[[#This Row],[years]],"-")</f>
        <v>-</v>
      </c>
      <c r="Y5" s="18" t="str">
        <f ca="1">IFERROR(curve[[#This Row],[curve per year]]-curve[[#This Row],[curve per year (14d)]],"-")</f>
        <v>-</v>
      </c>
      <c r="Z5" s="18" t="e" cm="1">
        <f t="array" aca="1" ref="Z5" ca="1">_xll.BDH(curve[[#This Row],[short code]],curve[[#This Row],[hist spread measure]],$AA$2)</f>
        <v>#NAME?</v>
      </c>
      <c r="AA5" s="18" t="e" cm="1">
        <f t="array" aca="1" ref="AA5" ca="1">_xll.BDH(curve[[#This Row],[long code]],curve[[#This Row],[hist spread measure]],$AA$2)</f>
        <v>#NAME?</v>
      </c>
      <c r="AB5" s="18" t="str">
        <f ca="1">IFERROR(curve[[#This Row],[long spread (30d)]]-curve[[#This Row],[short spread (30d)]],"-")</f>
        <v>-</v>
      </c>
      <c r="AC5" s="18" t="str">
        <f ca="1">IFERROR(curve[[#This Row],[curve (30d)]]/curve[[#This Row],[years]],"-")</f>
        <v>-</v>
      </c>
      <c r="AD5" s="18" t="str">
        <f ca="1">IFERROR(curve[[#This Row],[curve per year]]-curve[[#This Row],[curve per year (30d)]],"-")</f>
        <v>-</v>
      </c>
      <c r="AE5" s="18" t="e" cm="1">
        <f t="array" aca="1" ref="AE5" ca="1">_xll.BDP(curve[[#This Row],[short code]],"interval_avg","calc_interval=30d","market_data_override=sp210")</f>
        <v>#NAME?</v>
      </c>
      <c r="AF5" s="18" t="e" cm="1">
        <f t="array" aca="1" ref="AF5" ca="1">_xll.BDP(curve[[#This Row],[short code]],"interval_avg","calc_interval=90d","market_data_override=sp210")</f>
        <v>#NAME?</v>
      </c>
      <c r="AG5" s="18" t="e" cm="1">
        <f t="array" aca="1" ref="AG5" ca="1">_xll.BDP(curve[[#This Row],[short code]],"interval_std_dev","calc_interval=30d","market_data_override=sp210")</f>
        <v>#NAME?</v>
      </c>
    </row>
    <row r="6" spans="2:33">
      <c r="B6" s="11" t="s">
        <v>76</v>
      </c>
      <c r="C6" s="12" t="s">
        <v>77</v>
      </c>
      <c r="D6" s="12" t="s">
        <v>78</v>
      </c>
      <c r="E6" s="5" t="e" cm="1">
        <f t="array" aca="1" ref="E6" ca="1">_xll.BDP(curve[[#This Row],[short code]],"security_name")</f>
        <v>#NAME?</v>
      </c>
      <c r="F6" s="5" t="e" cm="1">
        <f t="array" aca="1" ref="F6" ca="1">_xll.BDP(curve[[#This Row],[long code]],"security_name")</f>
        <v>#NAME?</v>
      </c>
      <c r="G6" s="25" t="e" cm="1">
        <f t="array" aca="1" ref="G6" ca="1">_xll.BDP(curve[[#This Row],[short code]],"nxt_call_dt")*1</f>
        <v>#NAME?</v>
      </c>
      <c r="H6" s="25" t="e" cm="1">
        <f t="array" aca="1" ref="H6" ca="1">_xll.BDP(curve[[#This Row],[long code]],"nxt_call_dt")*1</f>
        <v>#NAME?</v>
      </c>
      <c r="I6" s="17" t="e">
        <f ca="1">(curve[[#This Row],[long date]]-curve[[#This Row],[short date]])/365</f>
        <v>#NAME?</v>
      </c>
      <c r="J6" s="12" t="s">
        <v>51</v>
      </c>
      <c r="K6" s="18" t="e" cm="1">
        <f t="array" aca="1" ref="K6" ca="1">_xll.BDP(curve[[#This Row],[short code]],curve[[#This Row],[spread measure]])</f>
        <v>#NAME?</v>
      </c>
      <c r="L6" s="18" t="e" cm="1">
        <f t="array" aca="1" ref="L6" ca="1">_xll.BDP(curve[[#This Row],[long code]],curve[[#This Row],[spread measure]])</f>
        <v>#NAME?</v>
      </c>
      <c r="M6" s="18" t="e">
        <f ca="1">curve[[#This Row],[long spread]]-curve[[#This Row],[short spread]]</f>
        <v>#NAME?</v>
      </c>
      <c r="N6" s="18" t="e">
        <f ca="1">curve[[#This Row],[curve]]/curve[[#This Row],[years]]</f>
        <v>#NAME?</v>
      </c>
      <c r="O6" s="5" t="e" cm="1">
        <f t="array" aca="1" ref="O6" ca="1">_xll.BDP(curve[[#This Row],[short code]],"bb_composite")</f>
        <v>#NAME?</v>
      </c>
      <c r="P6" s="5" t="e" cm="1">
        <f t="array" aca="1" ref="P6" ca="1">_xll.BDP(curve[[#This Row],[long code]],"bb_composite")</f>
        <v>#NAME?</v>
      </c>
      <c r="Q6" s="5" t="e" cm="1">
        <f t="array" aca="1" ref="Q6" ca="1">_xll.BDP(curve[[#This Row],[short code]],"crncy")</f>
        <v>#NAME?</v>
      </c>
      <c r="R6" s="5" t="e" cm="1">
        <f t="array" aca="1" ref="R6" ca="1">_xll.BDP(curve[[#This Row],[long code]],"crncy")</f>
        <v>#NAME?</v>
      </c>
      <c r="S6" s="5" t="str">
        <f>INDEX(tkrBBG!AA:AA,MATCH(curve[[#This Row],[ticker]],tkrBBG!Z:Z,0))</f>
        <v>REIT</v>
      </c>
      <c r="T6" s="12" t="s">
        <v>52</v>
      </c>
      <c r="U6" s="18" t="e" cm="1">
        <f t="array" aca="1" ref="U6" ca="1">_xll.BDH(curve[[#This Row],[short code]],curve[[#This Row],[hist spread measure]],$V$2)</f>
        <v>#NAME?</v>
      </c>
      <c r="V6" s="18" t="e" cm="1">
        <f t="array" aca="1" ref="V6" ca="1">_xll.BDH(curve[[#This Row],[long code]],curve[[#This Row],[hist spread measure]],$V$2)</f>
        <v>#NAME?</v>
      </c>
      <c r="W6" s="18" t="str">
        <f ca="1">IFERROR(curve[[#This Row],[long Spread (14d)]]-curve[[#This Row],[short Spread (14d)]],"-")</f>
        <v>-</v>
      </c>
      <c r="X6" s="18" t="str">
        <f ca="1">IFERROR(curve[[#This Row],[curve (14d)]]/curve[[#This Row],[years]],"-")</f>
        <v>-</v>
      </c>
      <c r="Y6" s="18" t="str">
        <f ca="1">IFERROR(curve[[#This Row],[curve per year]]-curve[[#This Row],[curve per year (14d)]],"-")</f>
        <v>-</v>
      </c>
      <c r="Z6" s="18" t="e" cm="1">
        <f t="array" aca="1" ref="Z6" ca="1">_xll.BDH(curve[[#This Row],[short code]],curve[[#This Row],[hist spread measure]],$AA$2)</f>
        <v>#NAME?</v>
      </c>
      <c r="AA6" s="18" t="e" cm="1">
        <f t="array" aca="1" ref="AA6" ca="1">_xll.BDH(curve[[#This Row],[long code]],curve[[#This Row],[hist spread measure]],$AA$2)</f>
        <v>#NAME?</v>
      </c>
      <c r="AB6" s="18" t="str">
        <f ca="1">IFERROR(curve[[#This Row],[long spread (30d)]]-curve[[#This Row],[short spread (30d)]],"-")</f>
        <v>-</v>
      </c>
      <c r="AC6" s="18" t="str">
        <f ca="1">IFERROR(curve[[#This Row],[curve (30d)]]/curve[[#This Row],[years]],"-")</f>
        <v>-</v>
      </c>
      <c r="AD6" s="18" t="str">
        <f ca="1">IFERROR(curve[[#This Row],[curve per year]]-curve[[#This Row],[curve per year (30d)]],"-")</f>
        <v>-</v>
      </c>
      <c r="AE6" s="18" t="e" cm="1">
        <f t="array" aca="1" ref="AE6" ca="1">_xll.BDP(curve[[#This Row],[short code]],"interval_avg","calc_interval=30d","market_data_override=sp210")</f>
        <v>#NAME?</v>
      </c>
      <c r="AF6" s="18" t="e" cm="1">
        <f t="array" aca="1" ref="AF6" ca="1">_xll.BDP(curve[[#This Row],[short code]],"interval_avg","calc_interval=90d","market_data_override=sp210")</f>
        <v>#NAME?</v>
      </c>
      <c r="AG6" s="18" t="e" cm="1">
        <f t="array" aca="1" ref="AG6" ca="1">_xll.BDP(curve[[#This Row],[short code]],"interval_std_dev","calc_interval=30d","market_data_override=sp210")</f>
        <v>#NAME?</v>
      </c>
    </row>
    <row r="7" spans="2:33">
      <c r="B7" s="11" t="s">
        <v>79</v>
      </c>
      <c r="C7" s="12" t="s">
        <v>80</v>
      </c>
      <c r="D7" s="12" t="s">
        <v>81</v>
      </c>
      <c r="E7" s="5" t="e" cm="1">
        <f t="array" aca="1" ref="E7" ca="1">_xll.BDP(curve[[#This Row],[short code]],"security_name")</f>
        <v>#NAME?</v>
      </c>
      <c r="F7" s="5" t="e" cm="1">
        <f t="array" aca="1" ref="F7" ca="1">_xll.BDP(curve[[#This Row],[long code]],"security_name")</f>
        <v>#NAME?</v>
      </c>
      <c r="G7" s="25" t="e" cm="1">
        <f t="array" aca="1" ref="G7" ca="1">_xll.BDP(curve[[#This Row],[short code]],"nxt_call_dt")*1</f>
        <v>#NAME?</v>
      </c>
      <c r="H7" s="25" t="e" cm="1">
        <f t="array" aca="1" ref="H7" ca="1">_xll.BDP(curve[[#This Row],[long code]],"nxt_call_dt")*1</f>
        <v>#NAME?</v>
      </c>
      <c r="I7" s="17" t="e">
        <f ca="1">(curve[[#This Row],[long date]]-curve[[#This Row],[short date]])/365</f>
        <v>#NAME?</v>
      </c>
      <c r="J7" s="12" t="s">
        <v>51</v>
      </c>
      <c r="K7" s="18" t="e" cm="1">
        <f t="array" aca="1" ref="K7" ca="1">_xll.BDP(curve[[#This Row],[short code]],curve[[#This Row],[spread measure]])</f>
        <v>#NAME?</v>
      </c>
      <c r="L7" s="18" t="e" cm="1">
        <f t="array" aca="1" ref="L7" ca="1">_xll.BDP(curve[[#This Row],[long code]],curve[[#This Row],[spread measure]])</f>
        <v>#NAME?</v>
      </c>
      <c r="M7" s="18" t="e">
        <f ca="1">curve[[#This Row],[long spread]]-curve[[#This Row],[short spread]]</f>
        <v>#NAME?</v>
      </c>
      <c r="N7" s="18" t="e">
        <f ca="1">curve[[#This Row],[curve]]/curve[[#This Row],[years]]</f>
        <v>#NAME?</v>
      </c>
      <c r="O7" s="5" t="e" cm="1">
        <f t="array" aca="1" ref="O7" ca="1">_xll.BDP(curve[[#This Row],[short code]],"bb_composite")</f>
        <v>#NAME?</v>
      </c>
      <c r="P7" s="5" t="e" cm="1">
        <f t="array" aca="1" ref="P7" ca="1">_xll.BDP(curve[[#This Row],[long code]],"bb_composite")</f>
        <v>#NAME?</v>
      </c>
      <c r="Q7" s="5" t="e" cm="1">
        <f t="array" aca="1" ref="Q7" ca="1">_xll.BDP(curve[[#This Row],[short code]],"crncy")</f>
        <v>#NAME?</v>
      </c>
      <c r="R7" s="5" t="e" cm="1">
        <f t="array" aca="1" ref="R7" ca="1">_xll.BDP(curve[[#This Row],[long code]],"crncy")</f>
        <v>#NAME?</v>
      </c>
      <c r="S7" s="5" t="str">
        <f>INDEX(tkrBBG!AA:AA,MATCH(curve[[#This Row],[ticker]],tkrBBG!Z:Z,0))</f>
        <v>REIT</v>
      </c>
      <c r="T7" s="12" t="s">
        <v>52</v>
      </c>
      <c r="U7" s="18" t="e" cm="1">
        <f t="array" aca="1" ref="U7" ca="1">_xll.BDH(curve[[#This Row],[short code]],curve[[#This Row],[hist spread measure]],$V$2)</f>
        <v>#NAME?</v>
      </c>
      <c r="V7" s="18" t="e" cm="1">
        <f t="array" aca="1" ref="V7" ca="1">_xll.BDH(curve[[#This Row],[long code]],curve[[#This Row],[hist spread measure]],$V$2)</f>
        <v>#NAME?</v>
      </c>
      <c r="W7" s="18" t="str">
        <f ca="1">IFERROR(curve[[#This Row],[long Spread (14d)]]-curve[[#This Row],[short Spread (14d)]],"-")</f>
        <v>-</v>
      </c>
      <c r="X7" s="18" t="str">
        <f ca="1">IFERROR(curve[[#This Row],[curve (14d)]]/curve[[#This Row],[years]],"-")</f>
        <v>-</v>
      </c>
      <c r="Y7" s="18" t="str">
        <f ca="1">IFERROR(curve[[#This Row],[curve per year]]-curve[[#This Row],[curve per year (14d)]],"-")</f>
        <v>-</v>
      </c>
      <c r="Z7" s="18" t="e" cm="1">
        <f t="array" aca="1" ref="Z7" ca="1">_xll.BDH(curve[[#This Row],[short code]],curve[[#This Row],[hist spread measure]],$AA$2)</f>
        <v>#NAME?</v>
      </c>
      <c r="AA7" s="18" t="e" cm="1">
        <f t="array" aca="1" ref="AA7" ca="1">_xll.BDH(curve[[#This Row],[long code]],curve[[#This Row],[hist spread measure]],$AA$2)</f>
        <v>#NAME?</v>
      </c>
      <c r="AB7" s="18" t="str">
        <f ca="1">IFERROR(curve[[#This Row],[long spread (30d)]]-curve[[#This Row],[short spread (30d)]],"-")</f>
        <v>-</v>
      </c>
      <c r="AC7" s="18" t="str">
        <f ca="1">IFERROR(curve[[#This Row],[curve (30d)]]/curve[[#This Row],[years]],"-")</f>
        <v>-</v>
      </c>
      <c r="AD7" s="18" t="str">
        <f ca="1">IFERROR(curve[[#This Row],[curve per year]]-curve[[#This Row],[curve per year (30d)]],"-")</f>
        <v>-</v>
      </c>
      <c r="AE7" s="18" t="e" cm="1">
        <f t="array" aca="1" ref="AE7" ca="1">_xll.BDP(curve[[#This Row],[short code]],"interval_avg","calc_interval=30d","market_data_override=sp210")</f>
        <v>#NAME?</v>
      </c>
      <c r="AF7" s="18" t="e" cm="1">
        <f t="array" aca="1" ref="AF7" ca="1">_xll.BDP(curve[[#This Row],[short code]],"interval_avg","calc_interval=90d","market_data_override=sp210")</f>
        <v>#NAME?</v>
      </c>
      <c r="AG7" s="18" t="e" cm="1">
        <f t="array" aca="1" ref="AG7" ca="1">_xll.BDP(curve[[#This Row],[short code]],"interval_std_dev","calc_interval=30d","market_data_override=sp210")</f>
        <v>#NAME?</v>
      </c>
    </row>
    <row r="8" spans="2:33">
      <c r="B8" s="11" t="s">
        <v>82</v>
      </c>
      <c r="C8" s="12" t="s">
        <v>83</v>
      </c>
      <c r="D8" s="12" t="s">
        <v>84</v>
      </c>
      <c r="E8" s="5" t="e" cm="1">
        <f t="array" aca="1" ref="E8" ca="1">_xll.BDP(curve[[#This Row],[short code]],"security_name")</f>
        <v>#NAME?</v>
      </c>
      <c r="F8" s="5" t="e" cm="1">
        <f t="array" aca="1" ref="F8" ca="1">_xll.BDP(curve[[#This Row],[long code]],"security_name")</f>
        <v>#NAME?</v>
      </c>
      <c r="G8" s="25" t="e" cm="1">
        <f t="array" aca="1" ref="G8" ca="1">_xll.BDP(curve[[#This Row],[short code]],"nxt_call_dt")*1</f>
        <v>#NAME?</v>
      </c>
      <c r="H8" s="25" t="e" cm="1">
        <f t="array" aca="1" ref="H8" ca="1">_xll.BDP(curve[[#This Row],[long code]],"nxt_call_dt")*1</f>
        <v>#NAME?</v>
      </c>
      <c r="I8" s="17" t="e">
        <f ca="1">(curve[[#This Row],[long date]]-curve[[#This Row],[short date]])/365</f>
        <v>#NAME?</v>
      </c>
      <c r="J8" s="12" t="s">
        <v>51</v>
      </c>
      <c r="K8" s="18" t="e" cm="1">
        <f t="array" aca="1" ref="K8" ca="1">_xll.BDP(curve[[#This Row],[short code]],curve[[#This Row],[spread measure]])</f>
        <v>#NAME?</v>
      </c>
      <c r="L8" s="18" t="e" cm="1">
        <f t="array" aca="1" ref="L8" ca="1">_xll.BDP(curve[[#This Row],[long code]],curve[[#This Row],[spread measure]])</f>
        <v>#NAME?</v>
      </c>
      <c r="M8" s="18" t="e">
        <f ca="1">curve[[#This Row],[long spread]]-curve[[#This Row],[short spread]]</f>
        <v>#NAME?</v>
      </c>
      <c r="N8" s="18" t="e">
        <f ca="1">curve[[#This Row],[curve]]/curve[[#This Row],[years]]</f>
        <v>#NAME?</v>
      </c>
      <c r="O8" s="5" t="e" cm="1">
        <f t="array" aca="1" ref="O8" ca="1">_xll.BDP(curve[[#This Row],[short code]],"bb_composite")</f>
        <v>#NAME?</v>
      </c>
      <c r="P8" s="5" t="e" cm="1">
        <f t="array" aca="1" ref="P8" ca="1">_xll.BDP(curve[[#This Row],[long code]],"bb_composite")</f>
        <v>#NAME?</v>
      </c>
      <c r="Q8" s="5" t="e" cm="1">
        <f t="array" aca="1" ref="Q8" ca="1">_xll.BDP(curve[[#This Row],[short code]],"crncy")</f>
        <v>#NAME?</v>
      </c>
      <c r="R8" s="5" t="e" cm="1">
        <f t="array" aca="1" ref="R8" ca="1">_xll.BDP(curve[[#This Row],[long code]],"crncy")</f>
        <v>#NAME?</v>
      </c>
      <c r="S8" s="5" t="str">
        <f>INDEX(tkrBBG!AA:AA,MATCH(curve[[#This Row],[ticker]],tkrBBG!Z:Z,0))</f>
        <v>Energy</v>
      </c>
      <c r="T8" s="12" t="s">
        <v>52</v>
      </c>
      <c r="U8" s="18" t="e" cm="1">
        <f t="array" aca="1" ref="U8" ca="1">_xll.BDH(curve[[#This Row],[short code]],curve[[#This Row],[hist spread measure]],$V$2)</f>
        <v>#NAME?</v>
      </c>
      <c r="V8" s="18" t="e" cm="1">
        <f t="array" aca="1" ref="V8" ca="1">_xll.BDH(curve[[#This Row],[long code]],curve[[#This Row],[hist spread measure]],$V$2)</f>
        <v>#NAME?</v>
      </c>
      <c r="W8" s="18" t="str">
        <f ca="1">IFERROR(curve[[#This Row],[long Spread (14d)]]-curve[[#This Row],[short Spread (14d)]],"-")</f>
        <v>-</v>
      </c>
      <c r="X8" s="18" t="str">
        <f ca="1">IFERROR(curve[[#This Row],[curve (14d)]]/curve[[#This Row],[years]],"-")</f>
        <v>-</v>
      </c>
      <c r="Y8" s="18" t="str">
        <f ca="1">IFERROR(curve[[#This Row],[curve per year]]-curve[[#This Row],[curve per year (14d)]],"-")</f>
        <v>-</v>
      </c>
      <c r="Z8" s="18" t="e" cm="1">
        <f t="array" aca="1" ref="Z8" ca="1">_xll.BDH(curve[[#This Row],[short code]],curve[[#This Row],[hist spread measure]],$AA$2)</f>
        <v>#NAME?</v>
      </c>
      <c r="AA8" s="18" t="e" cm="1">
        <f t="array" aca="1" ref="AA8" ca="1">_xll.BDH(curve[[#This Row],[long code]],curve[[#This Row],[hist spread measure]],$AA$2)</f>
        <v>#NAME?</v>
      </c>
      <c r="AB8" s="18" t="str">
        <f ca="1">IFERROR(curve[[#This Row],[long spread (30d)]]-curve[[#This Row],[short spread (30d)]],"-")</f>
        <v>-</v>
      </c>
      <c r="AC8" s="18" t="str">
        <f ca="1">IFERROR(curve[[#This Row],[curve (30d)]]/curve[[#This Row],[years]],"-")</f>
        <v>-</v>
      </c>
      <c r="AD8" s="18" t="str">
        <f ca="1">IFERROR(curve[[#This Row],[curve per year]]-curve[[#This Row],[curve per year (30d)]],"-")</f>
        <v>-</v>
      </c>
      <c r="AE8" s="18" t="e" cm="1">
        <f t="array" aca="1" ref="AE8" ca="1">_xll.BDP(curve[[#This Row],[short code]],"interval_avg","calc_interval=30d","market_data_override=sp210")</f>
        <v>#NAME?</v>
      </c>
      <c r="AF8" s="18" t="e" cm="1">
        <f t="array" aca="1" ref="AF8" ca="1">_xll.BDP(curve[[#This Row],[short code]],"interval_avg","calc_interval=90d","market_data_override=sp210")</f>
        <v>#NAME?</v>
      </c>
      <c r="AG8" s="18" t="e" cm="1">
        <f t="array" aca="1" ref="AG8" ca="1">_xll.BDP(curve[[#This Row],[short code]],"interval_std_dev","calc_interval=30d","market_data_override=sp210")</f>
        <v>#NAME?</v>
      </c>
    </row>
    <row r="9" spans="2:33">
      <c r="B9" s="11" t="s">
        <v>85</v>
      </c>
      <c r="C9" s="12" t="s">
        <v>86</v>
      </c>
      <c r="D9" s="12" t="s">
        <v>87</v>
      </c>
      <c r="E9" s="5" t="e" cm="1">
        <f t="array" aca="1" ref="E9" ca="1">_xll.BDP(curve[[#This Row],[short code]],"security_name")</f>
        <v>#NAME?</v>
      </c>
      <c r="F9" s="5" t="e" cm="1">
        <f t="array" aca="1" ref="F9" ca="1">_xll.BDP(curve[[#This Row],[long code]],"security_name")</f>
        <v>#NAME?</v>
      </c>
      <c r="G9" s="25" t="e" cm="1">
        <f t="array" aca="1" ref="G9" ca="1">_xll.BDP(curve[[#This Row],[short code]],"nxt_call_dt")*1</f>
        <v>#NAME?</v>
      </c>
      <c r="H9" s="25" t="e" cm="1">
        <f t="array" aca="1" ref="H9" ca="1">_xll.BDP(curve[[#This Row],[long code]],"nxt_call_dt")*1</f>
        <v>#NAME?</v>
      </c>
      <c r="I9" s="17" t="e">
        <f ca="1">(curve[[#This Row],[long date]]-curve[[#This Row],[short date]])/365</f>
        <v>#NAME?</v>
      </c>
      <c r="J9" s="12" t="s">
        <v>51</v>
      </c>
      <c r="K9" s="18" t="e" cm="1">
        <f t="array" aca="1" ref="K9" ca="1">_xll.BDP(curve[[#This Row],[short code]],curve[[#This Row],[spread measure]])</f>
        <v>#NAME?</v>
      </c>
      <c r="L9" s="18" t="e" cm="1">
        <f t="array" aca="1" ref="L9" ca="1">_xll.BDP(curve[[#This Row],[long code]],curve[[#This Row],[spread measure]])</f>
        <v>#NAME?</v>
      </c>
      <c r="M9" s="18" t="e">
        <f ca="1">curve[[#This Row],[long spread]]-curve[[#This Row],[short spread]]</f>
        <v>#NAME?</v>
      </c>
      <c r="N9" s="18" t="e">
        <f ca="1">curve[[#This Row],[curve]]/curve[[#This Row],[years]]</f>
        <v>#NAME?</v>
      </c>
      <c r="O9" s="5" t="e" cm="1">
        <f t="array" aca="1" ref="O9" ca="1">_xll.BDP(curve[[#This Row],[short code]],"bb_composite")</f>
        <v>#NAME?</v>
      </c>
      <c r="P9" s="5" t="e" cm="1">
        <f t="array" aca="1" ref="P9" ca="1">_xll.BDP(curve[[#This Row],[long code]],"bb_composite")</f>
        <v>#NAME?</v>
      </c>
      <c r="Q9" s="5" t="e" cm="1">
        <f t="array" aca="1" ref="Q9" ca="1">_xll.BDP(curve[[#This Row],[short code]],"crncy")</f>
        <v>#NAME?</v>
      </c>
      <c r="R9" s="5" t="e" cm="1">
        <f t="array" aca="1" ref="R9" ca="1">_xll.BDP(curve[[#This Row],[long code]],"crncy")</f>
        <v>#NAME?</v>
      </c>
      <c r="S9" s="5" t="str">
        <f>INDEX(tkrBBG!AA:AA,MATCH(curve[[#This Row],[ticker]],tkrBBG!Z:Z,0))</f>
        <v>UTILS</v>
      </c>
      <c r="T9" s="12" t="s">
        <v>52</v>
      </c>
      <c r="U9" s="18" t="e" cm="1">
        <f t="array" aca="1" ref="U9" ca="1">_xll.BDH(curve[[#This Row],[short code]],curve[[#This Row],[hist spread measure]],$V$2)</f>
        <v>#NAME?</v>
      </c>
      <c r="V9" s="18" t="e" cm="1">
        <f t="array" aca="1" ref="V9" ca="1">_xll.BDH(curve[[#This Row],[long code]],curve[[#This Row],[hist spread measure]],$V$2)</f>
        <v>#NAME?</v>
      </c>
      <c r="W9" s="18" t="str">
        <f ca="1">IFERROR(curve[[#This Row],[long Spread (14d)]]-curve[[#This Row],[short Spread (14d)]],"-")</f>
        <v>-</v>
      </c>
      <c r="X9" s="18" t="str">
        <f ca="1">IFERROR(curve[[#This Row],[curve (14d)]]/curve[[#This Row],[years]],"-")</f>
        <v>-</v>
      </c>
      <c r="Y9" s="18" t="str">
        <f ca="1">IFERROR(curve[[#This Row],[curve per year]]-curve[[#This Row],[curve per year (14d)]],"-")</f>
        <v>-</v>
      </c>
      <c r="Z9" s="18" t="e" cm="1">
        <f t="array" aca="1" ref="Z9" ca="1">_xll.BDH(curve[[#This Row],[short code]],curve[[#This Row],[hist spread measure]],$AA$2)</f>
        <v>#NAME?</v>
      </c>
      <c r="AA9" s="18" t="e" cm="1">
        <f t="array" aca="1" ref="AA9" ca="1">_xll.BDH(curve[[#This Row],[long code]],curve[[#This Row],[hist spread measure]],$AA$2)</f>
        <v>#NAME?</v>
      </c>
      <c r="AB9" s="18" t="str">
        <f ca="1">IFERROR(curve[[#This Row],[long spread (30d)]]-curve[[#This Row],[short spread (30d)]],"-")</f>
        <v>-</v>
      </c>
      <c r="AC9" s="18" t="str">
        <f ca="1">IFERROR(curve[[#This Row],[curve (30d)]]/curve[[#This Row],[years]],"-")</f>
        <v>-</v>
      </c>
      <c r="AD9" s="18" t="str">
        <f ca="1">IFERROR(curve[[#This Row],[curve per year]]-curve[[#This Row],[curve per year (30d)]],"-")</f>
        <v>-</v>
      </c>
      <c r="AE9" s="18" t="e" cm="1">
        <f t="array" aca="1" ref="AE9" ca="1">_xll.BDP(curve[[#This Row],[short code]],"interval_avg","calc_interval=30d","market_data_override=sp210")</f>
        <v>#NAME?</v>
      </c>
      <c r="AF9" s="18" t="e" cm="1">
        <f t="array" aca="1" ref="AF9" ca="1">_xll.BDP(curve[[#This Row],[short code]],"interval_avg","calc_interval=90d","market_data_override=sp210")</f>
        <v>#NAME?</v>
      </c>
      <c r="AG9" s="18" t="e" cm="1">
        <f t="array" aca="1" ref="AG9" ca="1">_xll.BDP(curve[[#This Row],[short code]],"interval_std_dev","calc_interval=30d","market_data_override=sp210")</f>
        <v>#NAME?</v>
      </c>
    </row>
    <row r="10" spans="2:33">
      <c r="B10" s="11" t="s">
        <v>88</v>
      </c>
      <c r="C10" s="12" t="s">
        <v>89</v>
      </c>
      <c r="D10" s="12" t="s">
        <v>90</v>
      </c>
      <c r="E10" s="5" t="e" cm="1">
        <f t="array" aca="1" ref="E10" ca="1">_xll.BDP(curve[[#This Row],[short code]],"security_name")</f>
        <v>#NAME?</v>
      </c>
      <c r="F10" s="5" t="e" cm="1">
        <f t="array" aca="1" ref="F10" ca="1">_xll.BDP(curve[[#This Row],[long code]],"security_name")</f>
        <v>#NAME?</v>
      </c>
      <c r="G10" s="25" t="e" cm="1">
        <f t="array" aca="1" ref="G10" ca="1">_xll.BDP(curve[[#This Row],[short code]],"nxt_call_dt")*1</f>
        <v>#NAME?</v>
      </c>
      <c r="H10" s="25" t="e" cm="1">
        <f t="array" aca="1" ref="H10" ca="1">_xll.BDP(curve[[#This Row],[long code]],"nxt_call_dt")*1</f>
        <v>#NAME?</v>
      </c>
      <c r="I10" s="17" t="e">
        <f ca="1">(curve[[#This Row],[long date]]-curve[[#This Row],[short date]])/365</f>
        <v>#NAME?</v>
      </c>
      <c r="J10" s="12" t="s">
        <v>51</v>
      </c>
      <c r="K10" s="18" t="e" cm="1">
        <f t="array" aca="1" ref="K10" ca="1">_xll.BDP(curve[[#This Row],[short code]],curve[[#This Row],[spread measure]])</f>
        <v>#NAME?</v>
      </c>
      <c r="L10" s="18" t="e" cm="1">
        <f t="array" aca="1" ref="L10" ca="1">_xll.BDP(curve[[#This Row],[long code]],curve[[#This Row],[spread measure]])</f>
        <v>#NAME?</v>
      </c>
      <c r="M10" s="18" t="e">
        <f ca="1">curve[[#This Row],[long spread]]-curve[[#This Row],[short spread]]</f>
        <v>#NAME?</v>
      </c>
      <c r="N10" s="18" t="e">
        <f ca="1">curve[[#This Row],[curve]]/curve[[#This Row],[years]]</f>
        <v>#NAME?</v>
      </c>
      <c r="O10" s="5" t="e" cm="1">
        <f t="array" aca="1" ref="O10" ca="1">_xll.BDP(curve[[#This Row],[short code]],"bb_composite")</f>
        <v>#NAME?</v>
      </c>
      <c r="P10" s="5" t="e" cm="1">
        <f t="array" aca="1" ref="P10" ca="1">_xll.BDP(curve[[#This Row],[long code]],"bb_composite")</f>
        <v>#NAME?</v>
      </c>
      <c r="Q10" s="5" t="e" cm="1">
        <f t="array" aca="1" ref="Q10" ca="1">_xll.BDP(curve[[#This Row],[short code]],"crncy")</f>
        <v>#NAME?</v>
      </c>
      <c r="R10" s="5" t="e" cm="1">
        <f t="array" aca="1" ref="R10" ca="1">_xll.BDP(curve[[#This Row],[long code]],"crncy")</f>
        <v>#NAME?</v>
      </c>
      <c r="S10" s="5" t="str">
        <f>INDEX(tkrBBG!AA:AA,MATCH(curve[[#This Row],[ticker]],tkrBBG!Z:Z,0))</f>
        <v>UTILS</v>
      </c>
      <c r="T10" s="12" t="s">
        <v>52</v>
      </c>
      <c r="U10" s="18" t="e" cm="1">
        <f t="array" aca="1" ref="U10" ca="1">_xll.BDH(curve[[#This Row],[short code]],curve[[#This Row],[hist spread measure]],$V$2)</f>
        <v>#NAME?</v>
      </c>
      <c r="V10" s="18" t="e" cm="1">
        <f t="array" aca="1" ref="V10" ca="1">_xll.BDH(curve[[#This Row],[long code]],curve[[#This Row],[hist spread measure]],$V$2)</f>
        <v>#NAME?</v>
      </c>
      <c r="W10" s="18" t="str">
        <f ca="1">IFERROR(curve[[#This Row],[long Spread (14d)]]-curve[[#This Row],[short Spread (14d)]],"-")</f>
        <v>-</v>
      </c>
      <c r="X10" s="18" t="str">
        <f ca="1">IFERROR(curve[[#This Row],[curve (14d)]]/curve[[#This Row],[years]],"-")</f>
        <v>-</v>
      </c>
      <c r="Y10" s="18" t="str">
        <f ca="1">IFERROR(curve[[#This Row],[curve per year]]-curve[[#This Row],[curve per year (14d)]],"-")</f>
        <v>-</v>
      </c>
      <c r="Z10" s="18" t="e" cm="1">
        <f t="array" aca="1" ref="Z10" ca="1">_xll.BDH(curve[[#This Row],[short code]],curve[[#This Row],[hist spread measure]],$AA$2)</f>
        <v>#NAME?</v>
      </c>
      <c r="AA10" s="18" t="e" cm="1">
        <f t="array" aca="1" ref="AA10" ca="1">_xll.BDH(curve[[#This Row],[long code]],curve[[#This Row],[hist spread measure]],$AA$2)</f>
        <v>#NAME?</v>
      </c>
      <c r="AB10" s="18" t="str">
        <f ca="1">IFERROR(curve[[#This Row],[long spread (30d)]]-curve[[#This Row],[short spread (30d)]],"-")</f>
        <v>-</v>
      </c>
      <c r="AC10" s="18" t="str">
        <f ca="1">IFERROR(curve[[#This Row],[curve (30d)]]/curve[[#This Row],[years]],"-")</f>
        <v>-</v>
      </c>
      <c r="AD10" s="18" t="str">
        <f ca="1">IFERROR(curve[[#This Row],[curve per year]]-curve[[#This Row],[curve per year (30d)]],"-")</f>
        <v>-</v>
      </c>
      <c r="AE10" s="18" t="e" cm="1">
        <f t="array" aca="1" ref="AE10" ca="1">_xll.BDP(curve[[#This Row],[short code]],"interval_avg","calc_interval=30d","market_data_override=sp210")</f>
        <v>#NAME?</v>
      </c>
      <c r="AF10" s="18" t="e" cm="1">
        <f t="array" aca="1" ref="AF10" ca="1">_xll.BDP(curve[[#This Row],[short code]],"interval_avg","calc_interval=90d","market_data_override=sp210")</f>
        <v>#NAME?</v>
      </c>
      <c r="AG10" s="18" t="e" cm="1">
        <f t="array" aca="1" ref="AG10" ca="1">_xll.BDP(curve[[#This Row],[short code]],"interval_std_dev","calc_interval=30d","market_data_override=sp210")</f>
        <v>#NAME?</v>
      </c>
    </row>
    <row r="11" spans="2:33">
      <c r="B11" s="11" t="s">
        <v>91</v>
      </c>
      <c r="C11" s="12" t="s">
        <v>92</v>
      </c>
      <c r="D11" s="12" t="s">
        <v>93</v>
      </c>
      <c r="E11" s="5" t="e" cm="1">
        <f t="array" aca="1" ref="E11" ca="1">_xll.BDP(curve[[#This Row],[short code]],"security_name")</f>
        <v>#NAME?</v>
      </c>
      <c r="F11" s="5" t="e" cm="1">
        <f t="array" aca="1" ref="F11" ca="1">_xll.BDP(curve[[#This Row],[long code]],"security_name")</f>
        <v>#NAME?</v>
      </c>
      <c r="G11" s="25" t="e" cm="1">
        <f t="array" aca="1" ref="G11" ca="1">_xll.BDP(curve[[#This Row],[short code]],"nxt_call_dt")*1</f>
        <v>#NAME?</v>
      </c>
      <c r="H11" s="25" t="e" cm="1">
        <f t="array" aca="1" ref="H11" ca="1">_xll.BDP(curve[[#This Row],[long code]],"nxt_call_dt")*1</f>
        <v>#NAME?</v>
      </c>
      <c r="I11" s="17" t="e">
        <f ca="1">(curve[[#This Row],[long date]]-curve[[#This Row],[short date]])/365</f>
        <v>#NAME?</v>
      </c>
      <c r="J11" s="12" t="s">
        <v>51</v>
      </c>
      <c r="K11" s="18" t="e" cm="1">
        <f t="array" aca="1" ref="K11" ca="1">_xll.BDP(curve[[#This Row],[short code]],curve[[#This Row],[spread measure]])</f>
        <v>#NAME?</v>
      </c>
      <c r="L11" s="18" t="e" cm="1">
        <f t="array" aca="1" ref="L11" ca="1">_xll.BDP(curve[[#This Row],[long code]],curve[[#This Row],[spread measure]])</f>
        <v>#NAME?</v>
      </c>
      <c r="M11" s="18" t="e">
        <f ca="1">curve[[#This Row],[long spread]]-curve[[#This Row],[short spread]]</f>
        <v>#NAME?</v>
      </c>
      <c r="N11" s="18" t="e">
        <f ca="1">curve[[#This Row],[curve]]/curve[[#This Row],[years]]</f>
        <v>#NAME?</v>
      </c>
      <c r="O11" s="5" t="e" cm="1">
        <f t="array" aca="1" ref="O11" ca="1">_xll.BDP(curve[[#This Row],[short code]],"bb_composite")</f>
        <v>#NAME?</v>
      </c>
      <c r="P11" s="5" t="e" cm="1">
        <f t="array" aca="1" ref="P11" ca="1">_xll.BDP(curve[[#This Row],[long code]],"bb_composite")</f>
        <v>#NAME?</v>
      </c>
      <c r="Q11" s="5" t="e" cm="1">
        <f t="array" aca="1" ref="Q11" ca="1">_xll.BDP(curve[[#This Row],[short code]],"crncy")</f>
        <v>#NAME?</v>
      </c>
      <c r="R11" s="5" t="e" cm="1">
        <f t="array" aca="1" ref="R11" ca="1">_xll.BDP(curve[[#This Row],[long code]],"crncy")</f>
        <v>#NAME?</v>
      </c>
      <c r="S11" s="5" t="str">
        <f>INDEX(tkrBBG!AA:AA,MATCH(curve[[#This Row],[ticker]],tkrBBG!Z:Z,0))</f>
        <v>UTILS</v>
      </c>
      <c r="T11" s="12" t="s">
        <v>52</v>
      </c>
      <c r="U11" s="18" t="e" cm="1">
        <f t="array" aca="1" ref="U11" ca="1">_xll.BDH(curve[[#This Row],[short code]],curve[[#This Row],[hist spread measure]],$V$2)</f>
        <v>#NAME?</v>
      </c>
      <c r="V11" s="18" t="e" cm="1">
        <f t="array" aca="1" ref="V11" ca="1">_xll.BDH(curve[[#This Row],[long code]],curve[[#This Row],[hist spread measure]],$V$2)</f>
        <v>#NAME?</v>
      </c>
      <c r="W11" s="18" t="str">
        <f ca="1">IFERROR(curve[[#This Row],[long Spread (14d)]]-curve[[#This Row],[short Spread (14d)]],"-")</f>
        <v>-</v>
      </c>
      <c r="X11" s="18" t="str">
        <f ca="1">IFERROR(curve[[#This Row],[curve (14d)]]/curve[[#This Row],[years]],"-")</f>
        <v>-</v>
      </c>
      <c r="Y11" s="18" t="str">
        <f ca="1">IFERROR(curve[[#This Row],[curve per year]]-curve[[#This Row],[curve per year (14d)]],"-")</f>
        <v>-</v>
      </c>
      <c r="Z11" s="18" t="e" cm="1">
        <f t="array" aca="1" ref="Z11" ca="1">_xll.BDH(curve[[#This Row],[short code]],curve[[#This Row],[hist spread measure]],$AA$2)</f>
        <v>#NAME?</v>
      </c>
      <c r="AA11" s="18" t="e" cm="1">
        <f t="array" aca="1" ref="AA11" ca="1">_xll.BDH(curve[[#This Row],[long code]],curve[[#This Row],[hist spread measure]],$AA$2)</f>
        <v>#NAME?</v>
      </c>
      <c r="AB11" s="18" t="str">
        <f ca="1">IFERROR(curve[[#This Row],[long spread (30d)]]-curve[[#This Row],[short spread (30d)]],"-")</f>
        <v>-</v>
      </c>
      <c r="AC11" s="18" t="str">
        <f ca="1">IFERROR(curve[[#This Row],[curve (30d)]]/curve[[#This Row],[years]],"-")</f>
        <v>-</v>
      </c>
      <c r="AD11" s="18" t="str">
        <f ca="1">IFERROR(curve[[#This Row],[curve per year]]-curve[[#This Row],[curve per year (30d)]],"-")</f>
        <v>-</v>
      </c>
      <c r="AE11" s="18" t="e" cm="1">
        <f t="array" aca="1" ref="AE11" ca="1">_xll.BDP(curve[[#This Row],[short code]],"interval_avg","calc_interval=30d","market_data_override=sp210")</f>
        <v>#NAME?</v>
      </c>
      <c r="AF11" s="18" t="e" cm="1">
        <f t="array" aca="1" ref="AF11" ca="1">_xll.BDP(curve[[#This Row],[short code]],"interval_avg","calc_interval=90d","market_data_override=sp210")</f>
        <v>#NAME?</v>
      </c>
      <c r="AG11" s="18" t="e" cm="1">
        <f t="array" aca="1" ref="AG11" ca="1">_xll.BDP(curve[[#This Row],[short code]],"interval_std_dev","calc_interval=30d","market_data_override=sp210")</f>
        <v>#NAME?</v>
      </c>
    </row>
    <row r="12" spans="2:33">
      <c r="B12" s="11" t="s">
        <v>94</v>
      </c>
      <c r="C12" s="12" t="s">
        <v>95</v>
      </c>
      <c r="D12" s="12" t="s">
        <v>96</v>
      </c>
      <c r="E12" s="5" t="e" cm="1">
        <f t="array" aca="1" ref="E12" ca="1">_xll.BDP(curve[[#This Row],[short code]],"security_name")</f>
        <v>#NAME?</v>
      </c>
      <c r="F12" s="5" t="e" cm="1">
        <f t="array" aca="1" ref="F12" ca="1">_xll.BDP(curve[[#This Row],[long code]],"security_name")</f>
        <v>#NAME?</v>
      </c>
      <c r="G12" s="25" t="e" cm="1">
        <f t="array" aca="1" ref="G12" ca="1">_xll.BDP(curve[[#This Row],[short code]],"nxt_call_dt")*1</f>
        <v>#NAME?</v>
      </c>
      <c r="H12" s="25" t="e" cm="1">
        <f t="array" aca="1" ref="H12" ca="1">_xll.BDP(curve[[#This Row],[long code]],"nxt_call_dt")*1</f>
        <v>#NAME?</v>
      </c>
      <c r="I12" s="17" t="e">
        <f ca="1">(curve[[#This Row],[long date]]-curve[[#This Row],[short date]])/365</f>
        <v>#NAME?</v>
      </c>
      <c r="J12" s="12" t="s">
        <v>51</v>
      </c>
      <c r="K12" s="18" t="e" cm="1">
        <f t="array" aca="1" ref="K12" ca="1">_xll.BDP(curve[[#This Row],[short code]],curve[[#This Row],[spread measure]])</f>
        <v>#NAME?</v>
      </c>
      <c r="L12" s="18" t="e" cm="1">
        <f t="array" aca="1" ref="L12" ca="1">_xll.BDP(curve[[#This Row],[long code]],curve[[#This Row],[spread measure]])</f>
        <v>#NAME?</v>
      </c>
      <c r="M12" s="18" t="e">
        <f ca="1">curve[[#This Row],[long spread]]-curve[[#This Row],[short spread]]</f>
        <v>#NAME?</v>
      </c>
      <c r="N12" s="18" t="e">
        <f ca="1">curve[[#This Row],[curve]]/curve[[#This Row],[years]]</f>
        <v>#NAME?</v>
      </c>
      <c r="O12" s="5" t="e" cm="1">
        <f t="array" aca="1" ref="O12" ca="1">_xll.BDP(curve[[#This Row],[short code]],"bb_composite")</f>
        <v>#NAME?</v>
      </c>
      <c r="P12" s="5" t="e" cm="1">
        <f t="array" aca="1" ref="P12" ca="1">_xll.BDP(curve[[#This Row],[long code]],"bb_composite")</f>
        <v>#NAME?</v>
      </c>
      <c r="Q12" s="5" t="e" cm="1">
        <f t="array" aca="1" ref="Q12" ca="1">_xll.BDP(curve[[#This Row],[short code]],"crncy")</f>
        <v>#NAME?</v>
      </c>
      <c r="R12" s="5" t="e" cm="1">
        <f t="array" aca="1" ref="R12" ca="1">_xll.BDP(curve[[#This Row],[long code]],"crncy")</f>
        <v>#NAME?</v>
      </c>
      <c r="S12" s="5" t="str">
        <f>INDEX(tkrBBG!AA:AA,MATCH(curve[[#This Row],[ticker]],tkrBBG!Z:Z,0))</f>
        <v>Low Beta</v>
      </c>
      <c r="T12" s="12" t="s">
        <v>52</v>
      </c>
      <c r="U12" s="18" t="e" cm="1">
        <f t="array" aca="1" ref="U12" ca="1">_xll.BDH(curve[[#This Row],[short code]],curve[[#This Row],[hist spread measure]],$V$2)</f>
        <v>#NAME?</v>
      </c>
      <c r="V12" s="18" t="e" cm="1">
        <f t="array" aca="1" ref="V12" ca="1">_xll.BDH(curve[[#This Row],[long code]],curve[[#This Row],[hist spread measure]],$V$2)</f>
        <v>#NAME?</v>
      </c>
      <c r="W12" s="18" t="str">
        <f ca="1">IFERROR(curve[[#This Row],[long Spread (14d)]]-curve[[#This Row],[short Spread (14d)]],"-")</f>
        <v>-</v>
      </c>
      <c r="X12" s="18" t="str">
        <f ca="1">IFERROR(curve[[#This Row],[curve (14d)]]/curve[[#This Row],[years]],"-")</f>
        <v>-</v>
      </c>
      <c r="Y12" s="18" t="str">
        <f ca="1">IFERROR(curve[[#This Row],[curve per year]]-curve[[#This Row],[curve per year (14d)]],"-")</f>
        <v>-</v>
      </c>
      <c r="Z12" s="18" t="e" cm="1">
        <f t="array" aca="1" ref="Z12" ca="1">_xll.BDH(curve[[#This Row],[short code]],curve[[#This Row],[hist spread measure]],$AA$2)</f>
        <v>#NAME?</v>
      </c>
      <c r="AA12" s="18" t="e" cm="1">
        <f t="array" aca="1" ref="AA12" ca="1">_xll.BDH(curve[[#This Row],[long code]],curve[[#This Row],[hist spread measure]],$AA$2)</f>
        <v>#NAME?</v>
      </c>
      <c r="AB12" s="18" t="str">
        <f ca="1">IFERROR(curve[[#This Row],[long spread (30d)]]-curve[[#This Row],[short spread (30d)]],"-")</f>
        <v>-</v>
      </c>
      <c r="AC12" s="18" t="str">
        <f ca="1">IFERROR(curve[[#This Row],[curve (30d)]]/curve[[#This Row],[years]],"-")</f>
        <v>-</v>
      </c>
      <c r="AD12" s="18" t="str">
        <f ca="1">IFERROR(curve[[#This Row],[curve per year]]-curve[[#This Row],[curve per year (30d)]],"-")</f>
        <v>-</v>
      </c>
      <c r="AE12" s="18" t="e" cm="1">
        <f t="array" aca="1" ref="AE12" ca="1">_xll.BDP(curve[[#This Row],[short code]],"interval_avg","calc_interval=30d","market_data_override=sp210")</f>
        <v>#NAME?</v>
      </c>
      <c r="AF12" s="18" t="e" cm="1">
        <f t="array" aca="1" ref="AF12" ca="1">_xll.BDP(curve[[#This Row],[short code]],"interval_avg","calc_interval=90d","market_data_override=sp210")</f>
        <v>#NAME?</v>
      </c>
      <c r="AG12" s="18" t="e" cm="1">
        <f t="array" aca="1" ref="AG12" ca="1">_xll.BDP(curve[[#This Row],[short code]],"interval_std_dev","calc_interval=30d","market_data_override=sp210")</f>
        <v>#NAME?</v>
      </c>
    </row>
    <row r="13" spans="2:33">
      <c r="B13" s="11" t="s">
        <v>97</v>
      </c>
      <c r="C13" s="12" t="s">
        <v>98</v>
      </c>
      <c r="D13" s="12" t="s">
        <v>99</v>
      </c>
      <c r="E13" s="5" t="e" cm="1">
        <f t="array" aca="1" ref="E13" ca="1">_xll.BDP(curve[[#This Row],[short code]],"security_name")</f>
        <v>#NAME?</v>
      </c>
      <c r="F13" s="5" t="e" cm="1">
        <f t="array" aca="1" ref="F13" ca="1">_xll.BDP(curve[[#This Row],[long code]],"security_name")</f>
        <v>#NAME?</v>
      </c>
      <c r="G13" s="25" t="e" cm="1">
        <f t="array" aca="1" ref="G13" ca="1">_xll.BDP(curve[[#This Row],[short code]],"nxt_call_dt")*1</f>
        <v>#NAME?</v>
      </c>
      <c r="H13" s="25" t="e" cm="1">
        <f t="array" aca="1" ref="H13" ca="1">_xll.BDP(curve[[#This Row],[long code]],"nxt_call_dt")*1</f>
        <v>#NAME?</v>
      </c>
      <c r="I13" s="17" t="e">
        <f ca="1">(curve[[#This Row],[long date]]-curve[[#This Row],[short date]])/365</f>
        <v>#NAME?</v>
      </c>
      <c r="J13" s="12" t="s">
        <v>51</v>
      </c>
      <c r="K13" s="18" t="e" cm="1">
        <f t="array" aca="1" ref="K13" ca="1">_xll.BDP(curve[[#This Row],[short code]],curve[[#This Row],[spread measure]])</f>
        <v>#NAME?</v>
      </c>
      <c r="L13" s="18" t="e" cm="1">
        <f t="array" aca="1" ref="L13" ca="1">_xll.BDP(curve[[#This Row],[long code]],curve[[#This Row],[spread measure]])</f>
        <v>#NAME?</v>
      </c>
      <c r="M13" s="18" t="e">
        <f ca="1">curve[[#This Row],[long spread]]-curve[[#This Row],[short spread]]</f>
        <v>#NAME?</v>
      </c>
      <c r="N13" s="18" t="e">
        <f ca="1">curve[[#This Row],[curve]]/curve[[#This Row],[years]]</f>
        <v>#NAME?</v>
      </c>
      <c r="O13" s="5" t="e" cm="1">
        <f t="array" aca="1" ref="O13" ca="1">_xll.BDP(curve[[#This Row],[short code]],"bb_composite")</f>
        <v>#NAME?</v>
      </c>
      <c r="P13" s="5" t="e" cm="1">
        <f t="array" aca="1" ref="P13" ca="1">_xll.BDP(curve[[#This Row],[long code]],"bb_composite")</f>
        <v>#NAME?</v>
      </c>
      <c r="Q13" s="5" t="e" cm="1">
        <f t="array" aca="1" ref="Q13" ca="1">_xll.BDP(curve[[#This Row],[short code]],"crncy")</f>
        <v>#NAME?</v>
      </c>
      <c r="R13" s="5" t="e" cm="1">
        <f t="array" aca="1" ref="R13" ca="1">_xll.BDP(curve[[#This Row],[long code]],"crncy")</f>
        <v>#NAME?</v>
      </c>
      <c r="S13" s="5" t="str">
        <f>INDEX(tkrBBG!AA:AA,MATCH(curve[[#This Row],[ticker]],tkrBBG!Z:Z,0))</f>
        <v>UTILS</v>
      </c>
      <c r="T13" s="12" t="s">
        <v>52</v>
      </c>
      <c r="U13" s="18" t="e" cm="1">
        <f t="array" aca="1" ref="U13" ca="1">_xll.BDH(curve[[#This Row],[short code]],curve[[#This Row],[hist spread measure]],$V$2)</f>
        <v>#NAME?</v>
      </c>
      <c r="V13" s="18" t="e" cm="1">
        <f t="array" aca="1" ref="V13" ca="1">_xll.BDH(curve[[#This Row],[long code]],curve[[#This Row],[hist spread measure]],$V$2)</f>
        <v>#NAME?</v>
      </c>
      <c r="W13" s="18" t="str">
        <f ca="1">IFERROR(curve[[#This Row],[long Spread (14d)]]-curve[[#This Row],[short Spread (14d)]],"-")</f>
        <v>-</v>
      </c>
      <c r="X13" s="18" t="str">
        <f ca="1">IFERROR(curve[[#This Row],[curve (14d)]]/curve[[#This Row],[years]],"-")</f>
        <v>-</v>
      </c>
      <c r="Y13" s="18" t="str">
        <f ca="1">IFERROR(curve[[#This Row],[curve per year]]-curve[[#This Row],[curve per year (14d)]],"-")</f>
        <v>-</v>
      </c>
      <c r="Z13" s="18" t="e" cm="1">
        <f t="array" aca="1" ref="Z13" ca="1">_xll.BDH(curve[[#This Row],[short code]],curve[[#This Row],[hist spread measure]],$AA$2)</f>
        <v>#NAME?</v>
      </c>
      <c r="AA13" s="18" t="e" cm="1">
        <f t="array" aca="1" ref="AA13" ca="1">_xll.BDH(curve[[#This Row],[long code]],curve[[#This Row],[hist spread measure]],$AA$2)</f>
        <v>#NAME?</v>
      </c>
      <c r="AB13" s="18" t="str">
        <f ca="1">IFERROR(curve[[#This Row],[long spread (30d)]]-curve[[#This Row],[short spread (30d)]],"-")</f>
        <v>-</v>
      </c>
      <c r="AC13" s="18" t="str">
        <f ca="1">IFERROR(curve[[#This Row],[curve (30d)]]/curve[[#This Row],[years]],"-")</f>
        <v>-</v>
      </c>
      <c r="AD13" s="18" t="str">
        <f ca="1">IFERROR(curve[[#This Row],[curve per year]]-curve[[#This Row],[curve per year (30d)]],"-")</f>
        <v>-</v>
      </c>
      <c r="AE13" s="18" t="e" cm="1">
        <f t="array" aca="1" ref="AE13" ca="1">_xll.BDP(curve[[#This Row],[short code]],"interval_avg","calc_interval=30d","market_data_override=sp210")</f>
        <v>#NAME?</v>
      </c>
      <c r="AF13" s="18" t="e" cm="1">
        <f t="array" aca="1" ref="AF13" ca="1">_xll.BDP(curve[[#This Row],[short code]],"interval_avg","calc_interval=90d","market_data_override=sp210")</f>
        <v>#NAME?</v>
      </c>
      <c r="AG13" s="18" t="e" cm="1">
        <f t="array" aca="1" ref="AG13" ca="1">_xll.BDP(curve[[#This Row],[short code]],"interval_std_dev","calc_interval=30d","market_data_override=sp210")</f>
        <v>#NAME?</v>
      </c>
    </row>
    <row r="14" spans="2:33">
      <c r="B14" s="11" t="s">
        <v>100</v>
      </c>
      <c r="C14" s="12" t="s">
        <v>101</v>
      </c>
      <c r="D14" s="12" t="s">
        <v>102</v>
      </c>
      <c r="E14" s="5" t="e" cm="1">
        <f t="array" aca="1" ref="E14" ca="1">_xll.BDP(curve[[#This Row],[short code]],"security_name")</f>
        <v>#NAME?</v>
      </c>
      <c r="F14" s="5" t="e" cm="1">
        <f t="array" aca="1" ref="F14" ca="1">_xll.BDP(curve[[#This Row],[long code]],"security_name")</f>
        <v>#NAME?</v>
      </c>
      <c r="G14" s="25" t="e" cm="1">
        <f t="array" aca="1" ref="G14" ca="1">_xll.BDP(curve[[#This Row],[short code]],"nxt_call_dt")*1</f>
        <v>#NAME?</v>
      </c>
      <c r="H14" s="25" t="e" cm="1">
        <f t="array" aca="1" ref="H14" ca="1">_xll.BDP(curve[[#This Row],[long code]],"nxt_call_dt")*1</f>
        <v>#NAME?</v>
      </c>
      <c r="I14" s="17" t="e">
        <f ca="1">(curve[[#This Row],[long date]]-curve[[#This Row],[short date]])/365</f>
        <v>#NAME?</v>
      </c>
      <c r="J14" s="12" t="s">
        <v>51</v>
      </c>
      <c r="K14" s="18" t="e" cm="1">
        <f t="array" aca="1" ref="K14" ca="1">_xll.BDP(curve[[#This Row],[short code]],curve[[#This Row],[spread measure]])</f>
        <v>#NAME?</v>
      </c>
      <c r="L14" s="18" t="e" cm="1">
        <f t="array" aca="1" ref="L14" ca="1">_xll.BDP(curve[[#This Row],[long code]],curve[[#This Row],[spread measure]])</f>
        <v>#NAME?</v>
      </c>
      <c r="M14" s="18" t="e">
        <f ca="1">curve[[#This Row],[long spread]]-curve[[#This Row],[short spread]]</f>
        <v>#NAME?</v>
      </c>
      <c r="N14" s="18" t="e">
        <f ca="1">curve[[#This Row],[curve]]/curve[[#This Row],[years]]</f>
        <v>#NAME?</v>
      </c>
      <c r="O14" s="5" t="e" cm="1">
        <f t="array" aca="1" ref="O14" ca="1">_xll.BDP(curve[[#This Row],[short code]],"bb_composite")</f>
        <v>#NAME?</v>
      </c>
      <c r="P14" s="5" t="e" cm="1">
        <f t="array" aca="1" ref="P14" ca="1">_xll.BDP(curve[[#This Row],[long code]],"bb_composite")</f>
        <v>#NAME?</v>
      </c>
      <c r="Q14" s="5" t="e" cm="1">
        <f t="array" aca="1" ref="Q14" ca="1">_xll.BDP(curve[[#This Row],[short code]],"crncy")</f>
        <v>#NAME?</v>
      </c>
      <c r="R14" s="5" t="e" cm="1">
        <f t="array" aca="1" ref="R14" ca="1">_xll.BDP(curve[[#This Row],[long code]],"crncy")</f>
        <v>#NAME?</v>
      </c>
      <c r="S14" s="5" t="str">
        <f>INDEX(tkrBBG!AA:AA,MATCH(curve[[#This Row],[ticker]],tkrBBG!Z:Z,0))</f>
        <v>Low Beta</v>
      </c>
      <c r="T14" s="12" t="s">
        <v>52</v>
      </c>
      <c r="U14" s="18" t="e" cm="1">
        <f t="array" aca="1" ref="U14" ca="1">_xll.BDH(curve[[#This Row],[short code]],curve[[#This Row],[hist spread measure]],$V$2)</f>
        <v>#NAME?</v>
      </c>
      <c r="V14" s="18" t="e" cm="1">
        <f t="array" aca="1" ref="V14" ca="1">_xll.BDH(curve[[#This Row],[long code]],curve[[#This Row],[hist spread measure]],$V$2)</f>
        <v>#NAME?</v>
      </c>
      <c r="W14" s="18" t="str">
        <f ca="1">IFERROR(curve[[#This Row],[long Spread (14d)]]-curve[[#This Row],[short Spread (14d)]],"-")</f>
        <v>-</v>
      </c>
      <c r="X14" s="18" t="str">
        <f ca="1">IFERROR(curve[[#This Row],[curve (14d)]]/curve[[#This Row],[years]],"-")</f>
        <v>-</v>
      </c>
      <c r="Y14" s="18" t="str">
        <f ca="1">IFERROR(curve[[#This Row],[curve per year]]-curve[[#This Row],[curve per year (14d)]],"-")</f>
        <v>-</v>
      </c>
      <c r="Z14" s="18" t="e" cm="1">
        <f t="array" aca="1" ref="Z14" ca="1">_xll.BDH(curve[[#This Row],[short code]],curve[[#This Row],[hist spread measure]],$AA$2)</f>
        <v>#NAME?</v>
      </c>
      <c r="AA14" s="18" t="e" cm="1">
        <f t="array" aca="1" ref="AA14" ca="1">_xll.BDH(curve[[#This Row],[long code]],curve[[#This Row],[hist spread measure]],$AA$2)</f>
        <v>#NAME?</v>
      </c>
      <c r="AB14" s="18" t="str">
        <f ca="1">IFERROR(curve[[#This Row],[long spread (30d)]]-curve[[#This Row],[short spread (30d)]],"-")</f>
        <v>-</v>
      </c>
      <c r="AC14" s="18" t="str">
        <f ca="1">IFERROR(curve[[#This Row],[curve (30d)]]/curve[[#This Row],[years]],"-")</f>
        <v>-</v>
      </c>
      <c r="AD14" s="18" t="str">
        <f ca="1">IFERROR(curve[[#This Row],[curve per year]]-curve[[#This Row],[curve per year (30d)]],"-")</f>
        <v>-</v>
      </c>
      <c r="AE14" s="18" t="e" cm="1">
        <f t="array" aca="1" ref="AE14" ca="1">_xll.BDP(curve[[#This Row],[short code]],"interval_avg","calc_interval=30d","market_data_override=sp210")</f>
        <v>#NAME?</v>
      </c>
      <c r="AF14" s="18" t="e" cm="1">
        <f t="array" aca="1" ref="AF14" ca="1">_xll.BDP(curve[[#This Row],[short code]],"interval_avg","calc_interval=90d","market_data_override=sp210")</f>
        <v>#NAME?</v>
      </c>
      <c r="AG14" s="18" t="e" cm="1">
        <f t="array" aca="1" ref="AG14" ca="1">_xll.BDP(curve[[#This Row],[short code]],"interval_std_dev","calc_interval=30d","market_data_override=sp210")</f>
        <v>#NAME?</v>
      </c>
    </row>
    <row r="15" spans="2:33">
      <c r="B15" s="11" t="s">
        <v>103</v>
      </c>
      <c r="C15" s="12" t="s">
        <v>104</v>
      </c>
      <c r="D15" s="12" t="s">
        <v>105</v>
      </c>
      <c r="E15" s="5" t="e" cm="1">
        <f t="array" aca="1" ref="E15" ca="1">_xll.BDP(curve[[#This Row],[short code]],"security_name")</f>
        <v>#NAME?</v>
      </c>
      <c r="F15" s="5" t="e" cm="1">
        <f t="array" aca="1" ref="F15" ca="1">_xll.BDP(curve[[#This Row],[long code]],"security_name")</f>
        <v>#NAME?</v>
      </c>
      <c r="G15" s="25" t="e" cm="1">
        <f t="array" aca="1" ref="G15" ca="1">_xll.BDP(curve[[#This Row],[short code]],"nxt_call_dt")*1</f>
        <v>#NAME?</v>
      </c>
      <c r="H15" s="25" t="e" cm="1">
        <f t="array" aca="1" ref="H15" ca="1">_xll.BDP(curve[[#This Row],[long code]],"nxt_call_dt")*1</f>
        <v>#NAME?</v>
      </c>
      <c r="I15" s="17" t="e">
        <f ca="1">(curve[[#This Row],[long date]]-curve[[#This Row],[short date]])/365</f>
        <v>#NAME?</v>
      </c>
      <c r="J15" s="12" t="s">
        <v>51</v>
      </c>
      <c r="K15" s="18" t="e" cm="1">
        <f t="array" aca="1" ref="K15" ca="1">_xll.BDP(curve[[#This Row],[short code]],curve[[#This Row],[spread measure]])</f>
        <v>#NAME?</v>
      </c>
      <c r="L15" s="18" t="e" cm="1">
        <f t="array" aca="1" ref="L15" ca="1">_xll.BDP(curve[[#This Row],[long code]],curve[[#This Row],[spread measure]])</f>
        <v>#NAME?</v>
      </c>
      <c r="M15" s="18" t="e">
        <f ca="1">curve[[#This Row],[long spread]]-curve[[#This Row],[short spread]]</f>
        <v>#NAME?</v>
      </c>
      <c r="N15" s="18" t="e">
        <f ca="1">curve[[#This Row],[curve]]/curve[[#This Row],[years]]</f>
        <v>#NAME?</v>
      </c>
      <c r="O15" s="5" t="e" cm="1">
        <f t="array" aca="1" ref="O15" ca="1">_xll.BDP(curve[[#This Row],[short code]],"bb_composite")</f>
        <v>#NAME?</v>
      </c>
      <c r="P15" s="5" t="e" cm="1">
        <f t="array" aca="1" ref="P15" ca="1">_xll.BDP(curve[[#This Row],[long code]],"bb_composite")</f>
        <v>#NAME?</v>
      </c>
      <c r="Q15" s="5" t="e" cm="1">
        <f t="array" aca="1" ref="Q15" ca="1">_xll.BDP(curve[[#This Row],[short code]],"crncy")</f>
        <v>#NAME?</v>
      </c>
      <c r="R15" s="5" t="e" cm="1">
        <f t="array" aca="1" ref="R15" ca="1">_xll.BDP(curve[[#This Row],[long code]],"crncy")</f>
        <v>#NAME?</v>
      </c>
      <c r="S15" s="5" t="str">
        <f>INDEX(tkrBBG!AA:AA,MATCH(curve[[#This Row],[ticker]],tkrBBG!Z:Z,0))</f>
        <v>TMT/ AUTO</v>
      </c>
      <c r="T15" s="12" t="s">
        <v>52</v>
      </c>
      <c r="U15" s="18" t="e" cm="1">
        <f t="array" aca="1" ref="U15" ca="1">_xll.BDH(curve[[#This Row],[short code]],curve[[#This Row],[hist spread measure]],$V$2)</f>
        <v>#NAME?</v>
      </c>
      <c r="V15" s="18" t="e" cm="1">
        <f t="array" aca="1" ref="V15" ca="1">_xll.BDH(curve[[#This Row],[long code]],curve[[#This Row],[hist spread measure]],$V$2)</f>
        <v>#NAME?</v>
      </c>
      <c r="W15" s="18" t="str">
        <f ca="1">IFERROR(curve[[#This Row],[long Spread (14d)]]-curve[[#This Row],[short Spread (14d)]],"-")</f>
        <v>-</v>
      </c>
      <c r="X15" s="18" t="str">
        <f ca="1">IFERROR(curve[[#This Row],[curve (14d)]]/curve[[#This Row],[years]],"-")</f>
        <v>-</v>
      </c>
      <c r="Y15" s="18" t="str">
        <f ca="1">IFERROR(curve[[#This Row],[curve per year]]-curve[[#This Row],[curve per year (14d)]],"-")</f>
        <v>-</v>
      </c>
      <c r="Z15" s="18" t="e" cm="1">
        <f t="array" aca="1" ref="Z15" ca="1">_xll.BDH(curve[[#This Row],[short code]],curve[[#This Row],[hist spread measure]],$AA$2)</f>
        <v>#NAME?</v>
      </c>
      <c r="AA15" s="18" t="e" cm="1">
        <f t="array" aca="1" ref="AA15" ca="1">_xll.BDH(curve[[#This Row],[long code]],curve[[#This Row],[hist spread measure]],$AA$2)</f>
        <v>#NAME?</v>
      </c>
      <c r="AB15" s="18" t="str">
        <f ca="1">IFERROR(curve[[#This Row],[long spread (30d)]]-curve[[#This Row],[short spread (30d)]],"-")</f>
        <v>-</v>
      </c>
      <c r="AC15" s="18" t="str">
        <f ca="1">IFERROR(curve[[#This Row],[curve (30d)]]/curve[[#This Row],[years]],"-")</f>
        <v>-</v>
      </c>
      <c r="AD15" s="18" t="str">
        <f ca="1">IFERROR(curve[[#This Row],[curve per year]]-curve[[#This Row],[curve per year (30d)]],"-")</f>
        <v>-</v>
      </c>
      <c r="AE15" s="18" t="e" cm="1">
        <f t="array" aca="1" ref="AE15" ca="1">_xll.BDP(curve[[#This Row],[short code]],"interval_avg","calc_interval=30d","market_data_override=sp210")</f>
        <v>#NAME?</v>
      </c>
      <c r="AF15" s="18" t="e" cm="1">
        <f t="array" aca="1" ref="AF15" ca="1">_xll.BDP(curve[[#This Row],[short code]],"interval_avg","calc_interval=90d","market_data_override=sp210")</f>
        <v>#NAME?</v>
      </c>
      <c r="AG15" s="18" t="e" cm="1">
        <f t="array" aca="1" ref="AG15" ca="1">_xll.BDP(curve[[#This Row],[short code]],"interval_std_dev","calc_interval=30d","market_data_override=sp210")</f>
        <v>#NAME?</v>
      </c>
    </row>
    <row r="16" spans="2:33">
      <c r="B16" s="11" t="s">
        <v>106</v>
      </c>
      <c r="C16" s="12" t="s">
        <v>107</v>
      </c>
      <c r="D16" s="12" t="s">
        <v>108</v>
      </c>
      <c r="E16" s="5" t="e" cm="1">
        <f t="array" aca="1" ref="E16" ca="1">_xll.BDP(curve[[#This Row],[short code]],"security_name")</f>
        <v>#NAME?</v>
      </c>
      <c r="F16" s="5" t="e" cm="1">
        <f t="array" aca="1" ref="F16" ca="1">_xll.BDP(curve[[#This Row],[long code]],"security_name")</f>
        <v>#NAME?</v>
      </c>
      <c r="G16" s="25" t="e" cm="1">
        <f t="array" aca="1" ref="G16" ca="1">_xll.BDP(curve[[#This Row],[short code]],"nxt_call_dt")*1</f>
        <v>#NAME?</v>
      </c>
      <c r="H16" s="25" t="e" cm="1">
        <f t="array" aca="1" ref="H16" ca="1">_xll.BDP(curve[[#This Row],[long code]],"nxt_call_dt")*1</f>
        <v>#NAME?</v>
      </c>
      <c r="I16" s="17" t="e">
        <f ca="1">(curve[[#This Row],[long date]]-curve[[#This Row],[short date]])/365</f>
        <v>#NAME?</v>
      </c>
      <c r="J16" s="12" t="s">
        <v>51</v>
      </c>
      <c r="K16" s="18" t="e" cm="1">
        <f t="array" aca="1" ref="K16" ca="1">_xll.BDP(curve[[#This Row],[short code]],curve[[#This Row],[spread measure]])</f>
        <v>#NAME?</v>
      </c>
      <c r="L16" s="18" t="e" cm="1">
        <f t="array" aca="1" ref="L16" ca="1">_xll.BDP(curve[[#This Row],[long code]],curve[[#This Row],[spread measure]])</f>
        <v>#NAME?</v>
      </c>
      <c r="M16" s="18" t="e">
        <f ca="1">curve[[#This Row],[long spread]]-curve[[#This Row],[short spread]]</f>
        <v>#NAME?</v>
      </c>
      <c r="N16" s="18" t="e">
        <f ca="1">curve[[#This Row],[curve]]/curve[[#This Row],[years]]</f>
        <v>#NAME?</v>
      </c>
      <c r="O16" s="5" t="e" cm="1">
        <f t="array" aca="1" ref="O16" ca="1">_xll.BDP(curve[[#This Row],[short code]],"bb_composite")</f>
        <v>#NAME?</v>
      </c>
      <c r="P16" s="5" t="e" cm="1">
        <f t="array" aca="1" ref="P16" ca="1">_xll.BDP(curve[[#This Row],[long code]],"bb_composite")</f>
        <v>#NAME?</v>
      </c>
      <c r="Q16" s="5" t="e" cm="1">
        <f t="array" aca="1" ref="Q16" ca="1">_xll.BDP(curve[[#This Row],[short code]],"crncy")</f>
        <v>#NAME?</v>
      </c>
      <c r="R16" s="5" t="e" cm="1">
        <f t="array" aca="1" ref="R16" ca="1">_xll.BDP(curve[[#This Row],[long code]],"crncy")</f>
        <v>#NAME?</v>
      </c>
      <c r="S16" s="5" t="str">
        <f>INDEX(tkrBBG!AA:AA,MATCH(curve[[#This Row],[ticker]],tkrBBG!Z:Z,0))</f>
        <v>REIT</v>
      </c>
      <c r="T16" s="12" t="s">
        <v>52</v>
      </c>
      <c r="U16" s="18" t="e" cm="1">
        <f t="array" aca="1" ref="U16" ca="1">_xll.BDH(curve[[#This Row],[short code]],curve[[#This Row],[hist spread measure]],$V$2)</f>
        <v>#NAME?</v>
      </c>
      <c r="V16" s="18" t="e" cm="1">
        <f t="array" aca="1" ref="V16" ca="1">_xll.BDH(curve[[#This Row],[long code]],curve[[#This Row],[hist spread measure]],$V$2)</f>
        <v>#NAME?</v>
      </c>
      <c r="W16" s="18" t="str">
        <f ca="1">IFERROR(curve[[#This Row],[long Spread (14d)]]-curve[[#This Row],[short Spread (14d)]],"-")</f>
        <v>-</v>
      </c>
      <c r="X16" s="18" t="str">
        <f ca="1">IFERROR(curve[[#This Row],[curve (14d)]]/curve[[#This Row],[years]],"-")</f>
        <v>-</v>
      </c>
      <c r="Y16" s="18" t="str">
        <f ca="1">IFERROR(curve[[#This Row],[curve per year]]-curve[[#This Row],[curve per year (14d)]],"-")</f>
        <v>-</v>
      </c>
      <c r="Z16" s="18" t="e" cm="1">
        <f t="array" aca="1" ref="Z16" ca="1">_xll.BDH(curve[[#This Row],[short code]],curve[[#This Row],[hist spread measure]],$AA$2)</f>
        <v>#NAME?</v>
      </c>
      <c r="AA16" s="18" t="e" cm="1">
        <f t="array" aca="1" ref="AA16" ca="1">_xll.BDH(curve[[#This Row],[long code]],curve[[#This Row],[hist spread measure]],$AA$2)</f>
        <v>#NAME?</v>
      </c>
      <c r="AB16" s="18" t="str">
        <f ca="1">IFERROR(curve[[#This Row],[long spread (30d)]]-curve[[#This Row],[short spread (30d)]],"-")</f>
        <v>-</v>
      </c>
      <c r="AC16" s="18" t="str">
        <f ca="1">IFERROR(curve[[#This Row],[curve (30d)]]/curve[[#This Row],[years]],"-")</f>
        <v>-</v>
      </c>
      <c r="AD16" s="18" t="str">
        <f ca="1">IFERROR(curve[[#This Row],[curve per year]]-curve[[#This Row],[curve per year (30d)]],"-")</f>
        <v>-</v>
      </c>
      <c r="AE16" s="18" t="e" cm="1">
        <f t="array" aca="1" ref="AE16" ca="1">_xll.BDP(curve[[#This Row],[short code]],"interval_avg","calc_interval=30d","market_data_override=sp210")</f>
        <v>#NAME?</v>
      </c>
      <c r="AF16" s="18" t="e" cm="1">
        <f t="array" aca="1" ref="AF16" ca="1">_xll.BDP(curve[[#This Row],[short code]],"interval_avg","calc_interval=90d","market_data_override=sp210")</f>
        <v>#NAME?</v>
      </c>
      <c r="AG16" s="18" t="e" cm="1">
        <f t="array" aca="1" ref="AG16" ca="1">_xll.BDP(curve[[#This Row],[short code]],"interval_std_dev","calc_interval=30d","market_data_override=sp210")</f>
        <v>#NAME?</v>
      </c>
    </row>
    <row r="17" spans="2:33">
      <c r="B17" s="11" t="s">
        <v>109</v>
      </c>
      <c r="C17" s="12" t="s">
        <v>110</v>
      </c>
      <c r="D17" s="12" t="s">
        <v>111</v>
      </c>
      <c r="E17" s="5" t="e" cm="1">
        <f t="array" aca="1" ref="E17" ca="1">_xll.BDP(curve[[#This Row],[short code]],"security_name")</f>
        <v>#NAME?</v>
      </c>
      <c r="F17" s="5" t="e" cm="1">
        <f t="array" aca="1" ref="F17" ca="1">_xll.BDP(curve[[#This Row],[long code]],"security_name")</f>
        <v>#NAME?</v>
      </c>
      <c r="G17" s="25" t="e" cm="1">
        <f t="array" aca="1" ref="G17" ca="1">_xll.BDP(curve[[#This Row],[short code]],"nxt_call_dt")*1</f>
        <v>#NAME?</v>
      </c>
      <c r="H17" s="25" t="e" cm="1">
        <f t="array" aca="1" ref="H17" ca="1">_xll.BDP(curve[[#This Row],[long code]],"nxt_call_dt")*1</f>
        <v>#NAME?</v>
      </c>
      <c r="I17" s="17" t="e">
        <f ca="1">(curve[[#This Row],[long date]]-curve[[#This Row],[short date]])/365</f>
        <v>#NAME?</v>
      </c>
      <c r="J17" s="12" t="s">
        <v>51</v>
      </c>
      <c r="K17" s="18" t="e" cm="1">
        <f t="array" aca="1" ref="K17" ca="1">_xll.BDP(curve[[#This Row],[short code]],curve[[#This Row],[spread measure]])</f>
        <v>#NAME?</v>
      </c>
      <c r="L17" s="18" t="e" cm="1">
        <f t="array" aca="1" ref="L17" ca="1">_xll.BDP(curve[[#This Row],[long code]],curve[[#This Row],[spread measure]])</f>
        <v>#NAME?</v>
      </c>
      <c r="M17" s="18" t="e">
        <f ca="1">curve[[#This Row],[long spread]]-curve[[#This Row],[short spread]]</f>
        <v>#NAME?</v>
      </c>
      <c r="N17" s="18" t="e">
        <f ca="1">curve[[#This Row],[curve]]/curve[[#This Row],[years]]</f>
        <v>#NAME?</v>
      </c>
      <c r="O17" s="5" t="e" cm="1">
        <f t="array" aca="1" ref="O17" ca="1">_xll.BDP(curve[[#This Row],[short code]],"bb_composite")</f>
        <v>#NAME?</v>
      </c>
      <c r="P17" s="5" t="e" cm="1">
        <f t="array" aca="1" ref="P17" ca="1">_xll.BDP(curve[[#This Row],[long code]],"bb_composite")</f>
        <v>#NAME?</v>
      </c>
      <c r="Q17" s="5" t="e" cm="1">
        <f t="array" aca="1" ref="Q17" ca="1">_xll.BDP(curve[[#This Row],[short code]],"crncy")</f>
        <v>#NAME?</v>
      </c>
      <c r="R17" s="5" t="e" cm="1">
        <f t="array" aca="1" ref="R17" ca="1">_xll.BDP(curve[[#This Row],[long code]],"crncy")</f>
        <v>#NAME?</v>
      </c>
      <c r="S17" s="5" t="str">
        <f>INDEX(tkrBBG!AA:AA,MATCH(curve[[#This Row],[ticker]],tkrBBG!Z:Z,0))</f>
        <v>Low Beta</v>
      </c>
      <c r="T17" s="12" t="s">
        <v>52</v>
      </c>
      <c r="U17" s="18" t="e" cm="1">
        <f t="array" aca="1" ref="U17" ca="1">_xll.BDH(curve[[#This Row],[short code]],curve[[#This Row],[hist spread measure]],$V$2)</f>
        <v>#NAME?</v>
      </c>
      <c r="V17" s="18" t="e" cm="1">
        <f t="array" aca="1" ref="V17" ca="1">_xll.BDH(curve[[#This Row],[long code]],curve[[#This Row],[hist spread measure]],$V$2)</f>
        <v>#NAME?</v>
      </c>
      <c r="W17" s="18" t="str">
        <f ca="1">IFERROR(curve[[#This Row],[long Spread (14d)]]-curve[[#This Row],[short Spread (14d)]],"-")</f>
        <v>-</v>
      </c>
      <c r="X17" s="18" t="str">
        <f ca="1">IFERROR(curve[[#This Row],[curve (14d)]]/curve[[#This Row],[years]],"-")</f>
        <v>-</v>
      </c>
      <c r="Y17" s="18" t="str">
        <f ca="1">IFERROR(curve[[#This Row],[curve per year]]-curve[[#This Row],[curve per year (14d)]],"-")</f>
        <v>-</v>
      </c>
      <c r="Z17" s="18" t="e" cm="1">
        <f t="array" aca="1" ref="Z17" ca="1">_xll.BDH(curve[[#This Row],[short code]],curve[[#This Row],[hist spread measure]],$AA$2)</f>
        <v>#NAME?</v>
      </c>
      <c r="AA17" s="18" t="e" cm="1">
        <f t="array" aca="1" ref="AA17" ca="1">_xll.BDH(curve[[#This Row],[long code]],curve[[#This Row],[hist spread measure]],$AA$2)</f>
        <v>#NAME?</v>
      </c>
      <c r="AB17" s="18" t="str">
        <f ca="1">IFERROR(curve[[#This Row],[long spread (30d)]]-curve[[#This Row],[short spread (30d)]],"-")</f>
        <v>-</v>
      </c>
      <c r="AC17" s="18" t="str">
        <f ca="1">IFERROR(curve[[#This Row],[curve (30d)]]/curve[[#This Row],[years]],"-")</f>
        <v>-</v>
      </c>
      <c r="AD17" s="18" t="str">
        <f ca="1">IFERROR(curve[[#This Row],[curve per year]]-curve[[#This Row],[curve per year (30d)]],"-")</f>
        <v>-</v>
      </c>
      <c r="AE17" s="18" t="e" cm="1">
        <f t="array" aca="1" ref="AE17" ca="1">_xll.BDP(curve[[#This Row],[short code]],"interval_avg","calc_interval=30d","market_data_override=sp210")</f>
        <v>#NAME?</v>
      </c>
      <c r="AF17" s="18" t="e" cm="1">
        <f t="array" aca="1" ref="AF17" ca="1">_xll.BDP(curve[[#This Row],[short code]],"interval_avg","calc_interval=90d","market_data_override=sp210")</f>
        <v>#NAME?</v>
      </c>
      <c r="AG17" s="18" t="e" cm="1">
        <f t="array" aca="1" ref="AG17" ca="1">_xll.BDP(curve[[#This Row],[short code]],"interval_std_dev","calc_interval=30d","market_data_override=sp210")</f>
        <v>#NAME?</v>
      </c>
    </row>
    <row r="18" spans="2:33">
      <c r="B18" s="11" t="s">
        <v>112</v>
      </c>
      <c r="C18" s="12" t="s">
        <v>113</v>
      </c>
      <c r="D18" s="12" t="s">
        <v>114</v>
      </c>
      <c r="E18" s="5" t="e" cm="1">
        <f t="array" aca="1" ref="E18" ca="1">_xll.BDP(curve[[#This Row],[short code]],"security_name")</f>
        <v>#NAME?</v>
      </c>
      <c r="F18" s="5" t="e" cm="1">
        <f t="array" aca="1" ref="F18" ca="1">_xll.BDP(curve[[#This Row],[long code]],"security_name")</f>
        <v>#NAME?</v>
      </c>
      <c r="G18" s="25" t="e" cm="1">
        <f t="array" aca="1" ref="G18" ca="1">_xll.BDP(curve[[#This Row],[short code]],"nxt_call_dt")*1</f>
        <v>#NAME?</v>
      </c>
      <c r="H18" s="25" t="e" cm="1">
        <f t="array" aca="1" ref="H18" ca="1">_xll.BDP(curve[[#This Row],[long code]],"nxt_call_dt")*1</f>
        <v>#NAME?</v>
      </c>
      <c r="I18" s="17" t="e">
        <f ca="1">(curve[[#This Row],[long date]]-curve[[#This Row],[short date]])/365</f>
        <v>#NAME?</v>
      </c>
      <c r="J18" s="12" t="s">
        <v>51</v>
      </c>
      <c r="K18" s="18" t="e" cm="1">
        <f t="array" aca="1" ref="K18" ca="1">_xll.BDP(curve[[#This Row],[short code]],curve[[#This Row],[spread measure]])</f>
        <v>#NAME?</v>
      </c>
      <c r="L18" s="18" t="e" cm="1">
        <f t="array" aca="1" ref="L18" ca="1">_xll.BDP(curve[[#This Row],[long code]],curve[[#This Row],[spread measure]])</f>
        <v>#NAME?</v>
      </c>
      <c r="M18" s="18" t="e">
        <f ca="1">curve[[#This Row],[long spread]]-curve[[#This Row],[short spread]]</f>
        <v>#NAME?</v>
      </c>
      <c r="N18" s="18" t="e">
        <f ca="1">curve[[#This Row],[curve]]/curve[[#This Row],[years]]</f>
        <v>#NAME?</v>
      </c>
      <c r="O18" s="5" t="e" cm="1">
        <f t="array" aca="1" ref="O18" ca="1">_xll.BDP(curve[[#This Row],[short code]],"bb_composite")</f>
        <v>#NAME?</v>
      </c>
      <c r="P18" s="5" t="e" cm="1">
        <f t="array" aca="1" ref="P18" ca="1">_xll.BDP(curve[[#This Row],[long code]],"bb_composite")</f>
        <v>#NAME?</v>
      </c>
      <c r="Q18" s="5" t="e" cm="1">
        <f t="array" aca="1" ref="Q18" ca="1">_xll.BDP(curve[[#This Row],[short code]],"crncy")</f>
        <v>#NAME?</v>
      </c>
      <c r="R18" s="5" t="e" cm="1">
        <f t="array" aca="1" ref="R18" ca="1">_xll.BDP(curve[[#This Row],[long code]],"crncy")</f>
        <v>#NAME?</v>
      </c>
      <c r="S18" s="5" t="str">
        <f>INDEX(tkrBBG!AA:AA,MATCH(curve[[#This Row],[ticker]],tkrBBG!Z:Z,0))</f>
        <v>UTILS</v>
      </c>
      <c r="T18" s="12" t="s">
        <v>52</v>
      </c>
      <c r="U18" s="18" t="e" cm="1">
        <f t="array" aca="1" ref="U18" ca="1">_xll.BDH(curve[[#This Row],[short code]],curve[[#This Row],[hist spread measure]],$V$2)</f>
        <v>#NAME?</v>
      </c>
      <c r="V18" s="18" t="e" cm="1">
        <f t="array" aca="1" ref="V18" ca="1">_xll.BDH(curve[[#This Row],[long code]],curve[[#This Row],[hist spread measure]],$V$2)</f>
        <v>#NAME?</v>
      </c>
      <c r="W18" s="18" t="str">
        <f ca="1">IFERROR(curve[[#This Row],[long Spread (14d)]]-curve[[#This Row],[short Spread (14d)]],"-")</f>
        <v>-</v>
      </c>
      <c r="X18" s="18" t="str">
        <f ca="1">IFERROR(curve[[#This Row],[curve (14d)]]/curve[[#This Row],[years]],"-")</f>
        <v>-</v>
      </c>
      <c r="Y18" s="18" t="str">
        <f ca="1">IFERROR(curve[[#This Row],[curve per year]]-curve[[#This Row],[curve per year (14d)]],"-")</f>
        <v>-</v>
      </c>
      <c r="Z18" s="18" t="e" cm="1">
        <f t="array" aca="1" ref="Z18" ca="1">_xll.BDH(curve[[#This Row],[short code]],curve[[#This Row],[hist spread measure]],$AA$2)</f>
        <v>#NAME?</v>
      </c>
      <c r="AA18" s="18" t="e" cm="1">
        <f t="array" aca="1" ref="AA18" ca="1">_xll.BDH(curve[[#This Row],[long code]],curve[[#This Row],[hist spread measure]],$AA$2)</f>
        <v>#NAME?</v>
      </c>
      <c r="AB18" s="18" t="str">
        <f ca="1">IFERROR(curve[[#This Row],[long spread (30d)]]-curve[[#This Row],[short spread (30d)]],"-")</f>
        <v>-</v>
      </c>
      <c r="AC18" s="18" t="str">
        <f ca="1">IFERROR(curve[[#This Row],[curve (30d)]]/curve[[#This Row],[years]],"-")</f>
        <v>-</v>
      </c>
      <c r="AD18" s="18" t="str">
        <f ca="1">IFERROR(curve[[#This Row],[curve per year]]-curve[[#This Row],[curve per year (30d)]],"-")</f>
        <v>-</v>
      </c>
      <c r="AE18" s="18" t="e" cm="1">
        <f t="array" aca="1" ref="AE18" ca="1">_xll.BDP(curve[[#This Row],[short code]],"interval_avg","calc_interval=30d","market_data_override=sp210")</f>
        <v>#NAME?</v>
      </c>
      <c r="AF18" s="18" t="e" cm="1">
        <f t="array" aca="1" ref="AF18" ca="1">_xll.BDP(curve[[#This Row],[short code]],"interval_avg","calc_interval=90d","market_data_override=sp210")</f>
        <v>#NAME?</v>
      </c>
      <c r="AG18" s="18" t="e" cm="1">
        <f t="array" aca="1" ref="AG18" ca="1">_xll.BDP(curve[[#This Row],[short code]],"interval_std_dev","calc_interval=30d","market_data_override=sp210")</f>
        <v>#NAME?</v>
      </c>
    </row>
    <row r="19" spans="2:33">
      <c r="B19" s="11" t="s">
        <v>115</v>
      </c>
      <c r="C19" s="12" t="s">
        <v>116</v>
      </c>
      <c r="D19" s="12" t="s">
        <v>117</v>
      </c>
      <c r="E19" s="5" t="e" cm="1">
        <f t="array" aca="1" ref="E19" ca="1">_xll.BDP(curve[[#This Row],[short code]],"security_name")</f>
        <v>#NAME?</v>
      </c>
      <c r="F19" s="5" t="e" cm="1">
        <f t="array" aca="1" ref="F19" ca="1">_xll.BDP(curve[[#This Row],[long code]],"security_name")</f>
        <v>#NAME?</v>
      </c>
      <c r="G19" s="25" t="e" cm="1">
        <f t="array" aca="1" ref="G19" ca="1">_xll.BDP(curve[[#This Row],[short code]],"nxt_call_dt")*1</f>
        <v>#NAME?</v>
      </c>
      <c r="H19" s="25" t="e" cm="1">
        <f t="array" aca="1" ref="H19" ca="1">_xll.BDP(curve[[#This Row],[long code]],"nxt_call_dt")*1</f>
        <v>#NAME?</v>
      </c>
      <c r="I19" s="17" t="e">
        <f ca="1">(curve[[#This Row],[long date]]-curve[[#This Row],[short date]])/365</f>
        <v>#NAME?</v>
      </c>
      <c r="J19" s="12" t="s">
        <v>51</v>
      </c>
      <c r="K19" s="18" t="e" cm="1">
        <f t="array" aca="1" ref="K19" ca="1">_xll.BDP(curve[[#This Row],[short code]],curve[[#This Row],[spread measure]])</f>
        <v>#NAME?</v>
      </c>
      <c r="L19" s="18" t="e" cm="1">
        <f t="array" aca="1" ref="L19" ca="1">_xll.BDP(curve[[#This Row],[long code]],curve[[#This Row],[spread measure]])</f>
        <v>#NAME?</v>
      </c>
      <c r="M19" s="18" t="e">
        <f ca="1">curve[[#This Row],[long spread]]-curve[[#This Row],[short spread]]</f>
        <v>#NAME?</v>
      </c>
      <c r="N19" s="18" t="e">
        <f ca="1">curve[[#This Row],[curve]]/curve[[#This Row],[years]]</f>
        <v>#NAME?</v>
      </c>
      <c r="O19" s="5" t="e" cm="1">
        <f t="array" aca="1" ref="O19" ca="1">_xll.BDP(curve[[#This Row],[short code]],"bb_composite")</f>
        <v>#NAME?</v>
      </c>
      <c r="P19" s="5" t="e" cm="1">
        <f t="array" aca="1" ref="P19" ca="1">_xll.BDP(curve[[#This Row],[long code]],"bb_composite")</f>
        <v>#NAME?</v>
      </c>
      <c r="Q19" s="5" t="e" cm="1">
        <f t="array" aca="1" ref="Q19" ca="1">_xll.BDP(curve[[#This Row],[short code]],"crncy")</f>
        <v>#NAME?</v>
      </c>
      <c r="R19" s="5" t="e" cm="1">
        <f t="array" aca="1" ref="R19" ca="1">_xll.BDP(curve[[#This Row],[long code]],"crncy")</f>
        <v>#NAME?</v>
      </c>
      <c r="S19" s="5" t="str">
        <f>INDEX(tkrBBG!AA:AA,MATCH(curve[[#This Row],[ticker]],tkrBBG!Z:Z,0))</f>
        <v>UTILS</v>
      </c>
      <c r="T19" s="12" t="s">
        <v>52</v>
      </c>
      <c r="U19" s="18" t="e" cm="1">
        <f t="array" aca="1" ref="U19" ca="1">_xll.BDH(curve[[#This Row],[short code]],curve[[#This Row],[hist spread measure]],$V$2)</f>
        <v>#NAME?</v>
      </c>
      <c r="V19" s="18" t="e" cm="1">
        <f t="array" aca="1" ref="V19" ca="1">_xll.BDH(curve[[#This Row],[long code]],curve[[#This Row],[hist spread measure]],$V$2)</f>
        <v>#NAME?</v>
      </c>
      <c r="W19" s="18" t="str">
        <f ca="1">IFERROR(curve[[#This Row],[long Spread (14d)]]-curve[[#This Row],[short Spread (14d)]],"-")</f>
        <v>-</v>
      </c>
      <c r="X19" s="18" t="str">
        <f ca="1">IFERROR(curve[[#This Row],[curve (14d)]]/curve[[#This Row],[years]],"-")</f>
        <v>-</v>
      </c>
      <c r="Y19" s="18" t="str">
        <f ca="1">IFERROR(curve[[#This Row],[curve per year]]-curve[[#This Row],[curve per year (14d)]],"-")</f>
        <v>-</v>
      </c>
      <c r="Z19" s="18" t="e" cm="1">
        <f t="array" aca="1" ref="Z19" ca="1">_xll.BDH(curve[[#This Row],[short code]],curve[[#This Row],[hist spread measure]],$AA$2)</f>
        <v>#NAME?</v>
      </c>
      <c r="AA19" s="18" t="e" cm="1">
        <f t="array" aca="1" ref="AA19" ca="1">_xll.BDH(curve[[#This Row],[long code]],curve[[#This Row],[hist spread measure]],$AA$2)</f>
        <v>#NAME?</v>
      </c>
      <c r="AB19" s="18" t="str">
        <f ca="1">IFERROR(curve[[#This Row],[long spread (30d)]]-curve[[#This Row],[short spread (30d)]],"-")</f>
        <v>-</v>
      </c>
      <c r="AC19" s="18" t="str">
        <f ca="1">IFERROR(curve[[#This Row],[curve (30d)]]/curve[[#This Row],[years]],"-")</f>
        <v>-</v>
      </c>
      <c r="AD19" s="18" t="str">
        <f ca="1">IFERROR(curve[[#This Row],[curve per year]]-curve[[#This Row],[curve per year (30d)]],"-")</f>
        <v>-</v>
      </c>
      <c r="AE19" s="18" t="e" cm="1">
        <f t="array" aca="1" ref="AE19" ca="1">_xll.BDP(curve[[#This Row],[short code]],"interval_avg","calc_interval=30d","market_data_override=sp210")</f>
        <v>#NAME?</v>
      </c>
      <c r="AF19" s="18" t="e" cm="1">
        <f t="array" aca="1" ref="AF19" ca="1">_xll.BDP(curve[[#This Row],[short code]],"interval_avg","calc_interval=90d","market_data_override=sp210")</f>
        <v>#NAME?</v>
      </c>
      <c r="AG19" s="18" t="e" cm="1">
        <f t="array" aca="1" ref="AG19" ca="1">_xll.BDP(curve[[#This Row],[short code]],"interval_std_dev","calc_interval=30d","market_data_override=sp210")</f>
        <v>#NAME?</v>
      </c>
    </row>
    <row r="20" spans="2:33">
      <c r="B20" s="11" t="s">
        <v>118</v>
      </c>
      <c r="C20" s="12" t="s">
        <v>119</v>
      </c>
      <c r="D20" s="12" t="s">
        <v>120</v>
      </c>
      <c r="E20" s="5" t="e" cm="1">
        <f t="array" aca="1" ref="E20" ca="1">_xll.BDP(curve[[#This Row],[short code]],"security_name")</f>
        <v>#NAME?</v>
      </c>
      <c r="F20" s="5" t="e" cm="1">
        <f t="array" aca="1" ref="F20" ca="1">_xll.BDP(curve[[#This Row],[long code]],"security_name")</f>
        <v>#NAME?</v>
      </c>
      <c r="G20" s="25" t="e" cm="1">
        <f t="array" aca="1" ref="G20" ca="1">_xll.BDP(curve[[#This Row],[short code]],"nxt_call_dt")*1</f>
        <v>#NAME?</v>
      </c>
      <c r="H20" s="25" t="e" cm="1">
        <f t="array" aca="1" ref="H20" ca="1">_xll.BDP(curve[[#This Row],[long code]],"nxt_call_dt")*1</f>
        <v>#NAME?</v>
      </c>
      <c r="I20" s="17" t="e">
        <f ca="1">(curve[[#This Row],[long date]]-curve[[#This Row],[short date]])/365</f>
        <v>#NAME?</v>
      </c>
      <c r="J20" s="12" t="s">
        <v>51</v>
      </c>
      <c r="K20" s="18" t="e" cm="1">
        <f t="array" aca="1" ref="K20" ca="1">_xll.BDP(curve[[#This Row],[short code]],curve[[#This Row],[spread measure]])</f>
        <v>#NAME?</v>
      </c>
      <c r="L20" s="18" t="e" cm="1">
        <f t="array" aca="1" ref="L20" ca="1">_xll.BDP(curve[[#This Row],[long code]],curve[[#This Row],[spread measure]])</f>
        <v>#NAME?</v>
      </c>
      <c r="M20" s="18" t="e">
        <f ca="1">curve[[#This Row],[long spread]]-curve[[#This Row],[short spread]]</f>
        <v>#NAME?</v>
      </c>
      <c r="N20" s="18" t="e">
        <f ca="1">curve[[#This Row],[curve]]/curve[[#This Row],[years]]</f>
        <v>#NAME?</v>
      </c>
      <c r="O20" s="5" t="e" cm="1">
        <f t="array" aca="1" ref="O20" ca="1">_xll.BDP(curve[[#This Row],[short code]],"bb_composite")</f>
        <v>#NAME?</v>
      </c>
      <c r="P20" s="5" t="e" cm="1">
        <f t="array" aca="1" ref="P20" ca="1">_xll.BDP(curve[[#This Row],[long code]],"bb_composite")</f>
        <v>#NAME?</v>
      </c>
      <c r="Q20" s="5" t="e" cm="1">
        <f t="array" aca="1" ref="Q20" ca="1">_xll.BDP(curve[[#This Row],[short code]],"crncy")</f>
        <v>#NAME?</v>
      </c>
      <c r="R20" s="5" t="e" cm="1">
        <f t="array" aca="1" ref="R20" ca="1">_xll.BDP(curve[[#This Row],[long code]],"crncy")</f>
        <v>#NAME?</v>
      </c>
      <c r="S20" s="5" t="str">
        <f>INDEX(tkrBBG!AA:AA,MATCH(curve[[#This Row],[ticker]],tkrBBG!Z:Z,0))</f>
        <v>Energy</v>
      </c>
      <c r="T20" s="12" t="s">
        <v>52</v>
      </c>
      <c r="U20" s="18" t="e" cm="1">
        <f t="array" aca="1" ref="U20" ca="1">_xll.BDH(curve[[#This Row],[short code]],curve[[#This Row],[hist spread measure]],$V$2)</f>
        <v>#NAME?</v>
      </c>
      <c r="V20" s="18" t="e" cm="1">
        <f t="array" aca="1" ref="V20" ca="1">_xll.BDH(curve[[#This Row],[long code]],curve[[#This Row],[hist spread measure]],$V$2)</f>
        <v>#NAME?</v>
      </c>
      <c r="W20" s="18" t="str">
        <f ca="1">IFERROR(curve[[#This Row],[long Spread (14d)]]-curve[[#This Row],[short Spread (14d)]],"-")</f>
        <v>-</v>
      </c>
      <c r="X20" s="18" t="str">
        <f ca="1">IFERROR(curve[[#This Row],[curve (14d)]]/curve[[#This Row],[years]],"-")</f>
        <v>-</v>
      </c>
      <c r="Y20" s="18" t="str">
        <f ca="1">IFERROR(curve[[#This Row],[curve per year]]-curve[[#This Row],[curve per year (14d)]],"-")</f>
        <v>-</v>
      </c>
      <c r="Z20" s="18" t="e" cm="1">
        <f t="array" aca="1" ref="Z20" ca="1">_xll.BDH(curve[[#This Row],[short code]],curve[[#This Row],[hist spread measure]],$AA$2)</f>
        <v>#NAME?</v>
      </c>
      <c r="AA20" s="18" t="e" cm="1">
        <f t="array" aca="1" ref="AA20" ca="1">_xll.BDH(curve[[#This Row],[long code]],curve[[#This Row],[hist spread measure]],$AA$2)</f>
        <v>#NAME?</v>
      </c>
      <c r="AB20" s="18" t="str">
        <f ca="1">IFERROR(curve[[#This Row],[long spread (30d)]]-curve[[#This Row],[short spread (30d)]],"-")</f>
        <v>-</v>
      </c>
      <c r="AC20" s="18" t="str">
        <f ca="1">IFERROR(curve[[#This Row],[curve (30d)]]/curve[[#This Row],[years]],"-")</f>
        <v>-</v>
      </c>
      <c r="AD20" s="18" t="str">
        <f ca="1">IFERROR(curve[[#This Row],[curve per year]]-curve[[#This Row],[curve per year (30d)]],"-")</f>
        <v>-</v>
      </c>
      <c r="AE20" s="18" t="e" cm="1">
        <f t="array" aca="1" ref="AE20" ca="1">_xll.BDP(curve[[#This Row],[short code]],"interval_avg","calc_interval=30d","market_data_override=sp210")</f>
        <v>#NAME?</v>
      </c>
      <c r="AF20" s="18" t="e" cm="1">
        <f t="array" aca="1" ref="AF20" ca="1">_xll.BDP(curve[[#This Row],[short code]],"interval_avg","calc_interval=90d","market_data_override=sp210")</f>
        <v>#NAME?</v>
      </c>
      <c r="AG20" s="18" t="e" cm="1">
        <f t="array" aca="1" ref="AG20" ca="1">_xll.BDP(curve[[#This Row],[short code]],"interval_std_dev","calc_interval=30d","market_data_override=sp210")</f>
        <v>#NAME?</v>
      </c>
    </row>
    <row r="21" spans="2:33">
      <c r="B21" s="11" t="s">
        <v>121</v>
      </c>
      <c r="C21" s="12" t="s">
        <v>122</v>
      </c>
      <c r="D21" s="12" t="s">
        <v>123</v>
      </c>
      <c r="E21" s="5" t="e" cm="1">
        <f t="array" aca="1" ref="E21" ca="1">_xll.BDP(curve[[#This Row],[short code]],"security_name")</f>
        <v>#NAME?</v>
      </c>
      <c r="F21" s="5" t="e" cm="1">
        <f t="array" aca="1" ref="F21" ca="1">_xll.BDP(curve[[#This Row],[long code]],"security_name")</f>
        <v>#NAME?</v>
      </c>
      <c r="G21" s="25" t="e" cm="1">
        <f t="array" aca="1" ref="G21" ca="1">_xll.BDP(curve[[#This Row],[short code]],"nxt_call_dt")*1</f>
        <v>#NAME?</v>
      </c>
      <c r="H21" s="25" t="e" cm="1">
        <f t="array" aca="1" ref="H21" ca="1">_xll.BDP(curve[[#This Row],[long code]],"nxt_call_dt")*1</f>
        <v>#NAME?</v>
      </c>
      <c r="I21" s="17" t="e">
        <f ca="1">(curve[[#This Row],[long date]]-curve[[#This Row],[short date]])/365</f>
        <v>#NAME?</v>
      </c>
      <c r="J21" s="12" t="s">
        <v>51</v>
      </c>
      <c r="K21" s="18" t="e" cm="1">
        <f t="array" aca="1" ref="K21" ca="1">_xll.BDP(curve[[#This Row],[short code]],curve[[#This Row],[spread measure]])</f>
        <v>#NAME?</v>
      </c>
      <c r="L21" s="18" t="e" cm="1">
        <f t="array" aca="1" ref="L21" ca="1">_xll.BDP(curve[[#This Row],[long code]],curve[[#This Row],[spread measure]])</f>
        <v>#NAME?</v>
      </c>
      <c r="M21" s="18" t="e">
        <f ca="1">curve[[#This Row],[long spread]]-curve[[#This Row],[short spread]]</f>
        <v>#NAME?</v>
      </c>
      <c r="N21" s="18" t="e">
        <f ca="1">curve[[#This Row],[curve]]/curve[[#This Row],[years]]</f>
        <v>#NAME?</v>
      </c>
      <c r="O21" s="5" t="e" cm="1">
        <f t="array" aca="1" ref="O21" ca="1">_xll.BDP(curve[[#This Row],[short code]],"bb_composite")</f>
        <v>#NAME?</v>
      </c>
      <c r="P21" s="5" t="e" cm="1">
        <f t="array" aca="1" ref="P21" ca="1">_xll.BDP(curve[[#This Row],[long code]],"bb_composite")</f>
        <v>#NAME?</v>
      </c>
      <c r="Q21" s="5" t="e" cm="1">
        <f t="array" aca="1" ref="Q21" ca="1">_xll.BDP(curve[[#This Row],[short code]],"crncy")</f>
        <v>#NAME?</v>
      </c>
      <c r="R21" s="5" t="e" cm="1">
        <f t="array" aca="1" ref="R21" ca="1">_xll.BDP(curve[[#This Row],[long code]],"crncy")</f>
        <v>#NAME?</v>
      </c>
      <c r="S21" s="5" t="str">
        <f>INDEX(tkrBBG!AA:AA,MATCH(curve[[#This Row],[ticker]],tkrBBG!Z:Z,0))</f>
        <v>REIT</v>
      </c>
      <c r="T21" s="12" t="s">
        <v>52</v>
      </c>
      <c r="U21" s="18" t="e" cm="1">
        <f t="array" aca="1" ref="U21" ca="1">_xll.BDH(curve[[#This Row],[short code]],curve[[#This Row],[hist spread measure]],$V$2)</f>
        <v>#NAME?</v>
      </c>
      <c r="V21" s="18" t="e" cm="1">
        <f t="array" aca="1" ref="V21" ca="1">_xll.BDH(curve[[#This Row],[long code]],curve[[#This Row],[hist spread measure]],$V$2)</f>
        <v>#NAME?</v>
      </c>
      <c r="W21" s="18" t="str">
        <f ca="1">IFERROR(curve[[#This Row],[long Spread (14d)]]-curve[[#This Row],[short Spread (14d)]],"-")</f>
        <v>-</v>
      </c>
      <c r="X21" s="18" t="str">
        <f ca="1">IFERROR(curve[[#This Row],[curve (14d)]]/curve[[#This Row],[years]],"-")</f>
        <v>-</v>
      </c>
      <c r="Y21" s="18" t="str">
        <f ca="1">IFERROR(curve[[#This Row],[curve per year]]-curve[[#This Row],[curve per year (14d)]],"-")</f>
        <v>-</v>
      </c>
      <c r="Z21" s="18" t="e" cm="1">
        <f t="array" aca="1" ref="Z21" ca="1">_xll.BDH(curve[[#This Row],[short code]],curve[[#This Row],[hist spread measure]],$AA$2)</f>
        <v>#NAME?</v>
      </c>
      <c r="AA21" s="18" t="e" cm="1">
        <f t="array" aca="1" ref="AA21" ca="1">_xll.BDH(curve[[#This Row],[long code]],curve[[#This Row],[hist spread measure]],$AA$2)</f>
        <v>#NAME?</v>
      </c>
      <c r="AB21" s="18" t="str">
        <f ca="1">IFERROR(curve[[#This Row],[long spread (30d)]]-curve[[#This Row],[short spread (30d)]],"-")</f>
        <v>-</v>
      </c>
      <c r="AC21" s="18" t="str">
        <f ca="1">IFERROR(curve[[#This Row],[curve (30d)]]/curve[[#This Row],[years]],"-")</f>
        <v>-</v>
      </c>
      <c r="AD21" s="18" t="str">
        <f ca="1">IFERROR(curve[[#This Row],[curve per year]]-curve[[#This Row],[curve per year (30d)]],"-")</f>
        <v>-</v>
      </c>
      <c r="AE21" s="18" t="e" cm="1">
        <f t="array" aca="1" ref="AE21" ca="1">_xll.BDP(curve[[#This Row],[short code]],"interval_avg","calc_interval=30d","market_data_override=sp210")</f>
        <v>#NAME?</v>
      </c>
      <c r="AF21" s="18" t="e" cm="1">
        <f t="array" aca="1" ref="AF21" ca="1">_xll.BDP(curve[[#This Row],[short code]],"interval_avg","calc_interval=90d","market_data_override=sp210")</f>
        <v>#NAME?</v>
      </c>
      <c r="AG21" s="18" t="e" cm="1">
        <f t="array" aca="1" ref="AG21" ca="1">_xll.BDP(curve[[#This Row],[short code]],"interval_std_dev","calc_interval=30d","market_data_override=sp210")</f>
        <v>#NAME?</v>
      </c>
    </row>
    <row r="22" spans="2:33">
      <c r="B22" s="11" t="s">
        <v>124</v>
      </c>
      <c r="C22" s="12" t="s">
        <v>125</v>
      </c>
      <c r="D22" s="12" t="s">
        <v>126</v>
      </c>
      <c r="E22" s="5" t="e" cm="1">
        <f t="array" aca="1" ref="E22" ca="1">_xll.BDP(curve[[#This Row],[short code]],"security_name")</f>
        <v>#NAME?</v>
      </c>
      <c r="F22" s="5" t="e" cm="1">
        <f t="array" aca="1" ref="F22" ca="1">_xll.BDP(curve[[#This Row],[long code]],"security_name")</f>
        <v>#NAME?</v>
      </c>
      <c r="G22" s="25" t="e" cm="1">
        <f t="array" aca="1" ref="G22" ca="1">_xll.BDP(curve[[#This Row],[short code]],"nxt_call_dt")*1</f>
        <v>#NAME?</v>
      </c>
      <c r="H22" s="25" t="e" cm="1">
        <f t="array" aca="1" ref="H22" ca="1">_xll.BDP(curve[[#This Row],[long code]],"nxt_call_dt")*1</f>
        <v>#NAME?</v>
      </c>
      <c r="I22" s="17" t="e">
        <f ca="1">(curve[[#This Row],[long date]]-curve[[#This Row],[short date]])/365</f>
        <v>#NAME?</v>
      </c>
      <c r="J22" s="12" t="s">
        <v>51</v>
      </c>
      <c r="K22" s="18" t="e" cm="1">
        <f t="array" aca="1" ref="K22" ca="1">_xll.BDP(curve[[#This Row],[short code]],curve[[#This Row],[spread measure]])</f>
        <v>#NAME?</v>
      </c>
      <c r="L22" s="18" t="e" cm="1">
        <f t="array" aca="1" ref="L22" ca="1">_xll.BDP(curve[[#This Row],[long code]],curve[[#This Row],[spread measure]])</f>
        <v>#NAME?</v>
      </c>
      <c r="M22" s="18" t="e">
        <f ca="1">curve[[#This Row],[long spread]]-curve[[#This Row],[short spread]]</f>
        <v>#NAME?</v>
      </c>
      <c r="N22" s="18" t="e">
        <f ca="1">curve[[#This Row],[curve]]/curve[[#This Row],[years]]</f>
        <v>#NAME?</v>
      </c>
      <c r="O22" s="5" t="e" cm="1">
        <f t="array" aca="1" ref="O22" ca="1">_xll.BDP(curve[[#This Row],[short code]],"bb_composite")</f>
        <v>#NAME?</v>
      </c>
      <c r="P22" s="5" t="e" cm="1">
        <f t="array" aca="1" ref="P22" ca="1">_xll.BDP(curve[[#This Row],[long code]],"bb_composite")</f>
        <v>#NAME?</v>
      </c>
      <c r="Q22" s="5" t="e" cm="1">
        <f t="array" aca="1" ref="Q22" ca="1">_xll.BDP(curve[[#This Row],[short code]],"crncy")</f>
        <v>#NAME?</v>
      </c>
      <c r="R22" s="5" t="e" cm="1">
        <f t="array" aca="1" ref="R22" ca="1">_xll.BDP(curve[[#This Row],[long code]],"crncy")</f>
        <v>#NAME?</v>
      </c>
      <c r="S22" s="5" t="str">
        <f>INDEX(tkrBBG!AA:AA,MATCH(curve[[#This Row],[ticker]],tkrBBG!Z:Z,0))</f>
        <v>UTILS</v>
      </c>
      <c r="T22" s="12" t="s">
        <v>52</v>
      </c>
      <c r="U22" s="18" t="e" cm="1">
        <f t="array" aca="1" ref="U22" ca="1">_xll.BDH(curve[[#This Row],[short code]],curve[[#This Row],[hist spread measure]],$V$2)</f>
        <v>#NAME?</v>
      </c>
      <c r="V22" s="18" t="e" cm="1">
        <f t="array" aca="1" ref="V22" ca="1">_xll.BDH(curve[[#This Row],[long code]],curve[[#This Row],[hist spread measure]],$V$2)</f>
        <v>#NAME?</v>
      </c>
      <c r="W22" s="18" t="str">
        <f ca="1">IFERROR(curve[[#This Row],[long Spread (14d)]]-curve[[#This Row],[short Spread (14d)]],"-")</f>
        <v>-</v>
      </c>
      <c r="X22" s="18" t="str">
        <f ca="1">IFERROR(curve[[#This Row],[curve (14d)]]/curve[[#This Row],[years]],"-")</f>
        <v>-</v>
      </c>
      <c r="Y22" s="18" t="str">
        <f ca="1">IFERROR(curve[[#This Row],[curve per year]]-curve[[#This Row],[curve per year (14d)]],"-")</f>
        <v>-</v>
      </c>
      <c r="Z22" s="18" t="e" cm="1">
        <f t="array" aca="1" ref="Z22" ca="1">_xll.BDH(curve[[#This Row],[short code]],curve[[#This Row],[hist spread measure]],$AA$2)</f>
        <v>#NAME?</v>
      </c>
      <c r="AA22" s="18" t="e" cm="1">
        <f t="array" aca="1" ref="AA22" ca="1">_xll.BDH(curve[[#This Row],[long code]],curve[[#This Row],[hist spread measure]],$AA$2)</f>
        <v>#NAME?</v>
      </c>
      <c r="AB22" s="18" t="str">
        <f ca="1">IFERROR(curve[[#This Row],[long spread (30d)]]-curve[[#This Row],[short spread (30d)]],"-")</f>
        <v>-</v>
      </c>
      <c r="AC22" s="18" t="str">
        <f ca="1">IFERROR(curve[[#This Row],[curve (30d)]]/curve[[#This Row],[years]],"-")</f>
        <v>-</v>
      </c>
      <c r="AD22" s="18" t="str">
        <f ca="1">IFERROR(curve[[#This Row],[curve per year]]-curve[[#This Row],[curve per year (30d)]],"-")</f>
        <v>-</v>
      </c>
      <c r="AE22" s="18" t="e" cm="1">
        <f t="array" aca="1" ref="AE22" ca="1">_xll.BDP(curve[[#This Row],[short code]],"interval_avg","calc_interval=30d","market_data_override=sp210")</f>
        <v>#NAME?</v>
      </c>
      <c r="AF22" s="18" t="e" cm="1">
        <f t="array" aca="1" ref="AF22" ca="1">_xll.BDP(curve[[#This Row],[short code]],"interval_avg","calc_interval=90d","market_data_override=sp210")</f>
        <v>#NAME?</v>
      </c>
      <c r="AG22" s="18" t="e" cm="1">
        <f t="array" aca="1" ref="AG22" ca="1">_xll.BDP(curve[[#This Row],[short code]],"interval_std_dev","calc_interval=30d","market_data_override=sp210")</f>
        <v>#NAME?</v>
      </c>
    </row>
    <row r="23" spans="2:33">
      <c r="B23" s="11" t="s">
        <v>127</v>
      </c>
      <c r="C23" s="12" t="s">
        <v>128</v>
      </c>
      <c r="D23" s="12" t="s">
        <v>129</v>
      </c>
      <c r="E23" s="5" t="e" cm="1">
        <f t="array" aca="1" ref="E23" ca="1">_xll.BDP(curve[[#This Row],[short code]],"security_name")</f>
        <v>#NAME?</v>
      </c>
      <c r="F23" s="5" t="e" cm="1">
        <f t="array" aca="1" ref="F23" ca="1">_xll.BDP(curve[[#This Row],[long code]],"security_name")</f>
        <v>#NAME?</v>
      </c>
      <c r="G23" s="25" t="e" cm="1">
        <f t="array" aca="1" ref="G23" ca="1">_xll.BDP(curve[[#This Row],[short code]],"nxt_call_dt")*1</f>
        <v>#NAME?</v>
      </c>
      <c r="H23" s="25" t="e" cm="1">
        <f t="array" aca="1" ref="H23" ca="1">_xll.BDP(curve[[#This Row],[long code]],"nxt_call_dt")*1</f>
        <v>#NAME?</v>
      </c>
      <c r="I23" s="17" t="e">
        <f ca="1">(curve[[#This Row],[long date]]-curve[[#This Row],[short date]])/365</f>
        <v>#NAME?</v>
      </c>
      <c r="J23" s="12" t="s">
        <v>51</v>
      </c>
      <c r="K23" s="18" t="e" cm="1">
        <f t="array" aca="1" ref="K23" ca="1">_xll.BDP(curve[[#This Row],[short code]],curve[[#This Row],[spread measure]])</f>
        <v>#NAME?</v>
      </c>
      <c r="L23" s="18" t="e" cm="1">
        <f t="array" aca="1" ref="L23" ca="1">_xll.BDP(curve[[#This Row],[long code]],curve[[#This Row],[spread measure]])</f>
        <v>#NAME?</v>
      </c>
      <c r="M23" s="18" t="e">
        <f ca="1">curve[[#This Row],[long spread]]-curve[[#This Row],[short spread]]</f>
        <v>#NAME?</v>
      </c>
      <c r="N23" s="18" t="e">
        <f ca="1">curve[[#This Row],[curve]]/curve[[#This Row],[years]]</f>
        <v>#NAME?</v>
      </c>
      <c r="O23" s="5" t="e" cm="1">
        <f t="array" aca="1" ref="O23" ca="1">_xll.BDP(curve[[#This Row],[short code]],"bb_composite")</f>
        <v>#NAME?</v>
      </c>
      <c r="P23" s="5" t="e" cm="1">
        <f t="array" aca="1" ref="P23" ca="1">_xll.BDP(curve[[#This Row],[long code]],"bb_composite")</f>
        <v>#NAME?</v>
      </c>
      <c r="Q23" s="5" t="e" cm="1">
        <f t="array" aca="1" ref="Q23" ca="1">_xll.BDP(curve[[#This Row],[short code]],"crncy")</f>
        <v>#NAME?</v>
      </c>
      <c r="R23" s="5" t="e" cm="1">
        <f t="array" aca="1" ref="R23" ca="1">_xll.BDP(curve[[#This Row],[long code]],"crncy")</f>
        <v>#NAME?</v>
      </c>
      <c r="S23" s="5" t="str">
        <f>INDEX(tkrBBG!AA:AA,MATCH(curve[[#This Row],[ticker]],tkrBBG!Z:Z,0))</f>
        <v>TMT/ AUTO</v>
      </c>
      <c r="T23" s="12" t="s">
        <v>52</v>
      </c>
      <c r="U23" s="18" t="e" cm="1">
        <f t="array" aca="1" ref="U23" ca="1">_xll.BDH(curve[[#This Row],[short code]],curve[[#This Row],[hist spread measure]],$V$2)</f>
        <v>#NAME?</v>
      </c>
      <c r="V23" s="18" t="e" cm="1">
        <f t="array" aca="1" ref="V23" ca="1">_xll.BDH(curve[[#This Row],[long code]],curve[[#This Row],[hist spread measure]],$V$2)</f>
        <v>#NAME?</v>
      </c>
      <c r="W23" s="18" t="str">
        <f ca="1">IFERROR(curve[[#This Row],[long Spread (14d)]]-curve[[#This Row],[short Spread (14d)]],"-")</f>
        <v>-</v>
      </c>
      <c r="X23" s="18" t="str">
        <f ca="1">IFERROR(curve[[#This Row],[curve (14d)]]/curve[[#This Row],[years]],"-")</f>
        <v>-</v>
      </c>
      <c r="Y23" s="18" t="str">
        <f ca="1">IFERROR(curve[[#This Row],[curve per year]]-curve[[#This Row],[curve per year (14d)]],"-")</f>
        <v>-</v>
      </c>
      <c r="Z23" s="18" t="e" cm="1">
        <f t="array" aca="1" ref="Z23" ca="1">_xll.BDH(curve[[#This Row],[short code]],curve[[#This Row],[hist spread measure]],$AA$2)</f>
        <v>#NAME?</v>
      </c>
      <c r="AA23" s="18" t="e" cm="1">
        <f t="array" aca="1" ref="AA23" ca="1">_xll.BDH(curve[[#This Row],[long code]],curve[[#This Row],[hist spread measure]],$AA$2)</f>
        <v>#NAME?</v>
      </c>
      <c r="AB23" s="18" t="str">
        <f ca="1">IFERROR(curve[[#This Row],[long spread (30d)]]-curve[[#This Row],[short spread (30d)]],"-")</f>
        <v>-</v>
      </c>
      <c r="AC23" s="18" t="str">
        <f ca="1">IFERROR(curve[[#This Row],[curve (30d)]]/curve[[#This Row],[years]],"-")</f>
        <v>-</v>
      </c>
      <c r="AD23" s="18" t="str">
        <f ca="1">IFERROR(curve[[#This Row],[curve per year]]-curve[[#This Row],[curve per year (30d)]],"-")</f>
        <v>-</v>
      </c>
      <c r="AE23" s="18" t="e" cm="1">
        <f t="array" aca="1" ref="AE23" ca="1">_xll.BDP(curve[[#This Row],[short code]],"interval_avg","calc_interval=30d","market_data_override=sp210")</f>
        <v>#NAME?</v>
      </c>
      <c r="AF23" s="18" t="e" cm="1">
        <f t="array" aca="1" ref="AF23" ca="1">_xll.BDP(curve[[#This Row],[short code]],"interval_avg","calc_interval=90d","market_data_override=sp210")</f>
        <v>#NAME?</v>
      </c>
      <c r="AG23" s="18" t="e" cm="1">
        <f t="array" aca="1" ref="AG23" ca="1">_xll.BDP(curve[[#This Row],[short code]],"interval_std_dev","calc_interval=30d","market_data_override=sp210")</f>
        <v>#NAME?</v>
      </c>
    </row>
    <row r="24" spans="2:33">
      <c r="B24" s="11" t="s">
        <v>130</v>
      </c>
      <c r="C24" s="12" t="s">
        <v>131</v>
      </c>
      <c r="D24" s="12" t="s">
        <v>132</v>
      </c>
      <c r="E24" s="5" t="e" cm="1">
        <f t="array" aca="1" ref="E24" ca="1">_xll.BDP(curve[[#This Row],[short code]],"security_name")</f>
        <v>#NAME?</v>
      </c>
      <c r="F24" s="5" t="e" cm="1">
        <f t="array" aca="1" ref="F24" ca="1">_xll.BDP(curve[[#This Row],[long code]],"security_name")</f>
        <v>#NAME?</v>
      </c>
      <c r="G24" s="25" t="e" cm="1">
        <f t="array" aca="1" ref="G24" ca="1">_xll.BDP(curve[[#This Row],[short code]],"nxt_call_dt")*1</f>
        <v>#NAME?</v>
      </c>
      <c r="H24" s="25" t="e" cm="1">
        <f t="array" aca="1" ref="H24" ca="1">_xll.BDP(curve[[#This Row],[long code]],"nxt_call_dt")*1</f>
        <v>#NAME?</v>
      </c>
      <c r="I24" s="17" t="e">
        <f ca="1">(curve[[#This Row],[long date]]-curve[[#This Row],[short date]])/365</f>
        <v>#NAME?</v>
      </c>
      <c r="J24" s="12" t="s">
        <v>51</v>
      </c>
      <c r="K24" s="18" t="e" cm="1">
        <f t="array" aca="1" ref="K24" ca="1">_xll.BDP(curve[[#This Row],[short code]],curve[[#This Row],[spread measure]])</f>
        <v>#NAME?</v>
      </c>
      <c r="L24" s="18" t="e" cm="1">
        <f t="array" aca="1" ref="L24" ca="1">_xll.BDP(curve[[#This Row],[long code]],curve[[#This Row],[spread measure]])</f>
        <v>#NAME?</v>
      </c>
      <c r="M24" s="18" t="e">
        <f ca="1">curve[[#This Row],[long spread]]-curve[[#This Row],[short spread]]</f>
        <v>#NAME?</v>
      </c>
      <c r="N24" s="18" t="e">
        <f ca="1">curve[[#This Row],[curve]]/curve[[#This Row],[years]]</f>
        <v>#NAME?</v>
      </c>
      <c r="O24" s="5" t="e" cm="1">
        <f t="array" aca="1" ref="O24" ca="1">_xll.BDP(curve[[#This Row],[short code]],"bb_composite")</f>
        <v>#NAME?</v>
      </c>
      <c r="P24" s="5" t="e" cm="1">
        <f t="array" aca="1" ref="P24" ca="1">_xll.BDP(curve[[#This Row],[long code]],"bb_composite")</f>
        <v>#NAME?</v>
      </c>
      <c r="Q24" s="5" t="e" cm="1">
        <f t="array" aca="1" ref="Q24" ca="1">_xll.BDP(curve[[#This Row],[short code]],"crncy")</f>
        <v>#NAME?</v>
      </c>
      <c r="R24" s="5" t="e" cm="1">
        <f t="array" aca="1" ref="R24" ca="1">_xll.BDP(curve[[#This Row],[long code]],"crncy")</f>
        <v>#NAME?</v>
      </c>
      <c r="S24" s="5" t="str">
        <f>INDEX(tkrBBG!AA:AA,MATCH(curve[[#This Row],[ticker]],tkrBBG!Z:Z,0))</f>
        <v>UTILS</v>
      </c>
      <c r="T24" s="12" t="s">
        <v>52</v>
      </c>
      <c r="U24" s="18" t="e" cm="1">
        <f t="array" aca="1" ref="U24" ca="1">_xll.BDH(curve[[#This Row],[short code]],curve[[#This Row],[hist spread measure]],$V$2)</f>
        <v>#NAME?</v>
      </c>
      <c r="V24" s="18" t="e" cm="1">
        <f t="array" aca="1" ref="V24" ca="1">_xll.BDH(curve[[#This Row],[long code]],curve[[#This Row],[hist spread measure]],$V$2)</f>
        <v>#NAME?</v>
      </c>
      <c r="W24" s="18" t="str">
        <f ca="1">IFERROR(curve[[#This Row],[long Spread (14d)]]-curve[[#This Row],[short Spread (14d)]],"-")</f>
        <v>-</v>
      </c>
      <c r="X24" s="18" t="str">
        <f ca="1">IFERROR(curve[[#This Row],[curve (14d)]]/curve[[#This Row],[years]],"-")</f>
        <v>-</v>
      </c>
      <c r="Y24" s="18" t="str">
        <f ca="1">IFERROR(curve[[#This Row],[curve per year]]-curve[[#This Row],[curve per year (14d)]],"-")</f>
        <v>-</v>
      </c>
      <c r="Z24" s="18" t="e" cm="1">
        <f t="array" aca="1" ref="Z24" ca="1">_xll.BDH(curve[[#This Row],[short code]],curve[[#This Row],[hist spread measure]],$AA$2)</f>
        <v>#NAME?</v>
      </c>
      <c r="AA24" s="18" t="e" cm="1">
        <f t="array" aca="1" ref="AA24" ca="1">_xll.BDH(curve[[#This Row],[long code]],curve[[#This Row],[hist spread measure]],$AA$2)</f>
        <v>#NAME?</v>
      </c>
      <c r="AB24" s="18" t="str">
        <f ca="1">IFERROR(curve[[#This Row],[long spread (30d)]]-curve[[#This Row],[short spread (30d)]],"-")</f>
        <v>-</v>
      </c>
      <c r="AC24" s="18" t="str">
        <f ca="1">IFERROR(curve[[#This Row],[curve (30d)]]/curve[[#This Row],[years]],"-")</f>
        <v>-</v>
      </c>
      <c r="AD24" s="18" t="str">
        <f ca="1">IFERROR(curve[[#This Row],[curve per year]]-curve[[#This Row],[curve per year (30d)]],"-")</f>
        <v>-</v>
      </c>
      <c r="AE24" s="18" t="e" cm="1">
        <f t="array" aca="1" ref="AE24" ca="1">_xll.BDP(curve[[#This Row],[short code]],"interval_avg","calc_interval=30d","market_data_override=sp210")</f>
        <v>#NAME?</v>
      </c>
      <c r="AF24" s="18" t="e" cm="1">
        <f t="array" aca="1" ref="AF24" ca="1">_xll.BDP(curve[[#This Row],[short code]],"interval_avg","calc_interval=90d","market_data_override=sp210")</f>
        <v>#NAME?</v>
      </c>
      <c r="AG24" s="18" t="e" cm="1">
        <f t="array" aca="1" ref="AG24" ca="1">_xll.BDP(curve[[#This Row],[short code]],"interval_std_dev","calc_interval=30d","market_data_override=sp210")</f>
        <v>#NAME?</v>
      </c>
    </row>
    <row r="25" spans="2:33">
      <c r="B25" s="11" t="s">
        <v>133</v>
      </c>
      <c r="C25" s="12" t="s">
        <v>134</v>
      </c>
      <c r="D25" s="12" t="s">
        <v>135</v>
      </c>
      <c r="E25" s="5" t="e" cm="1">
        <f t="array" aca="1" ref="E25" ca="1">_xll.BDP(curve[[#This Row],[short code]],"security_name")</f>
        <v>#NAME?</v>
      </c>
      <c r="F25" s="5" t="e" cm="1">
        <f t="array" aca="1" ref="F25" ca="1">_xll.BDP(curve[[#This Row],[long code]],"security_name")</f>
        <v>#NAME?</v>
      </c>
      <c r="G25" s="25" t="e" cm="1">
        <f t="array" aca="1" ref="G25" ca="1">_xll.BDP(curve[[#This Row],[short code]],"nxt_call_dt")*1</f>
        <v>#NAME?</v>
      </c>
      <c r="H25" s="25" t="e" cm="1">
        <f t="array" aca="1" ref="H25" ca="1">_xll.BDP(curve[[#This Row],[long code]],"nxt_call_dt")*1</f>
        <v>#NAME?</v>
      </c>
      <c r="I25" s="17" t="e">
        <f ca="1">(curve[[#This Row],[long date]]-curve[[#This Row],[short date]])/365</f>
        <v>#NAME?</v>
      </c>
      <c r="J25" s="12" t="s">
        <v>51</v>
      </c>
      <c r="K25" s="18" t="e" cm="1">
        <f t="array" aca="1" ref="K25" ca="1">_xll.BDP(curve[[#This Row],[short code]],curve[[#This Row],[spread measure]])</f>
        <v>#NAME?</v>
      </c>
      <c r="L25" s="18" t="e" cm="1">
        <f t="array" aca="1" ref="L25" ca="1">_xll.BDP(curve[[#This Row],[long code]],curve[[#This Row],[spread measure]])</f>
        <v>#NAME?</v>
      </c>
      <c r="M25" s="18" t="e">
        <f ca="1">curve[[#This Row],[long spread]]-curve[[#This Row],[short spread]]</f>
        <v>#NAME?</v>
      </c>
      <c r="N25" s="18" t="e">
        <f ca="1">curve[[#This Row],[curve]]/curve[[#This Row],[years]]</f>
        <v>#NAME?</v>
      </c>
      <c r="O25" s="5" t="e" cm="1">
        <f t="array" aca="1" ref="O25" ca="1">_xll.BDP(curve[[#This Row],[short code]],"bb_composite")</f>
        <v>#NAME?</v>
      </c>
      <c r="P25" s="5" t="e" cm="1">
        <f t="array" aca="1" ref="P25" ca="1">_xll.BDP(curve[[#This Row],[long code]],"bb_composite")</f>
        <v>#NAME?</v>
      </c>
      <c r="Q25" s="5" t="e" cm="1">
        <f t="array" aca="1" ref="Q25" ca="1">_xll.BDP(curve[[#This Row],[short code]],"crncy")</f>
        <v>#NAME?</v>
      </c>
      <c r="R25" s="5" t="e" cm="1">
        <f t="array" aca="1" ref="R25" ca="1">_xll.BDP(curve[[#This Row],[long code]],"crncy")</f>
        <v>#NAME?</v>
      </c>
      <c r="S25" s="5" t="str">
        <f>INDEX(tkrBBG!AA:AA,MATCH(curve[[#This Row],[ticker]],tkrBBG!Z:Z,0))</f>
        <v>REIT</v>
      </c>
      <c r="T25" s="12" t="s">
        <v>52</v>
      </c>
      <c r="U25" s="18" t="e" cm="1">
        <f t="array" aca="1" ref="U25" ca="1">_xll.BDH(curve[[#This Row],[short code]],curve[[#This Row],[hist spread measure]],$V$2)</f>
        <v>#NAME?</v>
      </c>
      <c r="V25" s="18" t="e" cm="1">
        <f t="array" aca="1" ref="V25" ca="1">_xll.BDH(curve[[#This Row],[long code]],curve[[#This Row],[hist spread measure]],$V$2)</f>
        <v>#NAME?</v>
      </c>
      <c r="W25" s="18" t="str">
        <f ca="1">IFERROR(curve[[#This Row],[long Spread (14d)]]-curve[[#This Row],[short Spread (14d)]],"-")</f>
        <v>-</v>
      </c>
      <c r="X25" s="18" t="str">
        <f ca="1">IFERROR(curve[[#This Row],[curve (14d)]]/curve[[#This Row],[years]],"-")</f>
        <v>-</v>
      </c>
      <c r="Y25" s="18" t="str">
        <f ca="1">IFERROR(curve[[#This Row],[curve per year]]-curve[[#This Row],[curve per year (14d)]],"-")</f>
        <v>-</v>
      </c>
      <c r="Z25" s="18" t="e" cm="1">
        <f t="array" aca="1" ref="Z25" ca="1">_xll.BDH(curve[[#This Row],[short code]],curve[[#This Row],[hist spread measure]],$AA$2)</f>
        <v>#NAME?</v>
      </c>
      <c r="AA25" s="18" t="e" cm="1">
        <f t="array" aca="1" ref="AA25" ca="1">_xll.BDH(curve[[#This Row],[long code]],curve[[#This Row],[hist spread measure]],$AA$2)</f>
        <v>#NAME?</v>
      </c>
      <c r="AB25" s="18" t="str">
        <f ca="1">IFERROR(curve[[#This Row],[long spread (30d)]]-curve[[#This Row],[short spread (30d)]],"-")</f>
        <v>-</v>
      </c>
      <c r="AC25" s="18" t="str">
        <f ca="1">IFERROR(curve[[#This Row],[curve (30d)]]/curve[[#This Row],[years]],"-")</f>
        <v>-</v>
      </c>
      <c r="AD25" s="18" t="str">
        <f ca="1">IFERROR(curve[[#This Row],[curve per year]]-curve[[#This Row],[curve per year (30d)]],"-")</f>
        <v>-</v>
      </c>
      <c r="AE25" s="18" t="e" cm="1">
        <f t="array" aca="1" ref="AE25" ca="1">_xll.BDP(curve[[#This Row],[short code]],"interval_avg","calc_interval=30d","market_data_override=sp210")</f>
        <v>#NAME?</v>
      </c>
      <c r="AF25" s="18" t="e" cm="1">
        <f t="array" aca="1" ref="AF25" ca="1">_xll.BDP(curve[[#This Row],[short code]],"interval_avg","calc_interval=90d","market_data_override=sp210")</f>
        <v>#NAME?</v>
      </c>
      <c r="AG25" s="18" t="e" cm="1">
        <f t="array" aca="1" ref="AG25" ca="1">_xll.BDP(curve[[#This Row],[short code]],"interval_std_dev","calc_interval=30d","market_data_override=sp210")</f>
        <v>#NAME?</v>
      </c>
    </row>
    <row r="26" spans="2:33">
      <c r="B26" s="11" t="s">
        <v>136</v>
      </c>
      <c r="C26" s="12" t="s">
        <v>137</v>
      </c>
      <c r="D26" s="12" t="s">
        <v>138</v>
      </c>
      <c r="E26" s="5" t="e" cm="1">
        <f t="array" aca="1" ref="E26" ca="1">_xll.BDP(curve[[#This Row],[short code]],"security_name")</f>
        <v>#NAME?</v>
      </c>
      <c r="F26" s="5" t="e" cm="1">
        <f t="array" aca="1" ref="F26" ca="1">_xll.BDP(curve[[#This Row],[long code]],"security_name")</f>
        <v>#NAME?</v>
      </c>
      <c r="G26" s="25" t="e" cm="1">
        <f t="array" aca="1" ref="G26" ca="1">_xll.BDP(curve[[#This Row],[short code]],"nxt_call_dt")*1</f>
        <v>#NAME?</v>
      </c>
      <c r="H26" s="25" t="e" cm="1">
        <f t="array" aca="1" ref="H26" ca="1">_xll.BDP(curve[[#This Row],[long code]],"nxt_call_dt")*1</f>
        <v>#NAME?</v>
      </c>
      <c r="I26" s="17" t="e">
        <f ca="1">(curve[[#This Row],[long date]]-curve[[#This Row],[short date]])/365</f>
        <v>#NAME?</v>
      </c>
      <c r="J26" s="12" t="s">
        <v>51</v>
      </c>
      <c r="K26" s="18" t="e" cm="1">
        <f t="array" aca="1" ref="K26" ca="1">_xll.BDP(curve[[#This Row],[short code]],curve[[#This Row],[spread measure]])</f>
        <v>#NAME?</v>
      </c>
      <c r="L26" s="18" t="e" cm="1">
        <f t="array" aca="1" ref="L26" ca="1">_xll.BDP(curve[[#This Row],[long code]],curve[[#This Row],[spread measure]])</f>
        <v>#NAME?</v>
      </c>
      <c r="M26" s="18" t="e">
        <f ca="1">curve[[#This Row],[long spread]]-curve[[#This Row],[short spread]]</f>
        <v>#NAME?</v>
      </c>
      <c r="N26" s="18" t="e">
        <f ca="1">curve[[#This Row],[curve]]/curve[[#This Row],[years]]</f>
        <v>#NAME?</v>
      </c>
      <c r="O26" s="5" t="e" cm="1">
        <f t="array" aca="1" ref="O26" ca="1">_xll.BDP(curve[[#This Row],[short code]],"bb_composite")</f>
        <v>#NAME?</v>
      </c>
      <c r="P26" s="5" t="e" cm="1">
        <f t="array" aca="1" ref="P26" ca="1">_xll.BDP(curve[[#This Row],[long code]],"bb_composite")</f>
        <v>#NAME?</v>
      </c>
      <c r="Q26" s="5" t="e" cm="1">
        <f t="array" aca="1" ref="Q26" ca="1">_xll.BDP(curve[[#This Row],[short code]],"crncy")</f>
        <v>#NAME?</v>
      </c>
      <c r="R26" s="5" t="e" cm="1">
        <f t="array" aca="1" ref="R26" ca="1">_xll.BDP(curve[[#This Row],[long code]],"crncy")</f>
        <v>#NAME?</v>
      </c>
      <c r="S26" s="5" t="str">
        <f>INDEX(tkrBBG!AA:AA,MATCH(curve[[#This Row],[ticker]],tkrBBG!Z:Z,0))</f>
        <v>missing</v>
      </c>
      <c r="T26" s="12" t="s">
        <v>52</v>
      </c>
      <c r="U26" s="18" t="e" cm="1">
        <f t="array" aca="1" ref="U26" ca="1">_xll.BDH(curve[[#This Row],[short code]],curve[[#This Row],[hist spread measure]],$V$2)</f>
        <v>#NAME?</v>
      </c>
      <c r="V26" s="18" t="e" cm="1">
        <f t="array" aca="1" ref="V26" ca="1">_xll.BDH(curve[[#This Row],[long code]],curve[[#This Row],[hist spread measure]],$V$2)</f>
        <v>#NAME?</v>
      </c>
      <c r="W26" s="18" t="str">
        <f ca="1">IFERROR(curve[[#This Row],[long Spread (14d)]]-curve[[#This Row],[short Spread (14d)]],"-")</f>
        <v>-</v>
      </c>
      <c r="X26" s="18" t="str">
        <f ca="1">IFERROR(curve[[#This Row],[curve (14d)]]/curve[[#This Row],[years]],"-")</f>
        <v>-</v>
      </c>
      <c r="Y26" s="18" t="str">
        <f ca="1">IFERROR(curve[[#This Row],[curve per year]]-curve[[#This Row],[curve per year (14d)]],"-")</f>
        <v>-</v>
      </c>
      <c r="Z26" s="18" t="e" cm="1">
        <f t="array" aca="1" ref="Z26" ca="1">_xll.BDH(curve[[#This Row],[short code]],curve[[#This Row],[hist spread measure]],$AA$2)</f>
        <v>#NAME?</v>
      </c>
      <c r="AA26" s="18" t="e" cm="1">
        <f t="array" aca="1" ref="AA26" ca="1">_xll.BDH(curve[[#This Row],[long code]],curve[[#This Row],[hist spread measure]],$AA$2)</f>
        <v>#NAME?</v>
      </c>
      <c r="AB26" s="18" t="str">
        <f ca="1">IFERROR(curve[[#This Row],[long spread (30d)]]-curve[[#This Row],[short spread (30d)]],"-")</f>
        <v>-</v>
      </c>
      <c r="AC26" s="18" t="str">
        <f ca="1">IFERROR(curve[[#This Row],[curve (30d)]]/curve[[#This Row],[years]],"-")</f>
        <v>-</v>
      </c>
      <c r="AD26" s="18" t="str">
        <f ca="1">IFERROR(curve[[#This Row],[curve per year]]-curve[[#This Row],[curve per year (30d)]],"-")</f>
        <v>-</v>
      </c>
      <c r="AE26" s="18" t="e" cm="1">
        <f t="array" aca="1" ref="AE26" ca="1">_xll.BDP(curve[[#This Row],[short code]],"interval_avg","calc_interval=30d","market_data_override=sp210")</f>
        <v>#NAME?</v>
      </c>
      <c r="AF26" s="18" t="e" cm="1">
        <f t="array" aca="1" ref="AF26" ca="1">_xll.BDP(curve[[#This Row],[short code]],"interval_avg","calc_interval=90d","market_data_override=sp210")</f>
        <v>#NAME?</v>
      </c>
      <c r="AG26" s="18" t="e" cm="1">
        <f t="array" aca="1" ref="AG26" ca="1">_xll.BDP(curve[[#This Row],[short code]],"interval_std_dev","calc_interval=30d","market_data_override=sp210")</f>
        <v>#NAME?</v>
      </c>
    </row>
    <row r="27" spans="2:33">
      <c r="B27" s="11" t="s">
        <v>139</v>
      </c>
      <c r="C27" s="12" t="s">
        <v>140</v>
      </c>
      <c r="D27" s="12" t="s">
        <v>141</v>
      </c>
      <c r="E27" s="5" t="e" cm="1">
        <f t="array" aca="1" ref="E27" ca="1">_xll.BDP(curve[[#This Row],[short code]],"security_name")</f>
        <v>#NAME?</v>
      </c>
      <c r="F27" s="5" t="e" cm="1">
        <f t="array" aca="1" ref="F27" ca="1">_xll.BDP(curve[[#This Row],[long code]],"security_name")</f>
        <v>#NAME?</v>
      </c>
      <c r="G27" s="25" t="e" cm="1">
        <f t="array" aca="1" ref="G27" ca="1">_xll.BDP(curve[[#This Row],[short code]],"nxt_call_dt")*1</f>
        <v>#NAME?</v>
      </c>
      <c r="H27" s="25" t="e" cm="1">
        <f t="array" aca="1" ref="H27" ca="1">_xll.BDP(curve[[#This Row],[long code]],"nxt_call_dt")*1</f>
        <v>#NAME?</v>
      </c>
      <c r="I27" s="17" t="e">
        <f ca="1">(curve[[#This Row],[long date]]-curve[[#This Row],[short date]])/365</f>
        <v>#NAME?</v>
      </c>
      <c r="J27" s="12" t="s">
        <v>51</v>
      </c>
      <c r="K27" s="18" t="e" cm="1">
        <f t="array" aca="1" ref="K27" ca="1">_xll.BDP(curve[[#This Row],[short code]],curve[[#This Row],[spread measure]])</f>
        <v>#NAME?</v>
      </c>
      <c r="L27" s="18" t="e" cm="1">
        <f t="array" aca="1" ref="L27" ca="1">_xll.BDP(curve[[#This Row],[long code]],curve[[#This Row],[spread measure]])</f>
        <v>#NAME?</v>
      </c>
      <c r="M27" s="18" t="e">
        <f ca="1">curve[[#This Row],[long spread]]-curve[[#This Row],[short spread]]</f>
        <v>#NAME?</v>
      </c>
      <c r="N27" s="18" t="e">
        <f ca="1">curve[[#This Row],[curve]]/curve[[#This Row],[years]]</f>
        <v>#NAME?</v>
      </c>
      <c r="O27" s="5" t="e" cm="1">
        <f t="array" aca="1" ref="O27" ca="1">_xll.BDP(curve[[#This Row],[short code]],"bb_composite")</f>
        <v>#NAME?</v>
      </c>
      <c r="P27" s="5" t="e" cm="1">
        <f t="array" aca="1" ref="P27" ca="1">_xll.BDP(curve[[#This Row],[long code]],"bb_composite")</f>
        <v>#NAME?</v>
      </c>
      <c r="Q27" s="5" t="e" cm="1">
        <f t="array" aca="1" ref="Q27" ca="1">_xll.BDP(curve[[#This Row],[short code]],"crncy")</f>
        <v>#NAME?</v>
      </c>
      <c r="R27" s="5" t="e" cm="1">
        <f t="array" aca="1" ref="R27" ca="1">_xll.BDP(curve[[#This Row],[long code]],"crncy")</f>
        <v>#NAME?</v>
      </c>
      <c r="S27" s="5" t="str">
        <f>INDEX(tkrBBG!AA:AA,MATCH(curve[[#This Row],[ticker]],tkrBBG!Z:Z,0))</f>
        <v>TMT/ AUTO</v>
      </c>
      <c r="T27" s="12" t="s">
        <v>52</v>
      </c>
      <c r="U27" s="18" t="e" cm="1">
        <f t="array" aca="1" ref="U27" ca="1">_xll.BDH(curve[[#This Row],[short code]],curve[[#This Row],[hist spread measure]],$V$2)</f>
        <v>#NAME?</v>
      </c>
      <c r="V27" s="18" t="e" cm="1">
        <f t="array" aca="1" ref="V27" ca="1">_xll.BDH(curve[[#This Row],[long code]],curve[[#This Row],[hist spread measure]],$V$2)</f>
        <v>#NAME?</v>
      </c>
      <c r="W27" s="18" t="str">
        <f ca="1">IFERROR(curve[[#This Row],[long Spread (14d)]]-curve[[#This Row],[short Spread (14d)]],"-")</f>
        <v>-</v>
      </c>
      <c r="X27" s="18" t="str">
        <f ca="1">IFERROR(curve[[#This Row],[curve (14d)]]/curve[[#This Row],[years]],"-")</f>
        <v>-</v>
      </c>
      <c r="Y27" s="18" t="str">
        <f ca="1">IFERROR(curve[[#This Row],[curve per year]]-curve[[#This Row],[curve per year (14d)]],"-")</f>
        <v>-</v>
      </c>
      <c r="Z27" s="18" t="e" cm="1">
        <f t="array" aca="1" ref="Z27" ca="1">_xll.BDH(curve[[#This Row],[short code]],curve[[#This Row],[hist spread measure]],$AA$2)</f>
        <v>#NAME?</v>
      </c>
      <c r="AA27" s="18" t="e" cm="1">
        <f t="array" aca="1" ref="AA27" ca="1">_xll.BDH(curve[[#This Row],[long code]],curve[[#This Row],[hist spread measure]],$AA$2)</f>
        <v>#NAME?</v>
      </c>
      <c r="AB27" s="18" t="str">
        <f ca="1">IFERROR(curve[[#This Row],[long spread (30d)]]-curve[[#This Row],[short spread (30d)]],"-")</f>
        <v>-</v>
      </c>
      <c r="AC27" s="18" t="str">
        <f ca="1">IFERROR(curve[[#This Row],[curve (30d)]]/curve[[#This Row],[years]],"-")</f>
        <v>-</v>
      </c>
      <c r="AD27" s="18" t="str">
        <f ca="1">IFERROR(curve[[#This Row],[curve per year]]-curve[[#This Row],[curve per year (30d)]],"-")</f>
        <v>-</v>
      </c>
      <c r="AE27" s="18" t="e" cm="1">
        <f t="array" aca="1" ref="AE27" ca="1">_xll.BDP(curve[[#This Row],[short code]],"interval_avg","calc_interval=30d","market_data_override=sp210")</f>
        <v>#NAME?</v>
      </c>
      <c r="AF27" s="18" t="e" cm="1">
        <f t="array" aca="1" ref="AF27" ca="1">_xll.BDP(curve[[#This Row],[short code]],"interval_avg","calc_interval=90d","market_data_override=sp210")</f>
        <v>#NAME?</v>
      </c>
      <c r="AG27" s="18" t="e" cm="1">
        <f t="array" aca="1" ref="AG27" ca="1">_xll.BDP(curve[[#This Row],[short code]],"interval_std_dev","calc_interval=30d","market_data_override=sp210")</f>
        <v>#NAME?</v>
      </c>
    </row>
    <row r="28" spans="2:33">
      <c r="B28" s="11" t="s">
        <v>142</v>
      </c>
      <c r="C28" s="12" t="s">
        <v>143</v>
      </c>
      <c r="D28" s="12" t="s">
        <v>144</v>
      </c>
      <c r="E28" s="5" t="e" cm="1">
        <f t="array" aca="1" ref="E28" ca="1">_xll.BDP(curve[[#This Row],[short code]],"security_name")</f>
        <v>#NAME?</v>
      </c>
      <c r="F28" s="5" t="e" cm="1">
        <f t="array" aca="1" ref="F28" ca="1">_xll.BDP(curve[[#This Row],[long code]],"security_name")</f>
        <v>#NAME?</v>
      </c>
      <c r="G28" s="25" t="e" cm="1">
        <f t="array" aca="1" ref="G28" ca="1">_xll.BDP(curve[[#This Row],[short code]],"nxt_call_dt")*1</f>
        <v>#NAME?</v>
      </c>
      <c r="H28" s="25" t="e" cm="1">
        <f t="array" aca="1" ref="H28" ca="1">_xll.BDP(curve[[#This Row],[long code]],"nxt_call_dt")*1</f>
        <v>#NAME?</v>
      </c>
      <c r="I28" s="17" t="e">
        <f ca="1">(curve[[#This Row],[long date]]-curve[[#This Row],[short date]])/365</f>
        <v>#NAME?</v>
      </c>
      <c r="J28" s="12" t="s">
        <v>51</v>
      </c>
      <c r="K28" s="18" t="e" cm="1">
        <f t="array" aca="1" ref="K28" ca="1">_xll.BDP(curve[[#This Row],[short code]],curve[[#This Row],[spread measure]])</f>
        <v>#NAME?</v>
      </c>
      <c r="L28" s="18" t="e" cm="1">
        <f t="array" aca="1" ref="L28" ca="1">_xll.BDP(curve[[#This Row],[long code]],curve[[#This Row],[spread measure]])</f>
        <v>#NAME?</v>
      </c>
      <c r="M28" s="18" t="e">
        <f ca="1">curve[[#This Row],[long spread]]-curve[[#This Row],[short spread]]</f>
        <v>#NAME?</v>
      </c>
      <c r="N28" s="18" t="e">
        <f ca="1">curve[[#This Row],[curve]]/curve[[#This Row],[years]]</f>
        <v>#NAME?</v>
      </c>
      <c r="O28" s="5" t="e" cm="1">
        <f t="array" aca="1" ref="O28" ca="1">_xll.BDP(curve[[#This Row],[short code]],"bb_composite")</f>
        <v>#NAME?</v>
      </c>
      <c r="P28" s="5" t="e" cm="1">
        <f t="array" aca="1" ref="P28" ca="1">_xll.BDP(curve[[#This Row],[long code]],"bb_composite")</f>
        <v>#NAME?</v>
      </c>
      <c r="Q28" s="5" t="e" cm="1">
        <f t="array" aca="1" ref="Q28" ca="1">_xll.BDP(curve[[#This Row],[short code]],"crncy")</f>
        <v>#NAME?</v>
      </c>
      <c r="R28" s="5" t="e" cm="1">
        <f t="array" aca="1" ref="R28" ca="1">_xll.BDP(curve[[#This Row],[long code]],"crncy")</f>
        <v>#NAME?</v>
      </c>
      <c r="S28" s="5" t="str">
        <f>INDEX(tkrBBG!AA:AA,MATCH(curve[[#This Row],[ticker]],tkrBBG!Z:Z,0))</f>
        <v>Energy</v>
      </c>
      <c r="T28" s="12" t="s">
        <v>52</v>
      </c>
      <c r="U28" s="18" t="e" cm="1">
        <f t="array" aca="1" ref="U28" ca="1">_xll.BDH(curve[[#This Row],[short code]],curve[[#This Row],[hist spread measure]],$V$2)</f>
        <v>#NAME?</v>
      </c>
      <c r="V28" s="18" t="e" cm="1">
        <f t="array" aca="1" ref="V28" ca="1">_xll.BDH(curve[[#This Row],[long code]],curve[[#This Row],[hist spread measure]],$V$2)</f>
        <v>#NAME?</v>
      </c>
      <c r="W28" s="18" t="str">
        <f ca="1">IFERROR(curve[[#This Row],[long Spread (14d)]]-curve[[#This Row],[short Spread (14d)]],"-")</f>
        <v>-</v>
      </c>
      <c r="X28" s="18" t="str">
        <f ca="1">IFERROR(curve[[#This Row],[curve (14d)]]/curve[[#This Row],[years]],"-")</f>
        <v>-</v>
      </c>
      <c r="Y28" s="18" t="str">
        <f ca="1">IFERROR(curve[[#This Row],[curve per year]]-curve[[#This Row],[curve per year (14d)]],"-")</f>
        <v>-</v>
      </c>
      <c r="Z28" s="18" t="e" cm="1">
        <f t="array" aca="1" ref="Z28" ca="1">_xll.BDH(curve[[#This Row],[short code]],curve[[#This Row],[hist spread measure]],$AA$2)</f>
        <v>#NAME?</v>
      </c>
      <c r="AA28" s="18" t="e" cm="1">
        <f t="array" aca="1" ref="AA28" ca="1">_xll.BDH(curve[[#This Row],[long code]],curve[[#This Row],[hist spread measure]],$AA$2)</f>
        <v>#NAME?</v>
      </c>
      <c r="AB28" s="18" t="str">
        <f ca="1">IFERROR(curve[[#This Row],[long spread (30d)]]-curve[[#This Row],[short spread (30d)]],"-")</f>
        <v>-</v>
      </c>
      <c r="AC28" s="18" t="str">
        <f ca="1">IFERROR(curve[[#This Row],[curve (30d)]]/curve[[#This Row],[years]],"-")</f>
        <v>-</v>
      </c>
      <c r="AD28" s="18" t="str">
        <f ca="1">IFERROR(curve[[#This Row],[curve per year]]-curve[[#This Row],[curve per year (30d)]],"-")</f>
        <v>-</v>
      </c>
      <c r="AE28" s="18" t="e" cm="1">
        <f t="array" aca="1" ref="AE28" ca="1">_xll.BDP(curve[[#This Row],[short code]],"interval_avg","calc_interval=30d","market_data_override=sp210")</f>
        <v>#NAME?</v>
      </c>
      <c r="AF28" s="18" t="e" cm="1">
        <f t="array" aca="1" ref="AF28" ca="1">_xll.BDP(curve[[#This Row],[short code]],"interval_avg","calc_interval=90d","market_data_override=sp210")</f>
        <v>#NAME?</v>
      </c>
      <c r="AG28" s="18" t="e" cm="1">
        <f t="array" aca="1" ref="AG28" ca="1">_xll.BDP(curve[[#This Row],[short code]],"interval_std_dev","calc_interval=30d","market_data_override=sp210")</f>
        <v>#NAME?</v>
      </c>
    </row>
    <row r="29" spans="2:33">
      <c r="B29" s="11" t="s">
        <v>145</v>
      </c>
      <c r="C29" s="12" t="s">
        <v>146</v>
      </c>
      <c r="D29" s="12" t="s">
        <v>147</v>
      </c>
      <c r="E29" s="5" t="e" cm="1">
        <f t="array" aca="1" ref="E29" ca="1">_xll.BDP(curve[[#This Row],[short code]],"security_name")</f>
        <v>#NAME?</v>
      </c>
      <c r="F29" s="5" t="e" cm="1">
        <f t="array" aca="1" ref="F29" ca="1">_xll.BDP(curve[[#This Row],[long code]],"security_name")</f>
        <v>#NAME?</v>
      </c>
      <c r="G29" s="25" t="e" cm="1">
        <f t="array" aca="1" ref="G29" ca="1">_xll.BDP(curve[[#This Row],[short code]],"nxt_call_dt")*1</f>
        <v>#NAME?</v>
      </c>
      <c r="H29" s="25" t="e" cm="1">
        <f t="array" aca="1" ref="H29" ca="1">_xll.BDP(curve[[#This Row],[long code]],"nxt_call_dt")*1</f>
        <v>#NAME?</v>
      </c>
      <c r="I29" s="17" t="e">
        <f ca="1">(curve[[#This Row],[long date]]-curve[[#This Row],[short date]])/365</f>
        <v>#NAME?</v>
      </c>
      <c r="J29" s="12" t="s">
        <v>51</v>
      </c>
      <c r="K29" s="18" t="e" cm="1">
        <f t="array" aca="1" ref="K29" ca="1">_xll.BDP(curve[[#This Row],[short code]],curve[[#This Row],[spread measure]])</f>
        <v>#NAME?</v>
      </c>
      <c r="L29" s="18" t="e" cm="1">
        <f t="array" aca="1" ref="L29" ca="1">_xll.BDP(curve[[#This Row],[long code]],curve[[#This Row],[spread measure]])</f>
        <v>#NAME?</v>
      </c>
      <c r="M29" s="18" t="e">
        <f ca="1">curve[[#This Row],[long spread]]-curve[[#This Row],[short spread]]</f>
        <v>#NAME?</v>
      </c>
      <c r="N29" s="18" t="e">
        <f ca="1">curve[[#This Row],[curve]]/curve[[#This Row],[years]]</f>
        <v>#NAME?</v>
      </c>
      <c r="O29" s="5" t="e" cm="1">
        <f t="array" aca="1" ref="O29" ca="1">_xll.BDP(curve[[#This Row],[short code]],"bb_composite")</f>
        <v>#NAME?</v>
      </c>
      <c r="P29" s="5" t="e" cm="1">
        <f t="array" aca="1" ref="P29" ca="1">_xll.BDP(curve[[#This Row],[long code]],"bb_composite")</f>
        <v>#NAME?</v>
      </c>
      <c r="Q29" s="5" t="e" cm="1">
        <f t="array" aca="1" ref="Q29" ca="1">_xll.BDP(curve[[#This Row],[short code]],"crncy")</f>
        <v>#NAME?</v>
      </c>
      <c r="R29" s="5" t="e" cm="1">
        <f t="array" aca="1" ref="R29" ca="1">_xll.BDP(curve[[#This Row],[long code]],"crncy")</f>
        <v>#NAME?</v>
      </c>
      <c r="S29" s="5" t="str">
        <f>INDEX(tkrBBG!AA:AA,MATCH(curve[[#This Row],[ticker]],tkrBBG!Z:Z,0))</f>
        <v>Low Beta</v>
      </c>
      <c r="T29" s="12" t="s">
        <v>52</v>
      </c>
      <c r="U29" s="18" t="e" cm="1">
        <f t="array" aca="1" ref="U29" ca="1">_xll.BDH(curve[[#This Row],[short code]],curve[[#This Row],[hist spread measure]],$V$2)</f>
        <v>#NAME?</v>
      </c>
      <c r="V29" s="18" t="e" cm="1">
        <f t="array" aca="1" ref="V29" ca="1">_xll.BDH(curve[[#This Row],[long code]],curve[[#This Row],[hist spread measure]],$V$2)</f>
        <v>#NAME?</v>
      </c>
      <c r="W29" s="18" t="str">
        <f ca="1">IFERROR(curve[[#This Row],[long Spread (14d)]]-curve[[#This Row],[short Spread (14d)]],"-")</f>
        <v>-</v>
      </c>
      <c r="X29" s="18" t="str">
        <f ca="1">IFERROR(curve[[#This Row],[curve (14d)]]/curve[[#This Row],[years]],"-")</f>
        <v>-</v>
      </c>
      <c r="Y29" s="18" t="str">
        <f ca="1">IFERROR(curve[[#This Row],[curve per year]]-curve[[#This Row],[curve per year (14d)]],"-")</f>
        <v>-</v>
      </c>
      <c r="Z29" s="18" t="e" cm="1">
        <f t="array" aca="1" ref="Z29" ca="1">_xll.BDH(curve[[#This Row],[short code]],curve[[#This Row],[hist spread measure]],$AA$2)</f>
        <v>#NAME?</v>
      </c>
      <c r="AA29" s="18" t="e" cm="1">
        <f t="array" aca="1" ref="AA29" ca="1">_xll.BDH(curve[[#This Row],[long code]],curve[[#This Row],[hist spread measure]],$AA$2)</f>
        <v>#NAME?</v>
      </c>
      <c r="AB29" s="18" t="str">
        <f ca="1">IFERROR(curve[[#This Row],[long spread (30d)]]-curve[[#This Row],[short spread (30d)]],"-")</f>
        <v>-</v>
      </c>
      <c r="AC29" s="18" t="str">
        <f ca="1">IFERROR(curve[[#This Row],[curve (30d)]]/curve[[#This Row],[years]],"-")</f>
        <v>-</v>
      </c>
      <c r="AD29" s="18" t="str">
        <f ca="1">IFERROR(curve[[#This Row],[curve per year]]-curve[[#This Row],[curve per year (30d)]],"-")</f>
        <v>-</v>
      </c>
      <c r="AE29" s="18" t="e" cm="1">
        <f t="array" aca="1" ref="AE29" ca="1">_xll.BDP(curve[[#This Row],[short code]],"interval_avg","calc_interval=30d","market_data_override=sp210")</f>
        <v>#NAME?</v>
      </c>
      <c r="AF29" s="18" t="e" cm="1">
        <f t="array" aca="1" ref="AF29" ca="1">_xll.BDP(curve[[#This Row],[short code]],"interval_avg","calc_interval=90d","market_data_override=sp210")</f>
        <v>#NAME?</v>
      </c>
      <c r="AG29" s="18" t="e" cm="1">
        <f t="array" aca="1" ref="AG29" ca="1">_xll.BDP(curve[[#This Row],[short code]],"interval_std_dev","calc_interval=30d","market_data_override=sp210")</f>
        <v>#NAME?</v>
      </c>
    </row>
    <row r="30" spans="2:33">
      <c r="B30" s="11" t="s">
        <v>148</v>
      </c>
      <c r="C30" s="12" t="s">
        <v>149</v>
      </c>
      <c r="D30" s="12" t="s">
        <v>150</v>
      </c>
      <c r="E30" s="5" t="e" cm="1">
        <f t="array" aca="1" ref="E30" ca="1">_xll.BDP(curve[[#This Row],[short code]],"security_name")</f>
        <v>#NAME?</v>
      </c>
      <c r="F30" s="5" t="e" cm="1">
        <f t="array" aca="1" ref="F30" ca="1">_xll.BDP(curve[[#This Row],[long code]],"security_name")</f>
        <v>#NAME?</v>
      </c>
      <c r="G30" s="25" t="e" cm="1">
        <f t="array" aca="1" ref="G30" ca="1">_xll.BDP(curve[[#This Row],[short code]],"nxt_call_dt")*1</f>
        <v>#NAME?</v>
      </c>
      <c r="H30" s="25" t="e" cm="1">
        <f t="array" aca="1" ref="H30" ca="1">_xll.BDP(curve[[#This Row],[long code]],"nxt_call_dt")*1</f>
        <v>#NAME?</v>
      </c>
      <c r="I30" s="17" t="e">
        <f ca="1">(curve[[#This Row],[long date]]-curve[[#This Row],[short date]])/365</f>
        <v>#NAME?</v>
      </c>
      <c r="J30" s="12" t="s">
        <v>51</v>
      </c>
      <c r="K30" s="18" t="e" cm="1">
        <f t="array" aca="1" ref="K30" ca="1">_xll.BDP(curve[[#This Row],[short code]],curve[[#This Row],[spread measure]])</f>
        <v>#NAME?</v>
      </c>
      <c r="L30" s="18" t="e" cm="1">
        <f t="array" aca="1" ref="L30" ca="1">_xll.BDP(curve[[#This Row],[long code]],curve[[#This Row],[spread measure]])</f>
        <v>#NAME?</v>
      </c>
      <c r="M30" s="18" t="e">
        <f ca="1">curve[[#This Row],[long spread]]-curve[[#This Row],[short spread]]</f>
        <v>#NAME?</v>
      </c>
      <c r="N30" s="18" t="e">
        <f ca="1">curve[[#This Row],[curve]]/curve[[#This Row],[years]]</f>
        <v>#NAME?</v>
      </c>
      <c r="O30" s="5" t="e" cm="1">
        <f t="array" aca="1" ref="O30" ca="1">_xll.BDP(curve[[#This Row],[short code]],"bb_composite")</f>
        <v>#NAME?</v>
      </c>
      <c r="P30" s="5" t="e" cm="1">
        <f t="array" aca="1" ref="P30" ca="1">_xll.BDP(curve[[#This Row],[long code]],"bb_composite")</f>
        <v>#NAME?</v>
      </c>
      <c r="Q30" s="5" t="e" cm="1">
        <f t="array" aca="1" ref="Q30" ca="1">_xll.BDP(curve[[#This Row],[short code]],"crncy")</f>
        <v>#NAME?</v>
      </c>
      <c r="R30" s="5" t="e" cm="1">
        <f t="array" aca="1" ref="R30" ca="1">_xll.BDP(curve[[#This Row],[long code]],"crncy")</f>
        <v>#NAME?</v>
      </c>
      <c r="S30" s="5" t="str">
        <f>INDEX(tkrBBG!AA:AA,MATCH(curve[[#This Row],[ticker]],tkrBBG!Z:Z,0))</f>
        <v>TMT/ AUTO</v>
      </c>
      <c r="T30" s="12" t="s">
        <v>52</v>
      </c>
      <c r="U30" s="18" t="e" cm="1">
        <f t="array" aca="1" ref="U30" ca="1">_xll.BDH(curve[[#This Row],[short code]],curve[[#This Row],[hist spread measure]],$V$2)</f>
        <v>#NAME?</v>
      </c>
      <c r="V30" s="18" t="e" cm="1">
        <f t="array" aca="1" ref="V30" ca="1">_xll.BDH(curve[[#This Row],[long code]],curve[[#This Row],[hist spread measure]],$V$2)</f>
        <v>#NAME?</v>
      </c>
      <c r="W30" s="18" t="str">
        <f ca="1">IFERROR(curve[[#This Row],[long Spread (14d)]]-curve[[#This Row],[short Spread (14d)]],"-")</f>
        <v>-</v>
      </c>
      <c r="X30" s="18" t="str">
        <f ca="1">IFERROR(curve[[#This Row],[curve (14d)]]/curve[[#This Row],[years]],"-")</f>
        <v>-</v>
      </c>
      <c r="Y30" s="18" t="str">
        <f ca="1">IFERROR(curve[[#This Row],[curve per year]]-curve[[#This Row],[curve per year (14d)]],"-")</f>
        <v>-</v>
      </c>
      <c r="Z30" s="18" t="e" cm="1">
        <f t="array" aca="1" ref="Z30" ca="1">_xll.BDH(curve[[#This Row],[short code]],curve[[#This Row],[hist spread measure]],$AA$2)</f>
        <v>#NAME?</v>
      </c>
      <c r="AA30" s="18" t="e" cm="1">
        <f t="array" aca="1" ref="AA30" ca="1">_xll.BDH(curve[[#This Row],[long code]],curve[[#This Row],[hist spread measure]],$AA$2)</f>
        <v>#NAME?</v>
      </c>
      <c r="AB30" s="18" t="str">
        <f ca="1">IFERROR(curve[[#This Row],[long spread (30d)]]-curve[[#This Row],[short spread (30d)]],"-")</f>
        <v>-</v>
      </c>
      <c r="AC30" s="18" t="str">
        <f ca="1">IFERROR(curve[[#This Row],[curve (30d)]]/curve[[#This Row],[years]],"-")</f>
        <v>-</v>
      </c>
      <c r="AD30" s="18" t="str">
        <f ca="1">IFERROR(curve[[#This Row],[curve per year]]-curve[[#This Row],[curve per year (30d)]],"-")</f>
        <v>-</v>
      </c>
      <c r="AE30" s="18" t="e" cm="1">
        <f t="array" aca="1" ref="AE30" ca="1">_xll.BDP(curve[[#This Row],[short code]],"interval_avg","calc_interval=30d","market_data_override=sp210")</f>
        <v>#NAME?</v>
      </c>
      <c r="AF30" s="18" t="e" cm="1">
        <f t="array" aca="1" ref="AF30" ca="1">_xll.BDP(curve[[#This Row],[short code]],"interval_avg","calc_interval=90d","market_data_override=sp210")</f>
        <v>#NAME?</v>
      </c>
      <c r="AG30" s="18" t="e" cm="1">
        <f t="array" aca="1" ref="AG30" ca="1">_xll.BDP(curve[[#This Row],[short code]],"interval_std_dev","calc_interval=30d","market_data_override=sp210")</f>
        <v>#NAME?</v>
      </c>
    </row>
    <row r="31" spans="2:33">
      <c r="B31" s="11" t="s">
        <v>151</v>
      </c>
      <c r="C31" s="12" t="s">
        <v>152</v>
      </c>
      <c r="D31" s="12" t="s">
        <v>153</v>
      </c>
      <c r="E31" s="5" t="e" cm="1">
        <f t="array" aca="1" ref="E31" ca="1">_xll.BDP(curve[[#This Row],[short code]],"security_name")</f>
        <v>#NAME?</v>
      </c>
      <c r="F31" s="5" t="e" cm="1">
        <f t="array" aca="1" ref="F31" ca="1">_xll.BDP(curve[[#This Row],[long code]],"security_name")</f>
        <v>#NAME?</v>
      </c>
      <c r="G31" s="25" t="e" cm="1">
        <f t="array" aca="1" ref="G31" ca="1">_xll.BDP(curve[[#This Row],[short code]],"nxt_call_dt")*1</f>
        <v>#NAME?</v>
      </c>
      <c r="H31" s="25" t="e" cm="1">
        <f t="array" aca="1" ref="H31" ca="1">_xll.BDP(curve[[#This Row],[long code]],"nxt_call_dt")*1</f>
        <v>#NAME?</v>
      </c>
      <c r="I31" s="17" t="e">
        <f ca="1">(curve[[#This Row],[long date]]-curve[[#This Row],[short date]])/365</f>
        <v>#NAME?</v>
      </c>
      <c r="J31" s="12" t="s">
        <v>51</v>
      </c>
      <c r="K31" s="18" t="e" cm="1">
        <f t="array" aca="1" ref="K31" ca="1">_xll.BDP(curve[[#This Row],[short code]],curve[[#This Row],[spread measure]])</f>
        <v>#NAME?</v>
      </c>
      <c r="L31" s="18" t="e" cm="1">
        <f t="array" aca="1" ref="L31" ca="1">_xll.BDP(curve[[#This Row],[long code]],curve[[#This Row],[spread measure]])</f>
        <v>#NAME?</v>
      </c>
      <c r="M31" s="18" t="e">
        <f ca="1">curve[[#This Row],[long spread]]-curve[[#This Row],[short spread]]</f>
        <v>#NAME?</v>
      </c>
      <c r="N31" s="18" t="e">
        <f ca="1">curve[[#This Row],[curve]]/curve[[#This Row],[years]]</f>
        <v>#NAME?</v>
      </c>
      <c r="O31" s="5" t="e" cm="1">
        <f t="array" aca="1" ref="O31" ca="1">_xll.BDP(curve[[#This Row],[short code]],"bb_composite")</f>
        <v>#NAME?</v>
      </c>
      <c r="P31" s="5" t="e" cm="1">
        <f t="array" aca="1" ref="P31" ca="1">_xll.BDP(curve[[#This Row],[long code]],"bb_composite")</f>
        <v>#NAME?</v>
      </c>
      <c r="Q31" s="5" t="e" cm="1">
        <f t="array" aca="1" ref="Q31" ca="1">_xll.BDP(curve[[#This Row],[short code]],"crncy")</f>
        <v>#NAME?</v>
      </c>
      <c r="R31" s="5" t="e" cm="1">
        <f t="array" aca="1" ref="R31" ca="1">_xll.BDP(curve[[#This Row],[long code]],"crncy")</f>
        <v>#NAME?</v>
      </c>
      <c r="S31" s="5" t="str">
        <f>INDEX(tkrBBG!AA:AA,MATCH(curve[[#This Row],[ticker]],tkrBBG!Z:Z,0))</f>
        <v>TMT/ AUTO</v>
      </c>
      <c r="T31" s="12" t="s">
        <v>52</v>
      </c>
      <c r="U31" s="18" t="e" cm="1">
        <f t="array" aca="1" ref="U31" ca="1">_xll.BDH(curve[[#This Row],[short code]],curve[[#This Row],[hist spread measure]],$V$2)</f>
        <v>#NAME?</v>
      </c>
      <c r="V31" s="18" t="e" cm="1">
        <f t="array" aca="1" ref="V31" ca="1">_xll.BDH(curve[[#This Row],[long code]],curve[[#This Row],[hist spread measure]],$V$2)</f>
        <v>#NAME?</v>
      </c>
      <c r="W31" s="18" t="str">
        <f ca="1">IFERROR(curve[[#This Row],[long Spread (14d)]]-curve[[#This Row],[short Spread (14d)]],"-")</f>
        <v>-</v>
      </c>
      <c r="X31" s="18" t="str">
        <f ca="1">IFERROR(curve[[#This Row],[curve (14d)]]/curve[[#This Row],[years]],"-")</f>
        <v>-</v>
      </c>
      <c r="Y31" s="18" t="str">
        <f ca="1">IFERROR(curve[[#This Row],[curve per year]]-curve[[#This Row],[curve per year (14d)]],"-")</f>
        <v>-</v>
      </c>
      <c r="Z31" s="18" t="e" cm="1">
        <f t="array" aca="1" ref="Z31" ca="1">_xll.BDH(curve[[#This Row],[short code]],curve[[#This Row],[hist spread measure]],$AA$2)</f>
        <v>#NAME?</v>
      </c>
      <c r="AA31" s="18" t="e" cm="1">
        <f t="array" aca="1" ref="AA31" ca="1">_xll.BDH(curve[[#This Row],[long code]],curve[[#This Row],[hist spread measure]],$AA$2)</f>
        <v>#NAME?</v>
      </c>
      <c r="AB31" s="18" t="str">
        <f ca="1">IFERROR(curve[[#This Row],[long spread (30d)]]-curve[[#This Row],[short spread (30d)]],"-")</f>
        <v>-</v>
      </c>
      <c r="AC31" s="18" t="str">
        <f ca="1">IFERROR(curve[[#This Row],[curve (30d)]]/curve[[#This Row],[years]],"-")</f>
        <v>-</v>
      </c>
      <c r="AD31" s="18" t="str">
        <f ca="1">IFERROR(curve[[#This Row],[curve per year]]-curve[[#This Row],[curve per year (30d)]],"-")</f>
        <v>-</v>
      </c>
      <c r="AE31" s="18" t="e" cm="1">
        <f t="array" aca="1" ref="AE31" ca="1">_xll.BDP(curve[[#This Row],[short code]],"interval_avg","calc_interval=30d","market_data_override=sp210")</f>
        <v>#NAME?</v>
      </c>
      <c r="AF31" s="18" t="e" cm="1">
        <f t="array" aca="1" ref="AF31" ca="1">_xll.BDP(curve[[#This Row],[short code]],"interval_avg","calc_interval=90d","market_data_override=sp210")</f>
        <v>#NAME?</v>
      </c>
      <c r="AG31" s="18" t="e" cm="1">
        <f t="array" aca="1" ref="AG31" ca="1">_xll.BDP(curve[[#This Row],[short code]],"interval_std_dev","calc_interval=30d","market_data_override=sp210")</f>
        <v>#NAME?</v>
      </c>
    </row>
    <row r="32" spans="2:33">
      <c r="B32" s="11" t="s">
        <v>154</v>
      </c>
      <c r="C32" s="12" t="s">
        <v>155</v>
      </c>
      <c r="D32" s="12" t="s">
        <v>156</v>
      </c>
      <c r="E32" s="5" t="e" cm="1">
        <f t="array" aca="1" ref="E32" ca="1">_xll.BDP(curve[[#This Row],[short code]],"security_name")</f>
        <v>#NAME?</v>
      </c>
      <c r="F32" s="5" t="e" cm="1">
        <f t="array" aca="1" ref="F32" ca="1">_xll.BDP(curve[[#This Row],[long code]],"security_name")</f>
        <v>#NAME?</v>
      </c>
      <c r="G32" s="25" t="e" cm="1">
        <f t="array" aca="1" ref="G32" ca="1">_xll.BDP(curve[[#This Row],[short code]],"nxt_call_dt")*1</f>
        <v>#NAME?</v>
      </c>
      <c r="H32" s="25" t="e" cm="1">
        <f t="array" aca="1" ref="H32" ca="1">_xll.BDP(curve[[#This Row],[long code]],"nxt_call_dt")*1</f>
        <v>#NAME?</v>
      </c>
      <c r="I32" s="17" t="e">
        <f ca="1">(curve[[#This Row],[long date]]-curve[[#This Row],[short date]])/365</f>
        <v>#NAME?</v>
      </c>
      <c r="J32" s="12" t="s">
        <v>51</v>
      </c>
      <c r="K32" s="18" t="e" cm="1">
        <f t="array" aca="1" ref="K32" ca="1">_xll.BDP(curve[[#This Row],[short code]],curve[[#This Row],[spread measure]])</f>
        <v>#NAME?</v>
      </c>
      <c r="L32" s="18" t="e" cm="1">
        <f t="array" aca="1" ref="L32" ca="1">_xll.BDP(curve[[#This Row],[long code]],curve[[#This Row],[spread measure]])</f>
        <v>#NAME?</v>
      </c>
      <c r="M32" s="18" t="e">
        <f ca="1">curve[[#This Row],[long spread]]-curve[[#This Row],[short spread]]</f>
        <v>#NAME?</v>
      </c>
      <c r="N32" s="18" t="e">
        <f ca="1">curve[[#This Row],[curve]]/curve[[#This Row],[years]]</f>
        <v>#NAME?</v>
      </c>
      <c r="O32" s="5" t="e" cm="1">
        <f t="array" aca="1" ref="O32" ca="1">_xll.BDP(curve[[#This Row],[short code]],"bb_composite")</f>
        <v>#NAME?</v>
      </c>
      <c r="P32" s="5" t="e" cm="1">
        <f t="array" aca="1" ref="P32" ca="1">_xll.BDP(curve[[#This Row],[long code]],"bb_composite")</f>
        <v>#NAME?</v>
      </c>
      <c r="Q32" s="5" t="e" cm="1">
        <f t="array" aca="1" ref="Q32" ca="1">_xll.BDP(curve[[#This Row],[short code]],"crncy")</f>
        <v>#NAME?</v>
      </c>
      <c r="R32" s="5" t="e" cm="1">
        <f t="array" aca="1" ref="R32" ca="1">_xll.BDP(curve[[#This Row],[long code]],"crncy")</f>
        <v>#NAME?</v>
      </c>
      <c r="S32" s="5" t="str">
        <f>INDEX(tkrBBG!AA:AA,MATCH(curve[[#This Row],[ticker]],tkrBBG!Z:Z,0))</f>
        <v>Energy</v>
      </c>
      <c r="T32" s="12" t="s">
        <v>52</v>
      </c>
      <c r="U32" s="18" t="e" cm="1">
        <f t="array" aca="1" ref="U32" ca="1">_xll.BDH(curve[[#This Row],[short code]],curve[[#This Row],[hist spread measure]],$V$2)</f>
        <v>#NAME?</v>
      </c>
      <c r="V32" s="18" t="e" cm="1">
        <f t="array" aca="1" ref="V32" ca="1">_xll.BDH(curve[[#This Row],[long code]],curve[[#This Row],[hist spread measure]],$V$2)</f>
        <v>#NAME?</v>
      </c>
      <c r="W32" s="18" t="str">
        <f ca="1">IFERROR(curve[[#This Row],[long Spread (14d)]]-curve[[#This Row],[short Spread (14d)]],"-")</f>
        <v>-</v>
      </c>
      <c r="X32" s="18" t="str">
        <f ca="1">IFERROR(curve[[#This Row],[curve (14d)]]/curve[[#This Row],[years]],"-")</f>
        <v>-</v>
      </c>
      <c r="Y32" s="18" t="str">
        <f ca="1">IFERROR(curve[[#This Row],[curve per year]]-curve[[#This Row],[curve per year (14d)]],"-")</f>
        <v>-</v>
      </c>
      <c r="Z32" s="18" t="e" cm="1">
        <f t="array" aca="1" ref="Z32" ca="1">_xll.BDH(curve[[#This Row],[short code]],curve[[#This Row],[hist spread measure]],$AA$2)</f>
        <v>#NAME?</v>
      </c>
      <c r="AA32" s="18" t="e" cm="1">
        <f t="array" aca="1" ref="AA32" ca="1">_xll.BDH(curve[[#This Row],[long code]],curve[[#This Row],[hist spread measure]],$AA$2)</f>
        <v>#NAME?</v>
      </c>
      <c r="AB32" s="18" t="str">
        <f ca="1">IFERROR(curve[[#This Row],[long spread (30d)]]-curve[[#This Row],[short spread (30d)]],"-")</f>
        <v>-</v>
      </c>
      <c r="AC32" s="18" t="str">
        <f ca="1">IFERROR(curve[[#This Row],[curve (30d)]]/curve[[#This Row],[years]],"-")</f>
        <v>-</v>
      </c>
      <c r="AD32" s="18" t="str">
        <f ca="1">IFERROR(curve[[#This Row],[curve per year]]-curve[[#This Row],[curve per year (30d)]],"-")</f>
        <v>-</v>
      </c>
      <c r="AE32" s="18" t="e" cm="1">
        <f t="array" aca="1" ref="AE32" ca="1">_xll.BDP(curve[[#This Row],[short code]],"interval_avg","calc_interval=30d","market_data_override=sp210")</f>
        <v>#NAME?</v>
      </c>
      <c r="AF32" s="18" t="e" cm="1">
        <f t="array" aca="1" ref="AF32" ca="1">_xll.BDP(curve[[#This Row],[short code]],"interval_avg","calc_interval=90d","market_data_override=sp210")</f>
        <v>#NAME?</v>
      </c>
      <c r="AG32" s="18" t="e" cm="1">
        <f t="array" aca="1" ref="AG32" ca="1">_xll.BDP(curve[[#This Row],[short code]],"interval_std_dev","calc_interval=30d","market_data_override=sp210")</f>
        <v>#NAME?</v>
      </c>
    </row>
    <row r="33" spans="2:34">
      <c r="B33" s="11" t="s">
        <v>157</v>
      </c>
      <c r="C33" s="12" t="s">
        <v>158</v>
      </c>
      <c r="D33" s="12" t="s">
        <v>159</v>
      </c>
      <c r="E33" s="5" t="e" cm="1">
        <f t="array" aca="1" ref="E33" ca="1">_xll.BDP(curve[[#This Row],[short code]],"security_name")</f>
        <v>#NAME?</v>
      </c>
      <c r="F33" s="5" t="e" cm="1">
        <f t="array" aca="1" ref="F33" ca="1">_xll.BDP(curve[[#This Row],[long code]],"security_name")</f>
        <v>#NAME?</v>
      </c>
      <c r="G33" s="25" t="e" cm="1">
        <f t="array" aca="1" ref="G33" ca="1">_xll.BDP(curve[[#This Row],[short code]],"nxt_call_dt")*1</f>
        <v>#NAME?</v>
      </c>
      <c r="H33" s="25" t="e" cm="1">
        <f t="array" aca="1" ref="H33" ca="1">_xll.BDP(curve[[#This Row],[long code]],"nxt_call_dt")*1</f>
        <v>#NAME?</v>
      </c>
      <c r="I33" s="17" t="e">
        <f ca="1">(curve[[#This Row],[long date]]-curve[[#This Row],[short date]])/365</f>
        <v>#NAME?</v>
      </c>
      <c r="J33" s="12" t="s">
        <v>51</v>
      </c>
      <c r="K33" s="18" t="e" cm="1">
        <f t="array" aca="1" ref="K33" ca="1">_xll.BDP(curve[[#This Row],[short code]],curve[[#This Row],[spread measure]])</f>
        <v>#NAME?</v>
      </c>
      <c r="L33" s="18" t="e" cm="1">
        <f t="array" aca="1" ref="L33" ca="1">_xll.BDP(curve[[#This Row],[long code]],curve[[#This Row],[spread measure]])</f>
        <v>#NAME?</v>
      </c>
      <c r="M33" s="18" t="e">
        <f ca="1">curve[[#This Row],[long spread]]-curve[[#This Row],[short spread]]</f>
        <v>#NAME?</v>
      </c>
      <c r="N33" s="18" t="e">
        <f ca="1">curve[[#This Row],[curve]]/curve[[#This Row],[years]]</f>
        <v>#NAME?</v>
      </c>
      <c r="O33" s="5" t="e" cm="1">
        <f t="array" aca="1" ref="O33" ca="1">_xll.BDP(curve[[#This Row],[short code]],"bb_composite")</f>
        <v>#NAME?</v>
      </c>
      <c r="P33" s="5" t="e" cm="1">
        <f t="array" aca="1" ref="P33" ca="1">_xll.BDP(curve[[#This Row],[long code]],"bb_composite")</f>
        <v>#NAME?</v>
      </c>
      <c r="Q33" s="5" t="e" cm="1">
        <f t="array" aca="1" ref="Q33" ca="1">_xll.BDP(curve[[#This Row],[short code]],"crncy")</f>
        <v>#NAME?</v>
      </c>
      <c r="R33" s="5" t="e" cm="1">
        <f t="array" aca="1" ref="R33" ca="1">_xll.BDP(curve[[#This Row],[long code]],"crncy")</f>
        <v>#NAME?</v>
      </c>
      <c r="S33" s="5" t="str">
        <f>INDEX(tkrBBG!AA:AA,MATCH(curve[[#This Row],[ticker]],tkrBBG!Z:Z,0))</f>
        <v>UTILS</v>
      </c>
      <c r="T33" s="12" t="s">
        <v>52</v>
      </c>
      <c r="U33" s="18" t="e" cm="1">
        <f t="array" aca="1" ref="U33" ca="1">_xll.BDH(curve[[#This Row],[short code]],curve[[#This Row],[hist spread measure]],$V$2)</f>
        <v>#NAME?</v>
      </c>
      <c r="V33" s="18" t="e" cm="1">
        <f t="array" aca="1" ref="V33" ca="1">_xll.BDH(curve[[#This Row],[long code]],curve[[#This Row],[hist spread measure]],$V$2)</f>
        <v>#NAME?</v>
      </c>
      <c r="W33" s="18" t="str">
        <f ca="1">IFERROR(curve[[#This Row],[long Spread (14d)]]-curve[[#This Row],[short Spread (14d)]],"-")</f>
        <v>-</v>
      </c>
      <c r="X33" s="18" t="str">
        <f ca="1">IFERROR(curve[[#This Row],[curve (14d)]]/curve[[#This Row],[years]],"-")</f>
        <v>-</v>
      </c>
      <c r="Y33" s="18" t="str">
        <f ca="1">IFERROR(curve[[#This Row],[curve per year]]-curve[[#This Row],[curve per year (14d)]],"-")</f>
        <v>-</v>
      </c>
      <c r="Z33" s="18" t="e" cm="1">
        <f t="array" aca="1" ref="Z33" ca="1">_xll.BDH(curve[[#This Row],[short code]],curve[[#This Row],[hist spread measure]],$AA$2)</f>
        <v>#NAME?</v>
      </c>
      <c r="AA33" s="18" t="e" cm="1">
        <f t="array" aca="1" ref="AA33" ca="1">_xll.BDH(curve[[#This Row],[long code]],curve[[#This Row],[hist spread measure]],$AA$2)</f>
        <v>#NAME?</v>
      </c>
      <c r="AB33" s="18" t="str">
        <f ca="1">IFERROR(curve[[#This Row],[long spread (30d)]]-curve[[#This Row],[short spread (30d)]],"-")</f>
        <v>-</v>
      </c>
      <c r="AC33" s="18" t="str">
        <f ca="1">IFERROR(curve[[#This Row],[curve (30d)]]/curve[[#This Row],[years]],"-")</f>
        <v>-</v>
      </c>
      <c r="AD33" s="18" t="str">
        <f ca="1">IFERROR(curve[[#This Row],[curve per year]]-curve[[#This Row],[curve per year (30d)]],"-")</f>
        <v>-</v>
      </c>
      <c r="AE33" s="18" t="e" cm="1">
        <f t="array" aca="1" ref="AE33" ca="1">_xll.BDP(curve[[#This Row],[short code]],"interval_avg","calc_interval=30d","market_data_override=sp210")</f>
        <v>#NAME?</v>
      </c>
      <c r="AF33" s="18" t="e" cm="1">
        <f t="array" aca="1" ref="AF33" ca="1">_xll.BDP(curve[[#This Row],[short code]],"interval_avg","calc_interval=90d","market_data_override=sp210")</f>
        <v>#NAME?</v>
      </c>
      <c r="AG33" s="18" t="e" cm="1">
        <f t="array" aca="1" ref="AG33" ca="1">_xll.BDP(curve[[#This Row],[short code]],"interval_std_dev","calc_interval=30d","market_data_override=sp210")</f>
        <v>#NAME?</v>
      </c>
    </row>
    <row r="34" spans="2:34">
      <c r="B34" s="11" t="s">
        <v>160</v>
      </c>
      <c r="C34" s="12" t="s">
        <v>161</v>
      </c>
      <c r="D34" s="12" t="s">
        <v>162</v>
      </c>
      <c r="E34" s="5" t="e" cm="1">
        <f t="array" aca="1" ref="E34" ca="1">_xll.BDP(curve[[#This Row],[short code]],"security_name")</f>
        <v>#NAME?</v>
      </c>
      <c r="F34" s="5" t="e" cm="1">
        <f t="array" aca="1" ref="F34" ca="1">_xll.BDP(curve[[#This Row],[long code]],"security_name")</f>
        <v>#NAME?</v>
      </c>
      <c r="G34" s="25" t="e" cm="1">
        <f t="array" aca="1" ref="G34" ca="1">_xll.BDP(curve[[#This Row],[short code]],"nxt_call_dt")*1</f>
        <v>#NAME?</v>
      </c>
      <c r="H34" s="25" t="e" cm="1">
        <f t="array" aca="1" ref="H34" ca="1">_xll.BDP(curve[[#This Row],[long code]],"nxt_call_dt")*1</f>
        <v>#NAME?</v>
      </c>
      <c r="I34" s="17" t="e">
        <f ca="1">(curve[[#This Row],[long date]]-curve[[#This Row],[short date]])/365</f>
        <v>#NAME?</v>
      </c>
      <c r="J34" s="12" t="s">
        <v>51</v>
      </c>
      <c r="K34" s="18" t="e" cm="1">
        <f t="array" aca="1" ref="K34" ca="1">_xll.BDP(curve[[#This Row],[short code]],curve[[#This Row],[spread measure]])</f>
        <v>#NAME?</v>
      </c>
      <c r="L34" s="18" t="e" cm="1">
        <f t="array" aca="1" ref="L34" ca="1">_xll.BDP(curve[[#This Row],[long code]],curve[[#This Row],[spread measure]])</f>
        <v>#NAME?</v>
      </c>
      <c r="M34" s="18" t="e">
        <f ca="1">curve[[#This Row],[long spread]]-curve[[#This Row],[short spread]]</f>
        <v>#NAME?</v>
      </c>
      <c r="N34" s="18" t="e">
        <f ca="1">curve[[#This Row],[curve]]/curve[[#This Row],[years]]</f>
        <v>#NAME?</v>
      </c>
      <c r="O34" s="5" t="e" cm="1">
        <f t="array" aca="1" ref="O34" ca="1">_xll.BDP(curve[[#This Row],[short code]],"bb_composite")</f>
        <v>#NAME?</v>
      </c>
      <c r="P34" s="5" t="e" cm="1">
        <f t="array" aca="1" ref="P34" ca="1">_xll.BDP(curve[[#This Row],[long code]],"bb_composite")</f>
        <v>#NAME?</v>
      </c>
      <c r="Q34" s="5" t="e" cm="1">
        <f t="array" aca="1" ref="Q34" ca="1">_xll.BDP(curve[[#This Row],[short code]],"crncy")</f>
        <v>#NAME?</v>
      </c>
      <c r="R34" s="5" t="e" cm="1">
        <f t="array" aca="1" ref="R34" ca="1">_xll.BDP(curve[[#This Row],[long code]],"crncy")</f>
        <v>#NAME?</v>
      </c>
      <c r="S34" s="5" t="str">
        <f>INDEX(tkrBBG!AA:AA,MATCH(curve[[#This Row],[ticker]],tkrBBG!Z:Z,0))</f>
        <v>TMT/ AUTO</v>
      </c>
      <c r="T34" s="12" t="s">
        <v>52</v>
      </c>
      <c r="U34" s="18" t="e" cm="1">
        <f t="array" aca="1" ref="U34" ca="1">_xll.BDH(curve[[#This Row],[short code]],curve[[#This Row],[hist spread measure]],$V$2)</f>
        <v>#NAME?</v>
      </c>
      <c r="V34" s="18" t="e" cm="1">
        <f t="array" aca="1" ref="V34" ca="1">_xll.BDH(curve[[#This Row],[long code]],curve[[#This Row],[hist spread measure]],$V$2)</f>
        <v>#NAME?</v>
      </c>
      <c r="W34" s="18" t="str">
        <f ca="1">IFERROR(curve[[#This Row],[long Spread (14d)]]-curve[[#This Row],[short Spread (14d)]],"-")</f>
        <v>-</v>
      </c>
      <c r="X34" s="18" t="str">
        <f ca="1">IFERROR(curve[[#This Row],[curve (14d)]]/curve[[#This Row],[years]],"-")</f>
        <v>-</v>
      </c>
      <c r="Y34" s="18" t="str">
        <f ca="1">IFERROR(curve[[#This Row],[curve per year]]-curve[[#This Row],[curve per year (14d)]],"-")</f>
        <v>-</v>
      </c>
      <c r="Z34" s="18" t="e" cm="1">
        <f t="array" aca="1" ref="Z34" ca="1">_xll.BDH(curve[[#This Row],[short code]],curve[[#This Row],[hist spread measure]],$AA$2)</f>
        <v>#NAME?</v>
      </c>
      <c r="AA34" s="18" t="e" cm="1">
        <f t="array" aca="1" ref="AA34" ca="1">_xll.BDH(curve[[#This Row],[long code]],curve[[#This Row],[hist spread measure]],$AA$2)</f>
        <v>#NAME?</v>
      </c>
      <c r="AB34" s="18" t="str">
        <f ca="1">IFERROR(curve[[#This Row],[long spread (30d)]]-curve[[#This Row],[short spread (30d)]],"-")</f>
        <v>-</v>
      </c>
      <c r="AC34" s="18" t="str">
        <f ca="1">IFERROR(curve[[#This Row],[curve (30d)]]/curve[[#This Row],[years]],"-")</f>
        <v>-</v>
      </c>
      <c r="AD34" s="18" t="str">
        <f ca="1">IFERROR(curve[[#This Row],[curve per year]]-curve[[#This Row],[curve per year (30d)]],"-")</f>
        <v>-</v>
      </c>
      <c r="AE34" s="18" t="e" cm="1">
        <f t="array" aca="1" ref="AE34" ca="1">_xll.BDP(curve[[#This Row],[short code]],"interval_avg","calc_interval=30d","market_data_override=sp210")</f>
        <v>#NAME?</v>
      </c>
      <c r="AF34" s="18" t="e" cm="1">
        <f t="array" aca="1" ref="AF34" ca="1">_xll.BDP(curve[[#This Row],[short code]],"interval_avg","calc_interval=90d","market_data_override=sp210")</f>
        <v>#NAME?</v>
      </c>
      <c r="AG34" s="18" t="e" cm="1">
        <f t="array" aca="1" ref="AG34" ca="1">_xll.BDP(curve[[#This Row],[short code]],"interval_std_dev","calc_interval=30d","market_data_override=sp210")</f>
        <v>#NAME?</v>
      </c>
    </row>
    <row r="35" spans="2:34">
      <c r="B35" s="11" t="s">
        <v>163</v>
      </c>
      <c r="C35" s="12" t="s">
        <v>164</v>
      </c>
      <c r="D35" s="12" t="s">
        <v>165</v>
      </c>
      <c r="E35" s="5" t="e" cm="1">
        <f t="array" aca="1" ref="E35" ca="1">_xll.BDP(curve[[#This Row],[short code]],"security_name")</f>
        <v>#NAME?</v>
      </c>
      <c r="F35" s="5" t="e" cm="1">
        <f t="array" aca="1" ref="F35" ca="1">_xll.BDP(curve[[#This Row],[long code]],"security_name")</f>
        <v>#NAME?</v>
      </c>
      <c r="G35" s="25" t="e" cm="1">
        <f t="array" aca="1" ref="G35" ca="1">_xll.BDP(curve[[#This Row],[short code]],"nxt_call_dt")*1</f>
        <v>#NAME?</v>
      </c>
      <c r="H35" s="25" t="e" cm="1">
        <f t="array" aca="1" ref="H35" ca="1">_xll.BDP(curve[[#This Row],[long code]],"nxt_call_dt")*1</f>
        <v>#NAME?</v>
      </c>
      <c r="I35" s="17" t="e">
        <f ca="1">(curve[[#This Row],[long date]]-curve[[#This Row],[short date]])/365</f>
        <v>#NAME?</v>
      </c>
      <c r="J35" s="12" t="s">
        <v>51</v>
      </c>
      <c r="K35" s="18" t="e" cm="1">
        <f t="array" aca="1" ref="K35" ca="1">_xll.BDP(curve[[#This Row],[short code]],curve[[#This Row],[spread measure]])</f>
        <v>#NAME?</v>
      </c>
      <c r="L35" s="18" t="e" cm="1">
        <f t="array" aca="1" ref="L35" ca="1">_xll.BDP(curve[[#This Row],[long code]],curve[[#This Row],[spread measure]])</f>
        <v>#NAME?</v>
      </c>
      <c r="M35" s="18" t="e">
        <f ca="1">curve[[#This Row],[long spread]]-curve[[#This Row],[short spread]]</f>
        <v>#NAME?</v>
      </c>
      <c r="N35" s="18" t="e">
        <f ca="1">curve[[#This Row],[curve]]/curve[[#This Row],[years]]</f>
        <v>#NAME?</v>
      </c>
      <c r="O35" s="5" t="e" cm="1">
        <f t="array" aca="1" ref="O35" ca="1">_xll.BDP(curve[[#This Row],[short code]],"bb_composite")</f>
        <v>#NAME?</v>
      </c>
      <c r="P35" s="5" t="e" cm="1">
        <f t="array" aca="1" ref="P35" ca="1">_xll.BDP(curve[[#This Row],[long code]],"bb_composite")</f>
        <v>#NAME?</v>
      </c>
      <c r="Q35" s="5" t="e" cm="1">
        <f t="array" aca="1" ref="Q35" ca="1">_xll.BDP(curve[[#This Row],[short code]],"crncy")</f>
        <v>#NAME?</v>
      </c>
      <c r="R35" s="5" t="e" cm="1">
        <f t="array" aca="1" ref="R35" ca="1">_xll.BDP(curve[[#This Row],[long code]],"crncy")</f>
        <v>#NAME?</v>
      </c>
      <c r="S35" s="5" t="str">
        <f>INDEX(tkrBBG!AA:AA,MATCH(curve[[#This Row],[ticker]],tkrBBG!Z:Z,0))</f>
        <v>TMT/ AUTO</v>
      </c>
      <c r="T35" s="12" t="s">
        <v>52</v>
      </c>
      <c r="U35" s="18" t="e" cm="1">
        <f t="array" aca="1" ref="U35" ca="1">_xll.BDH(curve[[#This Row],[short code]],curve[[#This Row],[hist spread measure]],$V$2)</f>
        <v>#NAME?</v>
      </c>
      <c r="V35" s="18" t="e" cm="1">
        <f t="array" aca="1" ref="V35" ca="1">_xll.BDH(curve[[#This Row],[long code]],curve[[#This Row],[hist spread measure]],$V$2)</f>
        <v>#NAME?</v>
      </c>
      <c r="W35" s="18" t="str">
        <f ca="1">IFERROR(curve[[#This Row],[long Spread (14d)]]-curve[[#This Row],[short Spread (14d)]],"-")</f>
        <v>-</v>
      </c>
      <c r="X35" s="18" t="str">
        <f ca="1">IFERROR(curve[[#This Row],[curve (14d)]]/curve[[#This Row],[years]],"-")</f>
        <v>-</v>
      </c>
      <c r="Y35" s="18" t="str">
        <f ca="1">IFERROR(curve[[#This Row],[curve per year]]-curve[[#This Row],[curve per year (14d)]],"-")</f>
        <v>-</v>
      </c>
      <c r="Z35" s="18" t="e" cm="1">
        <f t="array" aca="1" ref="Z35" ca="1">_xll.BDH(curve[[#This Row],[short code]],curve[[#This Row],[hist spread measure]],$AA$2)</f>
        <v>#NAME?</v>
      </c>
      <c r="AA35" s="18" t="e" cm="1">
        <f t="array" aca="1" ref="AA35" ca="1">_xll.BDH(curve[[#This Row],[long code]],curve[[#This Row],[hist spread measure]],$AA$2)</f>
        <v>#NAME?</v>
      </c>
      <c r="AB35" s="18" t="str">
        <f ca="1">IFERROR(curve[[#This Row],[long spread (30d)]]-curve[[#This Row],[short spread (30d)]],"-")</f>
        <v>-</v>
      </c>
      <c r="AC35" s="18" t="str">
        <f ca="1">IFERROR(curve[[#This Row],[curve (30d)]]/curve[[#This Row],[years]],"-")</f>
        <v>-</v>
      </c>
      <c r="AD35" s="18" t="str">
        <f ca="1">IFERROR(curve[[#This Row],[curve per year]]-curve[[#This Row],[curve per year (30d)]],"-")</f>
        <v>-</v>
      </c>
      <c r="AE35" s="18" t="e" cm="1">
        <f t="array" aca="1" ref="AE35" ca="1">_xll.BDP(curve[[#This Row],[short code]],"interval_avg","calc_interval=30d","market_data_override=sp210")</f>
        <v>#NAME?</v>
      </c>
      <c r="AF35" s="18" t="e" cm="1">
        <f t="array" aca="1" ref="AF35" ca="1">_xll.BDP(curve[[#This Row],[short code]],"interval_avg","calc_interval=90d","market_data_override=sp210")</f>
        <v>#NAME?</v>
      </c>
      <c r="AG35" s="18" t="e" cm="1">
        <f t="array" aca="1" ref="AG35" ca="1">_xll.BDP(curve[[#This Row],[short code]],"interval_std_dev","calc_interval=30d","market_data_override=sp210")</f>
        <v>#NAME?</v>
      </c>
    </row>
    <row r="36" spans="2:34">
      <c r="B36" s="11" t="s">
        <v>166</v>
      </c>
      <c r="C36" s="12" t="s">
        <v>167</v>
      </c>
      <c r="D36" s="12" t="s">
        <v>168</v>
      </c>
      <c r="E36" s="5" t="e" cm="1">
        <f t="array" aca="1" ref="E36" ca="1">_xll.BDP(curve[[#This Row],[short code]],"security_name")</f>
        <v>#NAME?</v>
      </c>
      <c r="F36" s="5" t="e" cm="1">
        <f t="array" aca="1" ref="F36" ca="1">_xll.BDP(curve[[#This Row],[long code]],"security_name")</f>
        <v>#NAME?</v>
      </c>
      <c r="G36" s="25" t="e" cm="1">
        <f t="array" aca="1" ref="G36" ca="1">_xll.BDP(curve[[#This Row],[short code]],"nxt_call_dt")*1</f>
        <v>#NAME?</v>
      </c>
      <c r="H36" s="25" t="e" cm="1">
        <f t="array" aca="1" ref="H36" ca="1">_xll.BDP(curve[[#This Row],[long code]],"nxt_call_dt")*1</f>
        <v>#NAME?</v>
      </c>
      <c r="I36" s="17" t="e">
        <f ca="1">(curve[[#This Row],[long date]]-curve[[#This Row],[short date]])/365</f>
        <v>#NAME?</v>
      </c>
      <c r="J36" s="12" t="s">
        <v>51</v>
      </c>
      <c r="K36" s="18" t="e" cm="1">
        <f t="array" aca="1" ref="K36" ca="1">_xll.BDP(curve[[#This Row],[short code]],curve[[#This Row],[spread measure]])</f>
        <v>#NAME?</v>
      </c>
      <c r="L36" s="18" t="e" cm="1">
        <f t="array" aca="1" ref="L36" ca="1">_xll.BDP(curve[[#This Row],[long code]],curve[[#This Row],[spread measure]])</f>
        <v>#NAME?</v>
      </c>
      <c r="M36" s="18" t="e">
        <f ca="1">curve[[#This Row],[long spread]]-curve[[#This Row],[short spread]]</f>
        <v>#NAME?</v>
      </c>
      <c r="N36" s="18" t="e">
        <f ca="1">curve[[#This Row],[curve]]/curve[[#This Row],[years]]</f>
        <v>#NAME?</v>
      </c>
      <c r="O36" s="5" t="e" cm="1">
        <f t="array" aca="1" ref="O36" ca="1">_xll.BDP(curve[[#This Row],[short code]],"bb_composite")</f>
        <v>#NAME?</v>
      </c>
      <c r="P36" s="5" t="e" cm="1">
        <f t="array" aca="1" ref="P36" ca="1">_xll.BDP(curve[[#This Row],[long code]],"bb_composite")</f>
        <v>#NAME?</v>
      </c>
      <c r="Q36" s="5" t="e" cm="1">
        <f t="array" aca="1" ref="Q36" ca="1">_xll.BDP(curve[[#This Row],[short code]],"crncy")</f>
        <v>#NAME?</v>
      </c>
      <c r="R36" s="5" t="e" cm="1">
        <f t="array" aca="1" ref="R36" ca="1">_xll.BDP(curve[[#This Row],[long code]],"crncy")</f>
        <v>#NAME?</v>
      </c>
      <c r="S36" s="5" t="str">
        <f>INDEX(tkrBBG!AA:AA,MATCH(curve[[#This Row],[ticker]],tkrBBG!Z:Z,0))</f>
        <v>Low Beta</v>
      </c>
      <c r="T36" s="12" t="s">
        <v>52</v>
      </c>
      <c r="U36" s="18" t="e" cm="1">
        <f t="array" aca="1" ref="U36" ca="1">_xll.BDH(curve[[#This Row],[short code]],curve[[#This Row],[hist spread measure]],$V$2)</f>
        <v>#NAME?</v>
      </c>
      <c r="V36" s="18" t="e" cm="1">
        <f t="array" aca="1" ref="V36" ca="1">_xll.BDH(curve[[#This Row],[long code]],curve[[#This Row],[hist spread measure]],$V$2)</f>
        <v>#NAME?</v>
      </c>
      <c r="W36" s="18" t="str">
        <f ca="1">IFERROR(curve[[#This Row],[long Spread (14d)]]-curve[[#This Row],[short Spread (14d)]],"-")</f>
        <v>-</v>
      </c>
      <c r="X36" s="18" t="str">
        <f ca="1">IFERROR(curve[[#This Row],[curve (14d)]]/curve[[#This Row],[years]],"-")</f>
        <v>-</v>
      </c>
      <c r="Y36" s="18" t="str">
        <f ca="1">IFERROR(curve[[#This Row],[curve per year]]-curve[[#This Row],[curve per year (14d)]],"-")</f>
        <v>-</v>
      </c>
      <c r="Z36" s="18" t="e" cm="1">
        <f t="array" aca="1" ref="Z36" ca="1">_xll.BDH(curve[[#This Row],[short code]],curve[[#This Row],[hist spread measure]],$AA$2)</f>
        <v>#NAME?</v>
      </c>
      <c r="AA36" s="18" t="e" cm="1">
        <f t="array" aca="1" ref="AA36" ca="1">_xll.BDH(curve[[#This Row],[long code]],curve[[#This Row],[hist spread measure]],$AA$2)</f>
        <v>#NAME?</v>
      </c>
      <c r="AB36" s="18" t="str">
        <f ca="1">IFERROR(curve[[#This Row],[long spread (30d)]]-curve[[#This Row],[short spread (30d)]],"-")</f>
        <v>-</v>
      </c>
      <c r="AC36" s="18" t="str">
        <f ca="1">IFERROR(curve[[#This Row],[curve (30d)]]/curve[[#This Row],[years]],"-")</f>
        <v>-</v>
      </c>
      <c r="AD36" s="18" t="str">
        <f ca="1">IFERROR(curve[[#This Row],[curve per year]]-curve[[#This Row],[curve per year (30d)]],"-")</f>
        <v>-</v>
      </c>
      <c r="AE36" s="18" t="e" cm="1">
        <f t="array" aca="1" ref="AE36" ca="1">_xll.BDP(curve[[#This Row],[short code]],"interval_avg","calc_interval=30d","market_data_override=sp210")</f>
        <v>#NAME?</v>
      </c>
      <c r="AF36" s="18" t="e" cm="1">
        <f t="array" aca="1" ref="AF36" ca="1">_xll.BDP(curve[[#This Row],[short code]],"interval_avg","calc_interval=90d","market_data_override=sp210")</f>
        <v>#NAME?</v>
      </c>
      <c r="AG36" s="18" t="e" cm="1">
        <f t="array" aca="1" ref="AG36" ca="1">_xll.BDP(curve[[#This Row],[short code]],"interval_std_dev","calc_interval=30d","market_data_override=sp210")</f>
        <v>#NAME?</v>
      </c>
    </row>
    <row r="37" spans="2:34">
      <c r="B37" s="11" t="s">
        <v>169</v>
      </c>
      <c r="C37" s="12" t="s">
        <v>170</v>
      </c>
      <c r="D37" s="12" t="s">
        <v>171</v>
      </c>
      <c r="E37" s="5" t="e" cm="1">
        <f t="array" aca="1" ref="E37" ca="1">_xll.BDP(curve[[#This Row],[short code]],"security_name")</f>
        <v>#NAME?</v>
      </c>
      <c r="F37" s="5" t="e" cm="1">
        <f t="array" aca="1" ref="F37" ca="1">_xll.BDP(curve[[#This Row],[long code]],"security_name")</f>
        <v>#NAME?</v>
      </c>
      <c r="G37" s="25" t="e" cm="1">
        <f t="array" aca="1" ref="G37" ca="1">_xll.BDP(curve[[#This Row],[short code]],"nxt_call_dt")*1</f>
        <v>#NAME?</v>
      </c>
      <c r="H37" s="25" t="e" cm="1">
        <f t="array" aca="1" ref="H37" ca="1">_xll.BDP(curve[[#This Row],[long code]],"nxt_call_dt")*1</f>
        <v>#NAME?</v>
      </c>
      <c r="I37" s="17" t="e">
        <f ca="1">(curve[[#This Row],[long date]]-curve[[#This Row],[short date]])/365</f>
        <v>#NAME?</v>
      </c>
      <c r="J37" s="12" t="s">
        <v>51</v>
      </c>
      <c r="K37" s="18" t="e" cm="1">
        <f t="array" aca="1" ref="K37" ca="1">_xll.BDP(curve[[#This Row],[short code]],curve[[#This Row],[spread measure]])</f>
        <v>#NAME?</v>
      </c>
      <c r="L37" s="18" t="e" cm="1">
        <f t="array" aca="1" ref="L37" ca="1">_xll.BDP(curve[[#This Row],[long code]],curve[[#This Row],[spread measure]])</f>
        <v>#NAME?</v>
      </c>
      <c r="M37" s="18" t="e">
        <f ca="1">curve[[#This Row],[long spread]]-curve[[#This Row],[short spread]]</f>
        <v>#NAME?</v>
      </c>
      <c r="N37" s="18" t="e">
        <f ca="1">curve[[#This Row],[curve]]/curve[[#This Row],[years]]</f>
        <v>#NAME?</v>
      </c>
      <c r="O37" s="5" t="e" cm="1">
        <f t="array" aca="1" ref="O37" ca="1">_xll.BDP(curve[[#This Row],[short code]],"bb_composite")</f>
        <v>#NAME?</v>
      </c>
      <c r="P37" s="5" t="e" cm="1">
        <f t="array" aca="1" ref="P37" ca="1">_xll.BDP(curve[[#This Row],[long code]],"bb_composite")</f>
        <v>#NAME?</v>
      </c>
      <c r="Q37" s="5" t="e" cm="1">
        <f t="array" aca="1" ref="Q37" ca="1">_xll.BDP(curve[[#This Row],[short code]],"crncy")</f>
        <v>#NAME?</v>
      </c>
      <c r="R37" s="5" t="e" cm="1">
        <f t="array" aca="1" ref="R37" ca="1">_xll.BDP(curve[[#This Row],[long code]],"crncy")</f>
        <v>#NAME?</v>
      </c>
      <c r="S37" s="5" t="str">
        <f>INDEX(tkrBBG!AA:AA,MATCH(curve[[#This Row],[ticker]],tkrBBG!Z:Z,0))</f>
        <v>UTILS</v>
      </c>
      <c r="T37" s="12" t="s">
        <v>52</v>
      </c>
      <c r="U37" s="18" t="e" cm="1">
        <f t="array" aca="1" ref="U37" ca="1">_xll.BDH(curve[[#This Row],[short code]],curve[[#This Row],[hist spread measure]],$V$2)</f>
        <v>#NAME?</v>
      </c>
      <c r="V37" s="18" t="e" cm="1">
        <f t="array" aca="1" ref="V37" ca="1">_xll.BDH(curve[[#This Row],[long code]],curve[[#This Row],[hist spread measure]],$V$2)</f>
        <v>#NAME?</v>
      </c>
      <c r="W37" s="18" t="str">
        <f ca="1">IFERROR(curve[[#This Row],[long Spread (14d)]]-curve[[#This Row],[short Spread (14d)]],"-")</f>
        <v>-</v>
      </c>
      <c r="X37" s="18" t="str">
        <f ca="1">IFERROR(curve[[#This Row],[curve (14d)]]/curve[[#This Row],[years]],"-")</f>
        <v>-</v>
      </c>
      <c r="Y37" s="18" t="str">
        <f ca="1">IFERROR(curve[[#This Row],[curve per year]]-curve[[#This Row],[curve per year (14d)]],"-")</f>
        <v>-</v>
      </c>
      <c r="Z37" s="18" t="e" cm="1">
        <f t="array" aca="1" ref="Z37" ca="1">_xll.BDH(curve[[#This Row],[short code]],curve[[#This Row],[hist spread measure]],$AA$2)</f>
        <v>#NAME?</v>
      </c>
      <c r="AA37" s="18" t="e" cm="1">
        <f t="array" aca="1" ref="AA37" ca="1">_xll.BDH(curve[[#This Row],[long code]],curve[[#This Row],[hist spread measure]],$AA$2)</f>
        <v>#NAME?</v>
      </c>
      <c r="AB37" s="18" t="str">
        <f ca="1">IFERROR(curve[[#This Row],[long spread (30d)]]-curve[[#This Row],[short spread (30d)]],"-")</f>
        <v>-</v>
      </c>
      <c r="AC37" s="18" t="str">
        <f ca="1">IFERROR(curve[[#This Row],[curve (30d)]]/curve[[#This Row],[years]],"-")</f>
        <v>-</v>
      </c>
      <c r="AD37" s="18" t="str">
        <f ca="1">IFERROR(curve[[#This Row],[curve per year]]-curve[[#This Row],[curve per year (30d)]],"-")</f>
        <v>-</v>
      </c>
      <c r="AE37" s="18" t="e" cm="1">
        <f t="array" aca="1" ref="AE37" ca="1">_xll.BDP(curve[[#This Row],[short code]],"interval_avg","calc_interval=30d","market_data_override=sp210")</f>
        <v>#NAME?</v>
      </c>
      <c r="AF37" s="18" t="e" cm="1">
        <f t="array" aca="1" ref="AF37" ca="1">_xll.BDP(curve[[#This Row],[short code]],"interval_avg","calc_interval=90d","market_data_override=sp210")</f>
        <v>#NAME?</v>
      </c>
      <c r="AG37" s="18" t="e" cm="1">
        <f t="array" aca="1" ref="AG37" ca="1">_xll.BDP(curve[[#This Row],[short code]],"interval_std_dev","calc_interval=30d","market_data_override=sp210")</f>
        <v>#NAME?</v>
      </c>
    </row>
    <row r="38" spans="2:34">
      <c r="B38" s="11" t="s">
        <v>172</v>
      </c>
      <c r="C38" s="12" t="s">
        <v>173</v>
      </c>
      <c r="D38" s="12" t="s">
        <v>174</v>
      </c>
      <c r="E38" s="5" t="e" cm="1">
        <f t="array" aca="1" ref="E38" ca="1">_xll.BDP(curve[[#This Row],[short code]],"security_name")</f>
        <v>#NAME?</v>
      </c>
      <c r="F38" s="5" t="e" cm="1">
        <f t="array" aca="1" ref="F38" ca="1">_xll.BDP(curve[[#This Row],[long code]],"security_name")</f>
        <v>#NAME?</v>
      </c>
      <c r="G38" s="25" t="e" cm="1">
        <f t="array" aca="1" ref="G38" ca="1">_xll.BDP(curve[[#This Row],[short code]],"nxt_call_dt")*1</f>
        <v>#NAME?</v>
      </c>
      <c r="H38" s="25" t="e" cm="1">
        <f t="array" aca="1" ref="H38" ca="1">_xll.BDP(curve[[#This Row],[long code]],"nxt_call_dt")*1</f>
        <v>#NAME?</v>
      </c>
      <c r="I38" s="17" t="e">
        <f ca="1">(curve[[#This Row],[long date]]-curve[[#This Row],[short date]])/365</f>
        <v>#NAME?</v>
      </c>
      <c r="J38" s="12" t="s">
        <v>51</v>
      </c>
      <c r="K38" s="18" t="e" cm="1">
        <f t="array" aca="1" ref="K38" ca="1">_xll.BDP(curve[[#This Row],[short code]],curve[[#This Row],[spread measure]])</f>
        <v>#NAME?</v>
      </c>
      <c r="L38" s="18" t="e" cm="1">
        <f t="array" aca="1" ref="L38" ca="1">_xll.BDP(curve[[#This Row],[long code]],curve[[#This Row],[spread measure]])</f>
        <v>#NAME?</v>
      </c>
      <c r="M38" s="18" t="e">
        <f ca="1">curve[[#This Row],[long spread]]-curve[[#This Row],[short spread]]</f>
        <v>#NAME?</v>
      </c>
      <c r="N38" s="18" t="e">
        <f ca="1">curve[[#This Row],[curve]]/curve[[#This Row],[years]]</f>
        <v>#NAME?</v>
      </c>
      <c r="O38" s="5" t="e" cm="1">
        <f t="array" aca="1" ref="O38" ca="1">_xll.BDP(curve[[#This Row],[short code]],"bb_composite")</f>
        <v>#NAME?</v>
      </c>
      <c r="P38" s="5" t="e" cm="1">
        <f t="array" aca="1" ref="P38" ca="1">_xll.BDP(curve[[#This Row],[long code]],"bb_composite")</f>
        <v>#NAME?</v>
      </c>
      <c r="Q38" s="5" t="e" cm="1">
        <f t="array" aca="1" ref="Q38" ca="1">_xll.BDP(curve[[#This Row],[short code]],"crncy")</f>
        <v>#NAME?</v>
      </c>
      <c r="R38" s="5" t="e" cm="1">
        <f t="array" aca="1" ref="R38" ca="1">_xll.BDP(curve[[#This Row],[long code]],"crncy")</f>
        <v>#NAME?</v>
      </c>
      <c r="S38" s="5" t="str">
        <f>INDEX(tkrBBG!AA:AA,MATCH(curve[[#This Row],[ticker]],tkrBBG!Z:Z,0))</f>
        <v>UTILS</v>
      </c>
      <c r="T38" s="12" t="s">
        <v>52</v>
      </c>
      <c r="U38" s="18" t="e" cm="1">
        <f t="array" aca="1" ref="U38" ca="1">_xll.BDH(curve[[#This Row],[short code]],curve[[#This Row],[hist spread measure]],$V$2)</f>
        <v>#NAME?</v>
      </c>
      <c r="V38" s="18" t="e" cm="1">
        <f t="array" aca="1" ref="V38" ca="1">_xll.BDH(curve[[#This Row],[long code]],curve[[#This Row],[hist spread measure]],$V$2)</f>
        <v>#NAME?</v>
      </c>
      <c r="W38" s="18" t="str">
        <f ca="1">IFERROR(curve[[#This Row],[long Spread (14d)]]-curve[[#This Row],[short Spread (14d)]],"-")</f>
        <v>-</v>
      </c>
      <c r="X38" s="18" t="str">
        <f ca="1">IFERROR(curve[[#This Row],[curve (14d)]]/curve[[#This Row],[years]],"-")</f>
        <v>-</v>
      </c>
      <c r="Y38" s="18" t="str">
        <f ca="1">IFERROR(curve[[#This Row],[curve per year]]-curve[[#This Row],[curve per year (14d)]],"-")</f>
        <v>-</v>
      </c>
      <c r="Z38" s="18" t="e" cm="1">
        <f t="array" aca="1" ref="Z38" ca="1">_xll.BDH(curve[[#This Row],[short code]],curve[[#This Row],[hist spread measure]],$AA$2)</f>
        <v>#NAME?</v>
      </c>
      <c r="AA38" s="18" t="e" cm="1">
        <f t="array" aca="1" ref="AA38" ca="1">_xll.BDH(curve[[#This Row],[long code]],curve[[#This Row],[hist spread measure]],$AA$2)</f>
        <v>#NAME?</v>
      </c>
      <c r="AB38" s="18" t="str">
        <f ca="1">IFERROR(curve[[#This Row],[long spread (30d)]]-curve[[#This Row],[short spread (30d)]],"-")</f>
        <v>-</v>
      </c>
      <c r="AC38" s="18" t="str">
        <f ca="1">IFERROR(curve[[#This Row],[curve (30d)]]/curve[[#This Row],[years]],"-")</f>
        <v>-</v>
      </c>
      <c r="AD38" s="18" t="str">
        <f ca="1">IFERROR(curve[[#This Row],[curve per year]]-curve[[#This Row],[curve per year (30d)]],"-")</f>
        <v>-</v>
      </c>
      <c r="AE38" s="18" t="e" cm="1">
        <f t="array" aca="1" ref="AE38" ca="1">_xll.BDP(curve[[#This Row],[short code]],"interval_avg","calc_interval=30d","market_data_override=sp210")</f>
        <v>#NAME?</v>
      </c>
      <c r="AF38" s="18" t="e" cm="1">
        <f t="array" aca="1" ref="AF38" ca="1">_xll.BDP(curve[[#This Row],[short code]],"interval_avg","calc_interval=90d","market_data_override=sp210")</f>
        <v>#NAME?</v>
      </c>
      <c r="AG38" s="18" t="e" cm="1">
        <f t="array" aca="1" ref="AG38" ca="1">_xll.BDP(curve[[#This Row],[short code]],"interval_std_dev","calc_interval=30d","market_data_override=sp210")</f>
        <v>#NAME?</v>
      </c>
    </row>
    <row r="39" spans="2:34">
      <c r="B39" s="11" t="s">
        <v>175</v>
      </c>
      <c r="C39" s="12" t="s">
        <v>176</v>
      </c>
      <c r="D39" s="12" t="s">
        <v>177</v>
      </c>
      <c r="E39" s="5" t="e" cm="1">
        <f t="array" aca="1" ref="E39" ca="1">_xll.BDP(curve[[#This Row],[short code]],"security_name")</f>
        <v>#NAME?</v>
      </c>
      <c r="F39" s="5" t="e" cm="1">
        <f t="array" aca="1" ref="F39" ca="1">_xll.BDP(curve[[#This Row],[long code]],"security_name")</f>
        <v>#NAME?</v>
      </c>
      <c r="G39" s="25" t="e" cm="1">
        <f t="array" aca="1" ref="G39" ca="1">_xll.BDP(curve[[#This Row],[short code]],"nxt_call_dt")*1</f>
        <v>#NAME?</v>
      </c>
      <c r="H39" s="25" t="e" cm="1">
        <f t="array" aca="1" ref="H39" ca="1">_xll.BDP(curve[[#This Row],[long code]],"nxt_call_dt")*1</f>
        <v>#NAME?</v>
      </c>
      <c r="I39" s="17" t="e">
        <f ca="1">(curve[[#This Row],[long date]]-curve[[#This Row],[short date]])/365</f>
        <v>#NAME?</v>
      </c>
      <c r="J39" s="12" t="s">
        <v>51</v>
      </c>
      <c r="K39" s="18" t="e" cm="1">
        <f t="array" aca="1" ref="K39" ca="1">_xll.BDP(curve[[#This Row],[short code]],curve[[#This Row],[spread measure]])</f>
        <v>#NAME?</v>
      </c>
      <c r="L39" s="18" t="e" cm="1">
        <f t="array" aca="1" ref="L39" ca="1">_xll.BDP(curve[[#This Row],[long code]],curve[[#This Row],[spread measure]])</f>
        <v>#NAME?</v>
      </c>
      <c r="M39" s="18" t="e">
        <f ca="1">curve[[#This Row],[long spread]]-curve[[#This Row],[short spread]]</f>
        <v>#NAME?</v>
      </c>
      <c r="N39" s="18" t="e">
        <f ca="1">curve[[#This Row],[curve]]/curve[[#This Row],[years]]</f>
        <v>#NAME?</v>
      </c>
      <c r="O39" s="5" t="e" cm="1">
        <f t="array" aca="1" ref="O39" ca="1">_xll.BDP(curve[[#This Row],[short code]],"bb_composite")</f>
        <v>#NAME?</v>
      </c>
      <c r="P39" s="5" t="e" cm="1">
        <f t="array" aca="1" ref="P39" ca="1">_xll.BDP(curve[[#This Row],[long code]],"bb_composite")</f>
        <v>#NAME?</v>
      </c>
      <c r="Q39" s="5" t="e" cm="1">
        <f t="array" aca="1" ref="Q39" ca="1">_xll.BDP(curve[[#This Row],[short code]],"crncy")</f>
        <v>#NAME?</v>
      </c>
      <c r="R39" s="5" t="e" cm="1">
        <f t="array" aca="1" ref="R39" ca="1">_xll.BDP(curve[[#This Row],[long code]],"crncy")</f>
        <v>#NAME?</v>
      </c>
      <c r="S39" s="5" t="str">
        <f>INDEX(tkrBBG!AA:AA,MATCH(curve[[#This Row],[ticker]],tkrBBG!Z:Z,0))</f>
        <v>REIT</v>
      </c>
      <c r="T39" s="12" t="s">
        <v>52</v>
      </c>
      <c r="U39" s="18" t="e" cm="1">
        <f t="array" aca="1" ref="U39" ca="1">_xll.BDH(curve[[#This Row],[short code]],curve[[#This Row],[hist spread measure]],$V$2)</f>
        <v>#NAME?</v>
      </c>
      <c r="V39" s="18" t="e" cm="1">
        <f t="array" aca="1" ref="V39" ca="1">_xll.BDH(curve[[#This Row],[long code]],curve[[#This Row],[hist spread measure]],$V$2)</f>
        <v>#NAME?</v>
      </c>
      <c r="W39" s="18" t="str">
        <f ca="1">IFERROR(curve[[#This Row],[long Spread (14d)]]-curve[[#This Row],[short Spread (14d)]],"-")</f>
        <v>-</v>
      </c>
      <c r="X39" s="18" t="str">
        <f ca="1">IFERROR(curve[[#This Row],[curve (14d)]]/curve[[#This Row],[years]],"-")</f>
        <v>-</v>
      </c>
      <c r="Y39" s="18" t="str">
        <f ca="1">IFERROR(curve[[#This Row],[curve per year]]-curve[[#This Row],[curve per year (14d)]],"-")</f>
        <v>-</v>
      </c>
      <c r="Z39" s="18" t="e" cm="1">
        <f t="array" aca="1" ref="Z39" ca="1">_xll.BDH(curve[[#This Row],[short code]],curve[[#This Row],[hist spread measure]],$AA$2)</f>
        <v>#NAME?</v>
      </c>
      <c r="AA39" s="18" t="e" cm="1">
        <f t="array" aca="1" ref="AA39" ca="1">_xll.BDH(curve[[#This Row],[long code]],curve[[#This Row],[hist spread measure]],$AA$2)</f>
        <v>#NAME?</v>
      </c>
      <c r="AB39" s="18" t="str">
        <f ca="1">IFERROR(curve[[#This Row],[long spread (30d)]]-curve[[#This Row],[short spread (30d)]],"-")</f>
        <v>-</v>
      </c>
      <c r="AC39" s="18" t="str">
        <f ca="1">IFERROR(curve[[#This Row],[curve (30d)]]/curve[[#This Row],[years]],"-")</f>
        <v>-</v>
      </c>
      <c r="AD39" s="18" t="str">
        <f ca="1">IFERROR(curve[[#This Row],[curve per year]]-curve[[#This Row],[curve per year (30d)]],"-")</f>
        <v>-</v>
      </c>
      <c r="AE39" s="18" t="e" cm="1">
        <f t="array" aca="1" ref="AE39" ca="1">_xll.BDP(curve[[#This Row],[short code]],"interval_avg","calc_interval=30d","market_data_override=sp210")</f>
        <v>#NAME?</v>
      </c>
      <c r="AF39" s="18" t="e" cm="1">
        <f t="array" aca="1" ref="AF39" ca="1">_xll.BDP(curve[[#This Row],[short code]],"interval_avg","calc_interval=90d","market_data_override=sp210")</f>
        <v>#NAME?</v>
      </c>
      <c r="AG39" s="18" t="e" cm="1">
        <f t="array" aca="1" ref="AG39" ca="1">_xll.BDP(curve[[#This Row],[short code]],"interval_std_dev","calc_interval=30d","market_data_override=sp210")</f>
        <v>#NAME?</v>
      </c>
    </row>
    <row r="44" spans="2:34">
      <c r="G44" s="25"/>
      <c r="H44" s="25"/>
      <c r="AH44" s="5" cm="1">
        <f t="array" ref="AH44">_xll.BDP("QJ937853 Corp","PX388","PX395=BLP_I_SPRD_MID","DY262=D","PY204=N","PX393=1M")</f>
        <v>307.36909090909086</v>
      </c>
    </row>
    <row r="45" spans="2:34">
      <c r="C45" s="5" t="s">
        <v>61</v>
      </c>
      <c r="D45" s="5" t="s">
        <v>178</v>
      </c>
      <c r="E45" s="5" t="s">
        <v>179</v>
      </c>
      <c r="F45" s="5" t="s">
        <v>180</v>
      </c>
      <c r="G45" s="25"/>
      <c r="H45" s="25"/>
    </row>
    <row r="46" spans="2:34">
      <c r="C46" s="5" t="str" cm="1">
        <f t="array" ref="C46:C51">_xlfn.UNIQUE(curve[RH sector])</f>
        <v>Low Beta</v>
      </c>
      <c r="D46" s="18" t="e">
        <f ca="1">_xlfn.MINIFS(curve[curve per year],curve[RH sector],C46)</f>
        <v>#NAME?</v>
      </c>
      <c r="E46" s="18" t="e">
        <f ca="1">AVERAGEIF(curve[RH sector],C46,curve[curve per year])</f>
        <v>#NAME?</v>
      </c>
      <c r="F46" s="18" t="e">
        <f ca="1">_xlfn.MAXIFS(curve[curve per year],curve[RH sector],C46)</f>
        <v>#NAME?</v>
      </c>
      <c r="G46" s="25"/>
      <c r="H46" s="25"/>
    </row>
    <row r="47" spans="2:34">
      <c r="C47" s="5" t="str">
        <v>TMT/ AUTO</v>
      </c>
      <c r="D47" s="18" t="e">
        <f ca="1">_xlfn.MINIFS(curve[curve per year],curve[RH sector],C47)</f>
        <v>#NAME?</v>
      </c>
      <c r="E47" s="18" t="e">
        <f ca="1">AVERAGEIF(curve[RH sector],C47,curve[curve per year])</f>
        <v>#NAME?</v>
      </c>
      <c r="F47" s="18" t="e">
        <f ca="1">_xlfn.MAXIFS(curve[curve per year],curve[RH sector],C47)</f>
        <v>#NAME?</v>
      </c>
      <c r="G47" s="25"/>
      <c r="H47" s="25"/>
      <c r="AH47" s="5" t="e" cm="1">
        <f t="array" aca="1" ref="AH47" ca="1">_xll.BDP(curve[[#This Row],[short code]],"INTERVAL_AVG", "CRNCY=GBP", "CALC_INTERVAL=30D", "MARKET_DATA_OVERRIDE=SP210")</f>
        <v>#NAME?</v>
      </c>
    </row>
    <row r="48" spans="2:34">
      <c r="C48" s="5" t="str">
        <v>REIT</v>
      </c>
      <c r="D48" s="18" t="e">
        <f ca="1">_xlfn.MINIFS(curve[curve per year],curve[RH sector],C48)</f>
        <v>#NAME?</v>
      </c>
      <c r="E48" s="18" t="e">
        <f ca="1">AVERAGEIF(curve[RH sector],C48,curve[curve per year])</f>
        <v>#NAME?</v>
      </c>
      <c r="F48" s="18" t="e">
        <f ca="1">_xlfn.MAXIFS(curve[curve per year],curve[RH sector],C48)</f>
        <v>#NAME?</v>
      </c>
      <c r="G48" s="25"/>
      <c r="H48" s="25"/>
    </row>
    <row r="49" spans="3:6">
      <c r="C49" s="5" t="str">
        <v>Energy</v>
      </c>
      <c r="D49" s="18" t="e">
        <f ca="1">_xlfn.MINIFS(curve[curve per year],curve[RH sector],C49)</f>
        <v>#NAME?</v>
      </c>
      <c r="E49" s="18" t="e">
        <f ca="1">AVERAGEIF(curve[RH sector],C49,curve[curve per year])</f>
        <v>#NAME?</v>
      </c>
      <c r="F49" s="18" t="e">
        <f ca="1">_xlfn.MAXIFS(curve[curve per year],curve[RH sector],C49)</f>
        <v>#NAME?</v>
      </c>
    </row>
    <row r="50" spans="3:6">
      <c r="C50" s="5" t="str">
        <v>UTILS</v>
      </c>
      <c r="D50" s="18" t="e">
        <f ca="1">_xlfn.MINIFS(curve[curve per year],curve[RH sector],C50)</f>
        <v>#NAME?</v>
      </c>
      <c r="E50" s="18" t="e">
        <f ca="1">AVERAGEIF(curve[RH sector],C50,curve[curve per year])</f>
        <v>#NAME?</v>
      </c>
      <c r="F50" s="18" t="e">
        <f ca="1">_xlfn.MAXIFS(curve[curve per year],curve[RH sector],C50)</f>
        <v>#NAME?</v>
      </c>
    </row>
    <row r="51" spans="3:6">
      <c r="C51" s="5" t="str">
        <v>missing</v>
      </c>
      <c r="D51" s="18" t="e">
        <f ca="1">_xlfn.MINIFS(curve[curve per year],curve[RH sector],C51)</f>
        <v>#NAME?</v>
      </c>
      <c r="E51" s="18" t="e">
        <f ca="1">AVERAGEIF(curve[RH sector],C51,curve[curve per year])</f>
        <v>#NAME?</v>
      </c>
      <c r="F51" s="18" t="e">
        <f ca="1">_xlfn.MAXIFS(curve[curve per year],curve[RH sector],C51)</f>
        <v>#NAME?</v>
      </c>
    </row>
  </sheetData>
  <conditionalFormatting sqref="N4:N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{D767183B-BE17-43A5-B576-875A56C9C3B1}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67183B-BE17-43A5-B576-875A56C9C3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N4:N39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BFE35B-3473-40AC-B1BE-BF741B93A95A}">
          <x14:formula1>
            <xm:f>tkrBBG!$X:$X</xm:f>
          </x14:formula1>
          <xm:sqref>J4:J39 T4:T39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29BF-0604-47A6-B841-81CFD080C04D}">
  <sheetPr>
    <tabColor theme="9"/>
  </sheetPr>
  <dimension ref="A1:J63"/>
  <sheetViews>
    <sheetView workbookViewId="0">
      <selection sqref="A1:B1"/>
    </sheetView>
  </sheetViews>
  <sheetFormatPr defaultColWidth="8.7109375" defaultRowHeight="10.5"/>
  <cols>
    <col min="1" max="16384" width="8.7109375" style="5"/>
  </cols>
  <sheetData>
    <row r="1" spans="1:10" ht="11.1">
      <c r="A1" s="4" t="s">
        <v>181</v>
      </c>
      <c r="B1" s="4" t="s">
        <v>0</v>
      </c>
    </row>
    <row r="2" spans="1:10">
      <c r="A2" s="5" t="str" cm="1">
        <f t="array" ref="A2:A7">_xlfn.UNIQUE(curve[RH sector])</f>
        <v>Low Beta</v>
      </c>
      <c r="B2" s="5" cm="1">
        <f t="array" ref="B2:B7">COUNTIF(curve[RH sector],_xlfn.ANCHORARRAY(A2))</f>
        <v>6</v>
      </c>
    </row>
    <row r="3" spans="1:10">
      <c r="A3" s="5" t="str">
        <v>TMT/ AUTO</v>
      </c>
      <c r="B3" s="5">
        <v>8</v>
      </c>
    </row>
    <row r="4" spans="1:10">
      <c r="A4" s="5" t="str">
        <v>REIT</v>
      </c>
      <c r="B4" s="5">
        <v>6</v>
      </c>
    </row>
    <row r="5" spans="1:10">
      <c r="A5" s="5" t="str">
        <v>Energy</v>
      </c>
      <c r="B5" s="5">
        <v>4</v>
      </c>
    </row>
    <row r="6" spans="1:10">
      <c r="A6" s="5" t="str">
        <v>UTILS</v>
      </c>
      <c r="B6" s="5">
        <v>11</v>
      </c>
    </row>
    <row r="7" spans="1:10">
      <c r="A7" s="5" t="str">
        <v>missing</v>
      </c>
      <c r="B7" s="5">
        <v>1</v>
      </c>
    </row>
    <row r="9" spans="1:10" ht="33">
      <c r="B9" s="19" t="s">
        <v>12</v>
      </c>
      <c r="C9" s="19" t="s">
        <v>4</v>
      </c>
      <c r="D9" s="19" t="s">
        <v>5</v>
      </c>
      <c r="E9" s="19" t="s">
        <v>6</v>
      </c>
      <c r="F9" s="4" t="s">
        <v>182</v>
      </c>
      <c r="G9" s="19" t="s">
        <v>7</v>
      </c>
      <c r="H9" s="19" t="s">
        <v>8</v>
      </c>
      <c r="J9" s="19" t="s">
        <v>183</v>
      </c>
    </row>
    <row r="11" spans="1:10">
      <c r="A11" s="5" t="s">
        <v>184</v>
      </c>
      <c r="B11" s="5" t="str" cm="1">
        <f t="array" ref="B11:B16">_xlfn._xlws.FILTER(curve[ticker],curve[RH sector]=A11)</f>
        <v>SOLBBB</v>
      </c>
      <c r="C11" s="18" t="e" cm="1">
        <f t="array" aca="1" ref="C11:C16" ca="1">_xlfn._xlws.FILTER(curve[short spread],curve[RH sector]=A11)</f>
        <v>#NAME?</v>
      </c>
      <c r="D11" s="18" t="e" cm="1">
        <f t="array" aca="1" ref="D11:D16" ca="1">_xlfn._xlws.FILTER(curve[long spread],curve[RH sector]=A11)</f>
        <v>#NAME?</v>
      </c>
      <c r="E11" s="18" t="e" cm="1">
        <f t="array" aca="1" ref="E11:E16" ca="1">_xlfn._xlws.FILTER(curve[curve per year],curve[RH sector]=A11)</f>
        <v>#NAME?</v>
      </c>
      <c r="F11" s="5" t="e" cm="1">
        <f t="array" aca="1" ref="F11:F16" ca="1">_xlfn._xlws.FILTER(curve[short rating],curve[RH sector]=A11)</f>
        <v>#NAME?</v>
      </c>
      <c r="G11" s="18" t="str" cm="1">
        <f t="array" aca="1" ref="G11:G16" ca="1">_xlfn._xlws.FILTER(curve[curve change (14d)],curve[RH sector]=A11)</f>
        <v>-</v>
      </c>
      <c r="H11" s="18" t="str" cm="1">
        <f t="array" aca="1" ref="H11:H16" ca="1">_xlfn._xlws.FILTER(curve[curve change (30d)],curve[RH sector]=A11)</f>
        <v>-</v>
      </c>
      <c r="J11" s="5" t="str" cm="1">
        <f t="array" ref="J11:J16">_xlfn._xlws.FILTER(curve[RH sector],curve[RH sector]=A11)</f>
        <v>Low Beta</v>
      </c>
    </row>
    <row r="12" spans="1:10">
      <c r="B12" s="5" t="str">
        <v>DBOERS</v>
      </c>
      <c r="C12" s="18" t="e">
        <f ca="1"/>
        <v>#NAME?</v>
      </c>
      <c r="D12" s="18" t="e">
        <f ca="1"/>
        <v>#NAME?</v>
      </c>
      <c r="E12" s="18" t="e">
        <f ca="1"/>
        <v>#NAME?</v>
      </c>
      <c r="F12" s="5" t="e">
        <f ca="1"/>
        <v>#NAME?</v>
      </c>
      <c r="G12" s="18" t="str">
        <f ca="1"/>
        <v>-</v>
      </c>
      <c r="H12" s="18" t="str">
        <f ca="1"/>
        <v>-</v>
      </c>
      <c r="J12" s="5" t="str">
        <v>Low Beta</v>
      </c>
    </row>
    <row r="13" spans="1:10">
      <c r="B13" s="5" t="str">
        <v>BAYNGR</v>
      </c>
      <c r="C13" s="18" t="e">
        <f ca="1"/>
        <v>#NAME?</v>
      </c>
      <c r="D13" s="18" t="e">
        <f ca="1"/>
        <v>#NAME?</v>
      </c>
      <c r="E13" s="18" t="e">
        <f ca="1"/>
        <v>#NAME?</v>
      </c>
      <c r="F13" s="5" t="e">
        <f ca="1"/>
        <v>#NAME?</v>
      </c>
      <c r="G13" s="18" t="str">
        <f ca="1"/>
        <v>-</v>
      </c>
      <c r="H13" s="18" t="str">
        <f ca="1"/>
        <v>-</v>
      </c>
      <c r="J13" s="5" t="str">
        <v>Low Beta</v>
      </c>
    </row>
    <row r="14" spans="1:10">
      <c r="B14" s="5" t="str">
        <v>MRKGR</v>
      </c>
      <c r="C14" s="18" t="e">
        <f ca="1"/>
        <v>#NAME?</v>
      </c>
      <c r="D14" s="18" t="e">
        <f ca="1"/>
        <v>#NAME?</v>
      </c>
      <c r="E14" s="18" t="e">
        <f ca="1"/>
        <v>#NAME?</v>
      </c>
      <c r="F14" s="5" t="e">
        <f ca="1"/>
        <v>#NAME?</v>
      </c>
      <c r="G14" s="18" t="str">
        <f ca="1"/>
        <v>-</v>
      </c>
      <c r="H14" s="18" t="str">
        <f ca="1"/>
        <v>-</v>
      </c>
      <c r="J14" s="5" t="str">
        <v>Low Beta</v>
      </c>
    </row>
    <row r="15" spans="1:10">
      <c r="B15" s="5" t="str">
        <v>DBHNGR</v>
      </c>
      <c r="C15" s="18" t="e">
        <f ca="1"/>
        <v>#NAME?</v>
      </c>
      <c r="D15" s="18" t="e">
        <f ca="1"/>
        <v>#NAME?</v>
      </c>
      <c r="E15" s="18" t="e">
        <f ca="1"/>
        <v>#NAME?</v>
      </c>
      <c r="F15" s="5" t="e">
        <f ca="1"/>
        <v>#NAME?</v>
      </c>
      <c r="G15" s="18" t="str">
        <f ca="1"/>
        <v>-</v>
      </c>
      <c r="H15" s="18" t="str">
        <f ca="1"/>
        <v>-</v>
      </c>
      <c r="J15" s="5" t="str">
        <v>Low Beta</v>
      </c>
    </row>
    <row r="16" spans="1:10">
      <c r="B16" s="5" t="str">
        <v>AKEFP</v>
      </c>
      <c r="C16" s="18" t="e">
        <f ca="1"/>
        <v>#NAME?</v>
      </c>
      <c r="D16" s="18" t="e">
        <f ca="1"/>
        <v>#NAME?</v>
      </c>
      <c r="E16" s="18" t="e">
        <f ca="1"/>
        <v>#NAME?</v>
      </c>
      <c r="F16" s="5" t="e">
        <f ca="1"/>
        <v>#NAME?</v>
      </c>
      <c r="G16" s="18" t="str">
        <f ca="1"/>
        <v>-</v>
      </c>
      <c r="H16" s="18" t="str">
        <f ca="1"/>
        <v>-</v>
      </c>
      <c r="J16" s="5" t="str">
        <v>Low Beta</v>
      </c>
    </row>
    <row r="18" spans="1:10">
      <c r="B18" s="5" t="s">
        <v>53</v>
      </c>
      <c r="C18" s="18" t="e">
        <f ca="1">AVERAGE(_xlfn.ANCHORARRAY(C11))</f>
        <v>#NAME?</v>
      </c>
      <c r="D18" s="18" t="e">
        <f ca="1">AVERAGE(_xlfn.ANCHORARRAY(D11))</f>
        <v>#NAME?</v>
      </c>
      <c r="E18" s="18" t="e">
        <f t="shared" ref="E18:H18" ca="1" si="0">AVERAGE(_xlfn.ANCHORARRAY(E11))</f>
        <v>#NAME?</v>
      </c>
      <c r="F18" s="18"/>
      <c r="G18" s="18" t="e">
        <f t="shared" ca="1" si="0"/>
        <v>#DIV/0!</v>
      </c>
      <c r="H18" s="18" t="e">
        <f t="shared" ca="1" si="0"/>
        <v>#DIV/0!</v>
      </c>
    </row>
    <row r="19" spans="1:10">
      <c r="B19" s="5" t="s">
        <v>185</v>
      </c>
      <c r="C19" s="18" t="e">
        <f ca="1">_xlfn.STDEV.P(_xlfn.ANCHORARRAY(C11))</f>
        <v>#NAME?</v>
      </c>
      <c r="D19" s="18" t="e">
        <f t="shared" ref="D19:H19" ca="1" si="1">_xlfn.STDEV.P(_xlfn.ANCHORARRAY(D11))</f>
        <v>#NAME?</v>
      </c>
      <c r="E19" s="18" t="e">
        <f t="shared" ca="1" si="1"/>
        <v>#NAME?</v>
      </c>
      <c r="F19" s="18"/>
      <c r="G19" s="18" t="e">
        <f t="shared" ca="1" si="1"/>
        <v>#DIV/0!</v>
      </c>
      <c r="H19" s="18" t="e">
        <f t="shared" ca="1" si="1"/>
        <v>#DIV/0!</v>
      </c>
    </row>
    <row r="22" spans="1:10">
      <c r="A22" s="5" t="s">
        <v>186</v>
      </c>
      <c r="B22" s="5" t="str" cm="1">
        <f t="array" ref="B22:B29">_xlfn._xlws.FILTER(curve[ticker],curve[RH sector]=A22)</f>
        <v>SESGFP</v>
      </c>
      <c r="C22" s="18" t="e" cm="1">
        <f t="array" aca="1" ref="C22:C29" ca="1">_xlfn._xlws.FILTER(curve[short spread],curve[RH sector]=A22)</f>
        <v>#NAME?</v>
      </c>
      <c r="D22" s="18" t="e" cm="1">
        <f t="array" aca="1" ref="D22:D29" ca="1">_xlfn._xlws.FILTER(curve[long spread],curve[RH sector]=A22)</f>
        <v>#NAME?</v>
      </c>
      <c r="E22" s="18" t="e" cm="1">
        <f t="array" aca="1" ref="E22:E29" ca="1">_xlfn._xlws.FILTER(curve[curve per year],curve[RH sector]=A22)</f>
        <v>#NAME?</v>
      </c>
      <c r="F22" s="5" t="e" cm="1">
        <f t="array" aca="1" ref="F22:F29" ca="1">_xlfn._xlws.FILTER(curve[short rating],curve[RH sector]=A22)</f>
        <v>#NAME?</v>
      </c>
      <c r="G22" s="18" t="str" cm="1">
        <f t="array" aca="1" ref="G22:G29" ca="1">_xlfn._xlws.FILTER(curve[curve change (14d)],curve[RH sector]=A22)</f>
        <v>-</v>
      </c>
      <c r="H22" s="18" t="str" cm="1">
        <f t="array" aca="1" ref="H22:H29" ca="1">_xlfn._xlws.FILTER(curve[curve change (30d)],curve[RH sector]=A22)</f>
        <v>-</v>
      </c>
      <c r="J22" s="5" t="str" cm="1">
        <f t="array" ref="J22:J29">_xlfn._xlws.FILTER(curve[RH sector],curve[RH sector]=A22)</f>
        <v>TMT/ AUTO</v>
      </c>
    </row>
    <row r="23" spans="1:10">
      <c r="B23" s="5" t="str">
        <v>ORAFP</v>
      </c>
      <c r="C23" s="18" t="e">
        <f ca="1"/>
        <v>#NAME?</v>
      </c>
      <c r="D23" s="18" t="e">
        <f ca="1"/>
        <v>#NAME?</v>
      </c>
      <c r="E23" s="18" t="e">
        <f ca="1"/>
        <v>#NAME?</v>
      </c>
      <c r="F23" s="5" t="e">
        <f ca="1"/>
        <v>#NAME?</v>
      </c>
      <c r="G23" s="18" t="str">
        <f ca="1"/>
        <v>-</v>
      </c>
      <c r="H23" s="18" t="str">
        <f ca="1"/>
        <v>-</v>
      </c>
      <c r="J23" s="5" t="str">
        <v>TMT/ AUTO</v>
      </c>
    </row>
    <row r="24" spans="1:10">
      <c r="B24" s="5" t="str">
        <v>TELIAS</v>
      </c>
      <c r="C24" s="18" t="e">
        <f ca="1"/>
        <v>#NAME?</v>
      </c>
      <c r="D24" s="18" t="e">
        <f ca="1"/>
        <v>#NAME?</v>
      </c>
      <c r="E24" s="18" t="e">
        <f ca="1"/>
        <v>#NAME?</v>
      </c>
      <c r="F24" s="5" t="e">
        <f ca="1"/>
        <v>#NAME?</v>
      </c>
      <c r="G24" s="18" t="str">
        <f ca="1"/>
        <v>-</v>
      </c>
      <c r="H24" s="18" t="str">
        <f ca="1"/>
        <v>-</v>
      </c>
      <c r="J24" s="5" t="str">
        <v>TMT/ AUTO</v>
      </c>
    </row>
    <row r="25" spans="1:10">
      <c r="B25" s="5" t="str">
        <v>IFXGR</v>
      </c>
      <c r="C25" s="18" t="e">
        <f ca="1"/>
        <v>#NAME?</v>
      </c>
      <c r="D25" s="18" t="e">
        <f ca="1"/>
        <v>#NAME?</v>
      </c>
      <c r="E25" s="18" t="e">
        <f ca="1"/>
        <v>#NAME?</v>
      </c>
      <c r="F25" s="5" t="e">
        <f ca="1"/>
        <v>#NAME?</v>
      </c>
      <c r="G25" s="18" t="str">
        <f ca="1"/>
        <v>-</v>
      </c>
      <c r="H25" s="18" t="str">
        <f ca="1"/>
        <v>-</v>
      </c>
      <c r="J25" s="5" t="str">
        <v>TMT/ AUTO</v>
      </c>
    </row>
    <row r="26" spans="1:10">
      <c r="B26" s="5" t="str">
        <v>VW</v>
      </c>
      <c r="C26" s="18" t="e">
        <f ca="1"/>
        <v>#NAME?</v>
      </c>
      <c r="D26" s="18" t="e">
        <f ca="1"/>
        <v>#NAME?</v>
      </c>
      <c r="E26" s="18" t="e">
        <f ca="1"/>
        <v>#NAME?</v>
      </c>
      <c r="F26" s="5" t="e">
        <f ca="1"/>
        <v>#NAME?</v>
      </c>
      <c r="G26" s="18" t="str">
        <f ca="1"/>
        <v>-</v>
      </c>
      <c r="H26" s="18" t="str">
        <f ca="1"/>
        <v>-</v>
      </c>
      <c r="J26" s="5" t="str">
        <v>TMT/ AUTO</v>
      </c>
    </row>
    <row r="27" spans="1:10">
      <c r="B27" s="5" t="str">
        <v>BERTEL</v>
      </c>
      <c r="C27" s="18" t="e">
        <f ca="1"/>
        <v>#NAME?</v>
      </c>
      <c r="D27" s="18" t="e">
        <f ca="1"/>
        <v>#NAME?</v>
      </c>
      <c r="E27" s="18" t="e">
        <f ca="1"/>
        <v>#NAME?</v>
      </c>
      <c r="F27" s="5" t="e">
        <f ca="1"/>
        <v>#NAME?</v>
      </c>
      <c r="G27" s="18" t="str">
        <f ca="1"/>
        <v>-</v>
      </c>
      <c r="H27" s="18" t="str">
        <f ca="1"/>
        <v>-</v>
      </c>
      <c r="J27" s="5" t="str">
        <v>TMT/ AUTO</v>
      </c>
    </row>
    <row r="28" spans="1:10">
      <c r="B28" s="5" t="str">
        <v>TELEFO</v>
      </c>
      <c r="C28" s="18" t="e">
        <f ca="1"/>
        <v>#NAME?</v>
      </c>
      <c r="D28" s="18" t="e">
        <f ca="1"/>
        <v>#NAME?</v>
      </c>
      <c r="E28" s="18" t="e">
        <f ca="1"/>
        <v>#NAME?</v>
      </c>
      <c r="F28" s="5" t="e">
        <f ca="1"/>
        <v>#NAME?</v>
      </c>
      <c r="G28" s="18" t="str">
        <f ca="1"/>
        <v>-</v>
      </c>
      <c r="H28" s="18" t="str">
        <f ca="1"/>
        <v>-</v>
      </c>
      <c r="J28" s="5" t="str">
        <v>TMT/ AUTO</v>
      </c>
    </row>
    <row r="29" spans="1:10">
      <c r="B29" s="5" t="str">
        <v>VOD</v>
      </c>
      <c r="C29" s="18" t="e">
        <f ca="1"/>
        <v>#NAME?</v>
      </c>
      <c r="D29" s="18" t="e">
        <f ca="1"/>
        <v>#NAME?</v>
      </c>
      <c r="E29" s="18" t="e">
        <f ca="1"/>
        <v>#NAME?</v>
      </c>
      <c r="F29" s="5" t="e">
        <f ca="1"/>
        <v>#NAME?</v>
      </c>
      <c r="G29" s="18" t="str">
        <f ca="1"/>
        <v>-</v>
      </c>
      <c r="H29" s="18" t="str">
        <f ca="1"/>
        <v>-</v>
      </c>
      <c r="J29" s="5" t="str">
        <v>TMT/ AUTO</v>
      </c>
    </row>
    <row r="31" spans="1:10">
      <c r="B31" s="5" t="s">
        <v>53</v>
      </c>
      <c r="C31" s="18" t="e">
        <f ca="1">AVERAGE(_xlfn.ANCHORARRAY(C22))</f>
        <v>#NAME?</v>
      </c>
      <c r="D31" s="18" t="e">
        <f t="shared" ref="D31:H31" ca="1" si="2">AVERAGE(_xlfn.ANCHORARRAY(D22))</f>
        <v>#NAME?</v>
      </c>
      <c r="E31" s="18" t="e">
        <f t="shared" ca="1" si="2"/>
        <v>#NAME?</v>
      </c>
      <c r="F31" s="18"/>
      <c r="G31" s="18" t="e">
        <f t="shared" ca="1" si="2"/>
        <v>#DIV/0!</v>
      </c>
      <c r="H31" s="18" t="e">
        <f t="shared" ca="1" si="2"/>
        <v>#DIV/0!</v>
      </c>
    </row>
    <row r="32" spans="1:10">
      <c r="B32" s="5" t="s">
        <v>56</v>
      </c>
      <c r="C32" s="18" t="e">
        <f ca="1">_xlfn.STDEV.P(_xlfn.ANCHORARRAY(C22))</f>
        <v>#NAME?</v>
      </c>
      <c r="D32" s="18" t="e">
        <f t="shared" ref="D32:H32" ca="1" si="3">_xlfn.STDEV.P(_xlfn.ANCHORARRAY(D22))</f>
        <v>#NAME?</v>
      </c>
      <c r="E32" s="18" t="e">
        <f t="shared" ca="1" si="3"/>
        <v>#NAME?</v>
      </c>
      <c r="F32" s="18"/>
      <c r="G32" s="18" t="e">
        <f t="shared" ca="1" si="3"/>
        <v>#DIV/0!</v>
      </c>
      <c r="H32" s="18" t="e">
        <f t="shared" ca="1" si="3"/>
        <v>#DIV/0!</v>
      </c>
    </row>
    <row r="35" spans="1:10">
      <c r="A35" s="5" t="s">
        <v>187</v>
      </c>
      <c r="B35" s="5" t="str" cm="1">
        <f t="array" ref="B35:B40">_xlfn._xlws.FILTER(curve[ticker],curve[RH sector]=A35)</f>
        <v>GYCGR</v>
      </c>
      <c r="C35" s="18" t="e" cm="1">
        <f t="array" aca="1" ref="C35:C40" ca="1">_xlfn._xlws.FILTER(curve[short spread],curve[RH sector]=A35)</f>
        <v>#NAME?</v>
      </c>
      <c r="D35" s="18" t="e" cm="1">
        <f t="array" aca="1" ref="D35:D40" ca="1">_xlfn._xlws.FILTER(curve[long spread],curve[RH sector]=A35)</f>
        <v>#NAME?</v>
      </c>
      <c r="E35" s="18" t="e" cm="1">
        <f t="array" aca="1" ref="E35:E40" ca="1">_xlfn._xlws.FILTER(curve[curve per year],curve[RH sector]=A35)</f>
        <v>#NAME?</v>
      </c>
      <c r="F35" s="5" t="e" cm="1">
        <f t="array" aca="1" ref="F35:F40" ca="1">_xlfn._xlws.FILTER(curve[short rating],curve[RH sector]=A35)</f>
        <v>#NAME?</v>
      </c>
      <c r="G35" s="18" t="str" cm="1">
        <f t="array" aca="1" ref="G35:G40" ca="1">_xlfn._xlws.FILTER(curve[curve change (14d)],curve[RH sector]=A35)</f>
        <v>-</v>
      </c>
      <c r="H35" s="18" t="str" cm="1">
        <f t="array" aca="1" ref="H35:H40" ca="1">_xlfn._xlws.FILTER(curve[curve change (30d)],curve[RH sector]=A35)</f>
        <v>-</v>
      </c>
      <c r="J35" s="5" t="str" cm="1">
        <f t="array" ref="J35:J40">_xlfn._xlws.FILTER(curve[RH sector],curve[RH sector]=A35)</f>
        <v>REIT</v>
      </c>
    </row>
    <row r="36" spans="1:10">
      <c r="B36" s="5" t="str">
        <v>ACFP</v>
      </c>
      <c r="C36" s="18" t="e">
        <f ca="1"/>
        <v>#NAME?</v>
      </c>
      <c r="D36" s="18" t="e">
        <f ca="1"/>
        <v>#NAME?</v>
      </c>
      <c r="E36" s="18" t="e">
        <f ca="1"/>
        <v>#NAME?</v>
      </c>
      <c r="F36" s="5" t="e">
        <f ca="1"/>
        <v>#NAME?</v>
      </c>
      <c r="G36" s="18" t="str">
        <f ca="1"/>
        <v>-</v>
      </c>
      <c r="H36" s="18" t="str">
        <f ca="1"/>
        <v>-</v>
      </c>
      <c r="J36" s="5" t="str">
        <v>REIT</v>
      </c>
    </row>
    <row r="37" spans="1:10">
      <c r="B37" s="5" t="str">
        <v>AKFAST</v>
      </c>
      <c r="C37" s="18" t="e">
        <f ca="1"/>
        <v>#NAME?</v>
      </c>
      <c r="D37" s="18" t="e">
        <f ca="1"/>
        <v>#NAME?</v>
      </c>
      <c r="E37" s="18" t="e">
        <f ca="1"/>
        <v>#NAME?</v>
      </c>
      <c r="F37" s="5" t="e">
        <f ca="1"/>
        <v>#NAME?</v>
      </c>
      <c r="G37" s="18" t="str">
        <f ca="1"/>
        <v>-</v>
      </c>
      <c r="H37" s="18" t="str">
        <f ca="1"/>
        <v>-</v>
      </c>
      <c r="J37" s="5" t="str">
        <v>REIT</v>
      </c>
    </row>
    <row r="38" spans="1:10">
      <c r="B38" s="5" t="str">
        <v>SBBBSS</v>
      </c>
      <c r="C38" s="18" t="e">
        <f ca="1"/>
        <v>#NAME?</v>
      </c>
      <c r="D38" s="18" t="e">
        <f ca="1"/>
        <v>#NAME?</v>
      </c>
      <c r="E38" s="18" t="e">
        <f ca="1"/>
        <v>#NAME?</v>
      </c>
      <c r="F38" s="5" t="e">
        <f ca="1"/>
        <v>#NAME?</v>
      </c>
      <c r="G38" s="18" t="str">
        <f ca="1"/>
        <v>-</v>
      </c>
      <c r="H38" s="18" t="str">
        <f ca="1"/>
        <v>-</v>
      </c>
      <c r="J38" s="5" t="str">
        <v>REIT</v>
      </c>
    </row>
    <row r="39" spans="1:10">
      <c r="B39" s="5" t="str">
        <v>CPIPGR</v>
      </c>
      <c r="C39" s="18" t="e">
        <f ca="1"/>
        <v>#NAME?</v>
      </c>
      <c r="D39" s="18" t="e">
        <f ca="1"/>
        <v>#NAME?</v>
      </c>
      <c r="E39" s="18" t="e">
        <f ca="1"/>
        <v>#NAME?</v>
      </c>
      <c r="F39" s="5" t="e">
        <f ca="1"/>
        <v>#NAME?</v>
      </c>
      <c r="G39" s="18" t="str">
        <f ca="1"/>
        <v>-</v>
      </c>
      <c r="H39" s="18" t="str">
        <f ca="1"/>
        <v>-</v>
      </c>
      <c r="J39" s="5" t="str">
        <v>REIT</v>
      </c>
    </row>
    <row r="40" spans="1:10">
      <c r="B40" s="5" t="str">
        <v>ULFP</v>
      </c>
      <c r="C40" s="18" t="e">
        <f ca="1"/>
        <v>#NAME?</v>
      </c>
      <c r="D40" s="18" t="e">
        <f ca="1"/>
        <v>#NAME?</v>
      </c>
      <c r="E40" s="18" t="e">
        <f ca="1"/>
        <v>#NAME?</v>
      </c>
      <c r="F40" s="5" t="e">
        <f ca="1"/>
        <v>#NAME?</v>
      </c>
      <c r="G40" s="18" t="str">
        <f ca="1"/>
        <v>-</v>
      </c>
      <c r="H40" s="18" t="str">
        <f ca="1"/>
        <v>-</v>
      </c>
      <c r="J40" s="5" t="str">
        <v>REIT</v>
      </c>
    </row>
    <row r="42" spans="1:10">
      <c r="B42" s="5" t="s">
        <v>53</v>
      </c>
      <c r="C42" s="18" t="e">
        <f ca="1">AVERAGE(_xlfn.ANCHORARRAY(C35))</f>
        <v>#NAME?</v>
      </c>
      <c r="D42" s="18" t="e">
        <f t="shared" ref="D42:E42" ca="1" si="4">AVERAGE(_xlfn.ANCHORARRAY(D35))</f>
        <v>#NAME?</v>
      </c>
      <c r="E42" s="18" t="e">
        <f t="shared" ca="1" si="4"/>
        <v>#NAME?</v>
      </c>
      <c r="G42" s="18" t="e">
        <f t="shared" ref="G42:H42" ca="1" si="5">AVERAGE(_xlfn.ANCHORARRAY(G35))</f>
        <v>#DIV/0!</v>
      </c>
      <c r="H42" s="18" t="e">
        <f t="shared" ca="1" si="5"/>
        <v>#DIV/0!</v>
      </c>
    </row>
    <row r="43" spans="1:10">
      <c r="B43" s="5" t="s">
        <v>56</v>
      </c>
      <c r="C43" s="18" t="e">
        <f ca="1">_xlfn.STDEV.P(_xlfn.ANCHORARRAY(C35))</f>
        <v>#NAME?</v>
      </c>
      <c r="D43" s="18" t="e">
        <f t="shared" ref="D43:E43" ca="1" si="6">_xlfn.STDEV.P(_xlfn.ANCHORARRAY(D35))</f>
        <v>#NAME?</v>
      </c>
      <c r="E43" s="18" t="e">
        <f t="shared" ca="1" si="6"/>
        <v>#NAME?</v>
      </c>
      <c r="G43" s="18" t="e">
        <f t="shared" ref="G43:H43" ca="1" si="7">_xlfn.STDEV.P(_xlfn.ANCHORARRAY(G35))</f>
        <v>#DIV/0!</v>
      </c>
      <c r="H43" s="18" t="e">
        <f t="shared" ca="1" si="7"/>
        <v>#DIV/0!</v>
      </c>
    </row>
    <row r="46" spans="1:10">
      <c r="A46" s="5" t="s">
        <v>188</v>
      </c>
      <c r="B46" s="5" t="str" cm="1">
        <f t="array" ref="B46:B49">_xlfn._xlws.FILTER(curve[ticker],curve[RH sector]=A46)</f>
        <v>REPSM</v>
      </c>
      <c r="C46" s="18" t="e" cm="1">
        <f t="array" aca="1" ref="C46:C49" ca="1">_xlfn._xlws.FILTER(curve[short spread],curve[RH sector]=A46)</f>
        <v>#NAME?</v>
      </c>
      <c r="D46" s="18" t="e" cm="1">
        <f t="array" aca="1" ref="D46:D49" ca="1">_xlfn._xlws.FILTER(curve[long spread],curve[RH sector]=A46)</f>
        <v>#NAME?</v>
      </c>
      <c r="E46" s="18" t="e" cm="1">
        <f t="array" aca="1" ref="E46:E49" ca="1">_xlfn._xlws.FILTER(curve[curve per year],curve[RH sector]=A46)</f>
        <v>#NAME?</v>
      </c>
      <c r="F46" s="5" t="e" cm="1">
        <f t="array" aca="1" ref="F46:F49" ca="1">_xlfn._xlws.FILTER(curve[short rating],curve[RH sector]=A46)</f>
        <v>#NAME?</v>
      </c>
      <c r="G46" s="18" t="str" cm="1">
        <f t="array" aca="1" ref="G46:G49" ca="1">_xlfn._xlws.FILTER(curve[curve change (14d)],curve[RH sector]=A46)</f>
        <v>-</v>
      </c>
      <c r="H46" s="18" t="str" cm="1">
        <f t="array" aca="1" ref="H46:H49" ca="1">_xlfn._xlws.FILTER(curve[curve change (30d)],curve[RH sector]=A46)</f>
        <v>-</v>
      </c>
      <c r="J46" s="5" t="str" cm="1">
        <f t="array" ref="J46:J49">_xlfn._xlws.FILTER(curve[RH sector],curve[RH sector]=A46)</f>
        <v>Energy</v>
      </c>
    </row>
    <row r="47" spans="1:10">
      <c r="B47" s="5" t="str">
        <v>BPLN</v>
      </c>
      <c r="C47" s="18" t="e">
        <f ca="1"/>
        <v>#NAME?</v>
      </c>
      <c r="D47" s="18" t="e">
        <f ca="1"/>
        <v>#NAME?</v>
      </c>
      <c r="E47" s="18" t="e">
        <f ca="1"/>
        <v>#NAME?</v>
      </c>
      <c r="F47" s="5" t="e">
        <f ca="1"/>
        <v>#NAME?</v>
      </c>
      <c r="G47" s="18" t="str">
        <f ca="1"/>
        <v>-</v>
      </c>
      <c r="H47" s="18" t="str">
        <f ca="1"/>
        <v>-</v>
      </c>
      <c r="J47" s="5" t="str">
        <v>Energy</v>
      </c>
    </row>
    <row r="48" spans="1:10">
      <c r="B48" s="5" t="str">
        <v>TOTAL</v>
      </c>
      <c r="C48" s="18" t="e">
        <f ca="1"/>
        <v>#NAME?</v>
      </c>
      <c r="D48" s="18" t="e">
        <f ca="1"/>
        <v>#NAME?</v>
      </c>
      <c r="E48" s="18" t="e">
        <f ca="1"/>
        <v>#NAME?</v>
      </c>
      <c r="F48" s="5" t="e">
        <f ca="1"/>
        <v>#NAME?</v>
      </c>
      <c r="G48" s="18" t="str">
        <f ca="1"/>
        <v>-</v>
      </c>
      <c r="H48" s="18" t="str">
        <f ca="1"/>
        <v>-</v>
      </c>
      <c r="J48" s="5" t="str">
        <v>Energy</v>
      </c>
    </row>
    <row r="49" spans="1:10">
      <c r="B49" s="5" t="str">
        <v>OMVAV</v>
      </c>
      <c r="C49" s="18" t="e">
        <f ca="1"/>
        <v>#NAME?</v>
      </c>
      <c r="D49" s="18" t="e">
        <f ca="1"/>
        <v>#NAME?</v>
      </c>
      <c r="E49" s="18" t="e">
        <f ca="1"/>
        <v>#NAME?</v>
      </c>
      <c r="F49" s="5" t="e">
        <f ca="1"/>
        <v>#NAME?</v>
      </c>
      <c r="G49" s="18" t="str">
        <f ca="1"/>
        <v>-</v>
      </c>
      <c r="H49" s="18" t="str">
        <f ca="1"/>
        <v>-</v>
      </c>
      <c r="J49" s="5" t="str">
        <v>Energy</v>
      </c>
    </row>
    <row r="53" spans="1:10">
      <c r="A53" s="5" t="s">
        <v>189</v>
      </c>
      <c r="B53" s="5" t="str" cm="1">
        <f t="array" ref="B53:B63">_xlfn._xlws.FILTER(curve[ticker],curve[RH sector]=A53)</f>
        <v>EDPPL</v>
      </c>
      <c r="C53" s="18" t="e" cm="1">
        <f t="array" aca="1" ref="C53:C63" ca="1">_xlfn._xlws.FILTER(curve[short spread],curve[RH sector]=A53)</f>
        <v>#NAME?</v>
      </c>
      <c r="D53" s="18" t="e" cm="1">
        <f t="array" aca="1" ref="D53:D63" ca="1">_xlfn._xlws.FILTER(curve[long spread],curve[RH sector]=A53)</f>
        <v>#NAME?</v>
      </c>
      <c r="E53" s="18" t="e" cm="1">
        <f t="array" aca="1" ref="E53:E63" ca="1">_xlfn._xlws.FILTER(curve[curve per year],curve[RH sector]=A53)</f>
        <v>#NAME?</v>
      </c>
      <c r="F53" s="5" t="e" cm="1">
        <f t="array" aca="1" ref="F53:F63" ca="1">_xlfn._xlws.FILTER(curve[short rating],curve[RH sector]=A53)</f>
        <v>#NAME?</v>
      </c>
      <c r="G53" s="18" t="str" cm="1">
        <f t="array" aca="1" ref="G53:G63" ca="1">_xlfn._xlws.FILTER(curve[curve change (14d)],curve[RH sector]=A53)</f>
        <v>-</v>
      </c>
      <c r="H53" s="18" t="str" cm="1">
        <f t="array" aca="1" ref="H53:H63" ca="1">_xlfn._xlws.FILTER(curve[curve change (30d)],curve[RH sector]=A53)</f>
        <v>-</v>
      </c>
      <c r="J53" s="5" t="str" cm="1">
        <f t="array" ref="J53:J63">_xlfn._xlws.FILTER(curve[RH sector],curve[RH sector]=A53)</f>
        <v>UTILS</v>
      </c>
    </row>
    <row r="54" spans="1:10">
      <c r="B54" s="5" t="str">
        <v>NTGYSM</v>
      </c>
      <c r="C54" s="18" t="e">
        <f ca="1"/>
        <v>#NAME?</v>
      </c>
      <c r="D54" s="18" t="e">
        <f ca="1"/>
        <v>#NAME?</v>
      </c>
      <c r="E54" s="18" t="e">
        <f ca="1"/>
        <v>#NAME?</v>
      </c>
      <c r="F54" s="5" t="e">
        <f ca="1"/>
        <v>#NAME?</v>
      </c>
      <c r="G54" s="18" t="str">
        <f ca="1"/>
        <v>-</v>
      </c>
      <c r="H54" s="18" t="str">
        <f ca="1"/>
        <v>-</v>
      </c>
      <c r="J54" s="5" t="str">
        <v>UTILS</v>
      </c>
    </row>
    <row r="55" spans="1:10">
      <c r="B55" s="5" t="str">
        <v>EDF</v>
      </c>
      <c r="C55" s="18" t="e">
        <f ca="1"/>
        <v>#NAME?</v>
      </c>
      <c r="D55" s="18" t="e">
        <f ca="1"/>
        <v>#NAME?</v>
      </c>
      <c r="E55" s="18" t="e">
        <f ca="1"/>
        <v>#NAME?</v>
      </c>
      <c r="F55" s="5" t="e">
        <f ca="1"/>
        <v>#NAME?</v>
      </c>
      <c r="G55" s="18" t="str">
        <f ca="1"/>
        <v>-</v>
      </c>
      <c r="H55" s="18" t="str">
        <f ca="1"/>
        <v>-</v>
      </c>
      <c r="J55" s="5" t="str">
        <v>UTILS</v>
      </c>
    </row>
    <row r="56" spans="1:10">
      <c r="B56" s="5" t="str">
        <v>ENELIM</v>
      </c>
      <c r="C56" s="18" t="e">
        <f ca="1"/>
        <v>#NAME?</v>
      </c>
      <c r="D56" s="18" t="e">
        <f ca="1"/>
        <v>#NAME?</v>
      </c>
      <c r="E56" s="18" t="e">
        <f ca="1"/>
        <v>#NAME?</v>
      </c>
      <c r="F56" s="5" t="e">
        <f ca="1"/>
        <v>#NAME?</v>
      </c>
      <c r="G56" s="18" t="str">
        <f ca="1"/>
        <v>-</v>
      </c>
      <c r="H56" s="18" t="str">
        <f ca="1"/>
        <v>-</v>
      </c>
      <c r="J56" s="5" t="str">
        <v>UTILS</v>
      </c>
    </row>
    <row r="57" spans="1:10">
      <c r="B57" s="5" t="str">
        <v>SEVFP</v>
      </c>
      <c r="C57" s="18" t="e">
        <f ca="1"/>
        <v>#NAME?</v>
      </c>
      <c r="D57" s="18" t="e">
        <f ca="1"/>
        <v>#NAME?</v>
      </c>
      <c r="E57" s="18" t="e">
        <f ca="1"/>
        <v>#NAME?</v>
      </c>
      <c r="F57" s="5" t="e">
        <f ca="1"/>
        <v>#NAME?</v>
      </c>
      <c r="G57" s="18" t="str">
        <f ca="1"/>
        <v>-</v>
      </c>
      <c r="H57" s="18" t="str">
        <f ca="1"/>
        <v>-</v>
      </c>
      <c r="J57" s="5" t="str">
        <v>UTILS</v>
      </c>
    </row>
    <row r="58" spans="1:10">
      <c r="B58" s="5" t="str">
        <v>NGGLN</v>
      </c>
      <c r="C58" s="18" t="e">
        <f ca="1"/>
        <v>#NAME?</v>
      </c>
      <c r="D58" s="18" t="e">
        <f ca="1"/>
        <v>#NAME?</v>
      </c>
      <c r="E58" s="18" t="e">
        <f ca="1"/>
        <v>#NAME?</v>
      </c>
      <c r="F58" s="5" t="e">
        <f ca="1"/>
        <v>#NAME?</v>
      </c>
      <c r="G58" s="18" t="str">
        <f ca="1"/>
        <v>-</v>
      </c>
      <c r="H58" s="18" t="str">
        <f ca="1"/>
        <v>-</v>
      </c>
      <c r="J58" s="5" t="str">
        <v>UTILS</v>
      </c>
    </row>
    <row r="59" spans="1:10">
      <c r="B59" s="5" t="str">
        <v>ORSTED</v>
      </c>
      <c r="C59" s="18" t="e">
        <f ca="1"/>
        <v>#NAME?</v>
      </c>
      <c r="D59" s="18" t="e">
        <f ca="1"/>
        <v>#NAME?</v>
      </c>
      <c r="E59" s="18" t="e">
        <f ca="1"/>
        <v>#NAME?</v>
      </c>
      <c r="F59" s="5" t="e">
        <f ca="1"/>
        <v>#NAME?</v>
      </c>
      <c r="G59" s="18" t="str">
        <f ca="1"/>
        <v>-</v>
      </c>
      <c r="H59" s="18" t="str">
        <f ca="1"/>
        <v>-</v>
      </c>
      <c r="J59" s="5" t="str">
        <v>UTILS</v>
      </c>
    </row>
    <row r="60" spans="1:10">
      <c r="B60" s="5" t="str">
        <v>ENBW</v>
      </c>
      <c r="C60" s="18" t="e">
        <f ca="1"/>
        <v>#NAME?</v>
      </c>
      <c r="D60" s="18" t="e">
        <f ca="1"/>
        <v>#NAME?</v>
      </c>
      <c r="E60" s="18" t="e">
        <f ca="1"/>
        <v>#NAME?</v>
      </c>
      <c r="F60" s="5" t="e">
        <f ca="1"/>
        <v>#NAME?</v>
      </c>
      <c r="G60" s="18" t="str">
        <f ca="1"/>
        <v>-</v>
      </c>
      <c r="H60" s="18" t="str">
        <f ca="1"/>
        <v>-</v>
      </c>
      <c r="J60" s="5" t="str">
        <v>UTILS</v>
      </c>
    </row>
    <row r="61" spans="1:10">
      <c r="B61" s="5" t="str">
        <v>IBESM</v>
      </c>
      <c r="C61" s="18" t="e">
        <f ca="1"/>
        <v>#NAME?</v>
      </c>
      <c r="D61" s="18" t="e">
        <f ca="1"/>
        <v>#NAME?</v>
      </c>
      <c r="E61" s="18" t="e">
        <f ca="1"/>
        <v>#NAME?</v>
      </c>
      <c r="F61" s="5" t="e">
        <f ca="1"/>
        <v>#NAME?</v>
      </c>
      <c r="G61" s="18" t="str">
        <f ca="1"/>
        <v>-</v>
      </c>
      <c r="H61" s="18" t="str">
        <f ca="1"/>
        <v>-</v>
      </c>
      <c r="J61" s="5" t="str">
        <v>UTILS</v>
      </c>
    </row>
    <row r="62" spans="1:10">
      <c r="B62" s="5" t="str">
        <v>ENGIFP</v>
      </c>
      <c r="C62" s="18" t="e">
        <f ca="1"/>
        <v>#NAME?</v>
      </c>
      <c r="D62" s="18" t="e">
        <f ca="1"/>
        <v>#NAME?</v>
      </c>
      <c r="E62" s="18" t="e">
        <f ca="1"/>
        <v>#NAME?</v>
      </c>
      <c r="F62" s="5" t="e">
        <f ca="1"/>
        <v>#NAME?</v>
      </c>
      <c r="G62" s="18" t="str">
        <f ca="1"/>
        <v>-</v>
      </c>
      <c r="H62" s="18" t="str">
        <f ca="1"/>
        <v>-</v>
      </c>
      <c r="J62" s="5" t="str">
        <v>UTILS</v>
      </c>
    </row>
    <row r="63" spans="1:10">
      <c r="B63" s="5" t="str">
        <v>RWE</v>
      </c>
      <c r="C63" s="18" t="e">
        <f ca="1"/>
        <v>#NAME?</v>
      </c>
      <c r="D63" s="18" t="e">
        <f ca="1"/>
        <v>#NAME?</v>
      </c>
      <c r="E63" s="18" t="e">
        <f ca="1"/>
        <v>#NAME?</v>
      </c>
      <c r="F63" s="5" t="e">
        <f ca="1"/>
        <v>#NAME?</v>
      </c>
      <c r="G63" s="18" t="str">
        <f ca="1"/>
        <v>-</v>
      </c>
      <c r="H63" s="18" t="str">
        <f ca="1"/>
        <v>-</v>
      </c>
      <c r="J63" s="5" t="str">
        <v>UTILS</v>
      </c>
    </row>
  </sheetData>
  <conditionalFormatting sqref="E11:E1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{4DFA15B0-F762-43C1-ABA5-6AFA7B2C3DC7}</x14:id>
        </ext>
      </extLst>
    </cfRule>
  </conditionalFormatting>
  <conditionalFormatting sqref="E22:E2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{AE91AAA4-073D-462D-8C22-0D16FA753E30}</x14:id>
        </ext>
      </extLst>
    </cfRule>
  </conditionalFormatting>
  <conditionalFormatting sqref="E35:E4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{31F2C5F2-85A0-45B6-B9B8-437E9EE29260}</x14:id>
        </ext>
      </extLst>
    </cfRule>
  </conditionalFormatting>
  <conditionalFormatting sqref="E46:E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{DF39ED6A-2787-498E-848D-8D92E8BAD827}</x14:id>
        </ext>
      </extLst>
    </cfRule>
  </conditionalFormatting>
  <conditionalFormatting sqref="E53:E6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{3F0BF3A0-F004-428A-86FB-24D9B3AF8310}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FA15B0-F762-43C1-ABA5-6AFA7B2C3D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E11:E16</xm:sqref>
        </x14:conditionalFormatting>
        <x14:conditionalFormatting xmlns:xm="http://schemas.microsoft.com/office/excel/2006/main">
          <x14:cfRule type="dataBar" id="{AE91AAA4-073D-462D-8C22-0D16FA753E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E22:E29</xm:sqref>
        </x14:conditionalFormatting>
        <x14:conditionalFormatting xmlns:xm="http://schemas.microsoft.com/office/excel/2006/main">
          <x14:cfRule type="dataBar" id="{31F2C5F2-85A0-45B6-B9B8-437E9EE292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E35:E40</xm:sqref>
        </x14:conditionalFormatting>
        <x14:conditionalFormatting xmlns:xm="http://schemas.microsoft.com/office/excel/2006/main">
          <x14:cfRule type="dataBar" id="{DF39ED6A-2787-498E-848D-8D92E8BAD8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E46:E49</xm:sqref>
        </x14:conditionalFormatting>
        <x14:conditionalFormatting xmlns:xm="http://schemas.microsoft.com/office/excel/2006/main">
          <x14:cfRule type="dataBar" id="{3F0BF3A0-F004-428A-86FB-24D9B3AF83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E53:E63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B1:AA196"/>
  <sheetViews>
    <sheetView workbookViewId="0">
      <selection activeCell="B65" sqref="B65"/>
    </sheetView>
  </sheetViews>
  <sheetFormatPr defaultColWidth="8.7109375" defaultRowHeight="10.5"/>
  <cols>
    <col min="1" max="1" width="8.7109375" style="5"/>
    <col min="2" max="2" width="32.140625" style="5" bestFit="1" customWidth="1"/>
    <col min="3" max="3" width="16.42578125" style="5" bestFit="1" customWidth="1"/>
    <col min="4" max="4" width="8.7109375" style="5"/>
    <col min="5" max="5" width="14.85546875" style="5" bestFit="1" customWidth="1"/>
    <col min="6" max="6" width="9.140625" style="5" customWidth="1"/>
    <col min="7" max="7" width="20.140625" style="5" bestFit="1" customWidth="1"/>
    <col min="8" max="9" width="8.7109375" style="5"/>
    <col min="10" max="10" width="12.85546875" style="8" customWidth="1"/>
    <col min="11" max="11" width="9.42578125" style="5" bestFit="1" customWidth="1"/>
    <col min="12" max="12" width="8.7109375" style="5"/>
    <col min="13" max="13" width="12.5703125" style="10" bestFit="1" customWidth="1"/>
    <col min="14" max="14" width="21.140625" style="5" bestFit="1" customWidth="1"/>
    <col min="15" max="15" width="25.7109375" style="5" bestFit="1" customWidth="1"/>
    <col min="16" max="16" width="8.7109375" style="5"/>
    <col min="17" max="17" width="12.5703125" style="5" bestFit="1" customWidth="1"/>
    <col min="18" max="20" width="8.7109375" style="5"/>
    <col min="21" max="21" width="21.140625" style="5" bestFit="1" customWidth="1"/>
    <col min="22" max="16384" width="8.7109375" style="5"/>
  </cols>
  <sheetData>
    <row r="1" spans="2:27" ht="11.1">
      <c r="B1" s="4" t="s">
        <v>190</v>
      </c>
      <c r="C1" s="4" t="s">
        <v>191</v>
      </c>
      <c r="E1" s="6" t="s">
        <v>192</v>
      </c>
      <c r="F1" s="6" t="s">
        <v>193</v>
      </c>
      <c r="G1" s="6" t="s">
        <v>194</v>
      </c>
      <c r="H1" s="6" t="s">
        <v>12</v>
      </c>
      <c r="I1" s="6" t="s">
        <v>195</v>
      </c>
      <c r="J1" s="7" t="s">
        <v>196</v>
      </c>
      <c r="K1" s="7" t="s">
        <v>197</v>
      </c>
      <c r="L1" s="7" t="s">
        <v>198</v>
      </c>
      <c r="M1" s="3" t="s">
        <v>199</v>
      </c>
      <c r="N1" s="4" t="s">
        <v>200</v>
      </c>
      <c r="O1" s="4" t="s">
        <v>201</v>
      </c>
      <c r="Q1" s="4" t="s">
        <v>202</v>
      </c>
      <c r="R1" s="4" t="s">
        <v>203</v>
      </c>
      <c r="S1" s="4" t="s">
        <v>204</v>
      </c>
      <c r="T1" s="4" t="s">
        <v>205</v>
      </c>
      <c r="U1" s="2" t="s">
        <v>206</v>
      </c>
      <c r="V1" s="4" t="s">
        <v>207</v>
      </c>
      <c r="X1" s="2" t="s">
        <v>208</v>
      </c>
      <c r="Z1" s="4" t="s">
        <v>209</v>
      </c>
      <c r="AA1" s="4" t="s">
        <v>210</v>
      </c>
    </row>
    <row r="2" spans="2:27">
      <c r="B2" s="5" t="str">
        <f>_xll.BTCWGETALL("cols=2;rows=9")</f>
        <v>w-4A117247396F4841B545D5F8AB67C413</v>
      </c>
      <c r="C2" s="5" t="s">
        <v>211</v>
      </c>
      <c r="E2" s="5" t="str">
        <f>_xll.BTCWGET(_xlfn.XLOOKUP(B19,C:C,B:B),"cols=1;rows=195")</f>
        <v>QJ937853 Corp</v>
      </c>
      <c r="F2" s="5" t="str" cm="1">
        <f t="array" ref="F2">_xll.BDP(bonds[[#This Row],[worksheet get]],bonds[[#Headers],[ID_ISIN]])</f>
        <v>XS1323897485</v>
      </c>
      <c r="G2" s="5" t="str" cm="1">
        <f t="array" ref="G2">_xll.BDP(bonds[[#This Row],[worksheet get]],bonds[[#Headers],[security name]])</f>
        <v>SOLBBB 5.118 PERP</v>
      </c>
      <c r="H2" s="5" t="str" cm="1">
        <f t="array" ref="H2">_xll.BDP(bonds[[#This Row],[worksheet get]],bonds[[#Headers],[ticker]])</f>
        <v>SOLBBB</v>
      </c>
      <c r="I2" s="5" cm="1">
        <f t="array" ref="I2">_xll.BDP(bonds[[#This Row],[worksheet get]],bonds[[#Headers],[coupon]])</f>
        <v>5.1180000000000003</v>
      </c>
      <c r="J2" s="25" cm="1">
        <f t="array" ref="J2">_xll.BDP(bonds[[#This Row],[worksheet get]],bonds[[#Headers],[nxt_call_dt]])*1</f>
        <v>44349</v>
      </c>
      <c r="K2" s="9" t="str" cm="1">
        <f t="array" ref="K2">_xll.BDP(bonds[[#This Row],[worksheet get]],bonds[[#Headers],[mty_typ]])</f>
        <v>PERP/CALL</v>
      </c>
      <c r="L2" s="9" t="str" cm="1">
        <f t="array" ref="L2">_xll.BDP(bonds[[#This Row],[worksheet get]],bonds[[#Headers],[crncy]])</f>
        <v>EUR</v>
      </c>
      <c r="M2" s="10" cm="1">
        <f t="array" ref="M2">_xll.BDP(bonds[[#This Row],[worksheet get]],bonds[[#Headers],[amt_outstanding]])</f>
        <v>500000000</v>
      </c>
      <c r="N2" s="9" t="str" cm="1">
        <f t="array" ref="N2">_xll.BDP(bonds[[#This Row],[worksheet get]],bonds[[#Headers],[industry_sector]])</f>
        <v>Basic Materials</v>
      </c>
      <c r="O2" s="9" t="str">
        <f>bonds[[#This Row],[security name]]&amp;" nc-"&amp;RIGHT(YEAR(bonds[[#This Row],[nxt_call_dt]]),2)</f>
        <v>SOLBBB 5.118 PERP nc-21</v>
      </c>
      <c r="Q2" s="5" t="str" cm="1">
        <f t="array" ref="Q2:Q71">_xlfn.UNIQUE(bonds[ticker])</f>
        <v>SOLBBB</v>
      </c>
      <c r="R2" s="5" t="str" cm="1">
        <f t="array" ref="R2:R26">_xlfn.UNIQUE(bonds[ticker],FALSE,TRUE)</f>
        <v>FIRMEN</v>
      </c>
      <c r="S2" s="5" t="str" cm="1">
        <f t="array" ref="S2:S46">_xlfn._xlws.SORT(_xlfn._xlws.FILTER(_xlfn.ANCHORARRAY(Q2),NOT(ISNUMBER(_xlfn.XMATCH(_xlfn.ANCHORARRAY(Q2),_xlfn.ANCHORARRAY(R2))))*(_xlfn.ANCHORARRAY(Q2)&lt;&gt;0)*(LEFT(_xlfn.ANCHORARRAY(Q2),4)&lt;&gt;"#N/A")*(Q2&lt;&gt;"NA error")))</f>
        <v>ACFP</v>
      </c>
      <c r="T2" s="5" cm="1">
        <f t="array" ref="T2:T46">COUNTIF(bonds[ticker],_xlfn.ANCHORARRAY(S2))</f>
        <v>3</v>
      </c>
      <c r="U2" s="5" t="str" cm="1">
        <f t="array" ref="U2:U10">_xlfn.UNIQUE(bonds[industry_sector])</f>
        <v>Basic Materials</v>
      </c>
      <c r="V2" s="5" cm="1">
        <f t="array" ref="V2:V10">COUNTIF(bonds[industry_sector],_xlfn.ANCHORARRAY(U2))</f>
        <v>15</v>
      </c>
      <c r="X2" s="1" t="s">
        <v>52</v>
      </c>
      <c r="Z2" s="5" t="s">
        <v>70</v>
      </c>
      <c r="AA2" s="5" t="s">
        <v>184</v>
      </c>
    </row>
    <row r="3" spans="2:27">
      <c r="B3" s="5" t="s">
        <v>212</v>
      </c>
      <c r="C3" s="5" t="s">
        <v>213</v>
      </c>
      <c r="E3" s="5" t="s">
        <v>214</v>
      </c>
      <c r="F3" s="5" t="str" cm="1">
        <f t="array" ref="F3">_xll.BDP(bonds[[#This Row],[worksheet get]],bonds[[#Headers],[ID_ISIN]])</f>
        <v>XS0992293901</v>
      </c>
      <c r="G3" s="5" t="str" cm="1">
        <f t="array" ref="G3">_xll.BDP(bonds[[#This Row],[worksheet get]],bonds[[#Headers],[security name]])</f>
        <v>SOLBBB 5.425 PERP</v>
      </c>
      <c r="H3" s="5" t="str" cm="1">
        <f t="array" ref="H3">_xll.BDP(bonds[[#This Row],[worksheet get]],bonds[[#Headers],[ticker]])</f>
        <v>SOLBBB</v>
      </c>
      <c r="I3" s="5" cm="1">
        <f t="array" ref="I3">_xll.BDP(bonds[[#This Row],[worksheet get]],bonds[[#Headers],[coupon]])</f>
        <v>5.4249999999999998</v>
      </c>
      <c r="J3" s="25" cm="1">
        <f t="array" ref="J3">_xll.BDP(bonds[[#This Row],[worksheet get]],bonds[[#Headers],[nxt_call_dt]])*1</f>
        <v>45242</v>
      </c>
      <c r="K3" s="9" t="str" cm="1">
        <f t="array" ref="K3">_xll.BDP(bonds[[#This Row],[worksheet get]],bonds[[#Headers],[mty_typ]])</f>
        <v>PERP/CALL</v>
      </c>
      <c r="L3" s="9" t="str" cm="1">
        <f t="array" ref="L3">_xll.BDP(bonds[[#This Row],[worksheet get]],bonds[[#Headers],[crncy]])</f>
        <v>EUR</v>
      </c>
      <c r="M3" s="10" cm="1">
        <f t="array" ref="M3">_xll.BDP(bonds[[#This Row],[worksheet get]],bonds[[#Headers],[amt_outstanding]])</f>
        <v>500000000</v>
      </c>
      <c r="N3" s="9" t="str" cm="1">
        <f t="array" ref="N3">_xll.BDP(bonds[[#This Row],[worksheet get]],bonds[[#Headers],[industry_sector]])</f>
        <v>Basic Materials</v>
      </c>
      <c r="O3" s="9" t="str">
        <f>bonds[[#This Row],[security name]]&amp;" nc-"&amp;RIGHT(YEAR(bonds[[#This Row],[nxt_call_dt]]),2)</f>
        <v>SOLBBB 5.425 PERP nc-23</v>
      </c>
      <c r="Q3" s="5" t="str">
        <v>BAYNGR</v>
      </c>
      <c r="R3" s="5" t="str">
        <v>LXSGR</v>
      </c>
      <c r="S3" s="5" t="str">
        <v>AKEFP</v>
      </c>
      <c r="T3" s="5">
        <v>3</v>
      </c>
      <c r="U3" s="5" t="str">
        <v>Consumer, Non-cyclical</v>
      </c>
      <c r="V3" s="5">
        <v>15</v>
      </c>
      <c r="X3" s="1" t="s">
        <v>215</v>
      </c>
      <c r="Z3" s="5" t="s">
        <v>100</v>
      </c>
      <c r="AA3" s="5" t="s">
        <v>184</v>
      </c>
    </row>
    <row r="4" spans="2:27">
      <c r="B4" s="5" t="s">
        <v>216</v>
      </c>
      <c r="C4" s="5" t="s">
        <v>217</v>
      </c>
      <c r="E4" s="5" t="s">
        <v>218</v>
      </c>
      <c r="F4" s="5" t="str" cm="1">
        <f t="array" ref="F4">_xll.BDP(bonds[[#This Row],[worksheet get]],bonds[[#Headers],[ID_ISIN]])</f>
        <v>BE6309987400</v>
      </c>
      <c r="G4" s="5" t="str" cm="1">
        <f t="array" ref="G4">_xll.BDP(bonds[[#This Row],[worksheet get]],bonds[[#Headers],[security name]])</f>
        <v>SOLBBB 4 1/4 PERP</v>
      </c>
      <c r="H4" s="5" t="str" cm="1">
        <f t="array" ref="H4">_xll.BDP(bonds[[#This Row],[worksheet get]],bonds[[#Headers],[ticker]])</f>
        <v>SOLBBB</v>
      </c>
      <c r="I4" s="5" cm="1">
        <f t="array" ref="I4">_xll.BDP(bonds[[#This Row],[worksheet get]],bonds[[#Headers],[coupon]])</f>
        <v>4.25</v>
      </c>
      <c r="J4" s="25" cm="1">
        <f t="array" ref="J4">_xll.BDP(bonds[[#This Row],[worksheet get]],bonds[[#Headers],[nxt_call_dt]])*1</f>
        <v>45264</v>
      </c>
      <c r="K4" s="9" t="str" cm="1">
        <f t="array" ref="K4">_xll.BDP(bonds[[#This Row],[worksheet get]],bonds[[#Headers],[mty_typ]])</f>
        <v>PERP/CALL</v>
      </c>
      <c r="L4" s="9" t="str" cm="1">
        <f t="array" ref="L4">_xll.BDP(bonds[[#This Row],[worksheet get]],bonds[[#Headers],[crncy]])</f>
        <v>EUR</v>
      </c>
      <c r="M4" s="10" cm="1">
        <f t="array" ref="M4">_xll.BDP(bonds[[#This Row],[worksheet get]],bonds[[#Headers],[amt_outstanding]])</f>
        <v>300000000</v>
      </c>
      <c r="N4" s="9" t="str" cm="1">
        <f t="array" ref="N4">_xll.BDP(bonds[[#This Row],[worksheet get]],bonds[[#Headers],[industry_sector]])</f>
        <v>Basic Materials</v>
      </c>
      <c r="O4" s="9" t="str">
        <f>bonds[[#This Row],[security name]]&amp;" nc-"&amp;RIGHT(YEAR(bonds[[#This Row],[nxt_call_dt]]),2)</f>
        <v>SOLBBB 4 1/4 PERP nc-23</v>
      </c>
      <c r="Q4" s="5" t="str">
        <v>FIRMEN</v>
      </c>
      <c r="R4" s="5" t="str">
        <v>LHNVX</v>
      </c>
      <c r="S4" s="5" t="str">
        <v>AKFAST</v>
      </c>
      <c r="T4" s="5">
        <v>2</v>
      </c>
      <c r="U4" s="5" t="str">
        <v>Industrial</v>
      </c>
      <c r="V4" s="5">
        <v>5</v>
      </c>
      <c r="X4" s="1" t="s">
        <v>219</v>
      </c>
      <c r="Z4" s="5" t="s">
        <v>220</v>
      </c>
      <c r="AA4" s="5" t="s">
        <v>184</v>
      </c>
    </row>
    <row r="5" spans="2:27">
      <c r="B5" s="5" t="s">
        <v>221</v>
      </c>
      <c r="C5" s="5" t="s">
        <v>217</v>
      </c>
      <c r="E5" s="5" t="s">
        <v>222</v>
      </c>
      <c r="F5" s="5" t="str" cm="1">
        <f t="array" ref="F5">_xll.BDP(bonds[[#This Row],[worksheet get]],bonds[[#Headers],[ID_ISIN]])</f>
        <v>XS1323897725</v>
      </c>
      <c r="G5" s="5" t="str" cm="1">
        <f t="array" ref="G5">_xll.BDP(bonds[[#This Row],[worksheet get]],bonds[[#Headers],[security name]])</f>
        <v>SOLBBB 5.869 PERP</v>
      </c>
      <c r="H5" s="5" t="str" cm="1">
        <f t="array" ref="H5">_xll.BDP(bonds[[#This Row],[worksheet get]],bonds[[#Headers],[ticker]])</f>
        <v>SOLBBB</v>
      </c>
      <c r="I5" s="5" cm="1">
        <f t="array" ref="I5">_xll.BDP(bonds[[#This Row],[worksheet get]],bonds[[#Headers],[coupon]])</f>
        <v>5.8689999999999998</v>
      </c>
      <c r="J5" s="25" cm="1">
        <f t="array" ref="J5">_xll.BDP(bonds[[#This Row],[worksheet get]],bonds[[#Headers],[nxt_call_dt]])*1</f>
        <v>45446</v>
      </c>
      <c r="K5" s="9" t="str" cm="1">
        <f t="array" ref="K5">_xll.BDP(bonds[[#This Row],[worksheet get]],bonds[[#Headers],[mty_typ]])</f>
        <v>PERP/CALL</v>
      </c>
      <c r="L5" s="9" t="str" cm="1">
        <f t="array" ref="L5">_xll.BDP(bonds[[#This Row],[worksheet get]],bonds[[#Headers],[crncy]])</f>
        <v>EUR</v>
      </c>
      <c r="M5" s="10" cm="1">
        <f t="array" ref="M5">_xll.BDP(bonds[[#This Row],[worksheet get]],bonds[[#Headers],[amt_outstanding]])</f>
        <v>500000000</v>
      </c>
      <c r="N5" s="9" t="str" cm="1">
        <f t="array" ref="N5">_xll.BDP(bonds[[#This Row],[worksheet get]],bonds[[#Headers],[industry_sector]])</f>
        <v>Basic Materials</v>
      </c>
      <c r="O5" s="9" t="str">
        <f>bonds[[#This Row],[security name]]&amp;" nc-"&amp;RIGHT(YEAR(bonds[[#This Row],[nxt_call_dt]]),2)</f>
        <v>SOLBBB 5.869 PERP nc-24</v>
      </c>
      <c r="Q5" s="5" t="str">
        <v>MRKGR</v>
      </c>
      <c r="R5" s="5" t="str">
        <v>EVKGR</v>
      </c>
      <c r="S5" s="5" t="str">
        <v>AMXLMM</v>
      </c>
      <c r="T5" s="5">
        <v>2</v>
      </c>
      <c r="U5" s="5" t="str">
        <v>Financial</v>
      </c>
      <c r="V5" s="5">
        <v>24</v>
      </c>
      <c r="X5" s="1" t="s">
        <v>223</v>
      </c>
      <c r="Z5" s="5" t="s">
        <v>136</v>
      </c>
      <c r="AA5" s="5" t="s">
        <v>224</v>
      </c>
    </row>
    <row r="6" spans="2:27">
      <c r="B6" s="5" t="s">
        <v>225</v>
      </c>
      <c r="C6" s="5" t="s">
        <v>226</v>
      </c>
      <c r="E6" s="5" t="s">
        <v>227</v>
      </c>
      <c r="F6" s="5" t="str" cm="1">
        <f t="array" ref="F6">_xll.BDP(bonds[[#This Row],[worksheet get]],bonds[[#Headers],[ID_ISIN]])</f>
        <v>DE000A14J611</v>
      </c>
      <c r="G6" s="5" t="str" cm="1">
        <f t="array" ref="G6">_xll.BDP(bonds[[#This Row],[worksheet get]],bonds[[#Headers],[security name]])</f>
        <v>BAYNGR 2 3/8 04/02/75</v>
      </c>
      <c r="H6" s="5" t="str" cm="1">
        <f t="array" ref="H6">_xll.BDP(bonds[[#This Row],[worksheet get]],bonds[[#Headers],[ticker]])</f>
        <v>BAYNGR</v>
      </c>
      <c r="I6" s="5" cm="1">
        <f t="array" ref="I6">_xll.BDP(bonds[[#This Row],[worksheet get]],bonds[[#Headers],[coupon]])</f>
        <v>2.375</v>
      </c>
      <c r="J6" s="25" cm="1">
        <f t="array" ref="J6">_xll.BDP(bonds[[#This Row],[worksheet get]],bonds[[#Headers],[nxt_call_dt]])*1</f>
        <v>44836</v>
      </c>
      <c r="K6" s="9" t="str" cm="1">
        <f t="array" ref="K6">_xll.BDP(bonds[[#This Row],[worksheet get]],bonds[[#Headers],[mty_typ]])</f>
        <v>CALLABLE</v>
      </c>
      <c r="L6" s="9" t="str" cm="1">
        <f t="array" ref="L6">_xll.BDP(bonds[[#This Row],[worksheet get]],bonds[[#Headers],[crncy]])</f>
        <v>EUR</v>
      </c>
      <c r="M6" s="10" cm="1">
        <f t="array" ref="M6">_xll.BDP(bonds[[#This Row],[worksheet get]],bonds[[#Headers],[amt_outstanding]])</f>
        <v>1300000000</v>
      </c>
      <c r="N6" s="9" t="str" cm="1">
        <f t="array" ref="N6">_xll.BDP(bonds[[#This Row],[worksheet get]],bonds[[#Headers],[industry_sector]])</f>
        <v>Consumer, Non-cyclical</v>
      </c>
      <c r="O6" s="9" t="str">
        <f>bonds[[#This Row],[security name]]&amp;" nc-"&amp;RIGHT(YEAR(bonds[[#This Row],[nxt_call_dt]]),2)</f>
        <v>BAYNGR 2 3/8 04/02/75 nc-22</v>
      </c>
      <c r="Q6" s="5" t="str">
        <v>AKEFP</v>
      </c>
      <c r="R6" s="5" t="str">
        <v>BNFP</v>
      </c>
      <c r="S6" s="5" t="str">
        <v>ARNDTN</v>
      </c>
      <c r="T6" s="5">
        <v>5</v>
      </c>
      <c r="U6" s="5" t="str">
        <v>Energy</v>
      </c>
      <c r="V6" s="5">
        <v>20</v>
      </c>
      <c r="X6" s="1" t="s">
        <v>51</v>
      </c>
      <c r="Z6" s="5" t="s">
        <v>109</v>
      </c>
      <c r="AA6" s="5" t="s">
        <v>184</v>
      </c>
    </row>
    <row r="7" spans="2:27">
      <c r="B7" s="5" t="s">
        <v>228</v>
      </c>
      <c r="C7" s="5" t="s">
        <v>229</v>
      </c>
      <c r="E7" s="5" t="s">
        <v>101</v>
      </c>
      <c r="F7" s="5" t="str" cm="1">
        <f t="array" ref="F7">_xll.BDP(bonds[[#This Row],[worksheet get]],bonds[[#Headers],[ID_ISIN]])</f>
        <v>DE000A11QR73</v>
      </c>
      <c r="G7" s="5" t="str" cm="1">
        <f t="array" ref="G7">_xll.BDP(bonds[[#This Row],[worksheet get]],bonds[[#Headers],[security name]])</f>
        <v>BAYNGR 3 3/4 07/01/74</v>
      </c>
      <c r="H7" s="5" t="str" cm="1">
        <f t="array" ref="H7">_xll.BDP(bonds[[#This Row],[worksheet get]],bonds[[#Headers],[ticker]])</f>
        <v>BAYNGR</v>
      </c>
      <c r="I7" s="5" cm="1">
        <f t="array" ref="I7">_xll.BDP(bonds[[#This Row],[worksheet get]],bonds[[#Headers],[coupon]])</f>
        <v>3.75</v>
      </c>
      <c r="J7" s="25" cm="1">
        <f t="array" ref="J7">_xll.BDP(bonds[[#This Row],[worksheet get]],bonds[[#Headers],[nxt_call_dt]])*1</f>
        <v>45474</v>
      </c>
      <c r="K7" s="9" t="str" cm="1">
        <f t="array" ref="K7">_xll.BDP(bonds[[#This Row],[worksheet get]],bonds[[#Headers],[mty_typ]])</f>
        <v>CALLABLE</v>
      </c>
      <c r="L7" s="9" t="str" cm="1">
        <f t="array" ref="L7">_xll.BDP(bonds[[#This Row],[worksheet get]],bonds[[#Headers],[crncy]])</f>
        <v>EUR</v>
      </c>
      <c r="M7" s="10" cm="1">
        <f t="array" ref="M7">_xll.BDP(bonds[[#This Row],[worksheet get]],bonds[[#Headers],[amt_outstanding]])</f>
        <v>1500000000</v>
      </c>
      <c r="N7" s="9" t="str" cm="1">
        <f t="array" ref="N7">_xll.BDP(bonds[[#This Row],[worksheet get]],bonds[[#Headers],[industry_sector]])</f>
        <v>Consumer, Non-cyclical</v>
      </c>
      <c r="O7" s="9" t="str">
        <f>bonds[[#This Row],[security name]]&amp;" nc-"&amp;RIGHT(YEAR(bonds[[#This Row],[nxt_call_dt]]),2)</f>
        <v>BAYNGR 3 3/4 07/01/74 nc-24</v>
      </c>
      <c r="Q7" s="5" t="str">
        <v>LXSGR</v>
      </c>
      <c r="R7" s="5" t="str">
        <v>ECLEAR</v>
      </c>
      <c r="S7" s="5" t="str">
        <v>BAYNGR</v>
      </c>
      <c r="T7" s="5">
        <v>4</v>
      </c>
      <c r="U7" s="5" t="str">
        <v>Communications</v>
      </c>
      <c r="V7" s="5">
        <v>34</v>
      </c>
      <c r="Z7" s="5" t="s">
        <v>166</v>
      </c>
      <c r="AA7" s="5" t="s">
        <v>184</v>
      </c>
    </row>
    <row r="8" spans="2:27">
      <c r="B8" s="5" t="s">
        <v>230</v>
      </c>
      <c r="C8" s="5" t="s">
        <v>231</v>
      </c>
      <c r="E8" s="5" t="s">
        <v>232</v>
      </c>
      <c r="F8" s="5" t="str" cm="1">
        <f t="array" ref="F8">_xll.BDP(bonds[[#This Row],[worksheet get]],bonds[[#Headers],[ID_ISIN]])</f>
        <v>XS2077670003</v>
      </c>
      <c r="G8" s="5" t="str" cm="1">
        <f t="array" ref="G8">_xll.BDP(bonds[[#This Row],[worksheet get]],bonds[[#Headers],[security name]])</f>
        <v>BAYNGR 2 3/8 11/12/79</v>
      </c>
      <c r="H8" s="5" t="str" cm="1">
        <f t="array" ref="H8">_xll.BDP(bonds[[#This Row],[worksheet get]],bonds[[#Headers],[ticker]])</f>
        <v>BAYNGR</v>
      </c>
      <c r="I8" s="5" cm="1">
        <f t="array" ref="I8">_xll.BDP(bonds[[#This Row],[worksheet get]],bonds[[#Headers],[coupon]])</f>
        <v>2.375</v>
      </c>
      <c r="J8" s="25" cm="1">
        <f t="array" ref="J8">_xll.BDP(bonds[[#This Row],[worksheet get]],bonds[[#Headers],[nxt_call_dt]])*1</f>
        <v>45700</v>
      </c>
      <c r="K8" s="9" t="str" cm="1">
        <f t="array" ref="K8">_xll.BDP(bonds[[#This Row],[worksheet get]],bonds[[#Headers],[mty_typ]])</f>
        <v>CALLABLE</v>
      </c>
      <c r="L8" s="9" t="str" cm="1">
        <f t="array" ref="L8">_xll.BDP(bonds[[#This Row],[worksheet get]],bonds[[#Headers],[crncy]])</f>
        <v>EUR</v>
      </c>
      <c r="M8" s="10" cm="1">
        <f t="array" ref="M8">_xll.BDP(bonds[[#This Row],[worksheet get]],bonds[[#Headers],[amt_outstanding]])</f>
        <v>1000000000</v>
      </c>
      <c r="N8" s="9" t="str" cm="1">
        <f t="array" ref="N8">_xll.BDP(bonds[[#This Row],[worksheet get]],bonds[[#Headers],[industry_sector]])</f>
        <v>Consumer, Non-cyclical</v>
      </c>
      <c r="O8" s="9" t="str">
        <f>bonds[[#This Row],[security name]]&amp;" nc-"&amp;RIGHT(YEAR(bonds[[#This Row],[nxt_call_dt]]),2)</f>
        <v>BAYNGR 2 3/8 11/12/79 nc-25</v>
      </c>
      <c r="Q8" s="5" t="str">
        <v>LHNVX</v>
      </c>
      <c r="R8" s="5" t="str">
        <v>BRITEL</v>
      </c>
      <c r="S8" s="5" t="str">
        <v>BERTEL</v>
      </c>
      <c r="T8" s="5">
        <v>2</v>
      </c>
      <c r="U8" s="5" t="str">
        <v>Technology</v>
      </c>
      <c r="V8" s="5">
        <v>2</v>
      </c>
      <c r="Z8" s="5" t="s">
        <v>233</v>
      </c>
      <c r="AA8" s="5" t="s">
        <v>184</v>
      </c>
    </row>
    <row r="9" spans="2:27">
      <c r="B9" s="5" t="s">
        <v>234</v>
      </c>
      <c r="C9" s="5" t="s">
        <v>235</v>
      </c>
      <c r="E9" s="5" t="s">
        <v>236</v>
      </c>
      <c r="F9" s="5" t="str" cm="1">
        <f t="array" ref="F9">_xll.BDP(bonds[[#This Row],[worksheet get]],bonds[[#Headers],[ID_ISIN]])</f>
        <v>XS2077670342</v>
      </c>
      <c r="G9" s="5" t="str" cm="1">
        <f t="array" ref="G9">_xll.BDP(bonds[[#This Row],[worksheet get]],bonds[[#Headers],[security name]])</f>
        <v>BAYNGR 3 1/8 11/12/79</v>
      </c>
      <c r="H9" s="5" t="str" cm="1">
        <f t="array" ref="H9">_xll.BDP(bonds[[#This Row],[worksheet get]],bonds[[#Headers],[ticker]])</f>
        <v>BAYNGR</v>
      </c>
      <c r="I9" s="5" cm="1">
        <f t="array" ref="I9">_xll.BDP(bonds[[#This Row],[worksheet get]],bonds[[#Headers],[coupon]])</f>
        <v>3.125</v>
      </c>
      <c r="J9" s="25" cm="1">
        <f t="array" ref="J9">_xll.BDP(bonds[[#This Row],[worksheet get]],bonds[[#Headers],[nxt_call_dt]])*1</f>
        <v>46611</v>
      </c>
      <c r="K9" s="9" t="str" cm="1">
        <f t="array" ref="K9">_xll.BDP(bonds[[#This Row],[worksheet get]],bonds[[#Headers],[mty_typ]])</f>
        <v>CALLABLE</v>
      </c>
      <c r="L9" s="9" t="str" cm="1">
        <f t="array" ref="L9">_xll.BDP(bonds[[#This Row],[worksheet get]],bonds[[#Headers],[crncy]])</f>
        <v>EUR</v>
      </c>
      <c r="M9" s="10" cm="1">
        <f t="array" ref="M9">_xll.BDP(bonds[[#This Row],[worksheet get]],bonds[[#Headers],[amt_outstanding]])</f>
        <v>750000000</v>
      </c>
      <c r="N9" s="9" t="str" cm="1">
        <f t="array" ref="N9">_xll.BDP(bonds[[#This Row],[worksheet get]],bonds[[#Headers],[industry_sector]])</f>
        <v>Consumer, Non-cyclical</v>
      </c>
      <c r="O9" s="9" t="str">
        <f>bonds[[#This Row],[security name]]&amp;" nc-"&amp;RIGHT(YEAR(bonds[[#This Row],[nxt_call_dt]]),2)</f>
        <v>BAYNGR 3 1/8 11/12/79 nc-27</v>
      </c>
      <c r="Q9" s="5" t="str">
        <v>EVKGR</v>
      </c>
      <c r="R9" s="5" t="str">
        <v>T</v>
      </c>
      <c r="S9" s="5" t="str">
        <v>BHP</v>
      </c>
      <c r="T9" s="5">
        <v>5</v>
      </c>
      <c r="U9" s="5" t="str">
        <v>Utilities</v>
      </c>
      <c r="V9" s="5">
        <v>63</v>
      </c>
      <c r="Z9" s="5" t="s">
        <v>237</v>
      </c>
      <c r="AA9" s="5" t="s">
        <v>184</v>
      </c>
    </row>
    <row r="10" spans="2:27">
      <c r="B10" s="5" t="s">
        <v>238</v>
      </c>
      <c r="C10" s="5" t="s">
        <v>239</v>
      </c>
      <c r="E10" s="5" t="s">
        <v>240</v>
      </c>
      <c r="F10" s="5" t="str" cm="1">
        <f t="array" ref="F10">_xll.BDP(bonds[[#This Row],[worksheet get]],bonds[[#Headers],[ID_ISIN]])</f>
        <v>XS2182055009</v>
      </c>
      <c r="G10" s="5" t="str" cm="1">
        <f t="array" ref="G10">_xll.BDP(bonds[[#This Row],[worksheet get]],bonds[[#Headers],[security name]])</f>
        <v>FIRMEN 3 3/4 PERP</v>
      </c>
      <c r="H10" s="5" t="str" cm="1">
        <f t="array" ref="H10">_xll.BDP(bonds[[#This Row],[worksheet get]],bonds[[#Headers],[ticker]])</f>
        <v>FIRMEN</v>
      </c>
      <c r="I10" s="5" cm="1">
        <f t="array" ref="I10">_xll.BDP(bonds[[#This Row],[worksheet get]],bonds[[#Headers],[coupon]])</f>
        <v>3.75</v>
      </c>
      <c r="J10" s="25" cm="1">
        <f t="array" ref="J10">_xll.BDP(bonds[[#This Row],[worksheet get]],bonds[[#Headers],[nxt_call_dt]])*1</f>
        <v>45903</v>
      </c>
      <c r="K10" s="9" t="str" cm="1">
        <f t="array" ref="K10">_xll.BDP(bonds[[#This Row],[worksheet get]],bonds[[#Headers],[mty_typ]])</f>
        <v>PERP/CALL</v>
      </c>
      <c r="L10" s="9" t="str" cm="1">
        <f t="array" ref="L10">_xll.BDP(bonds[[#This Row],[worksheet get]],bonds[[#Headers],[crncy]])</f>
        <v>EUR</v>
      </c>
      <c r="M10" s="10" cm="1">
        <f t="array" ref="M10">_xll.BDP(bonds[[#This Row],[worksheet get]],bonds[[#Headers],[amt_outstanding]])</f>
        <v>750000000</v>
      </c>
      <c r="N10" s="9" t="str" cm="1">
        <f t="array" ref="N10">_xll.BDP(bonds[[#This Row],[worksheet get]],bonds[[#Headers],[industry_sector]])</f>
        <v>Basic Materials</v>
      </c>
      <c r="O10" s="9" t="str">
        <f>bonds[[#This Row],[security name]]&amp;" nc-"&amp;RIGHT(YEAR(bonds[[#This Row],[nxt_call_dt]]),2)</f>
        <v>FIRMEN 3 3/4 PERP nc-25</v>
      </c>
      <c r="Q10" s="5" t="str">
        <v>ERFFP</v>
      </c>
      <c r="R10" s="5" t="str">
        <v>TENN</v>
      </c>
      <c r="S10" s="5" t="str">
        <v>BPLN</v>
      </c>
      <c r="T10" s="5">
        <v>5</v>
      </c>
      <c r="U10" s="5" t="str">
        <v>Consumer, Cyclical</v>
      </c>
      <c r="V10" s="5">
        <v>17</v>
      </c>
      <c r="Z10" s="5" t="s">
        <v>241</v>
      </c>
      <c r="AA10" s="5" t="s">
        <v>242</v>
      </c>
    </row>
    <row r="11" spans="2:27">
      <c r="E11" s="5" t="s">
        <v>243</v>
      </c>
      <c r="F11" s="5" t="str" cm="1">
        <f t="array" ref="F11">_xll.BDP(bonds[[#This Row],[worksheet get]],bonds[[#Headers],[ID_ISIN]])</f>
        <v>XS1152338072</v>
      </c>
      <c r="G11" s="5" t="str" cm="1">
        <f t="array" ref="G11">_xll.BDP(bonds[[#This Row],[worksheet get]],bonds[[#Headers],[security name]])</f>
        <v>MRKGR 2 5/8 12/12/74</v>
      </c>
      <c r="H11" s="5" t="str" cm="1">
        <f t="array" ref="H11">_xll.BDP(bonds[[#This Row],[worksheet get]],bonds[[#Headers],[ticker]])</f>
        <v>MRKGR</v>
      </c>
      <c r="I11" s="5" cm="1">
        <f t="array" ref="I11">_xll.BDP(bonds[[#This Row],[worksheet get]],bonds[[#Headers],[coupon]])</f>
        <v>2.625</v>
      </c>
      <c r="J11" s="25" cm="1">
        <f t="array" ref="J11">_xll.BDP(bonds[[#This Row],[worksheet get]],bonds[[#Headers],[nxt_call_dt]])*1</f>
        <v>44359</v>
      </c>
      <c r="K11" s="9" t="str" cm="1">
        <f t="array" ref="K11">_xll.BDP(bonds[[#This Row],[worksheet get]],bonds[[#Headers],[mty_typ]])</f>
        <v>CALLABLE</v>
      </c>
      <c r="L11" s="9" t="str" cm="1">
        <f t="array" ref="L11">_xll.BDP(bonds[[#This Row],[worksheet get]],bonds[[#Headers],[crncy]])</f>
        <v>EUR</v>
      </c>
      <c r="M11" s="10" cm="1">
        <f t="array" ref="M11">_xll.BDP(bonds[[#This Row],[worksheet get]],bonds[[#Headers],[amt_outstanding]])</f>
        <v>1000000000</v>
      </c>
      <c r="N11" s="9" t="str" cm="1">
        <f t="array" ref="N11">_xll.BDP(bonds[[#This Row],[worksheet get]],bonds[[#Headers],[industry_sector]])</f>
        <v>Consumer, Non-cyclical</v>
      </c>
      <c r="O11" s="9" t="str">
        <f>bonds[[#This Row],[security name]]&amp;" nc-"&amp;RIGHT(YEAR(bonds[[#This Row],[nxt_call_dt]]),2)</f>
        <v>MRKGR 2 5/8 12/12/74 nc-21</v>
      </c>
      <c r="Q11" s="5" t="str">
        <v>BNFP</v>
      </c>
      <c r="R11" s="5" t="str">
        <v>ALLRNV</v>
      </c>
      <c r="S11" s="5" t="str">
        <v>CNALN</v>
      </c>
      <c r="T11" s="5">
        <v>2</v>
      </c>
      <c r="Z11" s="1" t="s">
        <v>145</v>
      </c>
      <c r="AA11" s="5" t="s">
        <v>184</v>
      </c>
    </row>
    <row r="12" spans="2:27">
      <c r="E12" s="5" t="s">
        <v>244</v>
      </c>
      <c r="F12" s="5" t="str" cm="1">
        <f t="array" ref="F12">_xll.BDP(bonds[[#This Row],[worksheet get]],bonds[[#Headers],[ID_ISIN]])</f>
        <v>XS1152343668</v>
      </c>
      <c r="G12" s="5" t="str" cm="1">
        <f t="array" ref="G12">_xll.BDP(bonds[[#This Row],[worksheet get]],bonds[[#Headers],[security name]])</f>
        <v>MRKGR 3 3/8 12/12/74</v>
      </c>
      <c r="H12" s="5" t="str" cm="1">
        <f t="array" ref="H12">_xll.BDP(bonds[[#This Row],[worksheet get]],bonds[[#Headers],[ticker]])</f>
        <v>MRKGR</v>
      </c>
      <c r="I12" s="5" cm="1">
        <f t="array" ref="I12">_xll.BDP(bonds[[#This Row],[worksheet get]],bonds[[#Headers],[coupon]])</f>
        <v>3.375</v>
      </c>
      <c r="J12" s="25" cm="1">
        <f t="array" ref="J12">_xll.BDP(bonds[[#This Row],[worksheet get]],bonds[[#Headers],[nxt_call_dt]])*1</f>
        <v>45638</v>
      </c>
      <c r="K12" s="9" t="str" cm="1">
        <f t="array" ref="K12">_xll.BDP(bonds[[#This Row],[worksheet get]],bonds[[#Headers],[mty_typ]])</f>
        <v>CALLABLE</v>
      </c>
      <c r="L12" s="9" t="str" cm="1">
        <f t="array" ref="L12">_xll.BDP(bonds[[#This Row],[worksheet get]],bonds[[#Headers],[crncy]])</f>
        <v>EUR</v>
      </c>
      <c r="M12" s="10" cm="1">
        <f t="array" ref="M12">_xll.BDP(bonds[[#This Row],[worksheet get]],bonds[[#Headers],[amt_outstanding]])</f>
        <v>500000000</v>
      </c>
      <c r="N12" s="9" t="str" cm="1">
        <f t="array" ref="N12">_xll.BDP(bonds[[#This Row],[worksheet get]],bonds[[#Headers],[industry_sector]])</f>
        <v>Consumer, Non-cyclical</v>
      </c>
      <c r="O12" s="9" t="str">
        <f>bonds[[#This Row],[security name]]&amp;" nc-"&amp;RIGHT(YEAR(bonds[[#This Row],[nxt_call_dt]]),2)</f>
        <v>MRKGR 3 3/8 12/12/74 nc-24</v>
      </c>
      <c r="Q12" s="5" t="str">
        <v>ECLEAR</v>
      </c>
      <c r="R12" s="5" t="str">
        <v>STEDIN</v>
      </c>
      <c r="S12" s="5" t="str">
        <v>CPIPGR</v>
      </c>
      <c r="T12" s="5">
        <v>2</v>
      </c>
      <c r="Z12" s="1" t="s">
        <v>154</v>
      </c>
      <c r="AA12" s="5" t="s">
        <v>188</v>
      </c>
    </row>
    <row r="13" spans="2:27">
      <c r="E13" s="5" t="s">
        <v>245</v>
      </c>
      <c r="F13" s="5" t="str" cm="1">
        <f t="array" ref="F13">_xll.BDP(bonds[[#This Row],[worksheet get]],bonds[[#Headers],[ID_ISIN]])</f>
        <v>XS2011260531</v>
      </c>
      <c r="G13" s="5" t="str" cm="1">
        <f t="array" ref="G13">_xll.BDP(bonds[[#This Row],[worksheet get]],bonds[[#Headers],[security name]])</f>
        <v>MRKGR 1 5/8 06/25/79</v>
      </c>
      <c r="H13" s="5" t="str" cm="1">
        <f t="array" ref="H13">_xll.BDP(bonds[[#This Row],[worksheet get]],bonds[[#Headers],[ticker]])</f>
        <v>MRKGR</v>
      </c>
      <c r="I13" s="5" cm="1">
        <f t="array" ref="I13">_xll.BDP(bonds[[#This Row],[worksheet get]],bonds[[#Headers],[coupon]])</f>
        <v>1.625</v>
      </c>
      <c r="J13" s="25" cm="1">
        <f t="array" ref="J13">_xll.BDP(bonds[[#This Row],[worksheet get]],bonds[[#Headers],[nxt_call_dt]])*1</f>
        <v>45553</v>
      </c>
      <c r="K13" s="9" t="str" cm="1">
        <f t="array" ref="K13">_xll.BDP(bonds[[#This Row],[worksheet get]],bonds[[#Headers],[mty_typ]])</f>
        <v>CALLABLE</v>
      </c>
      <c r="L13" s="9" t="str" cm="1">
        <f t="array" ref="L13">_xll.BDP(bonds[[#This Row],[worksheet get]],bonds[[#Headers],[crncy]])</f>
        <v>EUR</v>
      </c>
      <c r="M13" s="10" cm="1">
        <f t="array" ref="M13">_xll.BDP(bonds[[#This Row],[worksheet get]],bonds[[#Headers],[amt_outstanding]])</f>
        <v>500000000</v>
      </c>
      <c r="N13" s="9" t="str" cm="1">
        <f t="array" ref="N13">_xll.BDP(bonds[[#This Row],[worksheet get]],bonds[[#Headers],[industry_sector]])</f>
        <v>Consumer, Non-cyclical</v>
      </c>
      <c r="O13" s="9" t="str">
        <f>bonds[[#This Row],[security name]]&amp;" nc-"&amp;RIGHT(YEAR(bonds[[#This Row],[nxt_call_dt]]),2)</f>
        <v>MRKGR 1 5/8 06/25/79 nc-24</v>
      </c>
      <c r="Q13" s="5" t="str">
        <v>DBOERS</v>
      </c>
      <c r="R13" s="5" t="str">
        <v>ELIASO</v>
      </c>
      <c r="S13" s="5" t="str">
        <v>DBHNGR</v>
      </c>
      <c r="T13" s="5">
        <v>2</v>
      </c>
      <c r="Z13" s="1" t="s">
        <v>82</v>
      </c>
      <c r="AA13" s="5" t="s">
        <v>188</v>
      </c>
    </row>
    <row r="14" spans="2:27">
      <c r="E14" s="5" t="s">
        <v>246</v>
      </c>
      <c r="F14" s="5" t="str" cm="1">
        <f t="array" ref="F14">_xll.BDP(bonds[[#This Row],[worksheet get]],bonds[[#Headers],[ID_ISIN]])</f>
        <v>XS2011260705</v>
      </c>
      <c r="G14" s="5" t="str" cm="1">
        <f t="array" ref="G14">_xll.BDP(bonds[[#This Row],[worksheet get]],bonds[[#Headers],[security name]])</f>
        <v>MRKGR 2 7/8 06/25/79</v>
      </c>
      <c r="H14" s="5" t="str" cm="1">
        <f t="array" ref="H14">_xll.BDP(bonds[[#This Row],[worksheet get]],bonds[[#Headers],[ticker]])</f>
        <v>MRKGR</v>
      </c>
      <c r="I14" s="5" cm="1">
        <f t="array" ref="I14">_xll.BDP(bonds[[#This Row],[worksheet get]],bonds[[#Headers],[coupon]])</f>
        <v>2.875</v>
      </c>
      <c r="J14" s="25" cm="1">
        <f t="array" ref="J14">_xll.BDP(bonds[[#This Row],[worksheet get]],bonds[[#Headers],[nxt_call_dt]])*1</f>
        <v>47202</v>
      </c>
      <c r="K14" s="9" t="str" cm="1">
        <f t="array" ref="K14">_xll.BDP(bonds[[#This Row],[worksheet get]],bonds[[#Headers],[mty_typ]])</f>
        <v>CALLABLE</v>
      </c>
      <c r="L14" s="9" t="str" cm="1">
        <f t="array" ref="L14">_xll.BDP(bonds[[#This Row],[worksheet get]],bonds[[#Headers],[crncy]])</f>
        <v>EUR</v>
      </c>
      <c r="M14" s="10" cm="1">
        <f t="array" ref="M14">_xll.BDP(bonds[[#This Row],[worksheet get]],bonds[[#Headers],[amt_outstanding]])</f>
        <v>1000000000</v>
      </c>
      <c r="N14" s="9" t="str" cm="1">
        <f t="array" ref="N14">_xll.BDP(bonds[[#This Row],[worksheet get]],bonds[[#Headers],[industry_sector]])</f>
        <v>Consumer, Non-cyclical</v>
      </c>
      <c r="O14" s="9" t="str">
        <f>bonds[[#This Row],[security name]]&amp;" nc-"&amp;RIGHT(YEAR(bonds[[#This Row],[nxt_call_dt]]),2)</f>
        <v>MRKGR 2 7/8 06/25/79 nc-29</v>
      </c>
      <c r="Q14" s="5" t="str">
        <v>DBHNGR</v>
      </c>
      <c r="R14" s="5" t="str">
        <v>VLVY</v>
      </c>
      <c r="S14" s="5" t="str">
        <v>DBOERS</v>
      </c>
      <c r="T14" s="5">
        <v>2</v>
      </c>
      <c r="Z14" s="1" t="s">
        <v>142</v>
      </c>
      <c r="AA14" s="5" t="s">
        <v>188</v>
      </c>
    </row>
    <row r="15" spans="2:27">
      <c r="E15" s="5" t="s">
        <v>247</v>
      </c>
      <c r="F15" s="5" t="str" cm="1">
        <f t="array" ref="F15">_xll.BDP(bonds[[#This Row],[worksheet get]],bonds[[#Headers],[ID_ISIN]])</f>
        <v>FR0012278539</v>
      </c>
      <c r="G15" s="5" t="str" cm="1">
        <f t="array" ref="G15">_xll.BDP(bonds[[#This Row],[worksheet get]],bonds[[#Headers],[security name]])</f>
        <v>AKEFP 4 3/4 PERP</v>
      </c>
      <c r="H15" s="5" t="str" cm="1">
        <f t="array" ref="H15">_xll.BDP(bonds[[#This Row],[worksheet get]],bonds[[#Headers],[ticker]])</f>
        <v>AKEFP</v>
      </c>
      <c r="I15" s="5" cm="1">
        <f t="array" ref="I15">_xll.BDP(bonds[[#This Row],[worksheet get]],bonds[[#Headers],[coupon]])</f>
        <v>4.75</v>
      </c>
      <c r="J15" s="25" cm="1">
        <f t="array" ref="J15">_xll.BDP(bonds[[#This Row],[worksheet get]],bonds[[#Headers],[nxt_call_dt]])*1</f>
        <v>44133</v>
      </c>
      <c r="K15" s="9" t="str" cm="1">
        <f t="array" ref="K15">_xll.BDP(bonds[[#This Row],[worksheet get]],bonds[[#Headers],[mty_typ]])</f>
        <v>PERP/CALL</v>
      </c>
      <c r="L15" s="9" t="str" cm="1">
        <f t="array" ref="L15">_xll.BDP(bonds[[#This Row],[worksheet get]],bonds[[#Headers],[crncy]])</f>
        <v>EUR</v>
      </c>
      <c r="M15" s="10" cm="1">
        <f t="array" ref="M15">_xll.BDP(bonds[[#This Row],[worksheet get]],bonds[[#Headers],[amt_outstanding]])</f>
        <v>300000000</v>
      </c>
      <c r="N15" s="9" t="str" cm="1">
        <f t="array" ref="N15">_xll.BDP(bonds[[#This Row],[worksheet get]],bonds[[#Headers],[industry_sector]])</f>
        <v>Basic Materials</v>
      </c>
      <c r="O15" s="9" t="str">
        <f>bonds[[#This Row],[security name]]&amp;" nc-"&amp;RIGHT(YEAR(bonds[[#This Row],[nxt_call_dt]]),2)</f>
        <v>AKEFP 4 3/4 PERP nc-20</v>
      </c>
      <c r="Q15" s="5" t="str">
        <v>OMVAV</v>
      </c>
      <c r="R15" s="5" t="str">
        <v>AFFP</v>
      </c>
      <c r="S15" s="5" t="str">
        <v>EDF</v>
      </c>
      <c r="T15" s="5">
        <v>9</v>
      </c>
      <c r="Z15" s="1" t="s">
        <v>248</v>
      </c>
      <c r="AA15" s="5" t="s">
        <v>188</v>
      </c>
    </row>
    <row r="16" spans="2:27">
      <c r="E16" s="5" t="s">
        <v>249</v>
      </c>
      <c r="F16" s="5" t="str" cm="1">
        <f t="array" ref="F16">_xll.BDP(bonds[[#This Row],[worksheet get]],bonds[[#Headers],[ID_ISIN]])</f>
        <v>FR0013425170</v>
      </c>
      <c r="G16" s="5" t="str" cm="1">
        <f t="array" ref="G16">_xll.BDP(bonds[[#This Row],[worksheet get]],bonds[[#Headers],[security name]])</f>
        <v>AKEFP 2 3/4 PERP</v>
      </c>
      <c r="H16" s="5" t="str" cm="1">
        <f t="array" ref="H16">_xll.BDP(bonds[[#This Row],[worksheet get]],bonds[[#Headers],[ticker]])</f>
        <v>AKEFP</v>
      </c>
      <c r="I16" s="5" cm="1">
        <f t="array" ref="I16">_xll.BDP(bonds[[#This Row],[worksheet get]],bonds[[#Headers],[coupon]])</f>
        <v>2.75</v>
      </c>
      <c r="J16" s="25" cm="1">
        <f t="array" ref="J16">_xll.BDP(bonds[[#This Row],[worksheet get]],bonds[[#Headers],[nxt_call_dt]])*1</f>
        <v>45460</v>
      </c>
      <c r="K16" s="9" t="str" cm="1">
        <f t="array" ref="K16">_xll.BDP(bonds[[#This Row],[worksheet get]],bonds[[#Headers],[mty_typ]])</f>
        <v>PERP/CALL</v>
      </c>
      <c r="L16" s="9" t="str" cm="1">
        <f t="array" ref="L16">_xll.BDP(bonds[[#This Row],[worksheet get]],bonds[[#Headers],[crncy]])</f>
        <v>EUR</v>
      </c>
      <c r="M16" s="10" cm="1">
        <f t="array" ref="M16">_xll.BDP(bonds[[#This Row],[worksheet get]],bonds[[#Headers],[amt_outstanding]])</f>
        <v>400000000</v>
      </c>
      <c r="N16" s="9" t="str" cm="1">
        <f t="array" ref="N16">_xll.BDP(bonds[[#This Row],[worksheet get]],bonds[[#Headers],[industry_sector]])</f>
        <v>Basic Materials</v>
      </c>
      <c r="O16" s="9" t="str">
        <f>bonds[[#This Row],[security name]]&amp;" nc-"&amp;RIGHT(YEAR(bonds[[#This Row],[nxt_call_dt]]),2)</f>
        <v>AKEFP 2 3/4 PERP nc-24</v>
      </c>
      <c r="Q16" s="5" t="str">
        <v>REPSM</v>
      </c>
      <c r="R16" s="5" t="str">
        <v>LHAGR</v>
      </c>
      <c r="S16" s="5" t="str">
        <v>EDPPL</v>
      </c>
      <c r="T16" s="5">
        <v>3</v>
      </c>
      <c r="Z16" s="1" t="s">
        <v>250</v>
      </c>
      <c r="AA16" s="5" t="s">
        <v>186</v>
      </c>
    </row>
    <row r="17" spans="2:27">
      <c r="E17" s="5" t="s">
        <v>251</v>
      </c>
      <c r="F17" s="5" t="str" cm="1">
        <f t="array" ref="F17">_xll.BDP(bonds[[#This Row],[worksheet get]],bonds[[#Headers],[ID_ISIN]])</f>
        <v>FR0013478252</v>
      </c>
      <c r="G17" s="5" t="str" cm="1">
        <f t="array" ref="G17">_xll.BDP(bonds[[#This Row],[worksheet get]],bonds[[#Headers],[security name]])</f>
        <v>AKEFP 1 1/2 PERP</v>
      </c>
      <c r="H17" s="5" t="str" cm="1">
        <f t="array" ref="H17">_xll.BDP(bonds[[#This Row],[worksheet get]],bonds[[#Headers],[ticker]])</f>
        <v>AKEFP</v>
      </c>
      <c r="I17" s="5" cm="1">
        <f t="array" ref="I17">_xll.BDP(bonds[[#This Row],[worksheet get]],bonds[[#Headers],[coupon]])</f>
        <v>1.5</v>
      </c>
      <c r="J17" s="25" cm="1">
        <f t="array" ref="J17">_xll.BDP(bonds[[#This Row],[worksheet get]],bonds[[#Headers],[nxt_call_dt]])*1</f>
        <v>45951</v>
      </c>
      <c r="K17" s="9" t="str" cm="1">
        <f t="array" ref="K17">_xll.BDP(bonds[[#This Row],[worksheet get]],bonds[[#Headers],[mty_typ]])</f>
        <v>PERP/CALL</v>
      </c>
      <c r="L17" s="9" t="str" cm="1">
        <f t="array" ref="L17">_xll.BDP(bonds[[#This Row],[worksheet get]],bonds[[#Headers],[crncy]])</f>
        <v>EUR</v>
      </c>
      <c r="M17" s="10" cm="1">
        <f t="array" ref="M17">_xll.BDP(bonds[[#This Row],[worksheet get]],bonds[[#Headers],[amt_outstanding]])</f>
        <v>300000000</v>
      </c>
      <c r="N17" s="9" t="str" cm="1">
        <f t="array" ref="N17">_xll.BDP(bonds[[#This Row],[worksheet get]],bonds[[#Headers],[industry_sector]])</f>
        <v>Basic Materials</v>
      </c>
      <c r="O17" s="9" t="str">
        <f>bonds[[#This Row],[security name]]&amp;" nc-"&amp;RIGHT(YEAR(bonds[[#This Row],[nxt_call_dt]]),2)</f>
        <v>AKEFP 1 1/2 PERP nc-25</v>
      </c>
      <c r="Q17" s="5" t="str">
        <v>BPLN</v>
      </c>
      <c r="R17" s="5" t="str">
        <v>FERSM</v>
      </c>
      <c r="S17" s="5" t="str">
        <v>ENBW</v>
      </c>
      <c r="T17" s="5">
        <v>7</v>
      </c>
      <c r="Z17" s="1" t="s">
        <v>151</v>
      </c>
      <c r="AA17" s="5" t="s">
        <v>186</v>
      </c>
    </row>
    <row r="18" spans="2:27">
      <c r="B18" s="5" t="s">
        <v>252</v>
      </c>
      <c r="E18" s="5" t="s">
        <v>253</v>
      </c>
      <c r="F18" s="5" t="str" cm="1">
        <f t="array" ref="F18">_xll.BDP(bonds[[#This Row],[worksheet get]],bonds[[#Headers],[ID_ISIN]])</f>
        <v>XS1405763019</v>
      </c>
      <c r="G18" s="5" t="str" cm="1">
        <f t="array" ref="G18">_xll.BDP(bonds[[#This Row],[worksheet get]],bonds[[#Headers],[security name]])</f>
        <v>LXSGR 4 1/2 12/06/76</v>
      </c>
      <c r="H18" s="5" t="str" cm="1">
        <f t="array" ref="H18">_xll.BDP(bonds[[#This Row],[worksheet get]],bonds[[#Headers],[ticker]])</f>
        <v>LXSGR</v>
      </c>
      <c r="I18" s="5" cm="1">
        <f t="array" ref="I18">_xll.BDP(bonds[[#This Row],[worksheet get]],bonds[[#Headers],[coupon]])</f>
        <v>4.5</v>
      </c>
      <c r="J18" s="25" cm="1">
        <f t="array" ref="J18">_xll.BDP(bonds[[#This Row],[worksheet get]],bonds[[#Headers],[nxt_call_dt]])*1</f>
        <v>45083</v>
      </c>
      <c r="K18" s="9" t="str" cm="1">
        <f t="array" ref="K18">_xll.BDP(bonds[[#This Row],[worksheet get]],bonds[[#Headers],[mty_typ]])</f>
        <v>CALLABLE</v>
      </c>
      <c r="L18" s="9" t="str" cm="1">
        <f t="array" ref="L18">_xll.BDP(bonds[[#This Row],[worksheet get]],bonds[[#Headers],[crncy]])</f>
        <v>EUR</v>
      </c>
      <c r="M18" s="10" cm="1">
        <f t="array" ref="M18">_xll.BDP(bonds[[#This Row],[worksheet get]],bonds[[#Headers],[amt_outstanding]])</f>
        <v>500000000</v>
      </c>
      <c r="N18" s="9" t="str" cm="1">
        <f t="array" ref="N18">_xll.BDP(bonds[[#This Row],[worksheet get]],bonds[[#Headers],[industry_sector]])</f>
        <v>Basic Materials</v>
      </c>
      <c r="O18" s="9" t="str">
        <f>bonds[[#This Row],[security name]]&amp;" nc-"&amp;RIGHT(YEAR(bonds[[#This Row],[nxt_call_dt]]),2)</f>
        <v>LXSGR 4 1/2 12/06/76 nc-23</v>
      </c>
      <c r="Q18" s="5" t="str">
        <v>TOTAL</v>
      </c>
      <c r="R18" s="5" t="str">
        <v>ANNGR</v>
      </c>
      <c r="S18" s="5" t="str">
        <v>ENELIM</v>
      </c>
      <c r="T18" s="5">
        <v>7</v>
      </c>
      <c r="Z18" s="1" t="s">
        <v>254</v>
      </c>
      <c r="AA18" s="5" t="s">
        <v>186</v>
      </c>
    </row>
    <row r="19" spans="2:27">
      <c r="B19" s="11" t="s">
        <v>211</v>
      </c>
      <c r="E19" s="5" t="s">
        <v>255</v>
      </c>
      <c r="F19" s="5" t="str" cm="1">
        <f t="array" ref="F19">_xll.BDP(bonds[[#This Row],[worksheet get]],bonds[[#Headers],[ID_ISIN]])</f>
        <v>XS1713466495</v>
      </c>
      <c r="G19" s="5" t="str" cm="1">
        <f t="array" ref="G19">_xll.BDP(bonds[[#This Row],[worksheet get]],bonds[[#Headers],[security name]])</f>
        <v>LHNVX 3 PERP</v>
      </c>
      <c r="H19" s="5" t="str" cm="1">
        <f t="array" ref="H19">_xll.BDP(bonds[[#This Row],[worksheet get]],bonds[[#Headers],[ticker]])</f>
        <v>LHNVX</v>
      </c>
      <c r="I19" s="5" cm="1">
        <f t="array" ref="I19">_xll.BDP(bonds[[#This Row],[worksheet get]],bonds[[#Headers],[coupon]])</f>
        <v>3</v>
      </c>
      <c r="J19" s="25" cm="1">
        <f t="array" ref="J19">_xll.BDP(bonds[[#This Row],[worksheet get]],bonds[[#Headers],[nxt_call_dt]])*1</f>
        <v>45478</v>
      </c>
      <c r="K19" s="9" t="str" cm="1">
        <f t="array" ref="K19">_xll.BDP(bonds[[#This Row],[worksheet get]],bonds[[#Headers],[mty_typ]])</f>
        <v>PERP/CALL</v>
      </c>
      <c r="L19" s="9" t="str" cm="1">
        <f t="array" ref="L19">_xll.BDP(bonds[[#This Row],[worksheet get]],bonds[[#Headers],[crncy]])</f>
        <v>EUR</v>
      </c>
      <c r="M19" s="10" cm="1">
        <f t="array" ref="M19">_xll.BDP(bonds[[#This Row],[worksheet get]],bonds[[#Headers],[amt_outstanding]])</f>
        <v>500000000</v>
      </c>
      <c r="N19" s="9" t="str" cm="1">
        <f t="array" ref="N19">_xll.BDP(bonds[[#This Row],[worksheet get]],bonds[[#Headers],[industry_sector]])</f>
        <v>Industrial</v>
      </c>
      <c r="O19" s="9" t="str">
        <f>bonds[[#This Row],[security name]]&amp;" nc-"&amp;RIGHT(YEAR(bonds[[#This Row],[nxt_call_dt]]),2)</f>
        <v>LHNVX 3 PERP nc-24</v>
      </c>
      <c r="Q19" s="5" t="str">
        <v>BHP</v>
      </c>
      <c r="R19" s="5" t="str">
        <v>BALDER</v>
      </c>
      <c r="S19" s="5" t="str">
        <v>ENGIFP</v>
      </c>
      <c r="T19" s="5">
        <v>5</v>
      </c>
      <c r="Z19" s="1" t="s">
        <v>127</v>
      </c>
      <c r="AA19" s="5" t="s">
        <v>186</v>
      </c>
    </row>
    <row r="20" spans="2:27">
      <c r="E20" s="5" t="s">
        <v>256</v>
      </c>
      <c r="F20" s="5" t="str" cm="1">
        <f t="array" ref="F20">_xll.BDP(bonds[[#This Row],[worksheet get]],bonds[[#Headers],[ID_ISIN]])</f>
        <v>DE000A2GSFF1</v>
      </c>
      <c r="G20" s="5" t="str" cm="1">
        <f t="array" ref="G20">_xll.BDP(bonds[[#This Row],[worksheet get]],bonds[[#Headers],[security name]])</f>
        <v>EVKGR 2 1/8 07/07/77</v>
      </c>
      <c r="H20" s="5" t="str" cm="1">
        <f t="array" ref="H20">_xll.BDP(bonds[[#This Row],[worksheet get]],bonds[[#Headers],[ticker]])</f>
        <v>EVKGR</v>
      </c>
      <c r="I20" s="5" cm="1">
        <f t="array" ref="I20">_xll.BDP(bonds[[#This Row],[worksheet get]],bonds[[#Headers],[coupon]])</f>
        <v>2.125</v>
      </c>
      <c r="J20" s="25" cm="1">
        <f t="array" ref="J20">_xll.BDP(bonds[[#This Row],[worksheet get]],bonds[[#Headers],[nxt_call_dt]])*1</f>
        <v>44780</v>
      </c>
      <c r="K20" s="9" t="str" cm="1">
        <f t="array" ref="K20">_xll.BDP(bonds[[#This Row],[worksheet get]],bonds[[#Headers],[mty_typ]])</f>
        <v>CALLABLE</v>
      </c>
      <c r="L20" s="9" t="str" cm="1">
        <f t="array" ref="L20">_xll.BDP(bonds[[#This Row],[worksheet get]],bonds[[#Headers],[crncy]])</f>
        <v>EUR</v>
      </c>
      <c r="M20" s="10" cm="1">
        <f t="array" ref="M20">_xll.BDP(bonds[[#This Row],[worksheet get]],bonds[[#Headers],[amt_outstanding]])</f>
        <v>500000000</v>
      </c>
      <c r="N20" s="9" t="str" cm="1">
        <f t="array" ref="N20">_xll.BDP(bonds[[#This Row],[worksheet get]],bonds[[#Headers],[industry_sector]])</f>
        <v>Basic Materials</v>
      </c>
      <c r="O20" s="9" t="str">
        <f>bonds[[#This Row],[security name]]&amp;" nc-"&amp;RIGHT(YEAR(bonds[[#This Row],[nxt_call_dt]]),2)</f>
        <v>EVKGR 2 1/8 07/07/77 nc-22</v>
      </c>
      <c r="Q20" s="5" t="str">
        <v>AMXLMM</v>
      </c>
      <c r="R20" s="5" t="str">
        <v>TLGGR</v>
      </c>
      <c r="S20" s="5" t="str">
        <v>ERFFP</v>
      </c>
      <c r="T20" s="5">
        <v>3</v>
      </c>
      <c r="Z20" s="1" t="s">
        <v>73</v>
      </c>
      <c r="AA20" s="5" t="s">
        <v>186</v>
      </c>
    </row>
    <row r="21" spans="2:27">
      <c r="E21" s="5" t="s">
        <v>137</v>
      </c>
      <c r="F21" s="5" t="str" cm="1">
        <f t="array" ref="F21">_xll.BDP(bonds[[#This Row],[worksheet get]],bonds[[#Headers],[ID_ISIN]])</f>
        <v>XS2051471105</v>
      </c>
      <c r="G21" s="5" t="str" cm="1">
        <f t="array" ref="G21">_xll.BDP(bonds[[#This Row],[worksheet get]],bonds[[#Headers],[security name]])</f>
        <v>ERFFP 2 7/8 PERP</v>
      </c>
      <c r="H21" s="5" t="str" cm="1">
        <f t="array" ref="H21">_xll.BDP(bonds[[#This Row],[worksheet get]],bonds[[#Headers],[ticker]])</f>
        <v>ERFFP</v>
      </c>
      <c r="I21" s="5" cm="1">
        <f t="array" ref="I21">_xll.BDP(bonds[[#This Row],[worksheet get]],bonds[[#Headers],[coupon]])</f>
        <v>2.875</v>
      </c>
      <c r="J21" s="25" cm="1">
        <f t="array" ref="J21">_xll.BDP(bonds[[#This Row],[worksheet get]],bonds[[#Headers],[nxt_call_dt]])*1</f>
        <v>44784</v>
      </c>
      <c r="K21" s="9" t="str" cm="1">
        <f t="array" ref="K21">_xll.BDP(bonds[[#This Row],[worksheet get]],bonds[[#Headers],[mty_typ]])</f>
        <v>PERP/CALL</v>
      </c>
      <c r="L21" s="9" t="str" cm="1">
        <f t="array" ref="L21">_xll.BDP(bonds[[#This Row],[worksheet get]],bonds[[#Headers],[crncy]])</f>
        <v>EUR</v>
      </c>
      <c r="M21" s="10" cm="1">
        <f t="array" ref="M21">_xll.BDP(bonds[[#This Row],[worksheet get]],bonds[[#Headers],[amt_outstanding]])</f>
        <v>300000000</v>
      </c>
      <c r="N21" s="9" t="str" cm="1">
        <f t="array" ref="N21">_xll.BDP(bonds[[#This Row],[worksheet get]],bonds[[#Headers],[industry_sector]])</f>
        <v>Consumer, Non-cyclical</v>
      </c>
      <c r="O21" s="9" t="str">
        <f>bonds[[#This Row],[security name]]&amp;" nc-"&amp;RIGHT(YEAR(bonds[[#This Row],[nxt_call_dt]]),2)</f>
        <v>ERFFP 2 7/8 PERP nc-22</v>
      </c>
      <c r="Q21" s="5" t="str">
        <v>BERTEL</v>
      </c>
      <c r="R21" s="5" t="str">
        <v>HEIBOS</v>
      </c>
      <c r="S21" s="5" t="str">
        <v>GYCGR</v>
      </c>
      <c r="T21" s="5">
        <v>3</v>
      </c>
      <c r="Z21" s="1" t="s">
        <v>103</v>
      </c>
      <c r="AA21" s="5" t="s">
        <v>186</v>
      </c>
    </row>
    <row r="22" spans="2:27">
      <c r="E22" s="5" t="s">
        <v>257</v>
      </c>
      <c r="F22" s="5" t="str" cm="1">
        <f t="array" ref="F22">_xll.BDP(bonds[[#This Row],[worksheet get]],bonds[[#Headers],[ID_ISIN]])</f>
        <v>XS1224953882</v>
      </c>
      <c r="G22" s="5" t="str" cm="1">
        <f t="array" ref="G22">_xll.BDP(bonds[[#This Row],[worksheet get]],bonds[[#Headers],[security name]])</f>
        <v>ERFFP 4 7/8 PERP</v>
      </c>
      <c r="H22" s="5" t="str" cm="1">
        <f t="array" ref="H22">_xll.BDP(bonds[[#This Row],[worksheet get]],bonds[[#Headers],[ticker]])</f>
        <v>ERFFP</v>
      </c>
      <c r="I22" s="5" cm="1">
        <f t="array" ref="I22">_xll.BDP(bonds[[#This Row],[worksheet get]],bonds[[#Headers],[coupon]])</f>
        <v>4.875</v>
      </c>
      <c r="J22" s="25" cm="1">
        <f t="array" ref="J22">_xll.BDP(bonds[[#This Row],[worksheet get]],bonds[[#Headers],[nxt_call_dt]])*1</f>
        <v>45045</v>
      </c>
      <c r="K22" s="9" t="str" cm="1">
        <f t="array" ref="K22">_xll.BDP(bonds[[#This Row],[worksheet get]],bonds[[#Headers],[mty_typ]])</f>
        <v>PERP/CALL</v>
      </c>
      <c r="L22" s="9" t="str" cm="1">
        <f t="array" ref="L22">_xll.BDP(bonds[[#This Row],[worksheet get]],bonds[[#Headers],[crncy]])</f>
        <v>EUR</v>
      </c>
      <c r="M22" s="10" cm="1">
        <f t="array" ref="M22">_xll.BDP(bonds[[#This Row],[worksheet get]],bonds[[#Headers],[amt_outstanding]])</f>
        <v>300000000</v>
      </c>
      <c r="N22" s="9" t="str" cm="1">
        <f t="array" ref="N22">_xll.BDP(bonds[[#This Row],[worksheet get]],bonds[[#Headers],[industry_sector]])</f>
        <v>Consumer, Non-cyclical</v>
      </c>
      <c r="O22" s="9" t="str">
        <f>bonds[[#This Row],[security name]]&amp;" nc-"&amp;RIGHT(YEAR(bonds[[#This Row],[nxt_call_dt]]),2)</f>
        <v>ERFFP 4 7/8 PERP nc-23</v>
      </c>
      <c r="Q22" s="5" t="str">
        <v>KPN</v>
      </c>
      <c r="R22" s="5" t="str">
        <v>JUSTLN</v>
      </c>
      <c r="S22" s="5" t="str">
        <v>IBESM</v>
      </c>
      <c r="T22" s="5">
        <v>3</v>
      </c>
      <c r="Z22" s="1" t="s">
        <v>160</v>
      </c>
      <c r="AA22" s="5" t="s">
        <v>186</v>
      </c>
    </row>
    <row r="23" spans="2:27">
      <c r="E23" s="5" t="s">
        <v>138</v>
      </c>
      <c r="F23" s="5" t="str" cm="1">
        <f t="array" ref="F23">_xll.BDP(bonds[[#This Row],[worksheet get]],bonds[[#Headers],[ID_ISIN]])</f>
        <v>XS1716945586</v>
      </c>
      <c r="G23" s="5" t="str" cm="1">
        <f t="array" ref="G23">_xll.BDP(bonds[[#This Row],[worksheet get]],bonds[[#Headers],[security name]])</f>
        <v>ERFFP 3 1/4 PERP</v>
      </c>
      <c r="H23" s="5" t="str" cm="1">
        <f t="array" ref="H23">_xll.BDP(bonds[[#This Row],[worksheet get]],bonds[[#Headers],[ticker]])</f>
        <v>ERFFP</v>
      </c>
      <c r="I23" s="5" cm="1">
        <f t="array" ref="I23">_xll.BDP(bonds[[#This Row],[worksheet get]],bonds[[#Headers],[coupon]])</f>
        <v>3.25</v>
      </c>
      <c r="J23" s="25" cm="1">
        <f t="array" ref="J23">_xll.BDP(bonds[[#This Row],[worksheet get]],bonds[[#Headers],[nxt_call_dt]])*1</f>
        <v>45974</v>
      </c>
      <c r="K23" s="9" t="str" cm="1">
        <f t="array" ref="K23">_xll.BDP(bonds[[#This Row],[worksheet get]],bonds[[#Headers],[mty_typ]])</f>
        <v>PERP/CALL</v>
      </c>
      <c r="L23" s="9" t="str" cm="1">
        <f t="array" ref="L23">_xll.BDP(bonds[[#This Row],[worksheet get]],bonds[[#Headers],[crncy]])</f>
        <v>EUR</v>
      </c>
      <c r="M23" s="10" cm="1">
        <f t="array" ref="M23">_xll.BDP(bonds[[#This Row],[worksheet get]],bonds[[#Headers],[amt_outstanding]])</f>
        <v>400000000</v>
      </c>
      <c r="N23" s="9" t="str" cm="1">
        <f t="array" ref="N23">_xll.BDP(bonds[[#This Row],[worksheet get]],bonds[[#Headers],[industry_sector]])</f>
        <v>Consumer, Non-cyclical</v>
      </c>
      <c r="O23" s="9" t="str">
        <f>bonds[[#This Row],[security name]]&amp;" nc-"&amp;RIGHT(YEAR(bonds[[#This Row],[nxt_call_dt]]),2)</f>
        <v>ERFFP 3 1/4 PERP nc-25</v>
      </c>
      <c r="Q23" s="5" t="str">
        <v>TELIAS</v>
      </c>
      <c r="R23" s="5" t="str">
        <v>SZUGR</v>
      </c>
      <c r="S23" s="5" t="str">
        <v>IFXGR</v>
      </c>
      <c r="T23" s="5">
        <v>2</v>
      </c>
      <c r="Z23" s="1" t="s">
        <v>163</v>
      </c>
      <c r="AA23" s="5" t="s">
        <v>186</v>
      </c>
    </row>
    <row r="24" spans="2:27">
      <c r="E24" s="5" t="s">
        <v>258</v>
      </c>
      <c r="F24" s="5" t="str" cm="1">
        <f t="array" ref="F24">_xll.BDP(bonds[[#This Row],[worksheet get]],bonds[[#Headers],[ID_ISIN]])</f>
        <v>FR0013292828</v>
      </c>
      <c r="G24" s="5" t="str" cm="1">
        <f t="array" ref="G24">_xll.BDP(bonds[[#This Row],[worksheet get]],bonds[[#Headers],[security name]])</f>
        <v>BNFP 1 3/4 PERP</v>
      </c>
      <c r="H24" s="5" t="str" cm="1">
        <f t="array" ref="H24">_xll.BDP(bonds[[#This Row],[worksheet get]],bonds[[#Headers],[ticker]])</f>
        <v>BNFP</v>
      </c>
      <c r="I24" s="5" cm="1">
        <f t="array" ref="I24">_xll.BDP(bonds[[#This Row],[worksheet get]],bonds[[#Headers],[coupon]])</f>
        <v>1.75</v>
      </c>
      <c r="J24" s="25" cm="1">
        <f t="array" ref="J24">_xll.BDP(bonds[[#This Row],[worksheet get]],bonds[[#Headers],[nxt_call_dt]])*1</f>
        <v>45012</v>
      </c>
      <c r="K24" s="9" t="str" cm="1">
        <f t="array" ref="K24">_xll.BDP(bonds[[#This Row],[worksheet get]],bonds[[#Headers],[mty_typ]])</f>
        <v>PERP/CALL</v>
      </c>
      <c r="L24" s="9" t="str" cm="1">
        <f t="array" ref="L24">_xll.BDP(bonds[[#This Row],[worksheet get]],bonds[[#Headers],[crncy]])</f>
        <v>EUR</v>
      </c>
      <c r="M24" s="10" cm="1">
        <f t="array" ref="M24">_xll.BDP(bonds[[#This Row],[worksheet get]],bonds[[#Headers],[amt_outstanding]])</f>
        <v>1250000000</v>
      </c>
      <c r="N24" s="9" t="str" cm="1">
        <f t="array" ref="N24">_xll.BDP(bonds[[#This Row],[worksheet get]],bonds[[#Headers],[industry_sector]])</f>
        <v>Consumer, Non-cyclical</v>
      </c>
      <c r="O24" s="9" t="str">
        <f>bonds[[#This Row],[security name]]&amp;" nc-"&amp;RIGHT(YEAR(bonds[[#This Row],[nxt_call_dt]]),2)</f>
        <v>BNFP 1 3/4 PERP nc-23</v>
      </c>
      <c r="Q24" s="5" t="str">
        <v>SESGFP</v>
      </c>
      <c r="R24" s="5" t="str">
        <v>COFP</v>
      </c>
      <c r="S24" s="5" t="str">
        <v>KPN</v>
      </c>
      <c r="T24" s="5">
        <v>2</v>
      </c>
      <c r="Z24" s="1" t="s">
        <v>259</v>
      </c>
      <c r="AA24" s="5" t="s">
        <v>186</v>
      </c>
    </row>
    <row r="25" spans="2:27">
      <c r="E25" s="5" t="s">
        <v>260</v>
      </c>
      <c r="F25" s="5" t="str" cm="1">
        <f t="array" ref="F25">_xll.BDP(bonds[[#This Row],[worksheet get]],bonds[[#Headers],[ID_ISIN]])</f>
        <v>XS1797663967</v>
      </c>
      <c r="G25" s="5" t="str" cm="1">
        <f t="array" ref="G25">_xll.BDP(bonds[[#This Row],[worksheet get]],bonds[[#Headers],[security name]])</f>
        <v>ECLEAR 2 5/8 04/11/48</v>
      </c>
      <c r="H25" s="5" t="str" cm="1">
        <f t="array" ref="H25">_xll.BDP(bonds[[#This Row],[worksheet get]],bonds[[#Headers],[ticker]])</f>
        <v>ECLEAR</v>
      </c>
      <c r="I25" s="5" cm="1">
        <f t="array" ref="I25">_xll.BDP(bonds[[#This Row],[worksheet get]],bonds[[#Headers],[coupon]])</f>
        <v>2.625</v>
      </c>
      <c r="J25" s="25" cm="1">
        <f t="array" ref="J25">_xll.BDP(bonds[[#This Row],[worksheet get]],bonds[[#Headers],[nxt_call_dt]])*1</f>
        <v>46854</v>
      </c>
      <c r="K25" s="9" t="str" cm="1">
        <f t="array" ref="K25">_xll.BDP(bonds[[#This Row],[worksheet get]],bonds[[#Headers],[mty_typ]])</f>
        <v>CALLABLE</v>
      </c>
      <c r="L25" s="9" t="str" cm="1">
        <f t="array" ref="L25">_xll.BDP(bonds[[#This Row],[worksheet get]],bonds[[#Headers],[crncy]])</f>
        <v>EUR</v>
      </c>
      <c r="M25" s="10" cm="1">
        <f t="array" ref="M25">_xll.BDP(bonds[[#This Row],[worksheet get]],bonds[[#Headers],[amt_outstanding]])</f>
        <v>400000000</v>
      </c>
      <c r="N25" s="9" t="str" cm="1">
        <f t="array" ref="N25">_xll.BDP(bonds[[#This Row],[worksheet get]],bonds[[#Headers],[industry_sector]])</f>
        <v>Financial</v>
      </c>
      <c r="O25" s="9" t="str">
        <f>bonds[[#This Row],[security name]]&amp;" nc-"&amp;RIGHT(YEAR(bonds[[#This Row],[nxt_call_dt]]),2)</f>
        <v>ECLEAR 2 5/8 04/11/48 nc-28</v>
      </c>
      <c r="Q25" s="5" t="str">
        <v>ORAFP</v>
      </c>
      <c r="R25" s="5" t="str">
        <v>SBRYLN</v>
      </c>
      <c r="S25" s="5" t="str">
        <v>MRKGR</v>
      </c>
      <c r="T25" s="5">
        <v>4</v>
      </c>
      <c r="Z25" s="1" t="s">
        <v>139</v>
      </c>
      <c r="AA25" s="5" t="s">
        <v>186</v>
      </c>
    </row>
    <row r="26" spans="2:27">
      <c r="E26" s="5" t="s">
        <v>95</v>
      </c>
      <c r="F26" s="5" t="str" cm="1">
        <f t="array" ref="F26">_xll.BDP(bonds[[#This Row],[worksheet get]],bonds[[#Headers],[ID_ISIN]])</f>
        <v>DE000A161W62</v>
      </c>
      <c r="G26" s="5" t="str" cm="1">
        <f t="array" ref="G26">_xll.BDP(bonds[[#This Row],[worksheet get]],bonds[[#Headers],[security name]])</f>
        <v>DBOERS 2 3/4 02/05/41</v>
      </c>
      <c r="H26" s="5" t="str" cm="1">
        <f t="array" ref="H26">_xll.BDP(bonds[[#This Row],[worksheet get]],bonds[[#Headers],[ticker]])</f>
        <v>DBOERS</v>
      </c>
      <c r="I26" s="5" cm="1">
        <f t="array" ref="I26">_xll.BDP(bonds[[#This Row],[worksheet get]],bonds[[#Headers],[coupon]])</f>
        <v>2.75</v>
      </c>
      <c r="J26" s="25" cm="1">
        <f t="array" ref="J26">_xll.BDP(bonds[[#This Row],[worksheet get]],bonds[[#Headers],[nxt_call_dt]])*1</f>
        <v>44140</v>
      </c>
      <c r="K26" s="9" t="str" cm="1">
        <f t="array" ref="K26">_xll.BDP(bonds[[#This Row],[worksheet get]],bonds[[#Headers],[mty_typ]])</f>
        <v>CALLABLE</v>
      </c>
      <c r="L26" s="9" t="str" cm="1">
        <f t="array" ref="L26">_xll.BDP(bonds[[#This Row],[worksheet get]],bonds[[#Headers],[crncy]])</f>
        <v>EUR</v>
      </c>
      <c r="M26" s="10" cm="1">
        <f t="array" ref="M26">_xll.BDP(bonds[[#This Row],[worksheet get]],bonds[[#Headers],[amt_outstanding]])</f>
        <v>315063000</v>
      </c>
      <c r="N26" s="9" t="str" cm="1">
        <f t="array" ref="N26">_xll.BDP(bonds[[#This Row],[worksheet get]],bonds[[#Headers],[industry_sector]])</f>
        <v>Financial</v>
      </c>
      <c r="O26" s="9" t="str">
        <f>bonds[[#This Row],[security name]]&amp;" nc-"&amp;RIGHT(YEAR(bonds[[#This Row],[nxt_call_dt]]),2)</f>
        <v>DBOERS 2 3/4 02/05/41 nc-20</v>
      </c>
      <c r="Q26" s="5" t="str">
        <v>TELEFO</v>
      </c>
      <c r="R26" s="5" t="str">
        <v>WIEAV</v>
      </c>
      <c r="S26" s="5" t="str">
        <v>NGGLN</v>
      </c>
      <c r="T26" s="5">
        <v>3</v>
      </c>
      <c r="Z26" s="1" t="s">
        <v>261</v>
      </c>
      <c r="AA26" s="5" t="s">
        <v>186</v>
      </c>
    </row>
    <row r="27" spans="2:27">
      <c r="E27" s="5" t="s">
        <v>96</v>
      </c>
      <c r="F27" s="5" t="str" cm="1">
        <f t="array" ref="F27">_xll.BDP(bonds[[#This Row],[worksheet get]],bonds[[#Headers],[ID_ISIN]])</f>
        <v>DE000A289N78</v>
      </c>
      <c r="G27" s="5" t="str" cm="1">
        <f t="array" ref="G27">_xll.BDP(bonds[[#This Row],[worksheet get]],bonds[[#Headers],[security name]])</f>
        <v>DBOERS 1 1/4 06/16/47</v>
      </c>
      <c r="H27" s="5" t="str" cm="1">
        <f t="array" ref="H27">_xll.BDP(bonds[[#This Row],[worksheet get]],bonds[[#Headers],[ticker]])</f>
        <v>DBOERS</v>
      </c>
      <c r="I27" s="5" cm="1">
        <f t="array" ref="I27">_xll.BDP(bonds[[#This Row],[worksheet get]],bonds[[#Headers],[coupon]])</f>
        <v>1.25</v>
      </c>
      <c r="J27" s="25" cm="1">
        <f t="array" ref="J27">_xll.BDP(bonds[[#This Row],[worksheet get]],bonds[[#Headers],[nxt_call_dt]])*1</f>
        <v>46462</v>
      </c>
      <c r="K27" s="9" t="str" cm="1">
        <f t="array" ref="K27">_xll.BDP(bonds[[#This Row],[worksheet get]],bonds[[#Headers],[mty_typ]])</f>
        <v>CALLABLE</v>
      </c>
      <c r="L27" s="9" t="str" cm="1">
        <f t="array" ref="L27">_xll.BDP(bonds[[#This Row],[worksheet get]],bonds[[#Headers],[crncy]])</f>
        <v>EUR</v>
      </c>
      <c r="M27" s="10" cm="1">
        <f t="array" ref="M27">_xll.BDP(bonds[[#This Row],[worksheet get]],bonds[[#Headers],[amt_outstanding]])</f>
        <v>600000000</v>
      </c>
      <c r="N27" s="9" t="str" cm="1">
        <f t="array" ref="N27">_xll.BDP(bonds[[#This Row],[worksheet get]],bonds[[#Headers],[industry_sector]])</f>
        <v>Financial</v>
      </c>
      <c r="O27" s="9" t="str">
        <f>bonds[[#This Row],[security name]]&amp;" nc-"&amp;RIGHT(YEAR(bonds[[#This Row],[nxt_call_dt]]),2)</f>
        <v>DBOERS 1 1/4 06/16/47 nc-27</v>
      </c>
      <c r="Q27" s="5" t="str">
        <v>VOD</v>
      </c>
      <c r="S27" s="5" t="str">
        <v>NTGYSM</v>
      </c>
      <c r="T27" s="5">
        <v>2</v>
      </c>
      <c r="Z27" s="1" t="s">
        <v>169</v>
      </c>
      <c r="AA27" s="5" t="s">
        <v>189</v>
      </c>
    </row>
    <row r="28" spans="2:27">
      <c r="E28" s="5" t="s">
        <v>146</v>
      </c>
      <c r="F28" s="5" t="str" cm="1">
        <f t="array" ref="F28">_xll.BDP(bonds[[#This Row],[worksheet get]],bonds[[#Headers],[ID_ISIN]])</f>
        <v>XS2010039035</v>
      </c>
      <c r="G28" s="5" t="str" cm="1">
        <f t="array" ref="G28">_xll.BDP(bonds[[#This Row],[worksheet get]],bonds[[#Headers],[security name]])</f>
        <v>DBHNGR 0.95 PERP</v>
      </c>
      <c r="H28" s="5" t="str" cm="1">
        <f t="array" ref="H28">_xll.BDP(bonds[[#This Row],[worksheet get]],bonds[[#Headers],[ticker]])</f>
        <v>DBHNGR</v>
      </c>
      <c r="I28" s="5" cm="1">
        <f t="array" ref="I28">_xll.BDP(bonds[[#This Row],[worksheet get]],bonds[[#Headers],[coupon]])</f>
        <v>0.95</v>
      </c>
      <c r="J28" s="25" cm="1">
        <f t="array" ref="J28">_xll.BDP(bonds[[#This Row],[worksheet get]],bonds[[#Headers],[nxt_call_dt]])*1</f>
        <v>45679</v>
      </c>
      <c r="K28" s="9" t="str" cm="1">
        <f t="array" ref="K28">_xll.BDP(bonds[[#This Row],[worksheet get]],bonds[[#Headers],[mty_typ]])</f>
        <v>PERP/CALL</v>
      </c>
      <c r="L28" s="9" t="str" cm="1">
        <f t="array" ref="L28">_xll.BDP(bonds[[#This Row],[worksheet get]],bonds[[#Headers],[crncy]])</f>
        <v>EUR</v>
      </c>
      <c r="M28" s="10" cm="1">
        <f t="array" ref="M28">_xll.BDP(bonds[[#This Row],[worksheet get]],bonds[[#Headers],[amt_outstanding]])</f>
        <v>1000000000</v>
      </c>
      <c r="N28" s="9" t="str" cm="1">
        <f t="array" ref="N28">_xll.BDP(bonds[[#This Row],[worksheet get]],bonds[[#Headers],[industry_sector]])</f>
        <v>Industrial</v>
      </c>
      <c r="O28" s="9" t="str">
        <f>bonds[[#This Row],[security name]]&amp;" nc-"&amp;RIGHT(YEAR(bonds[[#This Row],[nxt_call_dt]]),2)</f>
        <v>DBHNGR 0.95 PERP nc-25</v>
      </c>
      <c r="Q28" s="5" t="str">
        <v>BRITEL</v>
      </c>
      <c r="S28" s="5" t="str">
        <v>OMVAV</v>
      </c>
      <c r="T28" s="5">
        <v>3</v>
      </c>
      <c r="Z28" s="1" t="s">
        <v>112</v>
      </c>
      <c r="AA28" s="5" t="s">
        <v>189</v>
      </c>
    </row>
    <row r="29" spans="2:27">
      <c r="E29" s="5" t="s">
        <v>147</v>
      </c>
      <c r="F29" s="5" t="str" cm="1">
        <f t="array" ref="F29">_xll.BDP(bonds[[#This Row],[worksheet get]],bonds[[#Headers],[ID_ISIN]])</f>
        <v>XS2010039548</v>
      </c>
      <c r="G29" s="5" t="str" cm="1">
        <f t="array" ref="G29">_xll.BDP(bonds[[#This Row],[worksheet get]],bonds[[#Headers],[security name]])</f>
        <v>DBHNGR 1.6 PERP</v>
      </c>
      <c r="H29" s="5" t="str" cm="1">
        <f t="array" ref="H29">_xll.BDP(bonds[[#This Row],[worksheet get]],bonds[[#Headers],[ticker]])</f>
        <v>DBHNGR</v>
      </c>
      <c r="I29" s="5" cm="1">
        <f t="array" ref="I29">_xll.BDP(bonds[[#This Row],[worksheet get]],bonds[[#Headers],[coupon]])</f>
        <v>1.6</v>
      </c>
      <c r="J29" s="25" cm="1">
        <f t="array" ref="J29">_xll.BDP(bonds[[#This Row],[worksheet get]],bonds[[#Headers],[nxt_call_dt]])*1</f>
        <v>47317</v>
      </c>
      <c r="K29" s="9" t="str" cm="1">
        <f t="array" ref="K29">_xll.BDP(bonds[[#This Row],[worksheet get]],bonds[[#Headers],[mty_typ]])</f>
        <v>PERP/CALL</v>
      </c>
      <c r="L29" s="9" t="str" cm="1">
        <f t="array" ref="L29">_xll.BDP(bonds[[#This Row],[worksheet get]],bonds[[#Headers],[crncy]])</f>
        <v>EUR</v>
      </c>
      <c r="M29" s="10" cm="1">
        <f t="array" ref="M29">_xll.BDP(bonds[[#This Row],[worksheet get]],bonds[[#Headers],[amt_outstanding]])</f>
        <v>1000000000</v>
      </c>
      <c r="N29" s="9" t="str" cm="1">
        <f t="array" ref="N29">_xll.BDP(bonds[[#This Row],[worksheet get]],bonds[[#Headers],[industry_sector]])</f>
        <v>Industrial</v>
      </c>
      <c r="O29" s="9" t="str">
        <f>bonds[[#This Row],[security name]]&amp;" nc-"&amp;RIGHT(YEAR(bonds[[#This Row],[nxt_call_dt]]),2)</f>
        <v>DBHNGR 1.6 PERP nc-29</v>
      </c>
      <c r="Q29" s="5" t="str">
        <v>IFXGR</v>
      </c>
      <c r="S29" s="5" t="str">
        <v>ORAFP</v>
      </c>
      <c r="T29" s="5">
        <v>7</v>
      </c>
      <c r="Z29" s="1" t="s">
        <v>91</v>
      </c>
      <c r="AA29" s="5" t="s">
        <v>189</v>
      </c>
    </row>
    <row r="30" spans="2:27">
      <c r="E30" s="5" t="s">
        <v>262</v>
      </c>
      <c r="F30" s="5" t="str" cm="1">
        <f t="array" ref="F30">_xll.BDP(bonds[[#This Row],[worksheet get]],bonds[[#Headers],[ID_ISIN]])</f>
        <v>XS1294342792</v>
      </c>
      <c r="G30" s="5" t="str" cm="1">
        <f t="array" ref="G30">_xll.BDP(bonds[[#This Row],[worksheet get]],bonds[[#Headers],[security name]])</f>
        <v>OMVAV 5 1/4 PERP</v>
      </c>
      <c r="H30" s="5" t="str" cm="1">
        <f t="array" ref="H30">_xll.BDP(bonds[[#This Row],[worksheet get]],bonds[[#Headers],[ticker]])</f>
        <v>OMVAV</v>
      </c>
      <c r="I30" s="5" cm="1">
        <f t="array" ref="I30">_xll.BDP(bonds[[#This Row],[worksheet get]],bonds[[#Headers],[coupon]])</f>
        <v>5.25</v>
      </c>
      <c r="J30" s="25" cm="1">
        <f t="array" ref="J30">_xll.BDP(bonds[[#This Row],[worksheet get]],bonds[[#Headers],[nxt_call_dt]])*1</f>
        <v>44539</v>
      </c>
      <c r="K30" s="9" t="str" cm="1">
        <f t="array" ref="K30">_xll.BDP(bonds[[#This Row],[worksheet get]],bonds[[#Headers],[mty_typ]])</f>
        <v>PERP/CALL</v>
      </c>
      <c r="L30" s="9" t="str" cm="1">
        <f t="array" ref="L30">_xll.BDP(bonds[[#This Row],[worksheet get]],bonds[[#Headers],[crncy]])</f>
        <v>EUR</v>
      </c>
      <c r="M30" s="10" cm="1">
        <f t="array" ref="M30">_xll.BDP(bonds[[#This Row],[worksheet get]],bonds[[#Headers],[amt_outstanding]])</f>
        <v>750000000</v>
      </c>
      <c r="N30" s="9" t="str" cm="1">
        <f t="array" ref="N30">_xll.BDP(bonds[[#This Row],[worksheet get]],bonds[[#Headers],[industry_sector]])</f>
        <v>Energy</v>
      </c>
      <c r="O30" s="9" t="str">
        <f>bonds[[#This Row],[security name]]&amp;" nc-"&amp;RIGHT(YEAR(bonds[[#This Row],[nxt_call_dt]]),2)</f>
        <v>OMVAV 5 1/4 PERP nc-21</v>
      </c>
      <c r="Q30" s="5" t="str">
        <v>T</v>
      </c>
      <c r="S30" s="5" t="str">
        <v>ORSTED</v>
      </c>
      <c r="T30" s="5">
        <v>4</v>
      </c>
      <c r="Z30" s="1" t="s">
        <v>130</v>
      </c>
      <c r="AA30" s="5" t="s">
        <v>189</v>
      </c>
    </row>
    <row r="31" spans="2:27">
      <c r="E31" s="5" t="s">
        <v>263</v>
      </c>
      <c r="F31" s="5" t="str" cm="1">
        <f t="array" ref="F31">_xll.BDP(bonds[[#This Row],[worksheet get]],bonds[[#Headers],[ID_ISIN]])</f>
        <v>XS1713462403</v>
      </c>
      <c r="G31" s="5" t="str" cm="1">
        <f t="array" ref="G31">_xll.BDP(bonds[[#This Row],[worksheet get]],bonds[[#Headers],[security name]])</f>
        <v>OMVAV 2 7/8 PERP</v>
      </c>
      <c r="H31" s="5" t="str" cm="1">
        <f t="array" ref="H31">_xll.BDP(bonds[[#This Row],[worksheet get]],bonds[[#Headers],[ticker]])</f>
        <v>OMVAV</v>
      </c>
      <c r="I31" s="5" cm="1">
        <f t="array" ref="I31">_xll.BDP(bonds[[#This Row],[worksheet get]],bonds[[#Headers],[coupon]])</f>
        <v>2.875</v>
      </c>
      <c r="J31" s="25" cm="1">
        <f t="array" ref="J31">_xll.BDP(bonds[[#This Row],[worksheet get]],bonds[[#Headers],[nxt_call_dt]])*1</f>
        <v>45370</v>
      </c>
      <c r="K31" s="9" t="str" cm="1">
        <f t="array" ref="K31">_xll.BDP(bonds[[#This Row],[worksheet get]],bonds[[#Headers],[mty_typ]])</f>
        <v>PERP/CALL</v>
      </c>
      <c r="L31" s="9" t="str" cm="1">
        <f t="array" ref="L31">_xll.BDP(bonds[[#This Row],[worksheet get]],bonds[[#Headers],[crncy]])</f>
        <v>EUR</v>
      </c>
      <c r="M31" s="10" cm="1">
        <f t="array" ref="M31">_xll.BDP(bonds[[#This Row],[worksheet get]],bonds[[#Headers],[amt_outstanding]])</f>
        <v>500000000</v>
      </c>
      <c r="N31" s="9" t="str" cm="1">
        <f t="array" ref="N31">_xll.BDP(bonds[[#This Row],[worksheet get]],bonds[[#Headers],[industry_sector]])</f>
        <v>Energy</v>
      </c>
      <c r="O31" s="9" t="str">
        <f>bonds[[#This Row],[security name]]&amp;" nc-"&amp;RIGHT(YEAR(bonds[[#This Row],[nxt_call_dt]]),2)</f>
        <v>OMVAV 2 7/8 PERP nc-24</v>
      </c>
      <c r="Q31" s="5" t="str">
        <v>ENGIFP</v>
      </c>
      <c r="S31" s="5" t="str">
        <v>REPSM</v>
      </c>
      <c r="T31" s="5">
        <v>4</v>
      </c>
      <c r="Z31" s="1" t="s">
        <v>172</v>
      </c>
      <c r="AA31" s="5" t="s">
        <v>189</v>
      </c>
    </row>
    <row r="32" spans="2:27">
      <c r="E32" s="5" t="s">
        <v>264</v>
      </c>
      <c r="F32" s="5" t="str" cm="1">
        <f t="array" ref="F32">_xll.BDP(bonds[[#This Row],[worksheet get]],bonds[[#Headers],[ID_ISIN]])</f>
        <v>XS1294343337</v>
      </c>
      <c r="G32" s="5" t="str" cm="1">
        <f t="array" ref="G32">_xll.BDP(bonds[[#This Row],[worksheet get]],bonds[[#Headers],[security name]])</f>
        <v>OMVAV 6 1/4 PERP</v>
      </c>
      <c r="H32" s="5" t="str" cm="1">
        <f t="array" ref="H32">_xll.BDP(bonds[[#This Row],[worksheet get]],bonds[[#Headers],[ticker]])</f>
        <v>OMVAV</v>
      </c>
      <c r="I32" s="5" cm="1">
        <f t="array" ref="I32">_xll.BDP(bonds[[#This Row],[worksheet get]],bonds[[#Headers],[coupon]])</f>
        <v>6.25</v>
      </c>
      <c r="J32" s="25" cm="1">
        <f t="array" ref="J32">_xll.BDP(bonds[[#This Row],[worksheet get]],bonds[[#Headers],[nxt_call_dt]])*1</f>
        <v>46000</v>
      </c>
      <c r="K32" s="9" t="str" cm="1">
        <f t="array" ref="K32">_xll.BDP(bonds[[#This Row],[worksheet get]],bonds[[#Headers],[mty_typ]])</f>
        <v>PERP/CALL</v>
      </c>
      <c r="L32" s="9" t="str" cm="1">
        <f t="array" ref="L32">_xll.BDP(bonds[[#This Row],[worksheet get]],bonds[[#Headers],[crncy]])</f>
        <v>EUR</v>
      </c>
      <c r="M32" s="10" cm="1">
        <f t="array" ref="M32">_xll.BDP(bonds[[#This Row],[worksheet get]],bonds[[#Headers],[amt_outstanding]])</f>
        <v>750000000</v>
      </c>
      <c r="N32" s="9" t="str" cm="1">
        <f t="array" ref="N32">_xll.BDP(bonds[[#This Row],[worksheet get]],bonds[[#Headers],[industry_sector]])</f>
        <v>Energy</v>
      </c>
      <c r="O32" s="9" t="str">
        <f>bonds[[#This Row],[security name]]&amp;" nc-"&amp;RIGHT(YEAR(bonds[[#This Row],[nxt_call_dt]]),2)</f>
        <v>OMVAV 6 1/4 PERP nc-25</v>
      </c>
      <c r="Q32" s="5" t="str">
        <v>SEVFP</v>
      </c>
      <c r="S32" s="5" t="str">
        <v>RWE</v>
      </c>
      <c r="T32" s="5">
        <v>3</v>
      </c>
      <c r="Z32" s="1" t="s">
        <v>265</v>
      </c>
      <c r="AA32" s="5" t="s">
        <v>189</v>
      </c>
    </row>
    <row r="33" spans="5:27">
      <c r="E33" s="5" t="s">
        <v>266</v>
      </c>
      <c r="F33" s="5" t="str" cm="1">
        <f t="array" ref="F33">_xll.BDP(bonds[[#This Row],[worksheet get]],bonds[[#Headers],[ID_ISIN]])</f>
        <v>XS1207054666</v>
      </c>
      <c r="G33" s="5" t="str" cm="1">
        <f t="array" ref="G33">_xll.BDP(bonds[[#This Row],[worksheet get]],bonds[[#Headers],[security name]])</f>
        <v>REPSM 3 7/8 PERP</v>
      </c>
      <c r="H33" s="5" t="str" cm="1">
        <f t="array" ref="H33">_xll.BDP(bonds[[#This Row],[worksheet get]],bonds[[#Headers],[ticker]])</f>
        <v>REPSM</v>
      </c>
      <c r="I33" s="5" cm="1">
        <f t="array" ref="I33">_xll.BDP(bonds[[#This Row],[worksheet get]],bonds[[#Headers],[coupon]])</f>
        <v>3.875</v>
      </c>
      <c r="J33" s="25" cm="1">
        <f t="array" ref="J33">_xll.BDP(bonds[[#This Row],[worksheet get]],bonds[[#Headers],[nxt_call_dt]])*1</f>
        <v>44280</v>
      </c>
      <c r="K33" s="9" t="str" cm="1">
        <f t="array" ref="K33">_xll.BDP(bonds[[#This Row],[worksheet get]],bonds[[#Headers],[mty_typ]])</f>
        <v>PERP/CALL</v>
      </c>
      <c r="L33" s="9" t="str" cm="1">
        <f t="array" ref="L33">_xll.BDP(bonds[[#This Row],[worksheet get]],bonds[[#Headers],[crncy]])</f>
        <v>EUR</v>
      </c>
      <c r="M33" s="10" cm="1">
        <f t="array" ref="M33">_xll.BDP(bonds[[#This Row],[worksheet get]],bonds[[#Headers],[amt_outstanding]])</f>
        <v>406277000</v>
      </c>
      <c r="N33" s="9" t="str" cm="1">
        <f t="array" ref="N33">_xll.BDP(bonds[[#This Row],[worksheet get]],bonds[[#Headers],[industry_sector]])</f>
        <v>Energy</v>
      </c>
      <c r="O33" s="9" t="str">
        <f>bonds[[#This Row],[security name]]&amp;" nc-"&amp;RIGHT(YEAR(bonds[[#This Row],[nxt_call_dt]]),2)</f>
        <v>REPSM 3 7/8 PERP nc-21</v>
      </c>
      <c r="Q33" s="5" t="str">
        <v>EDF</v>
      </c>
      <c r="S33" s="5" t="str">
        <v>SBBBSS</v>
      </c>
      <c r="T33" s="5">
        <v>2</v>
      </c>
      <c r="Z33" s="1" t="s">
        <v>267</v>
      </c>
      <c r="AA33" s="5" t="s">
        <v>189</v>
      </c>
    </row>
    <row r="34" spans="5:27">
      <c r="E34" s="5" t="s">
        <v>268</v>
      </c>
      <c r="F34" s="5" t="str" cm="1">
        <f t="array" ref="F34">_xll.BDP(bonds[[#This Row],[worksheet get]],bonds[[#Headers],[ID_ISIN]])</f>
        <v>XS1207058733</v>
      </c>
      <c r="G34" s="5" t="str" cm="1">
        <f t="array" ref="G34">_xll.BDP(bonds[[#This Row],[worksheet get]],bonds[[#Headers],[security name]])</f>
        <v>REPSM 4 1/2 03/25/75</v>
      </c>
      <c r="H34" s="5" t="str" cm="1">
        <f t="array" ref="H34">_xll.BDP(bonds[[#This Row],[worksheet get]],bonds[[#Headers],[ticker]])</f>
        <v>REPSM</v>
      </c>
      <c r="I34" s="5" cm="1">
        <f t="array" ref="I34">_xll.BDP(bonds[[#This Row],[worksheet get]],bonds[[#Headers],[coupon]])</f>
        <v>4.5</v>
      </c>
      <c r="J34" s="25" cm="1">
        <f t="array" ref="J34">_xll.BDP(bonds[[#This Row],[worksheet get]],bonds[[#Headers],[nxt_call_dt]])*1</f>
        <v>45741</v>
      </c>
      <c r="K34" s="9" t="str" cm="1">
        <f t="array" ref="K34">_xll.BDP(bonds[[#This Row],[worksheet get]],bonds[[#Headers],[mty_typ]])</f>
        <v>CALLABLE</v>
      </c>
      <c r="L34" s="9" t="str" cm="1">
        <f t="array" ref="L34">_xll.BDP(bonds[[#This Row],[worksheet get]],bonds[[#Headers],[crncy]])</f>
        <v>EUR</v>
      </c>
      <c r="M34" s="10" cm="1">
        <f t="array" ref="M34">_xll.BDP(bonds[[#This Row],[worksheet get]],bonds[[#Headers],[amt_outstanding]])</f>
        <v>1000000000</v>
      </c>
      <c r="N34" s="9" t="str" cm="1">
        <f t="array" ref="N34">_xll.BDP(bonds[[#This Row],[worksheet get]],bonds[[#Headers],[industry_sector]])</f>
        <v>Energy</v>
      </c>
      <c r="O34" s="9" t="str">
        <f>bonds[[#This Row],[security name]]&amp;" nc-"&amp;RIGHT(YEAR(bonds[[#This Row],[nxt_call_dt]]),2)</f>
        <v>REPSM 4 1/2 03/25/75 nc-25</v>
      </c>
      <c r="Q34" s="5" t="str">
        <v>ENBW</v>
      </c>
      <c r="S34" s="5" t="str">
        <v>SESGFP</v>
      </c>
      <c r="T34" s="5">
        <v>2</v>
      </c>
      <c r="Z34" s="1" t="s">
        <v>97</v>
      </c>
      <c r="AA34" s="5" t="s">
        <v>189</v>
      </c>
    </row>
    <row r="35" spans="5:27">
      <c r="E35" s="5" t="s">
        <v>84</v>
      </c>
      <c r="F35" s="5" t="str" cm="1">
        <f t="array" ref="F35">_xll.BDP(bonds[[#This Row],[worksheet get]],bonds[[#Headers],[ID_ISIN]])</f>
        <v>XS2185997884</v>
      </c>
      <c r="G35" s="5" t="str" cm="1">
        <f t="array" ref="G35">_xll.BDP(bonds[[#This Row],[worksheet get]],bonds[[#Headers],[security name]])</f>
        <v>REPSM 3 3/4 PERP</v>
      </c>
      <c r="H35" s="5" t="str" cm="1">
        <f t="array" ref="H35">_xll.BDP(bonds[[#This Row],[worksheet get]],bonds[[#Headers],[ticker]])</f>
        <v>REPSM</v>
      </c>
      <c r="I35" s="5" cm="1">
        <f t="array" ref="I35">_xll.BDP(bonds[[#This Row],[worksheet get]],bonds[[#Headers],[coupon]])</f>
        <v>3.75</v>
      </c>
      <c r="J35" s="25" cm="1">
        <f t="array" ref="J35">_xll.BDP(bonds[[#This Row],[worksheet get]],bonds[[#Headers],[nxt_call_dt]])*1</f>
        <v>46092</v>
      </c>
      <c r="K35" s="9" t="str" cm="1">
        <f t="array" ref="K35">_xll.BDP(bonds[[#This Row],[worksheet get]],bonds[[#Headers],[mty_typ]])</f>
        <v>PERP/CALL</v>
      </c>
      <c r="L35" s="9" t="str" cm="1">
        <f t="array" ref="L35">_xll.BDP(bonds[[#This Row],[worksheet get]],bonds[[#Headers],[crncy]])</f>
        <v>EUR</v>
      </c>
      <c r="M35" s="10" cm="1">
        <f t="array" ref="M35">_xll.BDP(bonds[[#This Row],[worksheet get]],bonds[[#Headers],[amt_outstanding]])</f>
        <v>750000000</v>
      </c>
      <c r="N35" s="9" t="str" cm="1">
        <f t="array" ref="N35">_xll.BDP(bonds[[#This Row],[worksheet get]],bonds[[#Headers],[industry_sector]])</f>
        <v>Energy</v>
      </c>
      <c r="O35" s="9" t="str">
        <f>bonds[[#This Row],[security name]]&amp;" nc-"&amp;RIGHT(YEAR(bonds[[#This Row],[nxt_call_dt]]),2)</f>
        <v>REPSM 3 3/4 PERP nc-26</v>
      </c>
      <c r="Q35" s="5" t="str">
        <v>RWE</v>
      </c>
      <c r="S35" s="5" t="str">
        <v>SEVFP</v>
      </c>
      <c r="T35" s="5">
        <v>3</v>
      </c>
      <c r="Z35" s="1" t="s">
        <v>157</v>
      </c>
      <c r="AA35" s="5" t="s">
        <v>189</v>
      </c>
    </row>
    <row r="36" spans="5:27">
      <c r="E36" s="5" t="s">
        <v>269</v>
      </c>
      <c r="F36" s="5" t="str" cm="1">
        <f t="array" ref="F36">_xll.BDP(bonds[[#This Row],[worksheet get]],bonds[[#Headers],[ID_ISIN]])</f>
        <v>XS2186001314</v>
      </c>
      <c r="G36" s="5" t="str" cm="1">
        <f t="array" ref="G36">_xll.BDP(bonds[[#This Row],[worksheet get]],bonds[[#Headers],[security name]])</f>
        <v>REPSM 4.247 PERP</v>
      </c>
      <c r="H36" s="5" t="str" cm="1">
        <f t="array" ref="H36">_xll.BDP(bonds[[#This Row],[worksheet get]],bonds[[#Headers],[ticker]])</f>
        <v>REPSM</v>
      </c>
      <c r="I36" s="5" cm="1">
        <f t="array" ref="I36">_xll.BDP(bonds[[#This Row],[worksheet get]],bonds[[#Headers],[coupon]])</f>
        <v>4.2469999999999999</v>
      </c>
      <c r="J36" s="25" cm="1">
        <f t="array" ref="J36">_xll.BDP(bonds[[#This Row],[worksheet get]],bonds[[#Headers],[nxt_call_dt]])*1</f>
        <v>47007</v>
      </c>
      <c r="K36" s="9" t="str" cm="1">
        <f t="array" ref="K36">_xll.BDP(bonds[[#This Row],[worksheet get]],bonds[[#Headers],[mty_typ]])</f>
        <v>PERP/CALL</v>
      </c>
      <c r="L36" s="9" t="str" cm="1">
        <f t="array" ref="L36">_xll.BDP(bonds[[#This Row],[worksheet get]],bonds[[#Headers],[crncy]])</f>
        <v>EUR</v>
      </c>
      <c r="M36" s="10" cm="1">
        <f t="array" ref="M36">_xll.BDP(bonds[[#This Row],[worksheet get]],bonds[[#Headers],[amt_outstanding]])</f>
        <v>750000000</v>
      </c>
      <c r="N36" s="9" t="str" cm="1">
        <f t="array" ref="N36">_xll.BDP(bonds[[#This Row],[worksheet get]],bonds[[#Headers],[industry_sector]])</f>
        <v>Energy</v>
      </c>
      <c r="O36" s="9" t="str">
        <f>bonds[[#This Row],[security name]]&amp;" nc-"&amp;RIGHT(YEAR(bonds[[#This Row],[nxt_call_dt]]),2)</f>
        <v>REPSM 4.247 PERP nc-28</v>
      </c>
      <c r="Q36" s="5" t="str">
        <v>TENN</v>
      </c>
      <c r="S36" s="5" t="str">
        <v>SOFTBK</v>
      </c>
      <c r="T36" s="5">
        <v>2</v>
      </c>
      <c r="Z36" s="1" t="s">
        <v>88</v>
      </c>
      <c r="AA36" s="5" t="s">
        <v>189</v>
      </c>
    </row>
    <row r="37" spans="5:27">
      <c r="E37" s="5" t="s">
        <v>119</v>
      </c>
      <c r="F37" s="5" t="str" cm="1">
        <f t="array" ref="F37">_xll.BDP(bonds[[#This Row],[worksheet get]],bonds[[#Headers],[ID_ISIN]])</f>
        <v>XS2193661324</v>
      </c>
      <c r="G37" s="5" t="str" cm="1">
        <f t="array" ref="G37">_xll.BDP(bonds[[#This Row],[worksheet get]],bonds[[#Headers],[security name]])</f>
        <v>BPLN 3 1/4 PERP</v>
      </c>
      <c r="H37" s="5" t="str" cm="1">
        <f t="array" ref="H37">_xll.BDP(bonds[[#This Row],[worksheet get]],bonds[[#Headers],[ticker]])</f>
        <v>BPLN</v>
      </c>
      <c r="I37" s="5" cm="1">
        <f t="array" ref="I37">_xll.BDP(bonds[[#This Row],[worksheet get]],bonds[[#Headers],[coupon]])</f>
        <v>3.25</v>
      </c>
      <c r="J37" s="25" cm="1">
        <f t="array" ref="J37">_xll.BDP(bonds[[#This Row],[worksheet get]],bonds[[#Headers],[nxt_call_dt]])*1</f>
        <v>46103</v>
      </c>
      <c r="K37" s="9" t="str" cm="1">
        <f t="array" ref="K37">_xll.BDP(bonds[[#This Row],[worksheet get]],bonds[[#Headers],[mty_typ]])</f>
        <v>PERP/CALL</v>
      </c>
      <c r="L37" s="9" t="str" cm="1">
        <f t="array" ref="L37">_xll.BDP(bonds[[#This Row],[worksheet get]],bonds[[#Headers],[crncy]])</f>
        <v>EUR</v>
      </c>
      <c r="M37" s="10" cm="1">
        <f t="array" ref="M37">_xll.BDP(bonds[[#This Row],[worksheet get]],bonds[[#Headers],[amt_outstanding]])</f>
        <v>2500000000</v>
      </c>
      <c r="N37" s="9" t="str" cm="1">
        <f t="array" ref="N37">_xll.BDP(bonds[[#This Row],[worksheet get]],bonds[[#Headers],[industry_sector]])</f>
        <v>Energy</v>
      </c>
      <c r="O37" s="9" t="str">
        <f>bonds[[#This Row],[security name]]&amp;" nc-"&amp;RIGHT(YEAR(bonds[[#This Row],[nxt_call_dt]]),2)</f>
        <v>BPLN 3 1/4 PERP nc-26</v>
      </c>
      <c r="Q37" s="5" t="str">
        <v>VATFAL</v>
      </c>
      <c r="S37" s="5" t="str">
        <v>SOLBBB</v>
      </c>
      <c r="T37" s="5">
        <v>4</v>
      </c>
      <c r="Z37" s="1" t="s">
        <v>270</v>
      </c>
      <c r="AA37" s="5" t="s">
        <v>189</v>
      </c>
    </row>
    <row r="38" spans="5:27">
      <c r="E38" s="5" t="s">
        <v>120</v>
      </c>
      <c r="F38" s="5" t="str" cm="1">
        <f t="array" ref="F38">_xll.BDP(bonds[[#This Row],[worksheet get]],bonds[[#Headers],[ID_ISIN]])</f>
        <v>XS2193662728</v>
      </c>
      <c r="G38" s="5" t="str" cm="1">
        <f t="array" ref="G38">_xll.BDP(bonds[[#This Row],[worksheet get]],bonds[[#Headers],[security name]])</f>
        <v>BPLN 3 5/8 PERP</v>
      </c>
      <c r="H38" s="5" t="str" cm="1">
        <f t="array" ref="H38">_xll.BDP(bonds[[#This Row],[worksheet get]],bonds[[#Headers],[ticker]])</f>
        <v>BPLN</v>
      </c>
      <c r="I38" s="5" cm="1">
        <f t="array" ref="I38">_xll.BDP(bonds[[#This Row],[worksheet get]],bonds[[#Headers],[coupon]])</f>
        <v>3.625</v>
      </c>
      <c r="J38" s="25" cm="1">
        <f t="array" ref="J38">_xll.BDP(bonds[[#This Row],[worksheet get]],bonds[[#Headers],[nxt_call_dt]])*1</f>
        <v>47199</v>
      </c>
      <c r="K38" s="9" t="str" cm="1">
        <f t="array" ref="K38">_xll.BDP(bonds[[#This Row],[worksheet get]],bonds[[#Headers],[mty_typ]])</f>
        <v>PERP/CALL</v>
      </c>
      <c r="L38" s="9" t="str" cm="1">
        <f t="array" ref="L38">_xll.BDP(bonds[[#This Row],[worksheet get]],bonds[[#Headers],[crncy]])</f>
        <v>EUR</v>
      </c>
      <c r="M38" s="10" cm="1">
        <f t="array" ref="M38">_xll.BDP(bonds[[#This Row],[worksheet get]],bonds[[#Headers],[amt_outstanding]])</f>
        <v>2250000000</v>
      </c>
      <c r="N38" s="9" t="str" cm="1">
        <f t="array" ref="N38">_xll.BDP(bonds[[#This Row],[worksheet get]],bonds[[#Headers],[industry_sector]])</f>
        <v>Energy</v>
      </c>
      <c r="O38" s="9" t="str">
        <f>bonds[[#This Row],[security name]]&amp;" nc-"&amp;RIGHT(YEAR(bonds[[#This Row],[nxt_call_dt]]),2)</f>
        <v>BPLN 3 5/8 PERP nc-29</v>
      </c>
      <c r="Q38" s="5" t="str">
        <v>ENELIM</v>
      </c>
      <c r="S38" s="5" t="str">
        <v>SSELN</v>
      </c>
      <c r="T38" s="5">
        <v>6</v>
      </c>
      <c r="Z38" s="1" t="s">
        <v>115</v>
      </c>
      <c r="AA38" s="5" t="s">
        <v>189</v>
      </c>
    </row>
    <row r="39" spans="5:27">
      <c r="E39" s="5" t="s">
        <v>271</v>
      </c>
      <c r="F39" s="5" t="str" cm="1">
        <f t="array" ref="F39">_xll.BDP(bonds[[#This Row],[worksheet get]],bonds[[#Headers],[ID_ISIN]])</f>
        <v>XS2193663619</v>
      </c>
      <c r="G39" s="5" t="str" cm="1">
        <f t="array" ref="G39">_xll.BDP(bonds[[#This Row],[worksheet get]],bonds[[#Headers],[security name]])</f>
        <v>BPLN 4 1/4 PERP</v>
      </c>
      <c r="H39" s="5" t="str" cm="1">
        <f t="array" ref="H39">_xll.BDP(bonds[[#This Row],[worksheet get]],bonds[[#Headers],[ticker]])</f>
        <v>BPLN</v>
      </c>
      <c r="I39" s="5" cm="1">
        <f t="array" ref="I39">_xll.BDP(bonds[[#This Row],[worksheet get]],bonds[[#Headers],[coupon]])</f>
        <v>4.25</v>
      </c>
      <c r="J39" s="25" cm="1">
        <f t="array" ref="J39">_xll.BDP(bonds[[#This Row],[worksheet get]],bonds[[#Headers],[nxt_call_dt]])*1</f>
        <v>46468</v>
      </c>
      <c r="K39" s="9" t="str" cm="1">
        <f t="array" ref="K39">_xll.BDP(bonds[[#This Row],[worksheet get]],bonds[[#Headers],[mty_typ]])</f>
        <v>PERP/CALL</v>
      </c>
      <c r="L39" s="9" t="str" cm="1">
        <f t="array" ref="L39">_xll.BDP(bonds[[#This Row],[worksheet get]],bonds[[#Headers],[crncy]])</f>
        <v>GBP</v>
      </c>
      <c r="M39" s="10" cm="1">
        <f t="array" ref="M39">_xll.BDP(bonds[[#This Row],[worksheet get]],bonds[[#Headers],[amt_outstanding]])</f>
        <v>1250000000</v>
      </c>
      <c r="N39" s="9" t="str" cm="1">
        <f t="array" ref="N39">_xll.BDP(bonds[[#This Row],[worksheet get]],bonds[[#Headers],[industry_sector]])</f>
        <v>Energy</v>
      </c>
      <c r="O39" s="9" t="str">
        <f>bonds[[#This Row],[security name]]&amp;" nc-"&amp;RIGHT(YEAR(bonds[[#This Row],[nxt_call_dt]]),2)</f>
        <v>BPLN 4 1/4 PERP nc-27</v>
      </c>
      <c r="Q39" s="5" t="str">
        <v>IBESM</v>
      </c>
      <c r="S39" s="5" t="str">
        <v>TELEFO</v>
      </c>
      <c r="T39" s="5">
        <v>8</v>
      </c>
      <c r="Z39" s="1" t="s">
        <v>272</v>
      </c>
      <c r="AA39" s="5" t="s">
        <v>189</v>
      </c>
    </row>
    <row r="40" spans="5:27">
      <c r="E40" s="5" t="s">
        <v>273</v>
      </c>
      <c r="F40" s="5" t="str" cm="1">
        <f t="array" ref="F40">_xll.BDP(bonds[[#This Row],[worksheet get]],bonds[[#Headers],[ID_ISIN]])</f>
        <v>US05565QDU94</v>
      </c>
      <c r="G40" s="5" t="str" cm="1">
        <f t="array" ref="G40">_xll.BDP(bonds[[#This Row],[worksheet get]],bonds[[#Headers],[security name]])</f>
        <v>BPLN 4 3/8 PERP</v>
      </c>
      <c r="H40" s="5" t="str" cm="1">
        <f t="array" ref="H40">_xll.BDP(bonds[[#This Row],[worksheet get]],bonds[[#Headers],[ticker]])</f>
        <v>BPLN</v>
      </c>
      <c r="I40" s="5" cm="1">
        <f t="array" ref="I40">_xll.BDP(bonds[[#This Row],[worksheet get]],bonds[[#Headers],[coupon]])</f>
        <v>4.375</v>
      </c>
      <c r="J40" s="25" cm="1">
        <f t="array" ref="J40">_xll.BDP(bonds[[#This Row],[worksheet get]],bonds[[#Headers],[nxt_call_dt]])*1</f>
        <v>45830</v>
      </c>
      <c r="K40" s="9" t="str" cm="1">
        <f t="array" ref="K40">_xll.BDP(bonds[[#This Row],[worksheet get]],bonds[[#Headers],[mty_typ]])</f>
        <v>PERP/CALL</v>
      </c>
      <c r="L40" s="9" t="str" cm="1">
        <f t="array" ref="L40">_xll.BDP(bonds[[#This Row],[worksheet get]],bonds[[#Headers],[crncy]])</f>
        <v>USD</v>
      </c>
      <c r="M40" s="10" cm="1">
        <f t="array" ref="M40">_xll.BDP(bonds[[#This Row],[worksheet get]],bonds[[#Headers],[amt_outstanding]])</f>
        <v>2500000000</v>
      </c>
      <c r="N40" s="9" t="str" cm="1">
        <f t="array" ref="N40">_xll.BDP(bonds[[#This Row],[worksheet get]],bonds[[#Headers],[industry_sector]])</f>
        <v>Energy</v>
      </c>
      <c r="O40" s="9" t="str">
        <f>bonds[[#This Row],[security name]]&amp;" nc-"&amp;RIGHT(YEAR(bonds[[#This Row],[nxt_call_dt]]),2)</f>
        <v>BPLN 4 3/8 PERP nc-25</v>
      </c>
      <c r="Q40" s="5" t="str">
        <v>NTGYSM</v>
      </c>
      <c r="S40" s="5" t="str">
        <v>TELIAS</v>
      </c>
      <c r="T40" s="5">
        <v>2</v>
      </c>
      <c r="Z40" s="1" t="s">
        <v>274</v>
      </c>
      <c r="AA40" s="5" t="s">
        <v>189</v>
      </c>
    </row>
    <row r="41" spans="5:27">
      <c r="E41" s="5" t="s">
        <v>275</v>
      </c>
      <c r="F41" s="5" t="str" cm="1">
        <f t="array" ref="F41">_xll.BDP(bonds[[#This Row],[worksheet get]],bonds[[#Headers],[ID_ISIN]])</f>
        <v>US05565QDV77</v>
      </c>
      <c r="G41" s="5" t="str" cm="1">
        <f t="array" ref="G41">_xll.BDP(bonds[[#This Row],[worksheet get]],bonds[[#Headers],[security name]])</f>
        <v>BPLN 4 7/8 PERP</v>
      </c>
      <c r="H41" s="5" t="str" cm="1">
        <f t="array" ref="H41">_xll.BDP(bonds[[#This Row],[worksheet get]],bonds[[#Headers],[ticker]])</f>
        <v>BPLN</v>
      </c>
      <c r="I41" s="5" cm="1">
        <f t="array" ref="I41">_xll.BDP(bonds[[#This Row],[worksheet get]],bonds[[#Headers],[coupon]])</f>
        <v>4.875</v>
      </c>
      <c r="J41" s="25" cm="1">
        <f t="array" ref="J41">_xll.BDP(bonds[[#This Row],[worksheet get]],bonds[[#Headers],[nxt_call_dt]])*1</f>
        <v>47564</v>
      </c>
      <c r="K41" s="9" t="str" cm="1">
        <f t="array" ref="K41">_xll.BDP(bonds[[#This Row],[worksheet get]],bonds[[#Headers],[mty_typ]])</f>
        <v>PERP/CALL</v>
      </c>
      <c r="L41" s="9" t="str" cm="1">
        <f t="array" ref="L41">_xll.BDP(bonds[[#This Row],[worksheet get]],bonds[[#Headers],[crncy]])</f>
        <v>USD</v>
      </c>
      <c r="M41" s="10" cm="1">
        <f t="array" ref="M41">_xll.BDP(bonds[[#This Row],[worksheet get]],bonds[[#Headers],[amt_outstanding]])</f>
        <v>2500000000</v>
      </c>
      <c r="N41" s="9" t="str" cm="1">
        <f t="array" ref="N41">_xll.BDP(bonds[[#This Row],[worksheet get]],bonds[[#Headers],[industry_sector]])</f>
        <v>Energy</v>
      </c>
      <c r="O41" s="9" t="str">
        <f>bonds[[#This Row],[security name]]&amp;" nc-"&amp;RIGHT(YEAR(bonds[[#This Row],[nxt_call_dt]]),2)</f>
        <v>BPLN 4 7/8 PERP nc-30</v>
      </c>
      <c r="Q41" s="5" t="str">
        <v>CNALN</v>
      </c>
      <c r="S41" s="5" t="str">
        <v>TOTAL</v>
      </c>
      <c r="T41" s="5">
        <v>6</v>
      </c>
      <c r="Z41" s="1" t="s">
        <v>124</v>
      </c>
      <c r="AA41" s="5" t="s">
        <v>189</v>
      </c>
    </row>
    <row r="42" spans="5:27">
      <c r="E42" s="5" t="s">
        <v>276</v>
      </c>
      <c r="F42" s="5" t="str" cm="1">
        <f t="array" ref="F42">_xll.BDP(bonds[[#This Row],[worksheet get]],bonds[[#Headers],[ID_ISIN]])</f>
        <v>XS1195201931</v>
      </c>
      <c r="G42" s="5" t="str" cm="1">
        <f t="array" ref="G42">_xll.BDP(bonds[[#This Row],[worksheet get]],bonds[[#Headers],[security name]])</f>
        <v>TOTAL 2 1/4 PERP</v>
      </c>
      <c r="H42" s="5" t="str" cm="1">
        <f t="array" ref="H42">_xll.BDP(bonds[[#This Row],[worksheet get]],bonds[[#Headers],[ticker]])</f>
        <v>TOTAL</v>
      </c>
      <c r="I42" s="5" cm="1">
        <f t="array" ref="I42">_xll.BDP(bonds[[#This Row],[worksheet get]],bonds[[#Headers],[coupon]])</f>
        <v>2.25</v>
      </c>
      <c r="J42" s="25" cm="1">
        <f t="array" ref="J42">_xll.BDP(bonds[[#This Row],[worksheet get]],bonds[[#Headers],[nxt_call_dt]])*1</f>
        <v>44253</v>
      </c>
      <c r="K42" s="9" t="str" cm="1">
        <f t="array" ref="K42">_xll.BDP(bonds[[#This Row],[worksheet get]],bonds[[#Headers],[mty_typ]])</f>
        <v>PERP/CALL</v>
      </c>
      <c r="L42" s="9" t="str" cm="1">
        <f t="array" ref="L42">_xll.BDP(bonds[[#This Row],[worksheet get]],bonds[[#Headers],[crncy]])</f>
        <v>EUR</v>
      </c>
      <c r="M42" s="10" cm="1">
        <f t="array" ref="M42">_xll.BDP(bonds[[#This Row],[worksheet get]],bonds[[#Headers],[amt_outstanding]])</f>
        <v>1000000000</v>
      </c>
      <c r="N42" s="9" t="str" cm="1">
        <f t="array" ref="N42">_xll.BDP(bonds[[#This Row],[worksheet get]],bonds[[#Headers],[industry_sector]])</f>
        <v>Energy</v>
      </c>
      <c r="O42" s="9" t="str">
        <f>bonds[[#This Row],[security name]]&amp;" nc-"&amp;RIGHT(YEAR(bonds[[#This Row],[nxt_call_dt]]),2)</f>
        <v>TOTAL 2 1/4 PERP nc-21</v>
      </c>
      <c r="Q42" s="5" t="str">
        <v>NGGLN</v>
      </c>
      <c r="S42" s="5" t="str">
        <v>TRAFIG</v>
      </c>
      <c r="T42" s="5">
        <v>2</v>
      </c>
      <c r="Z42" s="1" t="s">
        <v>277</v>
      </c>
      <c r="AA42" s="5" t="s">
        <v>189</v>
      </c>
    </row>
    <row r="43" spans="5:27">
      <c r="E43" s="5" t="s">
        <v>278</v>
      </c>
      <c r="F43" s="5" t="str" cm="1">
        <f t="array" ref="F43">_xll.BDP(bonds[[#This Row],[worksheet get]],bonds[[#Headers],[ID_ISIN]])</f>
        <v>XS1413581205</v>
      </c>
      <c r="G43" s="5" t="str" cm="1">
        <f t="array" ref="G43">_xll.BDP(bonds[[#This Row],[worksheet get]],bonds[[#Headers],[security name]])</f>
        <v>TOTAL 3 7/8 PERP</v>
      </c>
      <c r="H43" s="5" t="str" cm="1">
        <f t="array" ref="H43">_xll.BDP(bonds[[#This Row],[worksheet get]],bonds[[#Headers],[ticker]])</f>
        <v>TOTAL</v>
      </c>
      <c r="I43" s="5" cm="1">
        <f t="array" ref="I43">_xll.BDP(bonds[[#This Row],[worksheet get]],bonds[[#Headers],[coupon]])</f>
        <v>3.875</v>
      </c>
      <c r="J43" s="25" cm="1">
        <f t="array" ref="J43">_xll.BDP(bonds[[#This Row],[worksheet get]],bonds[[#Headers],[nxt_call_dt]])*1</f>
        <v>44699</v>
      </c>
      <c r="K43" s="9" t="str" cm="1">
        <f t="array" ref="K43">_xll.BDP(bonds[[#This Row],[worksheet get]],bonds[[#Headers],[mty_typ]])</f>
        <v>PERP/CALL</v>
      </c>
      <c r="L43" s="9" t="str" cm="1">
        <f t="array" ref="L43">_xll.BDP(bonds[[#This Row],[worksheet get]],bonds[[#Headers],[crncy]])</f>
        <v>EUR</v>
      </c>
      <c r="M43" s="10" cm="1">
        <f t="array" ref="M43">_xll.BDP(bonds[[#This Row],[worksheet get]],bonds[[#Headers],[amt_outstanding]])</f>
        <v>1750000000</v>
      </c>
      <c r="N43" s="9" t="str" cm="1">
        <f t="array" ref="N43">_xll.BDP(bonds[[#This Row],[worksheet get]],bonds[[#Headers],[industry_sector]])</f>
        <v>Energy</v>
      </c>
      <c r="O43" s="9" t="str">
        <f>bonds[[#This Row],[security name]]&amp;" nc-"&amp;RIGHT(YEAR(bonds[[#This Row],[nxt_call_dt]]),2)</f>
        <v>TOTAL 3 7/8 PERP nc-22</v>
      </c>
      <c r="Q43" s="5" t="str">
        <v>SSELN</v>
      </c>
      <c r="S43" s="5" t="str">
        <v>ULFP</v>
      </c>
      <c r="T43" s="5">
        <v>2</v>
      </c>
      <c r="Z43" s="1" t="s">
        <v>85</v>
      </c>
      <c r="AA43" s="5" t="s">
        <v>189</v>
      </c>
    </row>
    <row r="44" spans="5:27">
      <c r="E44" s="5" t="s">
        <v>279</v>
      </c>
      <c r="F44" s="5" t="str" cm="1">
        <f t="array" ref="F44">_xll.BDP(bonds[[#This Row],[worksheet get]],bonds[[#Headers],[ID_ISIN]])</f>
        <v>XS1501167164</v>
      </c>
      <c r="G44" s="5" t="str" cm="1">
        <f t="array" ref="G44">_xll.BDP(bonds[[#This Row],[worksheet get]],bonds[[#Headers],[security name]])</f>
        <v>TOTAL 2.708 PERP</v>
      </c>
      <c r="H44" s="5" t="str" cm="1">
        <f t="array" ref="H44">_xll.BDP(bonds[[#This Row],[worksheet get]],bonds[[#Headers],[ticker]])</f>
        <v>TOTAL</v>
      </c>
      <c r="I44" s="5" cm="1">
        <f t="array" ref="I44">_xll.BDP(bonds[[#This Row],[worksheet get]],bonds[[#Headers],[coupon]])</f>
        <v>2.7080000000000002</v>
      </c>
      <c r="J44" s="25" cm="1">
        <f t="array" ref="J44">_xll.BDP(bonds[[#This Row],[worksheet get]],bonds[[#Headers],[nxt_call_dt]])*1</f>
        <v>45051</v>
      </c>
      <c r="K44" s="9" t="str" cm="1">
        <f t="array" ref="K44">_xll.BDP(bonds[[#This Row],[worksheet get]],bonds[[#Headers],[mty_typ]])</f>
        <v>PERP/CALL</v>
      </c>
      <c r="L44" s="9" t="str" cm="1">
        <f t="array" ref="L44">_xll.BDP(bonds[[#This Row],[worksheet get]],bonds[[#Headers],[crncy]])</f>
        <v>EUR</v>
      </c>
      <c r="M44" s="10" cm="1">
        <f t="array" ref="M44">_xll.BDP(bonds[[#This Row],[worksheet get]],bonds[[#Headers],[amt_outstanding]])</f>
        <v>1000000000</v>
      </c>
      <c r="N44" s="9" t="str" cm="1">
        <f t="array" ref="N44">_xll.BDP(bonds[[#This Row],[worksheet get]],bonds[[#Headers],[industry_sector]])</f>
        <v>Energy</v>
      </c>
      <c r="O44" s="9" t="str">
        <f>bonds[[#This Row],[security name]]&amp;" nc-"&amp;RIGHT(YEAR(bonds[[#This Row],[nxt_call_dt]]),2)</f>
        <v>TOTAL 2.708 PERP nc-23</v>
      </c>
      <c r="Q44" s="5" t="str">
        <v>ALLRNV</v>
      </c>
      <c r="S44" s="5" t="str">
        <v>VATFAL</v>
      </c>
      <c r="T44" s="5">
        <v>2</v>
      </c>
      <c r="Z44" s="1" t="s">
        <v>280</v>
      </c>
      <c r="AA44" s="5" t="s">
        <v>189</v>
      </c>
    </row>
    <row r="45" spans="5:27">
      <c r="E45" s="5" t="s">
        <v>281</v>
      </c>
      <c r="F45" s="5" t="str" cm="1">
        <f t="array" ref="F45">_xll.BDP(bonds[[#This Row],[worksheet get]],bonds[[#Headers],[ID_ISIN]])</f>
        <v>XS1974787480</v>
      </c>
      <c r="G45" s="5" t="str" cm="1">
        <f t="array" ref="G45">_xll.BDP(bonds[[#This Row],[worksheet get]],bonds[[#Headers],[security name]])</f>
        <v>TOTAL 1 3/4 PERP</v>
      </c>
      <c r="H45" s="5" t="str" cm="1">
        <f t="array" ref="H45">_xll.BDP(bonds[[#This Row],[worksheet get]],bonds[[#Headers],[ticker]])</f>
        <v>TOTAL</v>
      </c>
      <c r="I45" s="5" cm="1">
        <f t="array" ref="I45">_xll.BDP(bonds[[#This Row],[worksheet get]],bonds[[#Headers],[coupon]])</f>
        <v>1.75</v>
      </c>
      <c r="J45" s="25" cm="1">
        <f t="array" ref="J45">_xll.BDP(bonds[[#This Row],[worksheet get]],bonds[[#Headers],[nxt_call_dt]])*1</f>
        <v>45386</v>
      </c>
      <c r="K45" s="9" t="str" cm="1">
        <f t="array" ref="K45">_xll.BDP(bonds[[#This Row],[worksheet get]],bonds[[#Headers],[mty_typ]])</f>
        <v>PERP/CALL</v>
      </c>
      <c r="L45" s="9" t="str" cm="1">
        <f t="array" ref="L45">_xll.BDP(bonds[[#This Row],[worksheet get]],bonds[[#Headers],[crncy]])</f>
        <v>EUR</v>
      </c>
      <c r="M45" s="10" cm="1">
        <f t="array" ref="M45">_xll.BDP(bonds[[#This Row],[worksheet get]],bonds[[#Headers],[amt_outstanding]])</f>
        <v>1500000000</v>
      </c>
      <c r="N45" s="9" t="str" cm="1">
        <f t="array" ref="N45">_xll.BDP(bonds[[#This Row],[worksheet get]],bonds[[#Headers],[industry_sector]])</f>
        <v>Energy</v>
      </c>
      <c r="O45" s="9" t="str">
        <f>bonds[[#This Row],[security name]]&amp;" nc-"&amp;RIGHT(YEAR(bonds[[#This Row],[nxt_call_dt]]),2)</f>
        <v>TOTAL 1 3/4 PERP nc-24</v>
      </c>
      <c r="Q45" s="5" t="str">
        <v>ORSTED</v>
      </c>
      <c r="S45" s="5" t="str">
        <v>VOD</v>
      </c>
      <c r="T45" s="5">
        <v>5</v>
      </c>
      <c r="Z45" s="1" t="s">
        <v>282</v>
      </c>
      <c r="AA45" s="5" t="s">
        <v>186</v>
      </c>
    </row>
    <row r="46" spans="5:27">
      <c r="E46" s="5" t="s">
        <v>283</v>
      </c>
      <c r="F46" s="5" t="str" cm="1">
        <f t="array" ref="F46">_xll.BDP(bonds[[#This Row],[worksheet get]],bonds[[#Headers],[ID_ISIN]])</f>
        <v>XS1195202822</v>
      </c>
      <c r="G46" s="5" t="str" cm="1">
        <f t="array" ref="G46">_xll.BDP(bonds[[#This Row],[worksheet get]],bonds[[#Headers],[security name]])</f>
        <v>TOTAL 2 5/8 PERP</v>
      </c>
      <c r="H46" s="5" t="str" cm="1">
        <f t="array" ref="H46">_xll.BDP(bonds[[#This Row],[worksheet get]],bonds[[#Headers],[ticker]])</f>
        <v>TOTAL</v>
      </c>
      <c r="I46" s="5" cm="1">
        <f t="array" ref="I46">_xll.BDP(bonds[[#This Row],[worksheet get]],bonds[[#Headers],[coupon]])</f>
        <v>2.625</v>
      </c>
      <c r="J46" s="25" cm="1">
        <f t="array" ref="J46">_xll.BDP(bonds[[#This Row],[worksheet get]],bonds[[#Headers],[nxt_call_dt]])*1</f>
        <v>45714</v>
      </c>
      <c r="K46" s="9" t="str" cm="1">
        <f t="array" ref="K46">_xll.BDP(bonds[[#This Row],[worksheet get]],bonds[[#Headers],[mty_typ]])</f>
        <v>PERP/CALL</v>
      </c>
      <c r="L46" s="9" t="str" cm="1">
        <f t="array" ref="L46">_xll.BDP(bonds[[#This Row],[worksheet get]],bonds[[#Headers],[crncy]])</f>
        <v>EUR</v>
      </c>
      <c r="M46" s="10" cm="1">
        <f t="array" ref="M46">_xll.BDP(bonds[[#This Row],[worksheet get]],bonds[[#Headers],[amt_outstanding]])</f>
        <v>2500000000</v>
      </c>
      <c r="N46" s="9" t="str" cm="1">
        <f t="array" ref="N46">_xll.BDP(bonds[[#This Row],[worksheet get]],bonds[[#Headers],[industry_sector]])</f>
        <v>Energy</v>
      </c>
      <c r="O46" s="9" t="str">
        <f>bonds[[#This Row],[security name]]&amp;" nc-"&amp;RIGHT(YEAR(bonds[[#This Row],[nxt_call_dt]]),2)</f>
        <v>TOTAL 2 5/8 PERP nc-25</v>
      </c>
      <c r="Q46" s="5" t="str">
        <v>STEDIN</v>
      </c>
      <c r="S46" s="5" t="str">
        <v>VW</v>
      </c>
      <c r="T46" s="5">
        <v>11</v>
      </c>
      <c r="Z46" s="1" t="s">
        <v>148</v>
      </c>
      <c r="AA46" s="5" t="s">
        <v>186</v>
      </c>
    </row>
    <row r="47" spans="5:27">
      <c r="E47" s="5" t="s">
        <v>284</v>
      </c>
      <c r="F47" s="5" t="str" cm="1">
        <f t="array" ref="F47">_xll.BDP(bonds[[#This Row],[worksheet get]],bonds[[#Headers],[ID_ISIN]])</f>
        <v>XS1501166869</v>
      </c>
      <c r="G47" s="5" t="str" cm="1">
        <f t="array" ref="G47">_xll.BDP(bonds[[#This Row],[worksheet get]],bonds[[#Headers],[security name]])</f>
        <v>TOTAL 3.369 PERP</v>
      </c>
      <c r="H47" s="5" t="str" cm="1">
        <f t="array" ref="H47">_xll.BDP(bonds[[#This Row],[worksheet get]],bonds[[#Headers],[ticker]])</f>
        <v>TOTAL</v>
      </c>
      <c r="I47" s="5" cm="1">
        <f t="array" ref="I47">_xll.BDP(bonds[[#This Row],[worksheet get]],bonds[[#Headers],[coupon]])</f>
        <v>3.3690000000000002</v>
      </c>
      <c r="J47" s="25" cm="1">
        <f t="array" ref="J47">_xll.BDP(bonds[[#This Row],[worksheet get]],bonds[[#Headers],[nxt_call_dt]])*1</f>
        <v>46301</v>
      </c>
      <c r="K47" s="9" t="str" cm="1">
        <f t="array" ref="K47">_xll.BDP(bonds[[#This Row],[worksheet get]],bonds[[#Headers],[mty_typ]])</f>
        <v>PERP/CALL</v>
      </c>
      <c r="L47" s="9" t="str" cm="1">
        <f t="array" ref="L47">_xll.BDP(bonds[[#This Row],[worksheet get]],bonds[[#Headers],[crncy]])</f>
        <v>EUR</v>
      </c>
      <c r="M47" s="10" cm="1">
        <f t="array" ref="M47">_xll.BDP(bonds[[#This Row],[worksheet get]],bonds[[#Headers],[amt_outstanding]])</f>
        <v>1500000000</v>
      </c>
      <c r="N47" s="9" t="str" cm="1">
        <f t="array" ref="N47">_xll.BDP(bonds[[#This Row],[worksheet get]],bonds[[#Headers],[industry_sector]])</f>
        <v>Energy</v>
      </c>
      <c r="O47" s="9" t="str">
        <f>bonds[[#This Row],[security name]]&amp;" nc-"&amp;RIGHT(YEAR(bonds[[#This Row],[nxt_call_dt]]),2)</f>
        <v>TOTAL 3.369 PERP nc-26</v>
      </c>
      <c r="Q47" s="5" t="str">
        <v>EDPPL</v>
      </c>
      <c r="Z47" s="1" t="s">
        <v>79</v>
      </c>
      <c r="AA47" s="5" t="s">
        <v>187</v>
      </c>
    </row>
    <row r="48" spans="5:27">
      <c r="E48" s="5" t="s">
        <v>285</v>
      </c>
      <c r="F48" s="5" t="str" cm="1">
        <f t="array" ref="F48">_xll.BDP(bonds[[#This Row],[worksheet get]],bonds[[#Headers],[ID_ISIN]])</f>
        <v>XS1309436753</v>
      </c>
      <c r="G48" s="5" t="str" cm="1">
        <f t="array" ref="G48">_xll.BDP(bonds[[#This Row],[worksheet get]],bonds[[#Headers],[security name]])</f>
        <v>BHP 4 3/4 04/22/76</v>
      </c>
      <c r="H48" s="5" t="str" cm="1">
        <f t="array" ref="H48">_xll.BDP(bonds[[#This Row],[worksheet get]],bonds[[#Headers],[ticker]])</f>
        <v>BHP</v>
      </c>
      <c r="I48" s="5" cm="1">
        <f t="array" ref="I48">_xll.BDP(bonds[[#This Row],[worksheet get]],bonds[[#Headers],[coupon]])</f>
        <v>4.75</v>
      </c>
      <c r="J48" s="25" cm="1">
        <f t="array" ref="J48">_xll.BDP(bonds[[#This Row],[worksheet get]],bonds[[#Headers],[nxt_call_dt]])*1</f>
        <v>44308</v>
      </c>
      <c r="K48" s="9" t="str" cm="1">
        <f t="array" ref="K48">_xll.BDP(bonds[[#This Row],[worksheet get]],bonds[[#Headers],[mty_typ]])</f>
        <v>CALLABLE</v>
      </c>
      <c r="L48" s="9" t="str" cm="1">
        <f t="array" ref="L48">_xll.BDP(bonds[[#This Row],[worksheet get]],bonds[[#Headers],[crncy]])</f>
        <v>EUR</v>
      </c>
      <c r="M48" s="10" cm="1">
        <f t="array" ref="M48">_xll.BDP(bonds[[#This Row],[worksheet get]],bonds[[#Headers],[amt_outstanding]])</f>
        <v>1250000000</v>
      </c>
      <c r="N48" s="9" t="str" cm="1">
        <f t="array" ref="N48">_xll.BDP(bonds[[#This Row],[worksheet get]],bonds[[#Headers],[industry_sector]])</f>
        <v>Basic Materials</v>
      </c>
      <c r="O48" s="9" t="str">
        <f>bonds[[#This Row],[security name]]&amp;" nc-"&amp;RIGHT(YEAR(bonds[[#This Row],[nxt_call_dt]]),2)</f>
        <v>BHP 4 3/4 04/22/76 nc-21</v>
      </c>
      <c r="Q48" s="5" t="str">
        <v>ELIASO</v>
      </c>
      <c r="Z48" s="1" t="s">
        <v>286</v>
      </c>
      <c r="AA48" s="5" t="s">
        <v>224</v>
      </c>
    </row>
    <row r="49" spans="5:27">
      <c r="E49" s="5" t="s">
        <v>287</v>
      </c>
      <c r="F49" s="5" t="str" cm="1">
        <f t="array" ref="F49">_xll.BDP(bonds[[#This Row],[worksheet get]],bonds[[#Headers],[ID_ISIN]])</f>
        <v>XS1309436910</v>
      </c>
      <c r="G49" s="5" t="str" cm="1">
        <f t="array" ref="G49">_xll.BDP(bonds[[#This Row],[worksheet get]],bonds[[#Headers],[security name]])</f>
        <v>BHP 5 5/8 10/22/79</v>
      </c>
      <c r="H49" s="5" t="str" cm="1">
        <f t="array" ref="H49">_xll.BDP(bonds[[#This Row],[worksheet get]],bonds[[#Headers],[ticker]])</f>
        <v>BHP</v>
      </c>
      <c r="I49" s="5" cm="1">
        <f t="array" ref="I49">_xll.BDP(bonds[[#This Row],[worksheet get]],bonds[[#Headers],[coupon]])</f>
        <v>5.625</v>
      </c>
      <c r="J49" s="25" cm="1">
        <f t="array" ref="J49">_xll.BDP(bonds[[#This Row],[worksheet get]],bonds[[#Headers],[nxt_call_dt]])*1</f>
        <v>45587</v>
      </c>
      <c r="K49" s="9" t="str" cm="1">
        <f t="array" ref="K49">_xll.BDP(bonds[[#This Row],[worksheet get]],bonds[[#Headers],[mty_typ]])</f>
        <v>CALLABLE</v>
      </c>
      <c r="L49" s="9" t="str" cm="1">
        <f t="array" ref="L49">_xll.BDP(bonds[[#This Row],[worksheet get]],bonds[[#Headers],[crncy]])</f>
        <v>EUR</v>
      </c>
      <c r="M49" s="10" cm="1">
        <f t="array" ref="M49">_xll.BDP(bonds[[#This Row],[worksheet get]],bonds[[#Headers],[amt_outstanding]])</f>
        <v>750000000</v>
      </c>
      <c r="N49" s="9" t="str" cm="1">
        <f t="array" ref="N49">_xll.BDP(bonds[[#This Row],[worksheet get]],bonds[[#Headers],[industry_sector]])</f>
        <v>Basic Materials</v>
      </c>
      <c r="O49" s="9" t="str">
        <f>bonds[[#This Row],[security name]]&amp;" nc-"&amp;RIGHT(YEAR(bonds[[#This Row],[nxt_call_dt]]),2)</f>
        <v>BHP 5 5/8 10/22/79 nc-24</v>
      </c>
      <c r="Q49" s="5" t="str">
        <v>VLVY</v>
      </c>
      <c r="Z49" s="1" t="s">
        <v>288</v>
      </c>
      <c r="AA49" s="5" t="s">
        <v>242</v>
      </c>
    </row>
    <row r="50" spans="5:27">
      <c r="E50" s="5" t="s">
        <v>289</v>
      </c>
      <c r="F50" s="5" t="str" cm="1">
        <f t="array" ref="F50">_xll.BDP(bonds[[#This Row],[worksheet get]],bonds[[#Headers],[ID_ISIN]])</f>
        <v>USQ12441AB91</v>
      </c>
      <c r="G50" s="5" t="str" cm="1">
        <f t="array" ref="G50">_xll.BDP(bonds[[#This Row],[worksheet get]],bonds[[#Headers],[security name]])</f>
        <v>BHP 6 3/4 10/19/75</v>
      </c>
      <c r="H50" s="5" t="str" cm="1">
        <f t="array" ref="H50">_xll.BDP(bonds[[#This Row],[worksheet get]],bonds[[#Headers],[ticker]])</f>
        <v>BHP</v>
      </c>
      <c r="I50" s="5" cm="1">
        <f t="array" ref="I50">_xll.BDP(bonds[[#This Row],[worksheet get]],bonds[[#Headers],[coupon]])</f>
        <v>6.75</v>
      </c>
      <c r="J50" s="25" cm="1">
        <f t="array" ref="J50">_xll.BDP(bonds[[#This Row],[worksheet get]],bonds[[#Headers],[nxt_call_dt]])*1</f>
        <v>45950</v>
      </c>
      <c r="K50" s="9" t="str" cm="1">
        <f t="array" ref="K50">_xll.BDP(bonds[[#This Row],[worksheet get]],bonds[[#Headers],[mty_typ]])</f>
        <v>CALLABLE</v>
      </c>
      <c r="L50" s="9" t="str" cm="1">
        <f t="array" ref="L50">_xll.BDP(bonds[[#This Row],[worksheet get]],bonds[[#Headers],[crncy]])</f>
        <v>USD</v>
      </c>
      <c r="M50" s="10" cm="1">
        <f t="array" ref="M50">_xll.BDP(bonds[[#This Row],[worksheet get]],bonds[[#Headers],[amt_outstanding]])</f>
        <v>2250000000</v>
      </c>
      <c r="N50" s="9" t="str" cm="1">
        <f t="array" ref="N50">_xll.BDP(bonds[[#This Row],[worksheet get]],bonds[[#Headers],[industry_sector]])</f>
        <v>Basic Materials</v>
      </c>
      <c r="O50" s="9" t="str">
        <f>bonds[[#This Row],[security name]]&amp;" nc-"&amp;RIGHT(YEAR(bonds[[#This Row],[nxt_call_dt]]),2)</f>
        <v>BHP 6 3/4 10/19/75 nc-25</v>
      </c>
      <c r="Q50" s="5" t="str">
        <v>VW</v>
      </c>
      <c r="Z50" s="1" t="s">
        <v>290</v>
      </c>
      <c r="AA50" s="5" t="s">
        <v>224</v>
      </c>
    </row>
    <row r="51" spans="5:27">
      <c r="E51" s="5" t="s">
        <v>291</v>
      </c>
      <c r="F51" s="5" t="str" cm="1">
        <f t="array" ref="F51">_xll.BDP(bonds[[#This Row],[worksheet get]],bonds[[#Headers],[ID_ISIN]])</f>
        <v>USQ12441AA19</v>
      </c>
      <c r="G51" s="5" t="str" cm="1">
        <f t="array" ref="G51">_xll.BDP(bonds[[#This Row],[worksheet get]],bonds[[#Headers],[security name]])</f>
        <v>BHP 6 1/4 10/19/75</v>
      </c>
      <c r="H51" s="5" t="str" cm="1">
        <f t="array" ref="H51">_xll.BDP(bonds[[#This Row],[worksheet get]],bonds[[#Headers],[ticker]])</f>
        <v>BHP</v>
      </c>
      <c r="I51" s="5" cm="1">
        <f t="array" ref="I51">_xll.BDP(bonds[[#This Row],[worksheet get]],bonds[[#Headers],[coupon]])</f>
        <v>6.25</v>
      </c>
      <c r="J51" s="25" cm="1">
        <f t="array" ref="J51">_xll.BDP(bonds[[#This Row],[worksheet get]],bonds[[#Headers],[nxt_call_dt]])*1</f>
        <v>44123</v>
      </c>
      <c r="K51" s="9" t="str" cm="1">
        <f t="array" ref="K51">_xll.BDP(bonds[[#This Row],[worksheet get]],bonds[[#Headers],[mty_typ]])</f>
        <v>CALLABLE</v>
      </c>
      <c r="L51" s="9" t="str" cm="1">
        <f t="array" ref="L51">_xll.BDP(bonds[[#This Row],[worksheet get]],bonds[[#Headers],[crncy]])</f>
        <v>USD</v>
      </c>
      <c r="M51" s="10" cm="1">
        <f t="array" ref="M51">_xll.BDP(bonds[[#This Row],[worksheet get]],bonds[[#Headers],[amt_outstanding]])</f>
        <v>1000000000</v>
      </c>
      <c r="N51" s="9" t="str" cm="1">
        <f t="array" ref="N51">_xll.BDP(bonds[[#This Row],[worksheet get]],bonds[[#Headers],[industry_sector]])</f>
        <v>Basic Materials</v>
      </c>
      <c r="O51" s="9" t="str">
        <f>bonds[[#This Row],[security name]]&amp;" nc-"&amp;RIGHT(YEAR(bonds[[#This Row],[nxt_call_dt]]),2)</f>
        <v>BHP 6 1/4 10/19/75 nc-20</v>
      </c>
      <c r="Q51" s="5" t="str">
        <v>ACFP</v>
      </c>
      <c r="Z51" s="1" t="s">
        <v>292</v>
      </c>
      <c r="AA51" s="5" t="s">
        <v>187</v>
      </c>
    </row>
    <row r="52" spans="5:27">
      <c r="E52" s="5" t="s">
        <v>293</v>
      </c>
      <c r="F52" s="5" t="str" cm="1">
        <f t="array" ref="F52">_xll.BDP(bonds[[#This Row],[worksheet get]],bonds[[#Headers],[ID_ISIN]])</f>
        <v>XS1309437215</v>
      </c>
      <c r="G52" s="5" t="str" cm="1">
        <f t="array" ref="G52">_xll.BDP(bonds[[#This Row],[worksheet get]],bonds[[#Headers],[security name]])</f>
        <v>BHP 6 1/2 10/22/77</v>
      </c>
      <c r="H52" s="5" t="str" cm="1">
        <f t="array" ref="H52">_xll.BDP(bonds[[#This Row],[worksheet get]],bonds[[#Headers],[ticker]])</f>
        <v>BHP</v>
      </c>
      <c r="I52" s="5" cm="1">
        <f t="array" ref="I52">_xll.BDP(bonds[[#This Row],[worksheet get]],bonds[[#Headers],[coupon]])</f>
        <v>6.5</v>
      </c>
      <c r="J52" s="25" cm="1">
        <f t="array" ref="J52">_xll.BDP(bonds[[#This Row],[worksheet get]],bonds[[#Headers],[nxt_call_dt]])*1</f>
        <v>44856</v>
      </c>
      <c r="K52" s="9" t="str" cm="1">
        <f t="array" ref="K52">_xll.BDP(bonds[[#This Row],[worksheet get]],bonds[[#Headers],[mty_typ]])</f>
        <v>CALLABLE</v>
      </c>
      <c r="L52" s="9" t="str" cm="1">
        <f t="array" ref="L52">_xll.BDP(bonds[[#This Row],[worksheet get]],bonds[[#Headers],[crncy]])</f>
        <v>GBP</v>
      </c>
      <c r="M52" s="10" cm="1">
        <f t="array" ref="M52">_xll.BDP(bonds[[#This Row],[worksheet get]],bonds[[#Headers],[amt_outstanding]])</f>
        <v>600000000</v>
      </c>
      <c r="N52" s="9" t="str" cm="1">
        <f t="array" ref="N52">_xll.BDP(bonds[[#This Row],[worksheet get]],bonds[[#Headers],[industry_sector]])</f>
        <v>Basic Materials</v>
      </c>
      <c r="O52" s="9" t="str">
        <f>bonds[[#This Row],[security name]]&amp;" nc-"&amp;RIGHT(YEAR(bonds[[#This Row],[nxt_call_dt]]),2)</f>
        <v>BHP 6 1/2 10/22/77 nc-22</v>
      </c>
      <c r="Q52" s="5" t="str">
        <v>AFFP</v>
      </c>
      <c r="Z52" s="1" t="s">
        <v>294</v>
      </c>
      <c r="AA52" s="5" t="s">
        <v>224</v>
      </c>
    </row>
    <row r="53" spans="5:27">
      <c r="E53" s="5" t="s">
        <v>295</v>
      </c>
      <c r="F53" s="5" t="str" cm="1">
        <f t="array" ref="F53">_xll.BDP(bonds[[#This Row],[worksheet get]],bonds[[#Headers],[ID_ISIN]])</f>
        <v>XS0969341147</v>
      </c>
      <c r="G53" s="5" t="str" cm="1">
        <f t="array" ref="G53">_xll.BDP(bonds[[#This Row],[worksheet get]],bonds[[#Headers],[security name]])</f>
        <v>AMXLMM 6 3/8 09/06/73</v>
      </c>
      <c r="H53" s="5" t="str" cm="1">
        <f t="array" ref="H53">_xll.BDP(bonds[[#This Row],[worksheet get]],bonds[[#Headers],[ticker]])</f>
        <v>AMXLMM</v>
      </c>
      <c r="I53" s="5" cm="1">
        <f t="array" ref="I53">_xll.BDP(bonds[[#This Row],[worksheet get]],bonds[[#Headers],[coupon]])</f>
        <v>6.375</v>
      </c>
      <c r="J53" s="25" cm="1">
        <f t="array" ref="J53">_xll.BDP(bonds[[#This Row],[worksheet get]],bonds[[#Headers],[nxt_call_dt]])*1</f>
        <v>45175</v>
      </c>
      <c r="K53" s="9" t="str" cm="1">
        <f t="array" ref="K53">_xll.BDP(bonds[[#This Row],[worksheet get]],bonds[[#Headers],[mty_typ]])</f>
        <v>CALLABLE</v>
      </c>
      <c r="L53" s="9" t="str" cm="1">
        <f t="array" ref="L53">_xll.BDP(bonds[[#This Row],[worksheet get]],bonds[[#Headers],[crncy]])</f>
        <v>EUR</v>
      </c>
      <c r="M53" s="10" cm="1">
        <f t="array" ref="M53">_xll.BDP(bonds[[#This Row],[worksheet get]],bonds[[#Headers],[amt_outstanding]])</f>
        <v>550000000</v>
      </c>
      <c r="N53" s="9" t="str" cm="1">
        <f t="array" ref="N53">_xll.BDP(bonds[[#This Row],[worksheet get]],bonds[[#Headers],[industry_sector]])</f>
        <v>Communications</v>
      </c>
      <c r="O53" s="9" t="str">
        <f>bonds[[#This Row],[security name]]&amp;" nc-"&amp;RIGHT(YEAR(bonds[[#This Row],[nxt_call_dt]]),2)</f>
        <v>AMXLMM 6 3/8 09/06/73 nc-23</v>
      </c>
      <c r="Q53" s="5" t="str">
        <v>LHAGR</v>
      </c>
      <c r="Z53" s="1" t="s">
        <v>94</v>
      </c>
      <c r="AA53" s="5" t="s">
        <v>184</v>
      </c>
    </row>
    <row r="54" spans="5:27">
      <c r="E54" s="5" t="s">
        <v>296</v>
      </c>
      <c r="F54" s="5" t="str" cm="1">
        <f t="array" ref="F54">_xll.BDP(bonds[[#This Row],[worksheet get]],bonds[[#Headers],[ID_ISIN]])</f>
        <v>XS0969342384</v>
      </c>
      <c r="G54" s="5" t="str" cm="1">
        <f t="array" ref="G54">_xll.BDP(bonds[[#This Row],[worksheet get]],bonds[[#Headers],[security name]])</f>
        <v>AMXLMM 6 3/8 09/06/73</v>
      </c>
      <c r="H54" s="5" t="str" cm="1">
        <f t="array" ref="H54">_xll.BDP(bonds[[#This Row],[worksheet get]],bonds[[#Headers],[ticker]])</f>
        <v>AMXLMM</v>
      </c>
      <c r="I54" s="5" cm="1">
        <f t="array" ref="I54">_xll.BDP(bonds[[#This Row],[worksheet get]],bonds[[#Headers],[coupon]])</f>
        <v>6.375</v>
      </c>
      <c r="J54" s="25" cm="1">
        <f t="array" ref="J54">_xll.BDP(bonds[[#This Row],[worksheet get]],bonds[[#Headers],[nxt_call_dt]])*1</f>
        <v>44080</v>
      </c>
      <c r="K54" s="9" t="str" cm="1">
        <f t="array" ref="K54">_xll.BDP(bonds[[#This Row],[worksheet get]],bonds[[#Headers],[mty_typ]])</f>
        <v>CALLABLE</v>
      </c>
      <c r="L54" s="9" t="str" cm="1">
        <f t="array" ref="L54">_xll.BDP(bonds[[#This Row],[worksheet get]],bonds[[#Headers],[crncy]])</f>
        <v>GBP</v>
      </c>
      <c r="M54" s="10" cm="1">
        <f t="array" ref="M54">_xll.BDP(bonds[[#This Row],[worksheet get]],bonds[[#Headers],[amt_outstanding]])</f>
        <v>550000000</v>
      </c>
      <c r="N54" s="9" t="str" cm="1">
        <f t="array" ref="N54">_xll.BDP(bonds[[#This Row],[worksheet get]],bonds[[#Headers],[industry_sector]])</f>
        <v>Communications</v>
      </c>
      <c r="O54" s="9" t="str">
        <f>bonds[[#This Row],[security name]]&amp;" nc-"&amp;RIGHT(YEAR(bonds[[#This Row],[nxt_call_dt]]),2)</f>
        <v>AMXLMM 6 3/8 09/06/73 nc-20</v>
      </c>
      <c r="Q54" s="5" t="str">
        <v>FERSM</v>
      </c>
      <c r="Z54" s="1" t="s">
        <v>297</v>
      </c>
      <c r="AA54" s="5" t="s">
        <v>187</v>
      </c>
    </row>
    <row r="55" spans="5:27">
      <c r="E55" s="5" t="s">
        <v>152</v>
      </c>
      <c r="F55" s="5" t="str" cm="1">
        <f t="array" ref="F55">_xll.BDP(bonds[[#This Row],[worksheet get]],bonds[[#Headers],[ID_ISIN]])</f>
        <v>XS1222591023</v>
      </c>
      <c r="G55" s="5" t="str" cm="1">
        <f t="array" ref="G55">_xll.BDP(bonds[[#This Row],[worksheet get]],bonds[[#Headers],[security name]])</f>
        <v>BERTEL 3 04/23/75</v>
      </c>
      <c r="H55" s="5" t="str" cm="1">
        <f t="array" ref="H55">_xll.BDP(bonds[[#This Row],[worksheet get]],bonds[[#Headers],[ticker]])</f>
        <v>BERTEL</v>
      </c>
      <c r="I55" s="5" cm="1">
        <f t="array" ref="I55">_xll.BDP(bonds[[#This Row],[worksheet get]],bonds[[#Headers],[coupon]])</f>
        <v>3</v>
      </c>
      <c r="J55" s="25" cm="1">
        <f t="array" ref="J55">_xll.BDP(bonds[[#This Row],[worksheet get]],bonds[[#Headers],[nxt_call_dt]])*1</f>
        <v>45039</v>
      </c>
      <c r="K55" s="9" t="str" cm="1">
        <f t="array" ref="K55">_xll.BDP(bonds[[#This Row],[worksheet get]],bonds[[#Headers],[mty_typ]])</f>
        <v>CALLABLE</v>
      </c>
      <c r="L55" s="9" t="str" cm="1">
        <f t="array" ref="L55">_xll.BDP(bonds[[#This Row],[worksheet get]],bonds[[#Headers],[crncy]])</f>
        <v>EUR</v>
      </c>
      <c r="M55" s="10" cm="1">
        <f t="array" ref="M55">_xll.BDP(bonds[[#This Row],[worksheet get]],bonds[[#Headers],[amt_outstanding]])</f>
        <v>650000000</v>
      </c>
      <c r="N55" s="9" t="str" cm="1">
        <f t="array" ref="N55">_xll.BDP(bonds[[#This Row],[worksheet get]],bonds[[#Headers],[industry_sector]])</f>
        <v>Communications</v>
      </c>
      <c r="O55" s="9" t="str">
        <f>bonds[[#This Row],[security name]]&amp;" nc-"&amp;RIGHT(YEAR(bonds[[#This Row],[nxt_call_dt]]),2)</f>
        <v>BERTEL 3 04/23/75 nc-23</v>
      </c>
      <c r="Q55" s="5" t="str">
        <v>ANNGR</v>
      </c>
      <c r="Z55" s="1" t="s">
        <v>175</v>
      </c>
      <c r="AA55" s="5" t="s">
        <v>187</v>
      </c>
    </row>
    <row r="56" spans="5:27">
      <c r="E56" s="5" t="s">
        <v>153</v>
      </c>
      <c r="F56" s="5" t="str" cm="1">
        <f t="array" ref="F56">_xll.BDP(bonds[[#This Row],[worksheet get]],bonds[[#Headers],[ID_ISIN]])</f>
        <v>XS1222594472</v>
      </c>
      <c r="G56" s="5" t="str" cm="1">
        <f t="array" ref="G56">_xll.BDP(bonds[[#This Row],[worksheet get]],bonds[[#Headers],[security name]])</f>
        <v>BERTEL 3 1/2 04/23/75</v>
      </c>
      <c r="H56" s="5" t="str" cm="1">
        <f t="array" ref="H56">_xll.BDP(bonds[[#This Row],[worksheet get]],bonds[[#Headers],[ticker]])</f>
        <v>BERTEL</v>
      </c>
      <c r="I56" s="5" cm="1">
        <f t="array" ref="I56">_xll.BDP(bonds[[#This Row],[worksheet get]],bonds[[#Headers],[coupon]])</f>
        <v>3.5</v>
      </c>
      <c r="J56" s="25" cm="1">
        <f t="array" ref="J56">_xll.BDP(bonds[[#This Row],[worksheet get]],bonds[[#Headers],[nxt_call_dt]])*1</f>
        <v>46500</v>
      </c>
      <c r="K56" s="9" t="str" cm="1">
        <f t="array" ref="K56">_xll.BDP(bonds[[#This Row],[worksheet get]],bonds[[#Headers],[mty_typ]])</f>
        <v>CALLABLE</v>
      </c>
      <c r="L56" s="9" t="str" cm="1">
        <f t="array" ref="L56">_xll.BDP(bonds[[#This Row],[worksheet get]],bonds[[#Headers],[crncy]])</f>
        <v>EUR</v>
      </c>
      <c r="M56" s="10" cm="1">
        <f t="array" ref="M56">_xll.BDP(bonds[[#This Row],[worksheet get]],bonds[[#Headers],[amt_outstanding]])</f>
        <v>600000000</v>
      </c>
      <c r="N56" s="9" t="str" cm="1">
        <f t="array" ref="N56">_xll.BDP(bonds[[#This Row],[worksheet get]],bonds[[#Headers],[industry_sector]])</f>
        <v>Communications</v>
      </c>
      <c r="O56" s="9" t="str">
        <f>bonds[[#This Row],[security name]]&amp;" nc-"&amp;RIGHT(YEAR(bonds[[#This Row],[nxt_call_dt]]),2)</f>
        <v>BERTEL 3 1/2 04/23/75 nc-27</v>
      </c>
      <c r="Q56" s="5" t="str">
        <v>ULFP</v>
      </c>
      <c r="Z56" s="1" t="s">
        <v>106</v>
      </c>
      <c r="AA56" s="5" t="s">
        <v>187</v>
      </c>
    </row>
    <row r="57" spans="5:27">
      <c r="E57" s="5" t="s">
        <v>298</v>
      </c>
      <c r="F57" s="5" t="str" cm="1">
        <f t="array" ref="F57">_xll.BDP(bonds[[#This Row],[worksheet get]],bonds[[#Headers],[ID_ISIN]])</f>
        <v>USN4297BBC74</v>
      </c>
      <c r="G57" s="5" t="str" cm="1">
        <f t="array" ref="G57">_xll.BDP(bonds[[#This Row],[worksheet get]],bonds[[#Headers],[security name]])</f>
        <v>KPN 7 03/28/73</v>
      </c>
      <c r="H57" s="5" t="str" cm="1">
        <f t="array" ref="H57">_xll.BDP(bonds[[#This Row],[worksheet get]],bonds[[#Headers],[ticker]])</f>
        <v>KPN</v>
      </c>
      <c r="I57" s="5" cm="1">
        <f t="array" ref="I57">_xll.BDP(bonds[[#This Row],[worksheet get]],bonds[[#Headers],[coupon]])</f>
        <v>7</v>
      </c>
      <c r="J57" s="25" cm="1">
        <f t="array" ref="J57">_xll.BDP(bonds[[#This Row],[worksheet get]],bonds[[#Headers],[nxt_call_dt]])*1</f>
        <v>45013</v>
      </c>
      <c r="K57" s="9" t="str" cm="1">
        <f t="array" ref="K57">_xll.BDP(bonds[[#This Row],[worksheet get]],bonds[[#Headers],[mty_typ]])</f>
        <v>CALLABLE</v>
      </c>
      <c r="L57" s="9" t="str" cm="1">
        <f t="array" ref="L57">_xll.BDP(bonds[[#This Row],[worksheet get]],bonds[[#Headers],[crncy]])</f>
        <v>USD</v>
      </c>
      <c r="M57" s="10" cm="1">
        <f t="array" ref="M57">_xll.BDP(bonds[[#This Row],[worksheet get]],bonds[[#Headers],[amt_outstanding]])</f>
        <v>600000000</v>
      </c>
      <c r="N57" s="9" t="str" cm="1">
        <f t="array" ref="N57">_xll.BDP(bonds[[#This Row],[worksheet get]],bonds[[#Headers],[industry_sector]])</f>
        <v>Communications</v>
      </c>
      <c r="O57" s="9" t="str">
        <f>bonds[[#This Row],[security name]]&amp;" nc-"&amp;RIGHT(YEAR(bonds[[#This Row],[nxt_call_dt]]),2)</f>
        <v>KPN 7 03/28/73 nc-23</v>
      </c>
      <c r="Q57" s="5" t="str">
        <v>AKFAST</v>
      </c>
      <c r="Z57" s="1" t="s">
        <v>299</v>
      </c>
      <c r="AA57" s="5" t="s">
        <v>187</v>
      </c>
    </row>
    <row r="58" spans="5:27">
      <c r="E58" s="5" t="s">
        <v>300</v>
      </c>
      <c r="F58" s="5" t="str" cm="1">
        <f t="array" ref="F58">_xll.BDP(bonds[[#This Row],[worksheet get]],bonds[[#Headers],[ID_ISIN]])</f>
        <v>XS2069101868</v>
      </c>
      <c r="G58" s="5" t="str" cm="1">
        <f t="array" ref="G58">_xll.BDP(bonds[[#This Row],[worksheet get]],bonds[[#Headers],[security name]])</f>
        <v>KPN 2 PERP</v>
      </c>
      <c r="H58" s="5" t="str" cm="1">
        <f t="array" ref="H58">_xll.BDP(bonds[[#This Row],[worksheet get]],bonds[[#Headers],[ticker]])</f>
        <v>KPN</v>
      </c>
      <c r="I58" s="5" cm="1">
        <f t="array" ref="I58">_xll.BDP(bonds[[#This Row],[worksheet get]],bonds[[#Headers],[coupon]])</f>
        <v>2</v>
      </c>
      <c r="J58" s="25" cm="1">
        <f t="array" ref="J58">_xll.BDP(bonds[[#This Row],[worksheet get]],bonds[[#Headers],[nxt_call_dt]])*1</f>
        <v>45604</v>
      </c>
      <c r="K58" s="9" t="str" cm="1">
        <f t="array" ref="K58">_xll.BDP(bonds[[#This Row],[worksheet get]],bonds[[#Headers],[mty_typ]])</f>
        <v>PERP/CALL</v>
      </c>
      <c r="L58" s="9" t="str" cm="1">
        <f t="array" ref="L58">_xll.BDP(bonds[[#This Row],[worksheet get]],bonds[[#Headers],[crncy]])</f>
        <v>EUR</v>
      </c>
      <c r="M58" s="10" cm="1">
        <f t="array" ref="M58">_xll.BDP(bonds[[#This Row],[worksheet get]],bonds[[#Headers],[amt_outstanding]])</f>
        <v>500000000</v>
      </c>
      <c r="N58" s="9" t="str" cm="1">
        <f t="array" ref="N58">_xll.BDP(bonds[[#This Row],[worksheet get]],bonds[[#Headers],[industry_sector]])</f>
        <v>Communications</v>
      </c>
      <c r="O58" s="9" t="str">
        <f>bonds[[#This Row],[security name]]&amp;" nc-"&amp;RIGHT(YEAR(bonds[[#This Row],[nxt_call_dt]]),2)</f>
        <v>KPN 2 PERP nc-24</v>
      </c>
      <c r="Q58" s="5" t="str">
        <v>BALDER</v>
      </c>
      <c r="Z58" s="1" t="s">
        <v>301</v>
      </c>
      <c r="AA58" s="5" t="s">
        <v>187</v>
      </c>
    </row>
    <row r="59" spans="5:27">
      <c r="E59" s="5" t="s">
        <v>128</v>
      </c>
      <c r="F59" s="5" t="str" cm="1">
        <f t="array" ref="F59">_xll.BDP(bonds[[#This Row],[worksheet get]],bonds[[#Headers],[ID_ISIN]])</f>
        <v>XS1590787799</v>
      </c>
      <c r="G59" s="5" t="str" cm="1">
        <f t="array" ref="G59">_xll.BDP(bonds[[#This Row],[worksheet get]],bonds[[#Headers],[security name]])</f>
        <v>TELIAS 3 04/04/78</v>
      </c>
      <c r="H59" s="5" t="str" cm="1">
        <f t="array" ref="H59">_xll.BDP(bonds[[#This Row],[worksheet get]],bonds[[#Headers],[ticker]])</f>
        <v>TELIAS</v>
      </c>
      <c r="I59" s="5" cm="1">
        <f t="array" ref="I59">_xll.BDP(bonds[[#This Row],[worksheet get]],bonds[[#Headers],[coupon]])</f>
        <v>3</v>
      </c>
      <c r="J59" s="25" cm="1">
        <f t="array" ref="J59">_xll.BDP(bonds[[#This Row],[worksheet get]],bonds[[#Headers],[nxt_call_dt]])*1</f>
        <v>45020</v>
      </c>
      <c r="K59" s="9" t="str" cm="1">
        <f t="array" ref="K59">_xll.BDP(bonds[[#This Row],[worksheet get]],bonds[[#Headers],[mty_typ]])</f>
        <v>CALLABLE</v>
      </c>
      <c r="L59" s="9" t="str" cm="1">
        <f t="array" ref="L59">_xll.BDP(bonds[[#This Row],[worksheet get]],bonds[[#Headers],[crncy]])</f>
        <v>EUR</v>
      </c>
      <c r="M59" s="10" cm="1">
        <f t="array" ref="M59">_xll.BDP(bonds[[#This Row],[worksheet get]],bonds[[#Headers],[amt_outstanding]])</f>
        <v>900000000</v>
      </c>
      <c r="N59" s="9" t="str" cm="1">
        <f t="array" ref="N59">_xll.BDP(bonds[[#This Row],[worksheet get]],bonds[[#Headers],[industry_sector]])</f>
        <v>Communications</v>
      </c>
      <c r="O59" s="9" t="str">
        <f>bonds[[#This Row],[security name]]&amp;" nc-"&amp;RIGHT(YEAR(bonds[[#This Row],[nxt_call_dt]]),2)</f>
        <v>TELIAS 3 04/04/78 nc-23</v>
      </c>
      <c r="Q59" s="5" t="str">
        <v>TLGGR</v>
      </c>
      <c r="Z59" s="1" t="s">
        <v>302</v>
      </c>
      <c r="AA59" s="5" t="s">
        <v>187</v>
      </c>
    </row>
    <row r="60" spans="5:27">
      <c r="E60" s="5" t="s">
        <v>129</v>
      </c>
      <c r="F60" s="5" t="str" cm="1">
        <f t="array" ref="F60">_xll.BDP(bonds[[#This Row],[worksheet get]],bonds[[#Headers],[ID_ISIN]])</f>
        <v>XS2082429890</v>
      </c>
      <c r="G60" s="5" t="str" cm="1">
        <f t="array" ref="G60">_xll.BDP(bonds[[#This Row],[worksheet get]],bonds[[#Headers],[security name]])</f>
        <v>TELIAS 1 3/8 05/11/81</v>
      </c>
      <c r="H60" s="5" t="str" cm="1">
        <f t="array" ref="H60">_xll.BDP(bonds[[#This Row],[worksheet get]],bonds[[#Headers],[ticker]])</f>
        <v>TELIAS</v>
      </c>
      <c r="I60" s="5" cm="1">
        <f t="array" ref="I60">_xll.BDP(bonds[[#This Row],[worksheet get]],bonds[[#Headers],[coupon]])</f>
        <v>1.375</v>
      </c>
      <c r="J60" s="25" cm="1">
        <f t="array" ref="J60">_xll.BDP(bonds[[#This Row],[worksheet get]],bonds[[#Headers],[nxt_call_dt]])*1</f>
        <v>46064</v>
      </c>
      <c r="K60" s="9" t="str" cm="1">
        <f t="array" ref="K60">_xll.BDP(bonds[[#This Row],[worksheet get]],bonds[[#Headers],[mty_typ]])</f>
        <v>CALLABLE</v>
      </c>
      <c r="L60" s="9" t="str" cm="1">
        <f t="array" ref="L60">_xll.BDP(bonds[[#This Row],[worksheet get]],bonds[[#Headers],[crncy]])</f>
        <v>EUR</v>
      </c>
      <c r="M60" s="10" cm="1">
        <f t="array" ref="M60">_xll.BDP(bonds[[#This Row],[worksheet get]],bonds[[#Headers],[amt_outstanding]])</f>
        <v>500000000</v>
      </c>
      <c r="N60" s="9" t="str" cm="1">
        <f t="array" ref="N60">_xll.BDP(bonds[[#This Row],[worksheet get]],bonds[[#Headers],[industry_sector]])</f>
        <v>Communications</v>
      </c>
      <c r="O60" s="9" t="str">
        <f>bonds[[#This Row],[security name]]&amp;" nc-"&amp;RIGHT(YEAR(bonds[[#This Row],[nxt_call_dt]]),2)</f>
        <v>TELIAS 1 3/8 05/11/81 nc-26</v>
      </c>
      <c r="Q60" s="5" t="str">
        <v>HEIBOS</v>
      </c>
      <c r="Z60" s="1" t="s">
        <v>121</v>
      </c>
      <c r="AA60" s="5" t="s">
        <v>187</v>
      </c>
    </row>
    <row r="61" spans="5:27">
      <c r="E61" s="5" t="s">
        <v>74</v>
      </c>
      <c r="F61" s="5" t="str" cm="1">
        <f t="array" ref="F61">_xll.BDP(bonds[[#This Row],[worksheet get]],bonds[[#Headers],[ID_ISIN]])</f>
        <v>XS1405777746</v>
      </c>
      <c r="G61" s="5" t="str" cm="1">
        <f t="array" ref="G61">_xll.BDP(bonds[[#This Row],[worksheet get]],bonds[[#Headers],[security name]])</f>
        <v>SESGFP 4 5/8 PERP</v>
      </c>
      <c r="H61" s="5" t="str" cm="1">
        <f t="array" ref="H61">_xll.BDP(bonds[[#This Row],[worksheet get]],bonds[[#Headers],[ticker]])</f>
        <v>SESGFP</v>
      </c>
      <c r="I61" s="5" cm="1">
        <f t="array" ref="I61">_xll.BDP(bonds[[#This Row],[worksheet get]],bonds[[#Headers],[coupon]])</f>
        <v>4.625</v>
      </c>
      <c r="J61" s="25" cm="1">
        <f t="array" ref="J61">_xll.BDP(bonds[[#This Row],[worksheet get]],bonds[[#Headers],[nxt_call_dt]])*1</f>
        <v>44563</v>
      </c>
      <c r="K61" s="9" t="str" cm="1">
        <f t="array" ref="K61">_xll.BDP(bonds[[#This Row],[worksheet get]],bonds[[#Headers],[mty_typ]])</f>
        <v>PERP/CALL</v>
      </c>
      <c r="L61" s="9" t="str" cm="1">
        <f t="array" ref="L61">_xll.BDP(bonds[[#This Row],[worksheet get]],bonds[[#Headers],[crncy]])</f>
        <v>EUR</v>
      </c>
      <c r="M61" s="10" cm="1">
        <f t="array" ref="M61">_xll.BDP(bonds[[#This Row],[worksheet get]],bonds[[#Headers],[amt_outstanding]])</f>
        <v>750000000</v>
      </c>
      <c r="N61" s="9" t="str" cm="1">
        <f t="array" ref="N61">_xll.BDP(bonds[[#This Row],[worksheet get]],bonds[[#Headers],[industry_sector]])</f>
        <v>Communications</v>
      </c>
      <c r="O61" s="9" t="str">
        <f>bonds[[#This Row],[security name]]&amp;" nc-"&amp;RIGHT(YEAR(bonds[[#This Row],[nxt_call_dt]]),2)</f>
        <v>SESGFP 4 5/8 PERP nc-22</v>
      </c>
      <c r="Q61" s="5" t="str">
        <v>SBBBSS</v>
      </c>
      <c r="Z61" s="1" t="s">
        <v>303</v>
      </c>
      <c r="AA61" s="5" t="s">
        <v>187</v>
      </c>
    </row>
    <row r="62" spans="5:27">
      <c r="E62" s="5" t="s">
        <v>75</v>
      </c>
      <c r="F62" s="5" t="str" cm="1">
        <f t="array" ref="F62">_xll.BDP(bonds[[#This Row],[worksheet get]],bonds[[#Headers],[ID_ISIN]])</f>
        <v>XS1405765659</v>
      </c>
      <c r="G62" s="5" t="str" cm="1">
        <f t="array" ref="G62">_xll.BDP(bonds[[#This Row],[worksheet get]],bonds[[#Headers],[security name]])</f>
        <v>SESGFP 5 5/8 PERP</v>
      </c>
      <c r="H62" s="5" t="str" cm="1">
        <f t="array" ref="H62">_xll.BDP(bonds[[#This Row],[worksheet get]],bonds[[#Headers],[ticker]])</f>
        <v>SESGFP</v>
      </c>
      <c r="I62" s="5" cm="1">
        <f t="array" ref="I62">_xll.BDP(bonds[[#This Row],[worksheet get]],bonds[[#Headers],[coupon]])</f>
        <v>5.625</v>
      </c>
      <c r="J62" s="25" cm="1">
        <f t="array" ref="J62">_xll.BDP(bonds[[#This Row],[worksheet get]],bonds[[#Headers],[nxt_call_dt]])*1</f>
        <v>45320</v>
      </c>
      <c r="K62" s="9" t="str" cm="1">
        <f t="array" ref="K62">_xll.BDP(bonds[[#This Row],[worksheet get]],bonds[[#Headers],[mty_typ]])</f>
        <v>PERP/CALL</v>
      </c>
      <c r="L62" s="9" t="str" cm="1">
        <f t="array" ref="L62">_xll.BDP(bonds[[#This Row],[worksheet get]],bonds[[#Headers],[crncy]])</f>
        <v>EUR</v>
      </c>
      <c r="M62" s="10" cm="1">
        <f t="array" ref="M62">_xll.BDP(bonds[[#This Row],[worksheet get]],bonds[[#Headers],[amt_outstanding]])</f>
        <v>550000000</v>
      </c>
      <c r="N62" s="9" t="str" cm="1">
        <f t="array" ref="N62">_xll.BDP(bonds[[#This Row],[worksheet get]],bonds[[#Headers],[industry_sector]])</f>
        <v>Communications</v>
      </c>
      <c r="O62" s="9" t="str">
        <f>bonds[[#This Row],[security name]]&amp;" nc-"&amp;RIGHT(YEAR(bonds[[#This Row],[nxt_call_dt]]),2)</f>
        <v>SESGFP 5 5/8 PERP nc-24</v>
      </c>
      <c r="Q62" s="5" t="str">
        <v>ARNDTN</v>
      </c>
      <c r="Z62" s="1" t="s">
        <v>76</v>
      </c>
      <c r="AA62" s="5" t="s">
        <v>187</v>
      </c>
    </row>
    <row r="63" spans="5:27">
      <c r="E63" s="5" t="s">
        <v>304</v>
      </c>
      <c r="F63" s="5" t="str" cm="1">
        <f t="array" ref="F63">_xll.BDP(bonds[[#This Row],[worksheet get]],bonds[[#Headers],[ID_ISIN]])</f>
        <v>XS1115490523</v>
      </c>
      <c r="G63" s="5" t="str" cm="1">
        <f t="array" ref="G63">_xll.BDP(bonds[[#This Row],[worksheet get]],bonds[[#Headers],[security name]])</f>
        <v>ORAFP 4 PERP</v>
      </c>
      <c r="H63" s="5" t="str" cm="1">
        <f t="array" ref="H63">_xll.BDP(bonds[[#This Row],[worksheet get]],bonds[[#Headers],[ticker]])</f>
        <v>ORAFP</v>
      </c>
      <c r="I63" s="5" cm="1">
        <f t="array" ref="I63">_xll.BDP(bonds[[#This Row],[worksheet get]],bonds[[#Headers],[coupon]])</f>
        <v>4</v>
      </c>
      <c r="J63" s="25" cm="1">
        <f t="array" ref="J63">_xll.BDP(bonds[[#This Row],[worksheet get]],bonds[[#Headers],[nxt_call_dt]])*1</f>
        <v>44470</v>
      </c>
      <c r="K63" s="9" t="str" cm="1">
        <f t="array" ref="K63">_xll.BDP(bonds[[#This Row],[worksheet get]],bonds[[#Headers],[mty_typ]])</f>
        <v>PERP/CALL</v>
      </c>
      <c r="L63" s="9" t="str" cm="1">
        <f t="array" ref="L63">_xll.BDP(bonds[[#This Row],[worksheet get]],bonds[[#Headers],[crncy]])</f>
        <v>EUR</v>
      </c>
      <c r="M63" s="10" cm="1">
        <f t="array" ref="M63">_xll.BDP(bonds[[#This Row],[worksheet get]],bonds[[#Headers],[amt_outstanding]])</f>
        <v>500001000</v>
      </c>
      <c r="N63" s="9" t="str" cm="1">
        <f t="array" ref="N63">_xll.BDP(bonds[[#This Row],[worksheet get]],bonds[[#Headers],[industry_sector]])</f>
        <v>Communications</v>
      </c>
      <c r="O63" s="9" t="str">
        <f>bonds[[#This Row],[security name]]&amp;" nc-"&amp;RIGHT(YEAR(bonds[[#This Row],[nxt_call_dt]]),2)</f>
        <v>ORAFP 4 PERP nc-21</v>
      </c>
      <c r="Q63" s="5" t="str">
        <v>GYCGR</v>
      </c>
      <c r="Z63" s="1" t="s">
        <v>133</v>
      </c>
      <c r="AA63" s="5" t="s">
        <v>187</v>
      </c>
    </row>
    <row r="64" spans="5:27">
      <c r="E64" s="5" t="s">
        <v>305</v>
      </c>
      <c r="F64" s="5" t="str" cm="1">
        <f t="array" ref="F64">_xll.BDP(bonds[[#This Row],[worksheet get]],bonds[[#Headers],[ID_ISIN]])</f>
        <v>XS1028599287</v>
      </c>
      <c r="G64" s="5" t="str" cm="1">
        <f t="array" ref="G64">_xll.BDP(bonds[[#This Row],[worksheet get]],bonds[[#Headers],[security name]])</f>
        <v>ORAFP 5 1/4 PERP</v>
      </c>
      <c r="H64" s="5" t="str" cm="1">
        <f t="array" ref="H64">_xll.BDP(bonds[[#This Row],[worksheet get]],bonds[[#Headers],[ticker]])</f>
        <v>ORAFP</v>
      </c>
      <c r="I64" s="5" cm="1">
        <f t="array" ref="I64">_xll.BDP(bonds[[#This Row],[worksheet get]],bonds[[#Headers],[coupon]])</f>
        <v>5.25</v>
      </c>
      <c r="J64" s="25" cm="1">
        <f t="array" ref="J64">_xll.BDP(bonds[[#This Row],[worksheet get]],bonds[[#Headers],[nxt_call_dt]])*1</f>
        <v>45329</v>
      </c>
      <c r="K64" s="9" t="str" cm="1">
        <f t="array" ref="K64">_xll.BDP(bonds[[#This Row],[worksheet get]],bonds[[#Headers],[mty_typ]])</f>
        <v>PERP/CALL</v>
      </c>
      <c r="L64" s="9" t="str" cm="1">
        <f t="array" ref="L64">_xll.BDP(bonds[[#This Row],[worksheet get]],bonds[[#Headers],[crncy]])</f>
        <v>EUR</v>
      </c>
      <c r="M64" s="10" cm="1">
        <f t="array" ref="M64">_xll.BDP(bonds[[#This Row],[worksheet get]],bonds[[#Headers],[amt_outstanding]])</f>
        <v>1000000000</v>
      </c>
      <c r="N64" s="9" t="str" cm="1">
        <f t="array" ref="N64">_xll.BDP(bonds[[#This Row],[worksheet get]],bonds[[#Headers],[industry_sector]])</f>
        <v>Communications</v>
      </c>
      <c r="O64" s="9" t="str">
        <f>bonds[[#This Row],[security name]]&amp;" nc-"&amp;RIGHT(YEAR(bonds[[#This Row],[nxt_call_dt]]),2)</f>
        <v>ORAFP 5 1/4 PERP nc-24</v>
      </c>
      <c r="Q64" s="5" t="str">
        <v>CPIPGR</v>
      </c>
      <c r="Z64" s="1" t="s">
        <v>306</v>
      </c>
      <c r="AA64" s="5" t="s">
        <v>224</v>
      </c>
    </row>
    <row r="65" spans="5:27">
      <c r="E65" s="5" t="s">
        <v>307</v>
      </c>
      <c r="F65" s="5" t="str" cm="1">
        <f t="array" ref="F65">_xll.BDP(bonds[[#This Row],[worksheet get]],bonds[[#Headers],[ID_ISIN]])</f>
        <v>FR0013413887</v>
      </c>
      <c r="G65" s="5" t="str" cm="1">
        <f t="array" ref="G65">_xll.BDP(bonds[[#This Row],[worksheet get]],bonds[[#Headers],[security name]])</f>
        <v>ORAFP 2 3/8 PERP</v>
      </c>
      <c r="H65" s="5" t="str" cm="1">
        <f t="array" ref="H65">_xll.BDP(bonds[[#This Row],[worksheet get]],bonds[[#Headers],[ticker]])</f>
        <v>ORAFP</v>
      </c>
      <c r="I65" s="5" cm="1">
        <f t="array" ref="I65">_xll.BDP(bonds[[#This Row],[worksheet get]],bonds[[#Headers],[coupon]])</f>
        <v>2.375</v>
      </c>
      <c r="J65" s="25" cm="1">
        <f t="array" ref="J65">_xll.BDP(bonds[[#This Row],[worksheet get]],bonds[[#Headers],[nxt_call_dt]])*1</f>
        <v>45672</v>
      </c>
      <c r="K65" s="9" t="str" cm="1">
        <f t="array" ref="K65">_xll.BDP(bonds[[#This Row],[worksheet get]],bonds[[#Headers],[mty_typ]])</f>
        <v>PERP/CALL</v>
      </c>
      <c r="L65" s="9" t="str" cm="1">
        <f t="array" ref="L65">_xll.BDP(bonds[[#This Row],[worksheet get]],bonds[[#Headers],[crncy]])</f>
        <v>EUR</v>
      </c>
      <c r="M65" s="10" cm="1">
        <f t="array" ref="M65">_xll.BDP(bonds[[#This Row],[worksheet get]],bonds[[#Headers],[amt_outstanding]])</f>
        <v>1000000000</v>
      </c>
      <c r="N65" s="9" t="str" cm="1">
        <f t="array" ref="N65">_xll.BDP(bonds[[#This Row],[worksheet get]],bonds[[#Headers],[industry_sector]])</f>
        <v>Communications</v>
      </c>
      <c r="O65" s="9" t="str">
        <f>bonds[[#This Row],[security name]]&amp;" nc-"&amp;RIGHT(YEAR(bonds[[#This Row],[nxt_call_dt]]),2)</f>
        <v>ORAFP 2 3/8 PERP nc-25</v>
      </c>
      <c r="Q65" s="5" t="str">
        <v>JUSTLN</v>
      </c>
      <c r="Z65" s="1" t="s">
        <v>308</v>
      </c>
      <c r="AA65" s="5" t="s">
        <v>242</v>
      </c>
    </row>
    <row r="66" spans="5:27">
      <c r="E66" s="5" t="s">
        <v>309</v>
      </c>
      <c r="F66" s="5" t="str" cm="1">
        <f t="array" ref="F66">_xll.BDP(bonds[[#This Row],[worksheet get]],bonds[[#Headers],[ID_ISIN]])</f>
        <v>XS1115498260</v>
      </c>
      <c r="G66" s="5" t="str" cm="1">
        <f t="array" ref="G66">_xll.BDP(bonds[[#This Row],[worksheet get]],bonds[[#Headers],[security name]])</f>
        <v>ORAFP 5 PERP</v>
      </c>
      <c r="H66" s="5" t="str" cm="1">
        <f t="array" ref="H66">_xll.BDP(bonds[[#This Row],[worksheet get]],bonds[[#Headers],[ticker]])</f>
        <v>ORAFP</v>
      </c>
      <c r="I66" s="5" cm="1">
        <f t="array" ref="I66">_xll.BDP(bonds[[#This Row],[worksheet get]],bonds[[#Headers],[coupon]])</f>
        <v>5</v>
      </c>
      <c r="J66" s="25" cm="1">
        <f t="array" ref="J66">_xll.BDP(bonds[[#This Row],[worksheet get]],bonds[[#Headers],[nxt_call_dt]])*1</f>
        <v>46296</v>
      </c>
      <c r="K66" s="9" t="str" cm="1">
        <f t="array" ref="K66">_xll.BDP(bonds[[#This Row],[worksheet get]],bonds[[#Headers],[mty_typ]])</f>
        <v>PERP/CALL</v>
      </c>
      <c r="L66" s="9" t="str" cm="1">
        <f t="array" ref="L66">_xll.BDP(bonds[[#This Row],[worksheet get]],bonds[[#Headers],[crncy]])</f>
        <v>EUR</v>
      </c>
      <c r="M66" s="10" cm="1">
        <f t="array" ref="M66">_xll.BDP(bonds[[#This Row],[worksheet get]],bonds[[#Headers],[amt_outstanding]])</f>
        <v>1250000000</v>
      </c>
      <c r="N66" s="9" t="str" cm="1">
        <f t="array" ref="N66">_xll.BDP(bonds[[#This Row],[worksheet get]],bonds[[#Headers],[industry_sector]])</f>
        <v>Communications</v>
      </c>
      <c r="O66" s="9" t="str">
        <f>bonds[[#This Row],[security name]]&amp;" nc-"&amp;RIGHT(YEAR(bonds[[#This Row],[nxt_call_dt]]),2)</f>
        <v>ORAFP 5 PERP nc-26</v>
      </c>
      <c r="Q66" s="5" t="str">
        <v>SZUGR</v>
      </c>
      <c r="Z66" s="1" t="s">
        <v>310</v>
      </c>
      <c r="AA66" s="5" t="s">
        <v>224</v>
      </c>
    </row>
    <row r="67" spans="5:27">
      <c r="E67" s="5" t="s">
        <v>311</v>
      </c>
      <c r="F67" s="5" t="str" cm="1">
        <f t="array" ref="F67">_xll.BDP(bonds[[#This Row],[worksheet get]],bonds[[#Headers],[ID_ISIN]])</f>
        <v>FR0013447877</v>
      </c>
      <c r="G67" s="5" t="str" cm="1">
        <f t="array" ref="G67">_xll.BDP(bonds[[#This Row],[worksheet get]],bonds[[#Headers],[security name]])</f>
        <v>ORAFP 1 3/4 PERP</v>
      </c>
      <c r="H67" s="5" t="str" cm="1">
        <f t="array" ref="H67">_xll.BDP(bonds[[#This Row],[worksheet get]],bonds[[#Headers],[ticker]])</f>
        <v>ORAFP</v>
      </c>
      <c r="I67" s="5" cm="1">
        <f t="array" ref="I67">_xll.BDP(bonds[[#This Row],[worksheet get]],bonds[[#Headers],[coupon]])</f>
        <v>1.75</v>
      </c>
      <c r="J67" s="25" cm="1">
        <f t="array" ref="J67">_xll.BDP(bonds[[#This Row],[worksheet get]],bonds[[#Headers],[nxt_call_dt]])*1</f>
        <v>46375</v>
      </c>
      <c r="K67" s="9" t="str" cm="1">
        <f t="array" ref="K67">_xll.BDP(bonds[[#This Row],[worksheet get]],bonds[[#Headers],[mty_typ]])</f>
        <v>PERP/CALL</v>
      </c>
      <c r="L67" s="9" t="str" cm="1">
        <f t="array" ref="L67">_xll.BDP(bonds[[#This Row],[worksheet get]],bonds[[#Headers],[crncy]])</f>
        <v>EUR</v>
      </c>
      <c r="M67" s="10" cm="1">
        <f t="array" ref="M67">_xll.BDP(bonds[[#This Row],[worksheet get]],bonds[[#Headers],[amt_outstanding]])</f>
        <v>500000000</v>
      </c>
      <c r="N67" s="9" t="str" cm="1">
        <f t="array" ref="N67">_xll.BDP(bonds[[#This Row],[worksheet get]],bonds[[#Headers],[industry_sector]])</f>
        <v>Communications</v>
      </c>
      <c r="O67" s="9" t="str">
        <f>bonds[[#This Row],[security name]]&amp;" nc-"&amp;RIGHT(YEAR(bonds[[#This Row],[nxt_call_dt]]),2)</f>
        <v>ORAFP 1 3/4 PERP nc-26</v>
      </c>
      <c r="Q67" s="5" t="str">
        <v>COFP</v>
      </c>
      <c r="Z67" s="1" t="s">
        <v>312</v>
      </c>
      <c r="AA67" s="5" t="s">
        <v>224</v>
      </c>
    </row>
    <row r="68" spans="5:27">
      <c r="E68" s="5" t="s">
        <v>313</v>
      </c>
      <c r="F68" s="5" t="str" cm="1">
        <f t="array" ref="F68">_xll.BDP(bonds[[#This Row],[worksheet get]],bonds[[#Headers],[ID_ISIN]])</f>
        <v>XS1028597315</v>
      </c>
      <c r="G68" s="5" t="str" cm="1">
        <f t="array" ref="G68">_xll.BDP(bonds[[#This Row],[worksheet get]],bonds[[#Headers],[security name]])</f>
        <v>ORAFP 5 7/8 PERP</v>
      </c>
      <c r="H68" s="5" t="str" cm="1">
        <f t="array" ref="H68">_xll.BDP(bonds[[#This Row],[worksheet get]],bonds[[#Headers],[ticker]])</f>
        <v>ORAFP</v>
      </c>
      <c r="I68" s="5" cm="1">
        <f t="array" ref="I68">_xll.BDP(bonds[[#This Row],[worksheet get]],bonds[[#Headers],[coupon]])</f>
        <v>5.875</v>
      </c>
      <c r="J68" s="25" cm="1">
        <f t="array" ref="J68">_xll.BDP(bonds[[#This Row],[worksheet get]],bonds[[#Headers],[nxt_call_dt]])*1</f>
        <v>44599</v>
      </c>
      <c r="K68" s="9" t="str" cm="1">
        <f t="array" ref="K68">_xll.BDP(bonds[[#This Row],[worksheet get]],bonds[[#Headers],[mty_typ]])</f>
        <v>PERP/CALL</v>
      </c>
      <c r="L68" s="9" t="str" cm="1">
        <f t="array" ref="L68">_xll.BDP(bonds[[#This Row],[worksheet get]],bonds[[#Headers],[crncy]])</f>
        <v>GBP</v>
      </c>
      <c r="M68" s="10" cm="1">
        <f t="array" ref="M68">_xll.BDP(bonds[[#This Row],[worksheet get]],bonds[[#Headers],[amt_outstanding]])</f>
        <v>650000000</v>
      </c>
      <c r="N68" s="9" t="str" cm="1">
        <f t="array" ref="N68">_xll.BDP(bonds[[#This Row],[worksheet get]],bonds[[#Headers],[industry_sector]])</f>
        <v>Communications</v>
      </c>
      <c r="O68" s="9" t="str">
        <f>bonds[[#This Row],[security name]]&amp;" nc-"&amp;RIGHT(YEAR(bonds[[#This Row],[nxt_call_dt]]),2)</f>
        <v>ORAFP 5 7/8 PERP nc-22</v>
      </c>
      <c r="Q68" s="5" t="str">
        <v>SBRYLN</v>
      </c>
      <c r="Z68" s="1" t="s">
        <v>314</v>
      </c>
      <c r="AA68" s="5" t="s">
        <v>184</v>
      </c>
    </row>
    <row r="69" spans="5:27">
      <c r="E69" s="5" t="s">
        <v>315</v>
      </c>
      <c r="F69" s="5" t="str" cm="1">
        <f t="array" ref="F69">_xll.BDP(bonds[[#This Row],[worksheet get]],bonds[[#Headers],[ID_ISIN]])</f>
        <v>XS1115502988</v>
      </c>
      <c r="G69" s="5" t="str" cm="1">
        <f t="array" ref="G69">_xll.BDP(bonds[[#This Row],[worksheet get]],bonds[[#Headers],[security name]])</f>
        <v>ORAFP 5 3/4 PERP</v>
      </c>
      <c r="H69" s="5" t="str" cm="1">
        <f t="array" ref="H69">_xll.BDP(bonds[[#This Row],[worksheet get]],bonds[[#Headers],[ticker]])</f>
        <v>ORAFP</v>
      </c>
      <c r="I69" s="5" cm="1">
        <f t="array" ref="I69">_xll.BDP(bonds[[#This Row],[worksheet get]],bonds[[#Headers],[coupon]])</f>
        <v>5.75</v>
      </c>
      <c r="J69" s="25" cm="1">
        <f t="array" ref="J69">_xll.BDP(bonds[[#This Row],[worksheet get]],bonds[[#Headers],[nxt_call_dt]])*1</f>
        <v>45017</v>
      </c>
      <c r="K69" s="9" t="str" cm="1">
        <f t="array" ref="K69">_xll.BDP(bonds[[#This Row],[worksheet get]],bonds[[#Headers],[mty_typ]])</f>
        <v>PERP/CALL</v>
      </c>
      <c r="L69" s="9" t="str" cm="1">
        <f t="array" ref="L69">_xll.BDP(bonds[[#This Row],[worksheet get]],bonds[[#Headers],[crncy]])</f>
        <v>GBP</v>
      </c>
      <c r="M69" s="10" cm="1">
        <f t="array" ref="M69">_xll.BDP(bonds[[#This Row],[worksheet get]],bonds[[#Headers],[amt_outstanding]])</f>
        <v>600000000</v>
      </c>
      <c r="N69" s="9" t="str" cm="1">
        <f t="array" ref="N69">_xll.BDP(bonds[[#This Row],[worksheet get]],bonds[[#Headers],[industry_sector]])</f>
        <v>Communications</v>
      </c>
      <c r="O69" s="9" t="str">
        <f>bonds[[#This Row],[security name]]&amp;" nc-"&amp;RIGHT(YEAR(bonds[[#This Row],[nxt_call_dt]]),2)</f>
        <v>ORAFP 5 3/4 PERP nc-23</v>
      </c>
      <c r="Q69" s="5" t="str">
        <v>WIEAV</v>
      </c>
      <c r="Z69" s="1" t="s">
        <v>316</v>
      </c>
      <c r="AA69" s="5" t="s">
        <v>242</v>
      </c>
    </row>
    <row r="70" spans="5:27">
      <c r="E70" s="5" t="s">
        <v>317</v>
      </c>
      <c r="F70" s="5" t="str" cm="1">
        <f t="array" ref="F70">_xll.BDP(bonds[[#This Row],[worksheet get]],bonds[[#Headers],[ID_ISIN]])</f>
        <v>XS1490960942</v>
      </c>
      <c r="G70" s="5" t="str" cm="1">
        <f t="array" ref="G70">_xll.BDP(bonds[[#This Row],[worksheet get]],bonds[[#Headers],[security name]])</f>
        <v>TELEFO 3 3/4 PERP</v>
      </c>
      <c r="H70" s="5" t="str" cm="1">
        <f t="array" ref="H70">_xll.BDP(bonds[[#This Row],[worksheet get]],bonds[[#Headers],[ticker]])</f>
        <v>TELEFO</v>
      </c>
      <c r="I70" s="5" cm="1">
        <f t="array" ref="I70">_xll.BDP(bonds[[#This Row],[worksheet get]],bonds[[#Headers],[coupon]])</f>
        <v>3.75</v>
      </c>
      <c r="J70" s="25" cm="1">
        <f t="array" ref="J70">_xll.BDP(bonds[[#This Row],[worksheet get]],bonds[[#Headers],[nxt_call_dt]])*1</f>
        <v>44635</v>
      </c>
      <c r="K70" s="9" t="str" cm="1">
        <f t="array" ref="K70">_xll.BDP(bonds[[#This Row],[worksheet get]],bonds[[#Headers],[mty_typ]])</f>
        <v>PERP/CALL</v>
      </c>
      <c r="L70" s="9" t="str" cm="1">
        <f t="array" ref="L70">_xll.BDP(bonds[[#This Row],[worksheet get]],bonds[[#Headers],[crncy]])</f>
        <v>EUR</v>
      </c>
      <c r="M70" s="10" cm="1">
        <f t="array" ref="M70">_xll.BDP(bonds[[#This Row],[worksheet get]],bonds[[#Headers],[amt_outstanding]])</f>
        <v>1000000000</v>
      </c>
      <c r="N70" s="9" t="str" cm="1">
        <f t="array" ref="N70">_xll.BDP(bonds[[#This Row],[worksheet get]],bonds[[#Headers],[industry_sector]])</f>
        <v>Communications</v>
      </c>
      <c r="O70" s="9" t="str">
        <f>bonds[[#This Row],[security name]]&amp;" nc-"&amp;RIGHT(YEAR(bonds[[#This Row],[nxt_call_dt]]),2)</f>
        <v>TELEFO 3 3/4 PERP nc-22</v>
      </c>
      <c r="Q70" s="5" t="str">
        <v>TRAFIG</v>
      </c>
      <c r="Z70" s="1" t="s">
        <v>118</v>
      </c>
      <c r="AA70" s="1" t="s">
        <v>188</v>
      </c>
    </row>
    <row r="71" spans="5:27">
      <c r="E71" s="5" t="s">
        <v>318</v>
      </c>
      <c r="F71" s="5" t="str" cm="1">
        <f t="array" ref="F71">_xll.BDP(bonds[[#This Row],[worksheet get]],bonds[[#Headers],[ID_ISIN]])</f>
        <v>XS1731823255</v>
      </c>
      <c r="G71" s="5" t="str" cm="1">
        <f t="array" ref="G71">_xll.BDP(bonds[[#This Row],[worksheet get]],bonds[[#Headers],[security name]])</f>
        <v>TELEFO 2 5/8 PERP</v>
      </c>
      <c r="H71" s="5" t="str" cm="1">
        <f t="array" ref="H71">_xll.BDP(bonds[[#This Row],[worksheet get]],bonds[[#Headers],[ticker]])</f>
        <v>TELEFO</v>
      </c>
      <c r="I71" s="5" cm="1">
        <f t="array" ref="I71">_xll.BDP(bonds[[#This Row],[worksheet get]],bonds[[#Headers],[coupon]])</f>
        <v>2.625</v>
      </c>
      <c r="J71" s="25" cm="1">
        <f t="array" ref="J71">_xll.BDP(bonds[[#This Row],[worksheet get]],bonds[[#Headers],[nxt_call_dt]])*1</f>
        <v>44992</v>
      </c>
      <c r="K71" s="9" t="str" cm="1">
        <f t="array" ref="K71">_xll.BDP(bonds[[#This Row],[worksheet get]],bonds[[#Headers],[mty_typ]])</f>
        <v>PERP/CALL</v>
      </c>
      <c r="L71" s="9" t="str" cm="1">
        <f t="array" ref="L71">_xll.BDP(bonds[[#This Row],[worksheet get]],bonds[[#Headers],[crncy]])</f>
        <v>EUR</v>
      </c>
      <c r="M71" s="10" cm="1">
        <f t="array" ref="M71">_xll.BDP(bonds[[#This Row],[worksheet get]],bonds[[#Headers],[amt_outstanding]])</f>
        <v>1000000000</v>
      </c>
      <c r="N71" s="9" t="str" cm="1">
        <f t="array" ref="N71">_xll.BDP(bonds[[#This Row],[worksheet get]],bonds[[#Headers],[industry_sector]])</f>
        <v>Communications</v>
      </c>
      <c r="O71" s="9" t="str">
        <f>bonds[[#This Row],[security name]]&amp;" nc-"&amp;RIGHT(YEAR(bonds[[#This Row],[nxt_call_dt]]),2)</f>
        <v>TELEFO 2 5/8 PERP nc-23</v>
      </c>
      <c r="Q71" s="5" t="str">
        <v>SOFTBK</v>
      </c>
    </row>
    <row r="72" spans="5:27">
      <c r="E72" s="5" t="s">
        <v>161</v>
      </c>
      <c r="F72" s="5" t="str" cm="1">
        <f t="array" ref="F72">_xll.BDP(bonds[[#This Row],[worksheet get]],bonds[[#Headers],[ID_ISIN]])</f>
        <v>XS1795406575</v>
      </c>
      <c r="G72" s="5" t="str" cm="1">
        <f t="array" ref="G72">_xll.BDP(bonds[[#This Row],[worksheet get]],bonds[[#Headers],[security name]])</f>
        <v>TELEFO 3 PERP</v>
      </c>
      <c r="H72" s="5" t="str" cm="1">
        <f t="array" ref="H72">_xll.BDP(bonds[[#This Row],[worksheet get]],bonds[[#Headers],[ticker]])</f>
        <v>TELEFO</v>
      </c>
      <c r="I72" s="5" cm="1">
        <f t="array" ref="I72">_xll.BDP(bonds[[#This Row],[worksheet get]],bonds[[#Headers],[coupon]])</f>
        <v>3</v>
      </c>
      <c r="J72" s="25" cm="1">
        <f t="array" ref="J72">_xll.BDP(bonds[[#This Row],[worksheet get]],bonds[[#Headers],[nxt_call_dt]])*1</f>
        <v>45173</v>
      </c>
      <c r="K72" s="9" t="str" cm="1">
        <f t="array" ref="K72">_xll.BDP(bonds[[#This Row],[worksheet get]],bonds[[#Headers],[mty_typ]])</f>
        <v>PERP/CALL</v>
      </c>
      <c r="L72" s="9" t="str" cm="1">
        <f t="array" ref="L72">_xll.BDP(bonds[[#This Row],[worksheet get]],bonds[[#Headers],[crncy]])</f>
        <v>EUR</v>
      </c>
      <c r="M72" s="10" cm="1">
        <f t="array" ref="M72">_xll.BDP(bonds[[#This Row],[worksheet get]],bonds[[#Headers],[amt_outstanding]])</f>
        <v>1250000000</v>
      </c>
      <c r="N72" s="9" t="str" cm="1">
        <f t="array" ref="N72">_xll.BDP(bonds[[#This Row],[worksheet get]],bonds[[#Headers],[industry_sector]])</f>
        <v>Communications</v>
      </c>
      <c r="O72" s="9" t="str">
        <f>bonds[[#This Row],[security name]]&amp;" nc-"&amp;RIGHT(YEAR(bonds[[#This Row],[nxt_call_dt]]),2)</f>
        <v>TELEFO 3 PERP nc-23</v>
      </c>
    </row>
    <row r="73" spans="5:27">
      <c r="E73" s="5" t="s">
        <v>319</v>
      </c>
      <c r="F73" s="5" t="str" cm="1">
        <f t="array" ref="F73">_xll.BDP(bonds[[#This Row],[worksheet get]],bonds[[#Headers],[ID_ISIN]])</f>
        <v>XS1050461034</v>
      </c>
      <c r="G73" s="5" t="str" cm="1">
        <f t="array" ref="G73">_xll.BDP(bonds[[#This Row],[worksheet get]],bonds[[#Headers],[security name]])</f>
        <v>TELEFO 5 7/8 PERP</v>
      </c>
      <c r="H73" s="5" t="str" cm="1">
        <f t="array" ref="H73">_xll.BDP(bonds[[#This Row],[worksheet get]],bonds[[#Headers],[ticker]])</f>
        <v>TELEFO</v>
      </c>
      <c r="I73" s="5" cm="1">
        <f t="array" ref="I73">_xll.BDP(bonds[[#This Row],[worksheet get]],bonds[[#Headers],[coupon]])</f>
        <v>5.875</v>
      </c>
      <c r="J73" s="25" cm="1">
        <f t="array" ref="J73">_xll.BDP(bonds[[#This Row],[worksheet get]],bonds[[#Headers],[nxt_call_dt]])*1</f>
        <v>45382</v>
      </c>
      <c r="K73" s="9" t="str" cm="1">
        <f t="array" ref="K73">_xll.BDP(bonds[[#This Row],[worksheet get]],bonds[[#Headers],[mty_typ]])</f>
        <v>PERP/CALL</v>
      </c>
      <c r="L73" s="9" t="str" cm="1">
        <f t="array" ref="L73">_xll.BDP(bonds[[#This Row],[worksheet get]],bonds[[#Headers],[crncy]])</f>
        <v>EUR</v>
      </c>
      <c r="M73" s="10" cm="1">
        <f t="array" ref="M73">_xll.BDP(bonds[[#This Row],[worksheet get]],bonds[[#Headers],[amt_outstanding]])</f>
        <v>1000000000</v>
      </c>
      <c r="N73" s="9" t="str" cm="1">
        <f t="array" ref="N73">_xll.BDP(bonds[[#This Row],[worksheet get]],bonds[[#Headers],[industry_sector]])</f>
        <v>Communications</v>
      </c>
      <c r="O73" s="9" t="str">
        <f>bonds[[#This Row],[security name]]&amp;" nc-"&amp;RIGHT(YEAR(bonds[[#This Row],[nxt_call_dt]]),2)</f>
        <v>TELEFO 5 7/8 PERP nc-24</v>
      </c>
    </row>
    <row r="74" spans="5:27">
      <c r="E74" s="5" t="s">
        <v>320</v>
      </c>
      <c r="F74" s="5" t="str" cm="1">
        <f t="array" ref="F74">_xll.BDP(bonds[[#This Row],[worksheet get]],bonds[[#Headers],[ID_ISIN]])</f>
        <v>XS1933828433</v>
      </c>
      <c r="G74" s="5" t="str" cm="1">
        <f t="array" ref="G74">_xll.BDP(bonds[[#This Row],[worksheet get]],bonds[[#Headers],[security name]])</f>
        <v>TELEFO 4 3/8 PERP</v>
      </c>
      <c r="H74" s="5" t="str" cm="1">
        <f t="array" ref="H74">_xll.BDP(bonds[[#This Row],[worksheet get]],bonds[[#Headers],[ticker]])</f>
        <v>TELEFO</v>
      </c>
      <c r="I74" s="5" cm="1">
        <f t="array" ref="I74">_xll.BDP(bonds[[#This Row],[worksheet get]],bonds[[#Headers],[coupon]])</f>
        <v>4.375</v>
      </c>
      <c r="J74" s="25" cm="1">
        <f t="array" ref="J74">_xll.BDP(bonds[[#This Row],[worksheet get]],bonds[[#Headers],[nxt_call_dt]])*1</f>
        <v>45640</v>
      </c>
      <c r="K74" s="9" t="str" cm="1">
        <f t="array" ref="K74">_xll.BDP(bonds[[#This Row],[worksheet get]],bonds[[#Headers],[mty_typ]])</f>
        <v>PERP/CALL</v>
      </c>
      <c r="L74" s="9" t="str" cm="1">
        <f t="array" ref="L74">_xll.BDP(bonds[[#This Row],[worksheet get]],bonds[[#Headers],[crncy]])</f>
        <v>EUR</v>
      </c>
      <c r="M74" s="10" cm="1">
        <f t="array" ref="M74">_xll.BDP(bonds[[#This Row],[worksheet get]],bonds[[#Headers],[amt_outstanding]])</f>
        <v>1300000000</v>
      </c>
      <c r="N74" s="9" t="str" cm="1">
        <f t="array" ref="N74">_xll.BDP(bonds[[#This Row],[worksheet get]],bonds[[#Headers],[industry_sector]])</f>
        <v>Communications</v>
      </c>
      <c r="O74" s="9" t="str">
        <f>bonds[[#This Row],[security name]]&amp;" nc-"&amp;RIGHT(YEAR(bonds[[#This Row],[nxt_call_dt]]),2)</f>
        <v>TELEFO 4 3/8 PERP nc-24</v>
      </c>
    </row>
    <row r="75" spans="5:27">
      <c r="E75" s="5" t="s">
        <v>321</v>
      </c>
      <c r="F75" s="5" t="str" cm="1">
        <f t="array" ref="F75">_xll.BDP(bonds[[#This Row],[worksheet get]],bonds[[#Headers],[ID_ISIN]])</f>
        <v>XS1795406658</v>
      </c>
      <c r="G75" s="5" t="str" cm="1">
        <f t="array" ref="G75">_xll.BDP(bonds[[#This Row],[worksheet get]],bonds[[#Headers],[security name]])</f>
        <v>TELEFO 3 7/8 PERP</v>
      </c>
      <c r="H75" s="5" t="str" cm="1">
        <f t="array" ref="H75">_xll.BDP(bonds[[#This Row],[worksheet get]],bonds[[#Headers],[ticker]])</f>
        <v>TELEFO</v>
      </c>
      <c r="I75" s="5" cm="1">
        <f t="array" ref="I75">_xll.BDP(bonds[[#This Row],[worksheet get]],bonds[[#Headers],[coupon]])</f>
        <v>3.875</v>
      </c>
      <c r="J75" s="25" cm="1">
        <f t="array" ref="J75">_xll.BDP(bonds[[#This Row],[worksheet get]],bonds[[#Headers],[nxt_call_dt]])*1</f>
        <v>46195</v>
      </c>
      <c r="K75" s="9" t="str" cm="1">
        <f t="array" ref="K75">_xll.BDP(bonds[[#This Row],[worksheet get]],bonds[[#Headers],[mty_typ]])</f>
        <v>PERP/CALL</v>
      </c>
      <c r="L75" s="9" t="str" cm="1">
        <f t="array" ref="L75">_xll.BDP(bonds[[#This Row],[worksheet get]],bonds[[#Headers],[crncy]])</f>
        <v>EUR</v>
      </c>
      <c r="M75" s="10" cm="1">
        <f t="array" ref="M75">_xll.BDP(bonds[[#This Row],[worksheet get]],bonds[[#Headers],[amt_outstanding]])</f>
        <v>1000000000</v>
      </c>
      <c r="N75" s="9" t="str" cm="1">
        <f t="array" ref="N75">_xll.BDP(bonds[[#This Row],[worksheet get]],bonds[[#Headers],[industry_sector]])</f>
        <v>Communications</v>
      </c>
      <c r="O75" s="9" t="str">
        <f>bonds[[#This Row],[security name]]&amp;" nc-"&amp;RIGHT(YEAR(bonds[[#This Row],[nxt_call_dt]]),2)</f>
        <v>TELEFO 3 7/8 PERP nc-26</v>
      </c>
    </row>
    <row r="76" spans="5:27">
      <c r="E76" s="5" t="s">
        <v>322</v>
      </c>
      <c r="F76" s="5" t="str" cm="1">
        <f t="array" ref="F76">_xll.BDP(bonds[[#This Row],[worksheet get]],bonds[[#Headers],[ID_ISIN]])</f>
        <v>XS2109819859</v>
      </c>
      <c r="G76" s="5" t="str" cm="1">
        <f t="array" ref="G76">_xll.BDP(bonds[[#This Row],[worksheet get]],bonds[[#Headers],[security name]])</f>
        <v>TELEFO 2.502 PERP</v>
      </c>
      <c r="H76" s="5" t="str" cm="1">
        <f t="array" ref="H76">_xll.BDP(bonds[[#This Row],[worksheet get]],bonds[[#Headers],[ticker]])</f>
        <v>TELEFO</v>
      </c>
      <c r="I76" s="5" cm="1">
        <f t="array" ref="I76">_xll.BDP(bonds[[#This Row],[worksheet get]],bonds[[#Headers],[coupon]])</f>
        <v>2.5019999999999998</v>
      </c>
      <c r="J76" s="25" cm="1">
        <f t="array" ref="J76">_xll.BDP(bonds[[#This Row],[worksheet get]],bonds[[#Headers],[nxt_call_dt]])*1</f>
        <v>46423</v>
      </c>
      <c r="K76" s="9" t="str" cm="1">
        <f t="array" ref="K76">_xll.BDP(bonds[[#This Row],[worksheet get]],bonds[[#Headers],[mty_typ]])</f>
        <v>PERP/CALL</v>
      </c>
      <c r="L76" s="9" t="str" cm="1">
        <f t="array" ref="L76">_xll.BDP(bonds[[#This Row],[worksheet get]],bonds[[#Headers],[crncy]])</f>
        <v>EUR</v>
      </c>
      <c r="M76" s="10" cm="1">
        <f t="array" ref="M76">_xll.BDP(bonds[[#This Row],[worksheet get]],bonds[[#Headers],[amt_outstanding]])</f>
        <v>500000000</v>
      </c>
      <c r="N76" s="9" t="str" cm="1">
        <f t="array" ref="N76">_xll.BDP(bonds[[#This Row],[worksheet get]],bonds[[#Headers],[industry_sector]])</f>
        <v>Communications</v>
      </c>
      <c r="O76" s="9" t="str">
        <f>bonds[[#This Row],[security name]]&amp;" nc-"&amp;RIGHT(YEAR(bonds[[#This Row],[nxt_call_dt]]),2)</f>
        <v>TELEFO 2.502 PERP nc-27</v>
      </c>
    </row>
    <row r="77" spans="5:27">
      <c r="E77" s="5" t="s">
        <v>162</v>
      </c>
      <c r="F77" s="5" t="str" cm="1">
        <f t="array" ref="F77">_xll.BDP(bonds[[#This Row],[worksheet get]],bonds[[#Headers],[ID_ISIN]])</f>
        <v>XS2056371334</v>
      </c>
      <c r="G77" s="5" t="str" cm="1">
        <f t="array" ref="G77">_xll.BDP(bonds[[#This Row],[worksheet get]],bonds[[#Headers],[security name]])</f>
        <v>TELEFO 2 7/8 PERP</v>
      </c>
      <c r="H77" s="5" t="str" cm="1">
        <f t="array" ref="H77">_xll.BDP(bonds[[#This Row],[worksheet get]],bonds[[#Headers],[ticker]])</f>
        <v>TELEFO</v>
      </c>
      <c r="I77" s="5" cm="1">
        <f t="array" ref="I77">_xll.BDP(bonds[[#This Row],[worksheet get]],bonds[[#Headers],[coupon]])</f>
        <v>2.875</v>
      </c>
      <c r="J77" s="25" cm="1">
        <f t="array" ref="J77">_xll.BDP(bonds[[#This Row],[worksheet get]],bonds[[#Headers],[nxt_call_dt]])*1</f>
        <v>46562</v>
      </c>
      <c r="K77" s="9" t="str" cm="1">
        <f t="array" ref="K77">_xll.BDP(bonds[[#This Row],[worksheet get]],bonds[[#Headers],[mty_typ]])</f>
        <v>PERP/CALL</v>
      </c>
      <c r="L77" s="9" t="str" cm="1">
        <f t="array" ref="L77">_xll.BDP(bonds[[#This Row],[worksheet get]],bonds[[#Headers],[crncy]])</f>
        <v>EUR</v>
      </c>
      <c r="M77" s="10" cm="1">
        <f t="array" ref="M77">_xll.BDP(bonds[[#This Row],[worksheet get]],bonds[[#Headers],[amt_outstanding]])</f>
        <v>500000000</v>
      </c>
      <c r="N77" s="9" t="str" cm="1">
        <f t="array" ref="N77">_xll.BDP(bonds[[#This Row],[worksheet get]],bonds[[#Headers],[industry_sector]])</f>
        <v>Communications</v>
      </c>
      <c r="O77" s="9" t="str">
        <f>bonds[[#This Row],[security name]]&amp;" nc-"&amp;RIGHT(YEAR(bonds[[#This Row],[nxt_call_dt]]),2)</f>
        <v>TELEFO 2 7/8 PERP nc-27</v>
      </c>
    </row>
    <row r="78" spans="5:27">
      <c r="E78" s="5" t="s">
        <v>164</v>
      </c>
      <c r="F78" s="5" t="str" cm="1">
        <f t="array" ref="F78">_xll.BDP(bonds[[#This Row],[worksheet get]],bonds[[#Headers],[ID_ISIN]])</f>
        <v>XS1888179477</v>
      </c>
      <c r="G78" s="5" t="str" cm="1">
        <f t="array" ref="G78">_xll.BDP(bonds[[#This Row],[worksheet get]],bonds[[#Headers],[security name]])</f>
        <v>VOD 3.1 01/03/79</v>
      </c>
      <c r="H78" s="5" t="str" cm="1">
        <f t="array" ref="H78">_xll.BDP(bonds[[#This Row],[worksheet get]],bonds[[#Headers],[ticker]])</f>
        <v>VOD</v>
      </c>
      <c r="I78" s="5" cm="1">
        <f t="array" ref="I78">_xll.BDP(bonds[[#This Row],[worksheet get]],bonds[[#Headers],[coupon]])</f>
        <v>3.1</v>
      </c>
      <c r="J78" s="25" cm="1">
        <f t="array" ref="J78">_xll.BDP(bonds[[#This Row],[worksheet get]],bonds[[#Headers],[nxt_call_dt]])*1</f>
        <v>45202</v>
      </c>
      <c r="K78" s="9" t="str" cm="1">
        <f t="array" ref="K78">_xll.BDP(bonds[[#This Row],[worksheet get]],bonds[[#Headers],[mty_typ]])</f>
        <v>CALLABLE</v>
      </c>
      <c r="L78" s="9" t="str" cm="1">
        <f t="array" ref="L78">_xll.BDP(bonds[[#This Row],[worksheet get]],bonds[[#Headers],[crncy]])</f>
        <v>EUR</v>
      </c>
      <c r="M78" s="10" cm="1">
        <f t="array" ref="M78">_xll.BDP(bonds[[#This Row],[worksheet get]],bonds[[#Headers],[amt_outstanding]])</f>
        <v>2000000000</v>
      </c>
      <c r="N78" s="9" t="str" cm="1">
        <f t="array" ref="N78">_xll.BDP(bonds[[#This Row],[worksheet get]],bonds[[#Headers],[industry_sector]])</f>
        <v>Communications</v>
      </c>
      <c r="O78" s="9" t="str">
        <f>bonds[[#This Row],[security name]]&amp;" nc-"&amp;RIGHT(YEAR(bonds[[#This Row],[nxt_call_dt]]),2)</f>
        <v>VOD 3.1 01/03/79 nc-23</v>
      </c>
    </row>
    <row r="79" spans="5:27">
      <c r="E79" s="5" t="s">
        <v>165</v>
      </c>
      <c r="F79" s="5" t="str" cm="1">
        <f t="array" ref="F79">_xll.BDP(bonds[[#This Row],[worksheet get]],bonds[[#Headers],[ID_ISIN]])</f>
        <v>XS1888179550</v>
      </c>
      <c r="G79" s="5" t="str" cm="1">
        <f t="array" ref="G79">_xll.BDP(bonds[[#This Row],[worksheet get]],bonds[[#Headers],[security name]])</f>
        <v>VOD 4.2 10/03/78</v>
      </c>
      <c r="H79" s="5" t="str" cm="1">
        <f t="array" ref="H79">_xll.BDP(bonds[[#This Row],[worksheet get]],bonds[[#Headers],[ticker]])</f>
        <v>VOD</v>
      </c>
      <c r="I79" s="5" cm="1">
        <f t="array" ref="I79">_xll.BDP(bonds[[#This Row],[worksheet get]],bonds[[#Headers],[coupon]])</f>
        <v>4.2</v>
      </c>
      <c r="J79" s="25" cm="1">
        <f t="array" ref="J79">_xll.BDP(bonds[[#This Row],[worksheet get]],bonds[[#Headers],[nxt_call_dt]])*1</f>
        <v>46937</v>
      </c>
      <c r="K79" s="9" t="str" cm="1">
        <f t="array" ref="K79">_xll.BDP(bonds[[#This Row],[worksheet get]],bonds[[#Headers],[mty_typ]])</f>
        <v>CALLABLE</v>
      </c>
      <c r="L79" s="9" t="str" cm="1">
        <f t="array" ref="L79">_xll.BDP(bonds[[#This Row],[worksheet get]],bonds[[#Headers],[crncy]])</f>
        <v>EUR</v>
      </c>
      <c r="M79" s="10" cm="1">
        <f t="array" ref="M79">_xll.BDP(bonds[[#This Row],[worksheet get]],bonds[[#Headers],[amt_outstanding]])</f>
        <v>500000000</v>
      </c>
      <c r="N79" s="9" t="str" cm="1">
        <f t="array" ref="N79">_xll.BDP(bonds[[#This Row],[worksheet get]],bonds[[#Headers],[industry_sector]])</f>
        <v>Communications</v>
      </c>
      <c r="O79" s="9" t="str">
        <f>bonds[[#This Row],[security name]]&amp;" nc-"&amp;RIGHT(YEAR(bonds[[#This Row],[nxt_call_dt]]),2)</f>
        <v>VOD 4.2 10/03/78 nc-28</v>
      </c>
    </row>
    <row r="80" spans="5:27">
      <c r="E80" s="5" t="s">
        <v>323</v>
      </c>
      <c r="F80" s="5" t="str" cm="1">
        <f t="array" ref="F80">_xll.BDP(bonds[[#This Row],[worksheet get]],bonds[[#Headers],[ID_ISIN]])</f>
        <v>XS1888180996</v>
      </c>
      <c r="G80" s="5" t="str" cm="1">
        <f t="array" ref="G80">_xll.BDP(bonds[[#This Row],[worksheet get]],bonds[[#Headers],[security name]])</f>
        <v>VOD 4 7/8 10/03/78</v>
      </c>
      <c r="H80" s="5" t="str" cm="1">
        <f t="array" ref="H80">_xll.BDP(bonds[[#This Row],[worksheet get]],bonds[[#Headers],[ticker]])</f>
        <v>VOD</v>
      </c>
      <c r="I80" s="5" cm="1">
        <f t="array" ref="I80">_xll.BDP(bonds[[#This Row],[worksheet get]],bonds[[#Headers],[coupon]])</f>
        <v>4.875</v>
      </c>
      <c r="J80" s="25" cm="1">
        <f t="array" ref="J80">_xll.BDP(bonds[[#This Row],[worksheet get]],bonds[[#Headers],[nxt_call_dt]])*1</f>
        <v>45841</v>
      </c>
      <c r="K80" s="9" t="str" cm="1">
        <f t="array" ref="K80">_xll.BDP(bonds[[#This Row],[worksheet get]],bonds[[#Headers],[mty_typ]])</f>
        <v>CALLABLE</v>
      </c>
      <c r="L80" s="9" t="str" cm="1">
        <f t="array" ref="L80">_xll.BDP(bonds[[#This Row],[worksheet get]],bonds[[#Headers],[crncy]])</f>
        <v>GBP</v>
      </c>
      <c r="M80" s="10" cm="1">
        <f t="array" ref="M80">_xll.BDP(bonds[[#This Row],[worksheet get]],bonds[[#Headers],[amt_outstanding]])</f>
        <v>500000000</v>
      </c>
      <c r="N80" s="9" t="str" cm="1">
        <f t="array" ref="N80">_xll.BDP(bonds[[#This Row],[worksheet get]],bonds[[#Headers],[industry_sector]])</f>
        <v>Communications</v>
      </c>
      <c r="O80" s="9" t="str">
        <f>bonds[[#This Row],[security name]]&amp;" nc-"&amp;RIGHT(YEAR(bonds[[#This Row],[nxt_call_dt]]),2)</f>
        <v>VOD 4 7/8 10/03/78 nc-25</v>
      </c>
    </row>
    <row r="81" spans="5:15">
      <c r="E81" s="5" t="s">
        <v>324</v>
      </c>
      <c r="F81" s="5" t="str" cm="1">
        <f t="array" ref="F81">_xll.BDP(bonds[[#This Row],[worksheet get]],bonds[[#Headers],[ID_ISIN]])</f>
        <v>XS1888180640</v>
      </c>
      <c r="G81" s="5" t="str" cm="1">
        <f t="array" ref="G81">_xll.BDP(bonds[[#This Row],[worksheet get]],bonds[[#Headers],[security name]])</f>
        <v>VOD 6 1/4 10/03/78</v>
      </c>
      <c r="H81" s="5" t="str" cm="1">
        <f t="array" ref="H81">_xll.BDP(bonds[[#This Row],[worksheet get]],bonds[[#Headers],[ticker]])</f>
        <v>VOD</v>
      </c>
      <c r="I81" s="5" cm="1">
        <f t="array" ref="I81">_xll.BDP(bonds[[#This Row],[worksheet get]],bonds[[#Headers],[coupon]])</f>
        <v>6.25</v>
      </c>
      <c r="J81" s="25" cm="1">
        <f t="array" ref="J81">_xll.BDP(bonds[[#This Row],[worksheet get]],bonds[[#Headers],[nxt_call_dt]])*1</f>
        <v>45476</v>
      </c>
      <c r="K81" s="9" t="str" cm="1">
        <f t="array" ref="K81">_xll.BDP(bonds[[#This Row],[worksheet get]],bonds[[#Headers],[mty_typ]])</f>
        <v>CALLABLE</v>
      </c>
      <c r="L81" s="9" t="str" cm="1">
        <f t="array" ref="L81">_xll.BDP(bonds[[#This Row],[worksheet get]],bonds[[#Headers],[crncy]])</f>
        <v>USD</v>
      </c>
      <c r="M81" s="10" cm="1">
        <f t="array" ref="M81">_xll.BDP(bonds[[#This Row],[worksheet get]],bonds[[#Headers],[amt_outstanding]])</f>
        <v>1300000000</v>
      </c>
      <c r="N81" s="9" t="str" cm="1">
        <f t="array" ref="N81">_xll.BDP(bonds[[#This Row],[worksheet get]],bonds[[#Headers],[industry_sector]])</f>
        <v>Communications</v>
      </c>
      <c r="O81" s="9" t="str">
        <f>bonds[[#This Row],[security name]]&amp;" nc-"&amp;RIGHT(YEAR(bonds[[#This Row],[nxt_call_dt]]),2)</f>
        <v>VOD 6 1/4 10/03/78 nc-24</v>
      </c>
    </row>
    <row r="82" spans="5:15">
      <c r="E82" s="5" t="s">
        <v>325</v>
      </c>
      <c r="F82" s="5" t="str" cm="1">
        <f t="array" ref="F82">_xll.BDP(bonds[[#This Row],[worksheet get]],bonds[[#Headers],[ID_ISIN]])</f>
        <v>US92857WBQ24</v>
      </c>
      <c r="G82" s="5" t="str" cm="1">
        <f t="array" ref="G82">_xll.BDP(bonds[[#This Row],[worksheet get]],bonds[[#Headers],[security name]])</f>
        <v>VOD 7 04/04/79</v>
      </c>
      <c r="H82" s="5" t="str" cm="1">
        <f t="array" ref="H82">_xll.BDP(bonds[[#This Row],[worksheet get]],bonds[[#Headers],[ticker]])</f>
        <v>VOD</v>
      </c>
      <c r="I82" s="5" cm="1">
        <f t="array" ref="I82">_xll.BDP(bonds[[#This Row],[worksheet get]],bonds[[#Headers],[coupon]])</f>
        <v>7</v>
      </c>
      <c r="J82" s="25" cm="1">
        <f t="array" ref="J82">_xll.BDP(bonds[[#This Row],[worksheet get]],bonds[[#Headers],[nxt_call_dt]])*1</f>
        <v>47122</v>
      </c>
      <c r="K82" s="9" t="str" cm="1">
        <f t="array" ref="K82">_xll.BDP(bonds[[#This Row],[worksheet get]],bonds[[#Headers],[mty_typ]])</f>
        <v>CALLABLE</v>
      </c>
      <c r="L82" s="9" t="str" cm="1">
        <f t="array" ref="L82">_xll.BDP(bonds[[#This Row],[worksheet get]],bonds[[#Headers],[crncy]])</f>
        <v>USD</v>
      </c>
      <c r="M82" s="10" cm="1">
        <f t="array" ref="M82">_xll.BDP(bonds[[#This Row],[worksheet get]],bonds[[#Headers],[amt_outstanding]])</f>
        <v>2000000000</v>
      </c>
      <c r="N82" s="9" t="str" cm="1">
        <f t="array" ref="N82">_xll.BDP(bonds[[#This Row],[worksheet get]],bonds[[#Headers],[industry_sector]])</f>
        <v>Communications</v>
      </c>
      <c r="O82" s="9" t="str">
        <f>bonds[[#This Row],[security name]]&amp;" nc-"&amp;RIGHT(YEAR(bonds[[#This Row],[nxt_call_dt]]),2)</f>
        <v>VOD 7 04/04/79 nc-29</v>
      </c>
    </row>
    <row r="83" spans="5:15">
      <c r="E83" s="5" t="s">
        <v>326</v>
      </c>
      <c r="F83" s="5" t="str" cm="1">
        <f t="array" ref="F83">_xll.BDP(bonds[[#This Row],[worksheet get]],bonds[[#Headers],[ID_ISIN]])</f>
        <v>XS2119468572</v>
      </c>
      <c r="G83" s="5" t="str" cm="1">
        <f t="array" ref="G83">_xll.BDP(bonds[[#This Row],[worksheet get]],bonds[[#Headers],[security name]])</f>
        <v>BRITEL 1.874 08/18/80</v>
      </c>
      <c r="H83" s="5" t="str" cm="1">
        <f t="array" ref="H83">_xll.BDP(bonds[[#This Row],[worksheet get]],bonds[[#Headers],[ticker]])</f>
        <v>BRITEL</v>
      </c>
      <c r="I83" s="5" cm="1">
        <f t="array" ref="I83">_xll.BDP(bonds[[#This Row],[worksheet get]],bonds[[#Headers],[coupon]])</f>
        <v>1.8740000000000001</v>
      </c>
      <c r="J83" s="25" cm="1">
        <f t="array" ref="J83">_xll.BDP(bonds[[#This Row],[worksheet get]],bonds[[#Headers],[nxt_call_dt]])*1</f>
        <v>45795</v>
      </c>
      <c r="K83" s="9" t="str" cm="1">
        <f t="array" ref="K83">_xll.BDP(bonds[[#This Row],[worksheet get]],bonds[[#Headers],[mty_typ]])</f>
        <v>CALLABLE</v>
      </c>
      <c r="L83" s="9" t="str" cm="1">
        <f t="array" ref="L83">_xll.BDP(bonds[[#This Row],[worksheet get]],bonds[[#Headers],[crncy]])</f>
        <v>EUR</v>
      </c>
      <c r="M83" s="10" cm="1">
        <f t="array" ref="M83">_xll.BDP(bonds[[#This Row],[worksheet get]],bonds[[#Headers],[amt_outstanding]])</f>
        <v>500000000</v>
      </c>
      <c r="N83" s="9" t="str" cm="1">
        <f t="array" ref="N83">_xll.BDP(bonds[[#This Row],[worksheet get]],bonds[[#Headers],[industry_sector]])</f>
        <v>Communications</v>
      </c>
      <c r="O83" s="9" t="str">
        <f>bonds[[#This Row],[security name]]&amp;" nc-"&amp;RIGHT(YEAR(bonds[[#This Row],[nxt_call_dt]]),2)</f>
        <v>BRITEL 1.874 08/18/80 nc-25</v>
      </c>
    </row>
    <row r="84" spans="5:15">
      <c r="E84" s="5" t="s">
        <v>140</v>
      </c>
      <c r="F84" s="5" t="str" cm="1">
        <f t="array" ref="F84">_xll.BDP(bonds[[#This Row],[worksheet get]],bonds[[#Headers],[ID_ISIN]])</f>
        <v>XS2056730323</v>
      </c>
      <c r="G84" s="5" t="str" cm="1">
        <f t="array" ref="G84">_xll.BDP(bonds[[#This Row],[worksheet get]],bonds[[#Headers],[security name]])</f>
        <v>IFXGR 2 7/8 PERP</v>
      </c>
      <c r="H84" s="5" t="str" cm="1">
        <f t="array" ref="H84">_xll.BDP(bonds[[#This Row],[worksheet get]],bonds[[#Headers],[ticker]])</f>
        <v>IFXGR</v>
      </c>
      <c r="I84" s="5" cm="1">
        <f t="array" ref="I84">_xll.BDP(bonds[[#This Row],[worksheet get]],bonds[[#Headers],[coupon]])</f>
        <v>2.875</v>
      </c>
      <c r="J84" s="25" cm="1">
        <f t="array" ref="J84">_xll.BDP(bonds[[#This Row],[worksheet get]],bonds[[#Headers],[nxt_call_dt]])*1</f>
        <v>45658</v>
      </c>
      <c r="K84" s="9" t="str" cm="1">
        <f t="array" ref="K84">_xll.BDP(bonds[[#This Row],[worksheet get]],bonds[[#Headers],[mty_typ]])</f>
        <v>PERP/CALL</v>
      </c>
      <c r="L84" s="9" t="str" cm="1">
        <f t="array" ref="L84">_xll.BDP(bonds[[#This Row],[worksheet get]],bonds[[#Headers],[crncy]])</f>
        <v>EUR</v>
      </c>
      <c r="M84" s="10" cm="1">
        <f t="array" ref="M84">_xll.BDP(bonds[[#This Row],[worksheet get]],bonds[[#Headers],[amt_outstanding]])</f>
        <v>600000000</v>
      </c>
      <c r="N84" s="9" t="str" cm="1">
        <f t="array" ref="N84">_xll.BDP(bonds[[#This Row],[worksheet get]],bonds[[#Headers],[industry_sector]])</f>
        <v>Technology</v>
      </c>
      <c r="O84" s="9" t="str">
        <f>bonds[[#This Row],[security name]]&amp;" nc-"&amp;RIGHT(YEAR(bonds[[#This Row],[nxt_call_dt]]),2)</f>
        <v>IFXGR 2 7/8 PERP nc-25</v>
      </c>
    </row>
    <row r="85" spans="5:15">
      <c r="E85" s="5" t="s">
        <v>141</v>
      </c>
      <c r="F85" s="5" t="str" cm="1">
        <f t="array" ref="F85">_xll.BDP(bonds[[#This Row],[worksheet get]],bonds[[#Headers],[ID_ISIN]])</f>
        <v>XS2056730679</v>
      </c>
      <c r="G85" s="5" t="str" cm="1">
        <f t="array" ref="G85">_xll.BDP(bonds[[#This Row],[worksheet get]],bonds[[#Headers],[security name]])</f>
        <v>IFXGR 3 5/8 PERP</v>
      </c>
      <c r="H85" s="5" t="str" cm="1">
        <f t="array" ref="H85">_xll.BDP(bonds[[#This Row],[worksheet get]],bonds[[#Headers],[ticker]])</f>
        <v>IFXGR</v>
      </c>
      <c r="I85" s="5" cm="1">
        <f t="array" ref="I85">_xll.BDP(bonds[[#This Row],[worksheet get]],bonds[[#Headers],[coupon]])</f>
        <v>3.625</v>
      </c>
      <c r="J85" s="25" cm="1">
        <f t="array" ref="J85">_xll.BDP(bonds[[#This Row],[worksheet get]],bonds[[#Headers],[nxt_call_dt]])*1</f>
        <v>46753</v>
      </c>
      <c r="K85" s="9" t="str" cm="1">
        <f t="array" ref="K85">_xll.BDP(bonds[[#This Row],[worksheet get]],bonds[[#Headers],[mty_typ]])</f>
        <v>PERP/CALL</v>
      </c>
      <c r="L85" s="9" t="str" cm="1">
        <f t="array" ref="L85">_xll.BDP(bonds[[#This Row],[worksheet get]],bonds[[#Headers],[crncy]])</f>
        <v>EUR</v>
      </c>
      <c r="M85" s="10" cm="1">
        <f t="array" ref="M85">_xll.BDP(bonds[[#This Row],[worksheet get]],bonds[[#Headers],[amt_outstanding]])</f>
        <v>600000000</v>
      </c>
      <c r="N85" s="9" t="str" cm="1">
        <f t="array" ref="N85">_xll.BDP(bonds[[#This Row],[worksheet get]],bonds[[#Headers],[industry_sector]])</f>
        <v>Technology</v>
      </c>
      <c r="O85" s="9" t="str">
        <f>bonds[[#This Row],[security name]]&amp;" nc-"&amp;RIGHT(YEAR(bonds[[#This Row],[nxt_call_dt]]),2)</f>
        <v>IFXGR 3 5/8 PERP nc-28</v>
      </c>
    </row>
    <row r="86" spans="5:15">
      <c r="E86" s="5" t="s">
        <v>327</v>
      </c>
      <c r="F86" s="5" t="str" cm="1">
        <f t="array" ref="F86">_xll.BDP(bonds[[#This Row],[worksheet get]],bonds[[#Headers],[ID_ISIN]])</f>
        <v>XS2114413565</v>
      </c>
      <c r="G86" s="5" t="str" cm="1">
        <f t="array" ref="G86">_xll.BDP(bonds[[#This Row],[worksheet get]],bonds[[#Headers],[security name]])</f>
        <v>T 2 7/8 PERP</v>
      </c>
      <c r="H86" s="5" t="str" cm="1">
        <f t="array" ref="H86">_xll.BDP(bonds[[#This Row],[worksheet get]],bonds[[#Headers],[ticker]])</f>
        <v>T</v>
      </c>
      <c r="I86" s="5" cm="1">
        <f t="array" ref="I86">_xll.BDP(bonds[[#This Row],[worksheet get]],bonds[[#Headers],[coupon]])</f>
        <v>2.875</v>
      </c>
      <c r="J86" s="25" cm="1">
        <f t="array" ref="J86">_xll.BDP(bonds[[#This Row],[worksheet get]],bonds[[#Headers],[nxt_call_dt]])*1</f>
        <v>45718</v>
      </c>
      <c r="K86" s="9" t="str" cm="1">
        <f t="array" ref="K86">_xll.BDP(bonds[[#This Row],[worksheet get]],bonds[[#Headers],[mty_typ]])</f>
        <v>PERP/CALL</v>
      </c>
      <c r="L86" s="9" t="str" cm="1">
        <f t="array" ref="L86">_xll.BDP(bonds[[#This Row],[worksheet get]],bonds[[#Headers],[crncy]])</f>
        <v>EUR</v>
      </c>
      <c r="M86" s="10" cm="1">
        <f t="array" ref="M86">_xll.BDP(bonds[[#This Row],[worksheet get]],bonds[[#Headers],[amt_outstanding]])</f>
        <v>2000000000</v>
      </c>
      <c r="N86" s="9" t="str" cm="1">
        <f t="array" ref="N86">_xll.BDP(bonds[[#This Row],[worksheet get]],bonds[[#Headers],[industry_sector]])</f>
        <v>Communications</v>
      </c>
      <c r="O86" s="9" t="str">
        <f>bonds[[#This Row],[security name]]&amp;" nc-"&amp;RIGHT(YEAR(bonds[[#This Row],[nxt_call_dt]]),2)</f>
        <v>T 2 7/8 PERP nc-25</v>
      </c>
    </row>
    <row r="87" spans="5:15">
      <c r="E87" s="5" t="s">
        <v>328</v>
      </c>
      <c r="F87" s="5" t="str" cm="1">
        <f t="array" ref="F87">_xll.BDP(bonds[[#This Row],[worksheet get]],bonds[[#Headers],[ID_ISIN]])</f>
        <v>FR0011531730</v>
      </c>
      <c r="G87" s="5" t="str" cm="1">
        <f t="array" ref="G87">_xll.BDP(bonds[[#This Row],[worksheet get]],bonds[[#Headers],[security name]])</f>
        <v>ENGIFP 4 3/4 PERP</v>
      </c>
      <c r="H87" s="5" t="str" cm="1">
        <f t="array" ref="H87">_xll.BDP(bonds[[#This Row],[worksheet get]],bonds[[#Headers],[ticker]])</f>
        <v>ENGIFP</v>
      </c>
      <c r="I87" s="5" cm="1">
        <f t="array" ref="I87">_xll.BDP(bonds[[#This Row],[worksheet get]],bonds[[#Headers],[coupon]])</f>
        <v>4.75</v>
      </c>
      <c r="J87" s="25" cm="1">
        <f t="array" ref="J87">_xll.BDP(bonds[[#This Row],[worksheet get]],bonds[[#Headers],[nxt_call_dt]])*1</f>
        <v>44387</v>
      </c>
      <c r="K87" s="9" t="str" cm="1">
        <f t="array" ref="K87">_xll.BDP(bonds[[#This Row],[worksheet get]],bonds[[#Headers],[mty_typ]])</f>
        <v>PERP/CALL</v>
      </c>
      <c r="L87" s="9" t="str" cm="1">
        <f t="array" ref="L87">_xll.BDP(bonds[[#This Row],[worksheet get]],bonds[[#Headers],[crncy]])</f>
        <v>EUR</v>
      </c>
      <c r="M87" s="10" cm="1">
        <f t="array" ref="M87">_xll.BDP(bonds[[#This Row],[worksheet get]],bonds[[#Headers],[amt_outstanding]])</f>
        <v>413099999.99999994</v>
      </c>
      <c r="N87" s="9" t="str" cm="1">
        <f t="array" ref="N87">_xll.BDP(bonds[[#This Row],[worksheet get]],bonds[[#Headers],[industry_sector]])</f>
        <v>Utilities</v>
      </c>
      <c r="O87" s="9" t="str">
        <f>bonds[[#This Row],[security name]]&amp;" nc-"&amp;RIGHT(YEAR(bonds[[#This Row],[nxt_call_dt]]),2)</f>
        <v>ENGIFP 4 3/4 PERP nc-21</v>
      </c>
    </row>
    <row r="88" spans="5:15">
      <c r="E88" s="5" t="s">
        <v>170</v>
      </c>
      <c r="F88" s="5" t="str" cm="1">
        <f t="array" ref="F88">_xll.BDP(bonds[[#This Row],[worksheet get]],bonds[[#Headers],[ID_ISIN]])</f>
        <v>FR0013310505</v>
      </c>
      <c r="G88" s="5" t="str" cm="1">
        <f t="array" ref="G88">_xll.BDP(bonds[[#This Row],[worksheet get]],bonds[[#Headers],[security name]])</f>
        <v>ENGIFP 1 3/8 PERP</v>
      </c>
      <c r="H88" s="5" t="str" cm="1">
        <f t="array" ref="H88">_xll.BDP(bonds[[#This Row],[worksheet get]],bonds[[#Headers],[ticker]])</f>
        <v>ENGIFP</v>
      </c>
      <c r="I88" s="5" cm="1">
        <f t="array" ref="I88">_xll.BDP(bonds[[#This Row],[worksheet get]],bonds[[#Headers],[coupon]])</f>
        <v>1.375</v>
      </c>
      <c r="J88" s="25" cm="1">
        <f t="array" ref="J88">_xll.BDP(bonds[[#This Row],[worksheet get]],bonds[[#Headers],[nxt_call_dt]])*1</f>
        <v>44942</v>
      </c>
      <c r="K88" s="9" t="str" cm="1">
        <f t="array" ref="K88">_xll.BDP(bonds[[#This Row],[worksheet get]],bonds[[#Headers],[mty_typ]])</f>
        <v>PERP/CALL</v>
      </c>
      <c r="L88" s="9" t="str" cm="1">
        <f t="array" ref="L88">_xll.BDP(bonds[[#This Row],[worksheet get]],bonds[[#Headers],[crncy]])</f>
        <v>EUR</v>
      </c>
      <c r="M88" s="10" cm="1">
        <f t="array" ref="M88">_xll.BDP(bonds[[#This Row],[worksheet get]],bonds[[#Headers],[amt_outstanding]])</f>
        <v>1000000000</v>
      </c>
      <c r="N88" s="9" t="str" cm="1">
        <f t="array" ref="N88">_xll.BDP(bonds[[#This Row],[worksheet get]],bonds[[#Headers],[industry_sector]])</f>
        <v>Utilities</v>
      </c>
      <c r="O88" s="9" t="str">
        <f>bonds[[#This Row],[security name]]&amp;" nc-"&amp;RIGHT(YEAR(bonds[[#This Row],[nxt_call_dt]]),2)</f>
        <v>ENGIFP 1 3/8 PERP nc-23</v>
      </c>
    </row>
    <row r="89" spans="5:15">
      <c r="E89" s="5" t="s">
        <v>329</v>
      </c>
      <c r="F89" s="5" t="str" cm="1">
        <f t="array" ref="F89">_xll.BDP(bonds[[#This Row],[worksheet get]],bonds[[#Headers],[ID_ISIN]])</f>
        <v>FR0011942283</v>
      </c>
      <c r="G89" s="5" t="str" cm="1">
        <f t="array" ref="G89">_xll.BDP(bonds[[#This Row],[worksheet get]],bonds[[#Headers],[security name]])</f>
        <v>ENGIFP 3 7/8 PERP</v>
      </c>
      <c r="H89" s="5" t="str" cm="1">
        <f t="array" ref="H89">_xll.BDP(bonds[[#This Row],[worksheet get]],bonds[[#Headers],[ticker]])</f>
        <v>ENGIFP</v>
      </c>
      <c r="I89" s="5" cm="1">
        <f t="array" ref="I89">_xll.BDP(bonds[[#This Row],[worksheet get]],bonds[[#Headers],[coupon]])</f>
        <v>3.875</v>
      </c>
      <c r="J89" s="25" cm="1">
        <f t="array" ref="J89">_xll.BDP(bonds[[#This Row],[worksheet get]],bonds[[#Headers],[nxt_call_dt]])*1</f>
        <v>45445</v>
      </c>
      <c r="K89" s="9" t="str" cm="1">
        <f t="array" ref="K89">_xll.BDP(bonds[[#This Row],[worksheet get]],bonds[[#Headers],[mty_typ]])</f>
        <v>PERP/CALL</v>
      </c>
      <c r="L89" s="9" t="str" cm="1">
        <f t="array" ref="L89">_xll.BDP(bonds[[#This Row],[worksheet get]],bonds[[#Headers],[crncy]])</f>
        <v>EUR</v>
      </c>
      <c r="M89" s="10" cm="1">
        <f t="array" ref="M89">_xll.BDP(bonds[[#This Row],[worksheet get]],bonds[[#Headers],[amt_outstanding]])</f>
        <v>1000000000</v>
      </c>
      <c r="N89" s="9" t="str" cm="1">
        <f t="array" ref="N89">_xll.BDP(bonds[[#This Row],[worksheet get]],bonds[[#Headers],[industry_sector]])</f>
        <v>Utilities</v>
      </c>
      <c r="O89" s="9" t="str">
        <f>bonds[[#This Row],[security name]]&amp;" nc-"&amp;RIGHT(YEAR(bonds[[#This Row],[nxt_call_dt]]),2)</f>
        <v>ENGIFP 3 7/8 PERP nc-24</v>
      </c>
    </row>
    <row r="90" spans="5:15">
      <c r="E90" s="5" t="s">
        <v>330</v>
      </c>
      <c r="F90" s="5" t="str" cm="1">
        <f t="array" ref="F90">_xll.BDP(bonds[[#This Row],[worksheet get]],bonds[[#Headers],[ID_ISIN]])</f>
        <v>FR0013398229</v>
      </c>
      <c r="G90" s="5" t="str" cm="1">
        <f t="array" ref="G90">_xll.BDP(bonds[[#This Row],[worksheet get]],bonds[[#Headers],[security name]])</f>
        <v>ENGIFP 3 1/4 PERP</v>
      </c>
      <c r="H90" s="5" t="str" cm="1">
        <f t="array" ref="H90">_xll.BDP(bonds[[#This Row],[worksheet get]],bonds[[#Headers],[ticker]])</f>
        <v>ENGIFP</v>
      </c>
      <c r="I90" s="5" cm="1">
        <f t="array" ref="I90">_xll.BDP(bonds[[#This Row],[worksheet get]],bonds[[#Headers],[coupon]])</f>
        <v>3.25</v>
      </c>
      <c r="J90" s="25" cm="1">
        <f t="array" ref="J90">_xll.BDP(bonds[[#This Row],[worksheet get]],bonds[[#Headers],[nxt_call_dt]])*1</f>
        <v>45624</v>
      </c>
      <c r="K90" s="9" t="str" cm="1">
        <f t="array" ref="K90">_xll.BDP(bonds[[#This Row],[worksheet get]],bonds[[#Headers],[mty_typ]])</f>
        <v>PERP/CALL</v>
      </c>
      <c r="L90" s="9" t="str" cm="1">
        <f t="array" ref="L90">_xll.BDP(bonds[[#This Row],[worksheet get]],bonds[[#Headers],[crncy]])</f>
        <v>EUR</v>
      </c>
      <c r="M90" s="10" cm="1">
        <f t="array" ref="M90">_xll.BDP(bonds[[#This Row],[worksheet get]],bonds[[#Headers],[amt_outstanding]])</f>
        <v>1000000000</v>
      </c>
      <c r="N90" s="9" t="str" cm="1">
        <f t="array" ref="N90">_xll.BDP(bonds[[#This Row],[worksheet get]],bonds[[#Headers],[industry_sector]])</f>
        <v>Utilities</v>
      </c>
      <c r="O90" s="9" t="str">
        <f>bonds[[#This Row],[security name]]&amp;" nc-"&amp;RIGHT(YEAR(bonds[[#This Row],[nxt_call_dt]]),2)</f>
        <v>ENGIFP 3 1/4 PERP nc-24</v>
      </c>
    </row>
    <row r="91" spans="5:15">
      <c r="E91" s="5" t="s">
        <v>171</v>
      </c>
      <c r="F91" s="5" t="str" cm="1">
        <f t="array" ref="F91">_xll.BDP(bonds[[#This Row],[worksheet get]],bonds[[#Headers],[ID_ISIN]])</f>
        <v>FR0013431244</v>
      </c>
      <c r="G91" s="5" t="str" cm="1">
        <f t="array" ref="G91">_xll.BDP(bonds[[#This Row],[worksheet get]],bonds[[#Headers],[security name]])</f>
        <v>ENGIFP 1 5/8 PERP</v>
      </c>
      <c r="H91" s="5" t="str" cm="1">
        <f t="array" ref="H91">_xll.BDP(bonds[[#This Row],[worksheet get]],bonds[[#Headers],[ticker]])</f>
        <v>ENGIFP</v>
      </c>
      <c r="I91" s="5" cm="1">
        <f t="array" ref="I91">_xll.BDP(bonds[[#This Row],[worksheet get]],bonds[[#Headers],[coupon]])</f>
        <v>1.625</v>
      </c>
      <c r="J91" s="25" cm="1">
        <f t="array" ref="J91">_xll.BDP(bonds[[#This Row],[worksheet get]],bonds[[#Headers],[nxt_call_dt]])*1</f>
        <v>45755</v>
      </c>
      <c r="K91" s="9" t="str" cm="1">
        <f t="array" ref="K91">_xll.BDP(bonds[[#This Row],[worksheet get]],bonds[[#Headers],[mty_typ]])</f>
        <v>PERP/CALL</v>
      </c>
      <c r="L91" s="9" t="str" cm="1">
        <f t="array" ref="L91">_xll.BDP(bonds[[#This Row],[worksheet get]],bonds[[#Headers],[crncy]])</f>
        <v>EUR</v>
      </c>
      <c r="M91" s="10" cm="1">
        <f t="array" ref="M91">_xll.BDP(bonds[[#This Row],[worksheet get]],bonds[[#Headers],[amt_outstanding]])</f>
        <v>500000000</v>
      </c>
      <c r="N91" s="9" t="str" cm="1">
        <f t="array" ref="N91">_xll.BDP(bonds[[#This Row],[worksheet get]],bonds[[#Headers],[industry_sector]])</f>
        <v>Utilities</v>
      </c>
      <c r="O91" s="9" t="str">
        <f>bonds[[#This Row],[security name]]&amp;" nc-"&amp;RIGHT(YEAR(bonds[[#This Row],[nxt_call_dt]]),2)</f>
        <v>ENGIFP 1 5/8 PERP nc-25</v>
      </c>
    </row>
    <row r="92" spans="5:15">
      <c r="E92" s="5" t="s">
        <v>113</v>
      </c>
      <c r="F92" s="5" t="str" cm="1">
        <f t="array" ref="F92">_xll.BDP(bonds[[#This Row],[worksheet get]],bonds[[#Headers],[ID_ISIN]])</f>
        <v>FR0012648590</v>
      </c>
      <c r="G92" s="5" t="str" cm="1">
        <f t="array" ref="G92">_xll.BDP(bonds[[#This Row],[worksheet get]],bonds[[#Headers],[security name]])</f>
        <v>SEVFP 2 1/2 PERP</v>
      </c>
      <c r="H92" s="5" t="str" cm="1">
        <f t="array" ref="H92">_xll.BDP(bonds[[#This Row],[worksheet get]],bonds[[#Headers],[ticker]])</f>
        <v>SEVFP</v>
      </c>
      <c r="I92" s="5" cm="1">
        <f t="array" ref="I92">_xll.BDP(bonds[[#This Row],[worksheet get]],bonds[[#Headers],[coupon]])</f>
        <v>2.5</v>
      </c>
      <c r="J92" s="25" cm="1">
        <f t="array" ref="J92">_xll.BDP(bonds[[#This Row],[worksheet get]],bonds[[#Headers],[nxt_call_dt]])*1</f>
        <v>44650</v>
      </c>
      <c r="K92" s="9" t="str" cm="1">
        <f t="array" ref="K92">_xll.BDP(bonds[[#This Row],[worksheet get]],bonds[[#Headers],[mty_typ]])</f>
        <v>PERP/CALL</v>
      </c>
      <c r="L92" s="9" t="str" cm="1">
        <f t="array" ref="L92">_xll.BDP(bonds[[#This Row],[worksheet get]],bonds[[#Headers],[crncy]])</f>
        <v>EUR</v>
      </c>
      <c r="M92" s="10" cm="1">
        <f t="array" ref="M92">_xll.BDP(bonds[[#This Row],[worksheet get]],bonds[[#Headers],[amt_outstanding]])</f>
        <v>500000000</v>
      </c>
      <c r="N92" s="9" t="str" cm="1">
        <f t="array" ref="N92">_xll.BDP(bonds[[#This Row],[worksheet get]],bonds[[#Headers],[industry_sector]])</f>
        <v>Utilities</v>
      </c>
      <c r="O92" s="9" t="str">
        <f>bonds[[#This Row],[security name]]&amp;" nc-"&amp;RIGHT(YEAR(bonds[[#This Row],[nxt_call_dt]]),2)</f>
        <v>SEVFP 2 1/2 PERP nc-22</v>
      </c>
    </row>
    <row r="93" spans="5:15">
      <c r="E93" s="5" t="s">
        <v>331</v>
      </c>
      <c r="F93" s="5" t="str" cm="1">
        <f t="array" ref="F93">_xll.BDP(bonds[[#This Row],[worksheet get]],bonds[[#Headers],[ID_ISIN]])</f>
        <v>FR0013252061</v>
      </c>
      <c r="G93" s="5" t="str" cm="1">
        <f t="array" ref="G93">_xll.BDP(bonds[[#This Row],[worksheet get]],bonds[[#Headers],[security name]])</f>
        <v>SEVFP 2 7/8 PERP</v>
      </c>
      <c r="H93" s="5" t="str" cm="1">
        <f t="array" ref="H93">_xll.BDP(bonds[[#This Row],[worksheet get]],bonds[[#Headers],[ticker]])</f>
        <v>SEVFP</v>
      </c>
      <c r="I93" s="5" cm="1">
        <f t="array" ref="I93">_xll.BDP(bonds[[#This Row],[worksheet get]],bonds[[#Headers],[coupon]])</f>
        <v>2.875</v>
      </c>
      <c r="J93" s="25" cm="1">
        <f t="array" ref="J93">_xll.BDP(bonds[[#This Row],[worksheet get]],bonds[[#Headers],[nxt_call_dt]])*1</f>
        <v>45310</v>
      </c>
      <c r="K93" s="9" t="str" cm="1">
        <f t="array" ref="K93">_xll.BDP(bonds[[#This Row],[worksheet get]],bonds[[#Headers],[mty_typ]])</f>
        <v>PERP/CALL</v>
      </c>
      <c r="L93" s="9" t="str" cm="1">
        <f t="array" ref="L93">_xll.BDP(bonds[[#This Row],[worksheet get]],bonds[[#Headers],[crncy]])</f>
        <v>EUR</v>
      </c>
      <c r="M93" s="10" cm="1">
        <f t="array" ref="M93">_xll.BDP(bonds[[#This Row],[worksheet get]],bonds[[#Headers],[amt_outstanding]])</f>
        <v>600000000</v>
      </c>
      <c r="N93" s="9" t="str" cm="1">
        <f t="array" ref="N93">_xll.BDP(bonds[[#This Row],[worksheet get]],bonds[[#Headers],[industry_sector]])</f>
        <v>Utilities</v>
      </c>
      <c r="O93" s="9" t="str">
        <f>bonds[[#This Row],[security name]]&amp;" nc-"&amp;RIGHT(YEAR(bonds[[#This Row],[nxt_call_dt]]),2)</f>
        <v>SEVFP 2 7/8 PERP nc-24</v>
      </c>
    </row>
    <row r="94" spans="5:15">
      <c r="E94" s="5" t="s">
        <v>114</v>
      </c>
      <c r="F94" s="5" t="str" cm="1">
        <f t="array" ref="F94">_xll.BDP(bonds[[#This Row],[worksheet get]],bonds[[#Headers],[ID_ISIN]])</f>
        <v>FR0013445335</v>
      </c>
      <c r="G94" s="5" t="str" cm="1">
        <f t="array" ref="G94">_xll.BDP(bonds[[#This Row],[worksheet get]],bonds[[#Headers],[security name]])</f>
        <v>SEVFP 1 5/8 PERP</v>
      </c>
      <c r="H94" s="5" t="str" cm="1">
        <f t="array" ref="H94">_xll.BDP(bonds[[#This Row],[worksheet get]],bonds[[#Headers],[ticker]])</f>
        <v>SEVFP</v>
      </c>
      <c r="I94" s="5" cm="1">
        <f t="array" ref="I94">_xll.BDP(bonds[[#This Row],[worksheet get]],bonds[[#Headers],[coupon]])</f>
        <v>1.625</v>
      </c>
      <c r="J94" s="25" cm="1">
        <f t="array" ref="J94">_xll.BDP(bonds[[#This Row],[worksheet get]],bonds[[#Headers],[nxt_call_dt]])*1</f>
        <v>46174</v>
      </c>
      <c r="K94" s="9" t="str" cm="1">
        <f t="array" ref="K94">_xll.BDP(bonds[[#This Row],[worksheet get]],bonds[[#Headers],[mty_typ]])</f>
        <v>PERP/CALL</v>
      </c>
      <c r="L94" s="9" t="str" cm="1">
        <f t="array" ref="L94">_xll.BDP(bonds[[#This Row],[worksheet get]],bonds[[#Headers],[crncy]])</f>
        <v>EUR</v>
      </c>
      <c r="M94" s="10" cm="1">
        <f t="array" ref="M94">_xll.BDP(bonds[[#This Row],[worksheet get]],bonds[[#Headers],[amt_outstanding]])</f>
        <v>500000000</v>
      </c>
      <c r="N94" s="9" t="str" cm="1">
        <f t="array" ref="N94">_xll.BDP(bonds[[#This Row],[worksheet get]],bonds[[#Headers],[industry_sector]])</f>
        <v>Utilities</v>
      </c>
      <c r="O94" s="9" t="str">
        <f>bonds[[#This Row],[security name]]&amp;" nc-"&amp;RIGHT(YEAR(bonds[[#This Row],[nxt_call_dt]]),2)</f>
        <v>SEVFP 1 5/8 PERP nc-26</v>
      </c>
    </row>
    <row r="95" spans="5:15">
      <c r="E95" s="5" t="s">
        <v>332</v>
      </c>
      <c r="F95" s="5" t="str" cm="1">
        <f t="array" ref="F95">_xll.BDP(bonds[[#This Row],[worksheet get]],bonds[[#Headers],[ID_ISIN]])</f>
        <v>FR0011697010</v>
      </c>
      <c r="G95" s="5" t="str" cm="1">
        <f t="array" ref="G95">_xll.BDP(bonds[[#This Row],[worksheet get]],bonds[[#Headers],[security name]])</f>
        <v>EDF 4 1/8 PERP</v>
      </c>
      <c r="H95" s="5" t="str" cm="1">
        <f t="array" ref="H95">_xll.BDP(bonds[[#This Row],[worksheet get]],bonds[[#Headers],[ticker]])</f>
        <v>EDF</v>
      </c>
      <c r="I95" s="5" cm="1">
        <f t="array" ref="I95">_xll.BDP(bonds[[#This Row],[worksheet get]],bonds[[#Headers],[coupon]])</f>
        <v>4.125</v>
      </c>
      <c r="J95" s="25" cm="1">
        <f t="array" ref="J95">_xll.BDP(bonds[[#This Row],[worksheet get]],bonds[[#Headers],[nxt_call_dt]])*1</f>
        <v>44583</v>
      </c>
      <c r="K95" s="9" t="str" cm="1">
        <f t="array" ref="K95">_xll.BDP(bonds[[#This Row],[worksheet get]],bonds[[#Headers],[mty_typ]])</f>
        <v>PERP/CALL</v>
      </c>
      <c r="L95" s="9" t="str" cm="1">
        <f t="array" ref="L95">_xll.BDP(bonds[[#This Row],[worksheet get]],bonds[[#Headers],[crncy]])</f>
        <v>EUR</v>
      </c>
      <c r="M95" s="10" cm="1">
        <f t="array" ref="M95">_xll.BDP(bonds[[#This Row],[worksheet get]],bonds[[#Headers],[amt_outstanding]])</f>
        <v>266900000</v>
      </c>
      <c r="N95" s="9" t="str" cm="1">
        <f t="array" ref="N95">_xll.BDP(bonds[[#This Row],[worksheet get]],bonds[[#Headers],[industry_sector]])</f>
        <v>Utilities</v>
      </c>
      <c r="O95" s="9" t="str">
        <f>bonds[[#This Row],[security name]]&amp;" nc-"&amp;RIGHT(YEAR(bonds[[#This Row],[nxt_call_dt]]),2)</f>
        <v>EDF 4 1/8 PERP nc-22</v>
      </c>
    </row>
    <row r="96" spans="5:15">
      <c r="E96" s="5" t="s">
        <v>333</v>
      </c>
      <c r="F96" s="5" t="str" cm="1">
        <f t="array" ref="F96">_xll.BDP(bonds[[#This Row],[worksheet get]],bonds[[#Headers],[ID_ISIN]])</f>
        <v>FR0013367612</v>
      </c>
      <c r="G96" s="5" t="str" cm="1">
        <f t="array" ref="G96">_xll.BDP(bonds[[#This Row],[worksheet get]],bonds[[#Headers],[security name]])</f>
        <v>EDF 4 PERP</v>
      </c>
      <c r="H96" s="5" t="str" cm="1">
        <f t="array" ref="H96">_xll.BDP(bonds[[#This Row],[worksheet get]],bonds[[#Headers],[ticker]])</f>
        <v>EDF</v>
      </c>
      <c r="I96" s="5" cm="1">
        <f t="array" ref="I96">_xll.BDP(bonds[[#This Row],[worksheet get]],bonds[[#Headers],[coupon]])</f>
        <v>4</v>
      </c>
      <c r="J96" s="25" cm="1">
        <f t="array" ref="J96">_xll.BDP(bonds[[#This Row],[worksheet get]],bonds[[#Headers],[nxt_call_dt]])*1</f>
        <v>45477</v>
      </c>
      <c r="K96" s="9" t="str" cm="1">
        <f t="array" ref="K96">_xll.BDP(bonds[[#This Row],[worksheet get]],bonds[[#Headers],[mty_typ]])</f>
        <v>PERP/CALL</v>
      </c>
      <c r="L96" s="9" t="str" cm="1">
        <f t="array" ref="L96">_xll.BDP(bonds[[#This Row],[worksheet get]],bonds[[#Headers],[crncy]])</f>
        <v>EUR</v>
      </c>
      <c r="M96" s="10" cm="1">
        <f t="array" ref="M96">_xll.BDP(bonds[[#This Row],[worksheet get]],bonds[[#Headers],[amt_outstanding]])</f>
        <v>1250000000</v>
      </c>
      <c r="N96" s="9" t="str" cm="1">
        <f t="array" ref="N96">_xll.BDP(bonds[[#This Row],[worksheet get]],bonds[[#Headers],[industry_sector]])</f>
        <v>Utilities</v>
      </c>
      <c r="O96" s="9" t="str">
        <f>bonds[[#This Row],[security name]]&amp;" nc-"&amp;RIGHT(YEAR(bonds[[#This Row],[nxt_call_dt]]),2)</f>
        <v>EDF 4 PERP nc-24</v>
      </c>
    </row>
    <row r="97" spans="5:15">
      <c r="E97" s="5" t="s">
        <v>334</v>
      </c>
      <c r="F97" s="5" t="str" cm="1">
        <f t="array" ref="F97">_xll.BDP(bonds[[#This Row],[worksheet get]],bonds[[#Headers],[ID_ISIN]])</f>
        <v>FR0011401751</v>
      </c>
      <c r="G97" s="5" t="str" cm="1">
        <f t="array" ref="G97">_xll.BDP(bonds[[#This Row],[worksheet get]],bonds[[#Headers],[security name]])</f>
        <v>EDF 5 3/8 PERP</v>
      </c>
      <c r="H97" s="5" t="str" cm="1">
        <f t="array" ref="H97">_xll.BDP(bonds[[#This Row],[worksheet get]],bonds[[#Headers],[ticker]])</f>
        <v>EDF</v>
      </c>
      <c r="I97" s="5" cm="1">
        <f t="array" ref="I97">_xll.BDP(bonds[[#This Row],[worksheet get]],bonds[[#Headers],[coupon]])</f>
        <v>5.375</v>
      </c>
      <c r="J97" s="25" cm="1">
        <f t="array" ref="J97">_xll.BDP(bonds[[#This Row],[worksheet get]],bonds[[#Headers],[nxt_call_dt]])*1</f>
        <v>45686</v>
      </c>
      <c r="K97" s="9" t="str" cm="1">
        <f t="array" ref="K97">_xll.BDP(bonds[[#This Row],[worksheet get]],bonds[[#Headers],[mty_typ]])</f>
        <v>PERP/CALL</v>
      </c>
      <c r="L97" s="9" t="str" cm="1">
        <f t="array" ref="L97">_xll.BDP(bonds[[#This Row],[worksheet get]],bonds[[#Headers],[crncy]])</f>
        <v>EUR</v>
      </c>
      <c r="M97" s="10" cm="1">
        <f t="array" ref="M97">_xll.BDP(bonds[[#This Row],[worksheet get]],bonds[[#Headers],[amt_outstanding]])</f>
        <v>1250000000</v>
      </c>
      <c r="N97" s="9" t="str" cm="1">
        <f t="array" ref="N97">_xll.BDP(bonds[[#This Row],[worksheet get]],bonds[[#Headers],[industry_sector]])</f>
        <v>Utilities</v>
      </c>
      <c r="O97" s="9" t="str">
        <f>bonds[[#This Row],[security name]]&amp;" nc-"&amp;RIGHT(YEAR(bonds[[#This Row],[nxt_call_dt]]),2)</f>
        <v>EDF 5 3/8 PERP nc-25</v>
      </c>
    </row>
    <row r="98" spans="5:15">
      <c r="E98" s="5" t="s">
        <v>335</v>
      </c>
      <c r="F98" s="5" t="str" cm="1">
        <f t="array" ref="F98">_xll.BDP(bonds[[#This Row],[worksheet get]],bonds[[#Headers],[ID_ISIN]])</f>
        <v>FR0011697028</v>
      </c>
      <c r="G98" s="5" t="str" cm="1">
        <f t="array" ref="G98">_xll.BDP(bonds[[#This Row],[worksheet get]],bonds[[#Headers],[security name]])</f>
        <v>EDF 5 PERP</v>
      </c>
      <c r="H98" s="5" t="str" cm="1">
        <f t="array" ref="H98">_xll.BDP(bonds[[#This Row],[worksheet get]],bonds[[#Headers],[ticker]])</f>
        <v>EDF</v>
      </c>
      <c r="I98" s="5" cm="1">
        <f t="array" ref="I98">_xll.BDP(bonds[[#This Row],[worksheet get]],bonds[[#Headers],[coupon]])</f>
        <v>5</v>
      </c>
      <c r="J98" s="25" cm="1">
        <f t="array" ref="J98">_xll.BDP(bonds[[#This Row],[worksheet get]],bonds[[#Headers],[nxt_call_dt]])*1</f>
        <v>46044</v>
      </c>
      <c r="K98" s="9" t="str" cm="1">
        <f t="array" ref="K98">_xll.BDP(bonds[[#This Row],[worksheet get]],bonds[[#Headers],[mty_typ]])</f>
        <v>PERP/CALL</v>
      </c>
      <c r="L98" s="9" t="str" cm="1">
        <f t="array" ref="L98">_xll.BDP(bonds[[#This Row],[worksheet get]],bonds[[#Headers],[crncy]])</f>
        <v>EUR</v>
      </c>
      <c r="M98" s="10" cm="1">
        <f t="array" ref="M98">_xll.BDP(bonds[[#This Row],[worksheet get]],bonds[[#Headers],[amt_outstanding]])</f>
        <v>1000000000</v>
      </c>
      <c r="N98" s="9" t="str" cm="1">
        <f t="array" ref="N98">_xll.BDP(bonds[[#This Row],[worksheet get]],bonds[[#Headers],[industry_sector]])</f>
        <v>Utilities</v>
      </c>
      <c r="O98" s="9" t="str">
        <f>bonds[[#This Row],[security name]]&amp;" nc-"&amp;RIGHT(YEAR(bonds[[#This Row],[nxt_call_dt]]),2)</f>
        <v>EDF 5 PERP nc-26</v>
      </c>
    </row>
    <row r="99" spans="5:15">
      <c r="E99" s="5" t="s">
        <v>336</v>
      </c>
      <c r="F99" s="5" t="str" cm="1">
        <f t="array" ref="F99">_xll.BDP(bonds[[#This Row],[worksheet get]],bonds[[#Headers],[ID_ISIN]])</f>
        <v>FR0013464922</v>
      </c>
      <c r="G99" s="5" t="str" cm="1">
        <f t="array" ref="G99">_xll.BDP(bonds[[#This Row],[worksheet get]],bonds[[#Headers],[security name]])</f>
        <v>EDF 3 PERP</v>
      </c>
      <c r="H99" s="5" t="str" cm="1">
        <f t="array" ref="H99">_xll.BDP(bonds[[#This Row],[worksheet get]],bonds[[#Headers],[ticker]])</f>
        <v>EDF</v>
      </c>
      <c r="I99" s="5" cm="1">
        <f t="array" ref="I99">_xll.BDP(bonds[[#This Row],[worksheet get]],bonds[[#Headers],[coupon]])</f>
        <v>3</v>
      </c>
      <c r="J99" s="25" cm="1">
        <f t="array" ref="J99">_xll.BDP(bonds[[#This Row],[worksheet get]],bonds[[#Headers],[nxt_call_dt]])*1</f>
        <v>46633</v>
      </c>
      <c r="K99" s="9" t="str" cm="1">
        <f t="array" ref="K99">_xll.BDP(bonds[[#This Row],[worksheet get]],bonds[[#Headers],[mty_typ]])</f>
        <v>PERP/CALL</v>
      </c>
      <c r="L99" s="9" t="str" cm="1">
        <f t="array" ref="L99">_xll.BDP(bonds[[#This Row],[worksheet get]],bonds[[#Headers],[crncy]])</f>
        <v>EUR</v>
      </c>
      <c r="M99" s="10" cm="1">
        <f t="array" ref="M99">_xll.BDP(bonds[[#This Row],[worksheet get]],bonds[[#Headers],[amt_outstanding]])</f>
        <v>500000000</v>
      </c>
      <c r="N99" s="9" t="str" cm="1">
        <f t="array" ref="N99">_xll.BDP(bonds[[#This Row],[worksheet get]],bonds[[#Headers],[industry_sector]])</f>
        <v>Utilities</v>
      </c>
      <c r="O99" s="9" t="str">
        <f>bonds[[#This Row],[security name]]&amp;" nc-"&amp;RIGHT(YEAR(bonds[[#This Row],[nxt_call_dt]]),2)</f>
        <v>EDF 3 PERP nc-27</v>
      </c>
    </row>
    <row r="100" spans="5:15">
      <c r="E100" s="5" t="s">
        <v>337</v>
      </c>
      <c r="F100" s="5" t="str" cm="1">
        <f t="array" ref="F100">_xll.BDP(bonds[[#This Row],[worksheet get]],bonds[[#Headers],[ID_ISIN]])</f>
        <v>FR0011401728</v>
      </c>
      <c r="G100" s="5" t="str" cm="1">
        <f t="array" ref="G100">_xll.BDP(bonds[[#This Row],[worksheet get]],bonds[[#Headers],[security name]])</f>
        <v>EDF 6 PERP</v>
      </c>
      <c r="H100" s="5" t="str" cm="1">
        <f t="array" ref="H100">_xll.BDP(bonds[[#This Row],[worksheet get]],bonds[[#Headers],[ticker]])</f>
        <v>EDF</v>
      </c>
      <c r="I100" s="5" cm="1">
        <f t="array" ref="I100">_xll.BDP(bonds[[#This Row],[worksheet get]],bonds[[#Headers],[coupon]])</f>
        <v>6</v>
      </c>
      <c r="J100" s="25" cm="1">
        <f t="array" ref="J100">_xll.BDP(bonds[[#This Row],[worksheet get]],bonds[[#Headers],[nxt_call_dt]])*1</f>
        <v>46051</v>
      </c>
      <c r="K100" s="9" t="str" cm="1">
        <f t="array" ref="K100">_xll.BDP(bonds[[#This Row],[worksheet get]],bonds[[#Headers],[mty_typ]])</f>
        <v>PERP/CALL</v>
      </c>
      <c r="L100" s="9" t="str" cm="1">
        <f t="array" ref="L100">_xll.BDP(bonds[[#This Row],[worksheet get]],bonds[[#Headers],[crncy]])</f>
        <v>GBP</v>
      </c>
      <c r="M100" s="10" cm="1">
        <f t="array" ref="M100">_xll.BDP(bonds[[#This Row],[worksheet get]],bonds[[#Headers],[amt_outstanding]])</f>
        <v>1250000000</v>
      </c>
      <c r="N100" s="9" t="str" cm="1">
        <f t="array" ref="N100">_xll.BDP(bonds[[#This Row],[worksheet get]],bonds[[#Headers],[industry_sector]])</f>
        <v>Utilities</v>
      </c>
      <c r="O100" s="9" t="str">
        <f>bonds[[#This Row],[security name]]&amp;" nc-"&amp;RIGHT(YEAR(bonds[[#This Row],[nxt_call_dt]]),2)</f>
        <v>EDF 6 PERP nc-26</v>
      </c>
    </row>
    <row r="101" spans="5:15">
      <c r="E101" s="5" t="s">
        <v>338</v>
      </c>
      <c r="F101" s="5" t="str" cm="1">
        <f t="array" ref="F101">_xll.BDP(bonds[[#This Row],[worksheet get]],bonds[[#Headers],[ID_ISIN]])</f>
        <v>FR0011700293</v>
      </c>
      <c r="G101" s="5" t="str" cm="1">
        <f t="array" ref="G101">_xll.BDP(bonds[[#This Row],[worksheet get]],bonds[[#Headers],[security name]])</f>
        <v>EDF 5 7/8 PERP</v>
      </c>
      <c r="H101" s="5" t="str" cm="1">
        <f t="array" ref="H101">_xll.BDP(bonds[[#This Row],[worksheet get]],bonds[[#Headers],[ticker]])</f>
        <v>EDF</v>
      </c>
      <c r="I101" s="5" cm="1">
        <f t="array" ref="I101">_xll.BDP(bonds[[#This Row],[worksheet get]],bonds[[#Headers],[coupon]])</f>
        <v>5.875</v>
      </c>
      <c r="J101" s="25" cm="1">
        <f t="array" ref="J101">_xll.BDP(bonds[[#This Row],[worksheet get]],bonds[[#Headers],[nxt_call_dt]])*1</f>
        <v>47140</v>
      </c>
      <c r="K101" s="9" t="str" cm="1">
        <f t="array" ref="K101">_xll.BDP(bonds[[#This Row],[worksheet get]],bonds[[#Headers],[mty_typ]])</f>
        <v>PERP/CALL</v>
      </c>
      <c r="L101" s="9" t="str" cm="1">
        <f t="array" ref="L101">_xll.BDP(bonds[[#This Row],[worksheet get]],bonds[[#Headers],[crncy]])</f>
        <v>GBP</v>
      </c>
      <c r="M101" s="10" cm="1">
        <f t="array" ref="M101">_xll.BDP(bonds[[#This Row],[worksheet get]],bonds[[#Headers],[amt_outstanding]])</f>
        <v>750000000</v>
      </c>
      <c r="N101" s="9" t="str" cm="1">
        <f t="array" ref="N101">_xll.BDP(bonds[[#This Row],[worksheet get]],bonds[[#Headers],[industry_sector]])</f>
        <v>Utilities</v>
      </c>
      <c r="O101" s="9" t="str">
        <f>bonds[[#This Row],[security name]]&amp;" nc-"&amp;RIGHT(YEAR(bonds[[#This Row],[nxt_call_dt]]),2)</f>
        <v>EDF 5 7/8 PERP nc-29</v>
      </c>
    </row>
    <row r="102" spans="5:15">
      <c r="E102" s="5" t="s">
        <v>339</v>
      </c>
      <c r="F102" s="5" t="str" cm="1">
        <f t="array" ref="F102">_xll.BDP(bonds[[#This Row],[worksheet get]],bonds[[#Headers],[ID_ISIN]])</f>
        <v>USF2893TAF33</v>
      </c>
      <c r="G102" s="5" t="str" cm="1">
        <f t="array" ref="G102">_xll.BDP(bonds[[#This Row],[worksheet get]],bonds[[#Headers],[security name]])</f>
        <v>EDF 5 1/4 PERP</v>
      </c>
      <c r="H102" s="5" t="str" cm="1">
        <f t="array" ref="H102">_xll.BDP(bonds[[#This Row],[worksheet get]],bonds[[#Headers],[ticker]])</f>
        <v>EDF</v>
      </c>
      <c r="I102" s="5" cm="1">
        <f t="array" ref="I102">_xll.BDP(bonds[[#This Row],[worksheet get]],bonds[[#Headers],[coupon]])</f>
        <v>5.25</v>
      </c>
      <c r="J102" s="25" cm="1">
        <f t="array" ref="J102">_xll.BDP(bonds[[#This Row],[worksheet get]],bonds[[#Headers],[nxt_call_dt]])*1</f>
        <v>44955</v>
      </c>
      <c r="K102" s="9" t="str" cm="1">
        <f t="array" ref="K102">_xll.BDP(bonds[[#This Row],[worksheet get]],bonds[[#Headers],[mty_typ]])</f>
        <v>PERP/CALL</v>
      </c>
      <c r="L102" s="9" t="str" cm="1">
        <f t="array" ref="L102">_xll.BDP(bonds[[#This Row],[worksheet get]],bonds[[#Headers],[crncy]])</f>
        <v>USD</v>
      </c>
      <c r="M102" s="10" cm="1">
        <f t="array" ref="M102">_xll.BDP(bonds[[#This Row],[worksheet get]],bonds[[#Headers],[amt_outstanding]])</f>
        <v>2097614000</v>
      </c>
      <c r="N102" s="9" t="str" cm="1">
        <f t="array" ref="N102">_xll.BDP(bonds[[#This Row],[worksheet get]],bonds[[#Headers],[industry_sector]])</f>
        <v>Utilities</v>
      </c>
      <c r="O102" s="9" t="str">
        <f>bonds[[#This Row],[security name]]&amp;" nc-"&amp;RIGHT(YEAR(bonds[[#This Row],[nxt_call_dt]]),2)</f>
        <v>EDF 5 1/4 PERP nc-23</v>
      </c>
    </row>
    <row r="103" spans="5:15">
      <c r="E103" s="5" t="s">
        <v>340</v>
      </c>
      <c r="F103" s="5" t="str" cm="1">
        <f t="array" ref="F103">_xll.BDP(bonds[[#This Row],[worksheet get]],bonds[[#Headers],[ID_ISIN]])</f>
        <v>USF2893TAM83</v>
      </c>
      <c r="G103" s="5" t="str" cm="1">
        <f t="array" ref="G103">_xll.BDP(bonds[[#This Row],[worksheet get]],bonds[[#Headers],[security name]])</f>
        <v>EDF 5 5/8 PERP</v>
      </c>
      <c r="H103" s="5" t="str" cm="1">
        <f t="array" ref="H103">_xll.BDP(bonds[[#This Row],[worksheet get]],bonds[[#Headers],[ticker]])</f>
        <v>EDF</v>
      </c>
      <c r="I103" s="5" cm="1">
        <f t="array" ref="I103">_xll.BDP(bonds[[#This Row],[worksheet get]],bonds[[#Headers],[coupon]])</f>
        <v>5.625</v>
      </c>
      <c r="J103" s="25" cm="1">
        <f t="array" ref="J103">_xll.BDP(bonds[[#This Row],[worksheet get]],bonds[[#Headers],[nxt_call_dt]])*1</f>
        <v>45313</v>
      </c>
      <c r="K103" s="9" t="str" cm="1">
        <f t="array" ref="K103">_xll.BDP(bonds[[#This Row],[worksheet get]],bonds[[#Headers],[mty_typ]])</f>
        <v>PERP/CALL</v>
      </c>
      <c r="L103" s="9" t="str" cm="1">
        <f t="array" ref="L103">_xll.BDP(bonds[[#This Row],[worksheet get]],bonds[[#Headers],[crncy]])</f>
        <v>USD</v>
      </c>
      <c r="M103" s="10" cm="1">
        <f t="array" ref="M103">_xll.BDP(bonds[[#This Row],[worksheet get]],bonds[[#Headers],[amt_outstanding]])</f>
        <v>1500000000</v>
      </c>
      <c r="N103" s="9" t="str" cm="1">
        <f t="array" ref="N103">_xll.BDP(bonds[[#This Row],[worksheet get]],bonds[[#Headers],[industry_sector]])</f>
        <v>Utilities</v>
      </c>
      <c r="O103" s="9" t="str">
        <f>bonds[[#This Row],[security name]]&amp;" nc-"&amp;RIGHT(YEAR(bonds[[#This Row],[nxt_call_dt]]),2)</f>
        <v>EDF 5 5/8 PERP nc-24</v>
      </c>
    </row>
    <row r="104" spans="5:15">
      <c r="E104" s="5" t="s">
        <v>341</v>
      </c>
      <c r="F104" s="5" t="str" cm="1">
        <f t="array" ref="F104">_xll.BDP(bonds[[#This Row],[worksheet get]],bonds[[#Headers],[ID_ISIN]])</f>
        <v>XS1044811591</v>
      </c>
      <c r="G104" s="5" t="str" cm="1">
        <f t="array" ref="G104">_xll.BDP(bonds[[#This Row],[worksheet get]],bonds[[#Headers],[security name]])</f>
        <v>ENBW 3 5/8 04/02/76</v>
      </c>
      <c r="H104" s="5" t="str" cm="1">
        <f t="array" ref="H104">_xll.BDP(bonds[[#This Row],[worksheet get]],bonds[[#Headers],[ticker]])</f>
        <v>ENBW</v>
      </c>
      <c r="I104" s="5" cm="1">
        <f t="array" ref="I104">_xll.BDP(bonds[[#This Row],[worksheet get]],bonds[[#Headers],[coupon]])</f>
        <v>3.625</v>
      </c>
      <c r="J104" s="25" cm="1">
        <f t="array" ref="J104">_xll.BDP(bonds[[#This Row],[worksheet get]],bonds[[#Headers],[nxt_call_dt]])*1</f>
        <v>44288</v>
      </c>
      <c r="K104" s="9" t="str" cm="1">
        <f t="array" ref="K104">_xll.BDP(bonds[[#This Row],[worksheet get]],bonds[[#Headers],[mty_typ]])</f>
        <v>CALLABLE</v>
      </c>
      <c r="L104" s="9" t="str" cm="1">
        <f t="array" ref="L104">_xll.BDP(bonds[[#This Row],[worksheet get]],bonds[[#Headers],[crncy]])</f>
        <v>EUR</v>
      </c>
      <c r="M104" s="10" cm="1">
        <f t="array" ref="M104">_xll.BDP(bonds[[#This Row],[worksheet get]],bonds[[#Headers],[amt_outstanding]])</f>
        <v>1000000000</v>
      </c>
      <c r="N104" s="9" t="str" cm="1">
        <f t="array" ref="N104">_xll.BDP(bonds[[#This Row],[worksheet get]],bonds[[#Headers],[industry_sector]])</f>
        <v>Utilities</v>
      </c>
      <c r="O104" s="9" t="str">
        <f>bonds[[#This Row],[security name]]&amp;" nc-"&amp;RIGHT(YEAR(bonds[[#This Row],[nxt_call_dt]]),2)</f>
        <v>ENBW 3 5/8 04/02/76 nc-21</v>
      </c>
    </row>
    <row r="105" spans="5:15">
      <c r="E105" s="5" t="s">
        <v>341</v>
      </c>
      <c r="F105" s="5" t="str" cm="1">
        <f t="array" ref="F105">_xll.BDP(bonds[[#This Row],[worksheet get]],bonds[[#Headers],[ID_ISIN]])</f>
        <v>XS1044811591</v>
      </c>
      <c r="G105" s="5" t="str" cm="1">
        <f t="array" ref="G105">_xll.BDP(bonds[[#This Row],[worksheet get]],bonds[[#Headers],[security name]])</f>
        <v>ENBW 3 5/8 04/02/76</v>
      </c>
      <c r="H105" s="5" t="str" cm="1">
        <f t="array" ref="H105">_xll.BDP(bonds[[#This Row],[worksheet get]],bonds[[#Headers],[ticker]])</f>
        <v>ENBW</v>
      </c>
      <c r="I105" s="5" cm="1">
        <f t="array" ref="I105">_xll.BDP(bonds[[#This Row],[worksheet get]],bonds[[#Headers],[coupon]])</f>
        <v>3.625</v>
      </c>
      <c r="J105" s="25" cm="1">
        <f t="array" ref="J105">_xll.BDP(bonds[[#This Row],[worksheet get]],bonds[[#Headers],[nxt_call_dt]])*1</f>
        <v>44288</v>
      </c>
      <c r="K105" s="9" t="str" cm="1">
        <f t="array" ref="K105">_xll.BDP(bonds[[#This Row],[worksheet get]],bonds[[#Headers],[mty_typ]])</f>
        <v>CALLABLE</v>
      </c>
      <c r="L105" s="9" t="str" cm="1">
        <f t="array" ref="L105">_xll.BDP(bonds[[#This Row],[worksheet get]],bonds[[#Headers],[crncy]])</f>
        <v>EUR</v>
      </c>
      <c r="M105" s="10" cm="1">
        <f t="array" ref="M105">_xll.BDP(bonds[[#This Row],[worksheet get]],bonds[[#Headers],[amt_outstanding]])</f>
        <v>1000000000</v>
      </c>
      <c r="N105" s="9" t="str" cm="1">
        <f t="array" ref="N105">_xll.BDP(bonds[[#This Row],[worksheet get]],bonds[[#Headers],[industry_sector]])</f>
        <v>Utilities</v>
      </c>
      <c r="O105" s="9" t="str">
        <f>bonds[[#This Row],[security name]]&amp;" nc-"&amp;RIGHT(YEAR(bonds[[#This Row],[nxt_call_dt]]),2)</f>
        <v>ENBW 3 5/8 04/02/76 nc-21</v>
      </c>
    </row>
    <row r="106" spans="5:15">
      <c r="E106" s="5" t="s">
        <v>342</v>
      </c>
      <c r="F106" s="5" t="str" cm="1">
        <f t="array" ref="F106">_xll.BDP(bonds[[#This Row],[worksheet get]],bonds[[#Headers],[ID_ISIN]])</f>
        <v>XS1405770907</v>
      </c>
      <c r="G106" s="5" t="str" cm="1">
        <f t="array" ref="G106">_xll.BDP(bonds[[#This Row],[worksheet get]],bonds[[#Headers],[security name]])</f>
        <v>ENBW 3 3/8 04/05/77</v>
      </c>
      <c r="H106" s="5" t="str" cm="1">
        <f t="array" ref="H106">_xll.BDP(bonds[[#This Row],[worksheet get]],bonds[[#Headers],[ticker]])</f>
        <v>ENBW</v>
      </c>
      <c r="I106" s="5" cm="1">
        <f t="array" ref="I106">_xll.BDP(bonds[[#This Row],[worksheet get]],bonds[[#Headers],[coupon]])</f>
        <v>3.375</v>
      </c>
      <c r="J106" s="25" cm="1">
        <f t="array" ref="J106">_xll.BDP(bonds[[#This Row],[worksheet get]],bonds[[#Headers],[nxt_call_dt]])*1</f>
        <v>44566</v>
      </c>
      <c r="K106" s="9" t="str" cm="1">
        <f t="array" ref="K106">_xll.BDP(bonds[[#This Row],[worksheet get]],bonds[[#Headers],[mty_typ]])</f>
        <v>CALLABLE</v>
      </c>
      <c r="L106" s="9" t="str" cm="1">
        <f t="array" ref="L106">_xll.BDP(bonds[[#This Row],[worksheet get]],bonds[[#Headers],[crncy]])</f>
        <v>EUR</v>
      </c>
      <c r="M106" s="10" cm="1">
        <f t="array" ref="M106">_xll.BDP(bonds[[#This Row],[worksheet get]],bonds[[#Headers],[amt_outstanding]])</f>
        <v>725000000</v>
      </c>
      <c r="N106" s="9" t="str" cm="1">
        <f t="array" ref="N106">_xll.BDP(bonds[[#This Row],[worksheet get]],bonds[[#Headers],[industry_sector]])</f>
        <v>Utilities</v>
      </c>
      <c r="O106" s="9" t="str">
        <f>bonds[[#This Row],[security name]]&amp;" nc-"&amp;RIGHT(YEAR(bonds[[#This Row],[nxt_call_dt]]),2)</f>
        <v>ENBW 3 3/8 04/05/77 nc-22</v>
      </c>
    </row>
    <row r="107" spans="5:15">
      <c r="E107" s="5" t="s">
        <v>343</v>
      </c>
      <c r="F107" s="5" t="str" cm="1">
        <f t="array" ref="F107">_xll.BDP(bonds[[#This Row],[worksheet get]],bonds[[#Headers],[ID_ISIN]])</f>
        <v>XS2035564975</v>
      </c>
      <c r="G107" s="5" t="str" cm="1">
        <f t="array" ref="G107">_xll.BDP(bonds[[#This Row],[worksheet get]],bonds[[#Headers],[security name]])</f>
        <v>ENBW 1 1/8 11/05/79</v>
      </c>
      <c r="H107" s="5" t="str" cm="1">
        <f t="array" ref="H107">_xll.BDP(bonds[[#This Row],[worksheet get]],bonds[[#Headers],[ticker]])</f>
        <v>ENBW</v>
      </c>
      <c r="I107" s="5" cm="1">
        <f t="array" ref="I107">_xll.BDP(bonds[[#This Row],[worksheet get]],bonds[[#Headers],[coupon]])</f>
        <v>1.125</v>
      </c>
      <c r="J107" s="25" cm="1">
        <f t="array" ref="J107">_xll.BDP(bonds[[#This Row],[worksheet get]],bonds[[#Headers],[nxt_call_dt]])*1</f>
        <v>45509</v>
      </c>
      <c r="K107" s="9" t="str" cm="1">
        <f t="array" ref="K107">_xll.BDP(bonds[[#This Row],[worksheet get]],bonds[[#Headers],[mty_typ]])</f>
        <v>CALLABLE</v>
      </c>
      <c r="L107" s="9" t="str" cm="1">
        <f t="array" ref="L107">_xll.BDP(bonds[[#This Row],[worksheet get]],bonds[[#Headers],[crncy]])</f>
        <v>EUR</v>
      </c>
      <c r="M107" s="10" cm="1">
        <f t="array" ref="M107">_xll.BDP(bonds[[#This Row],[worksheet get]],bonds[[#Headers],[amt_outstanding]])</f>
        <v>500000000</v>
      </c>
      <c r="N107" s="9" t="str" cm="1">
        <f t="array" ref="N107">_xll.BDP(bonds[[#This Row],[worksheet get]],bonds[[#Headers],[industry_sector]])</f>
        <v>Utilities</v>
      </c>
      <c r="O107" s="9" t="str">
        <f>bonds[[#This Row],[security name]]&amp;" nc-"&amp;RIGHT(YEAR(bonds[[#This Row],[nxt_call_dt]]),2)</f>
        <v>ENBW 1 1/8 11/05/79 nc-24</v>
      </c>
    </row>
    <row r="108" spans="5:15">
      <c r="E108" s="5" t="s">
        <v>344</v>
      </c>
      <c r="F108" s="5" t="str" cm="1">
        <f t="array" ref="F108">_xll.BDP(bonds[[#This Row],[worksheet get]],bonds[[#Headers],[ID_ISIN]])</f>
        <v>XS2196328608</v>
      </c>
      <c r="G108" s="5" t="str" cm="1">
        <f t="array" ref="G108">_xll.BDP(bonds[[#This Row],[worksheet get]],bonds[[#Headers],[security name]])</f>
        <v>ENBW 1 7/8 06/29/80</v>
      </c>
      <c r="H108" s="5" t="str" cm="1">
        <f t="array" ref="H108">_xll.BDP(bonds[[#This Row],[worksheet get]],bonds[[#Headers],[ticker]])</f>
        <v>ENBW</v>
      </c>
      <c r="I108" s="5" cm="1">
        <f t="array" ref="I108">_xll.BDP(bonds[[#This Row],[worksheet get]],bonds[[#Headers],[coupon]])</f>
        <v>1.875</v>
      </c>
      <c r="J108" s="25" cm="1">
        <f t="array" ref="J108">_xll.BDP(bonds[[#This Row],[worksheet get]],bonds[[#Headers],[nxt_call_dt]])*1</f>
        <v>46111</v>
      </c>
      <c r="K108" s="9" t="str" cm="1">
        <f t="array" ref="K108">_xll.BDP(bonds[[#This Row],[worksheet get]],bonds[[#Headers],[mty_typ]])</f>
        <v>CALLABLE</v>
      </c>
      <c r="L108" s="9" t="str" cm="1">
        <f t="array" ref="L108">_xll.BDP(bonds[[#This Row],[worksheet get]],bonds[[#Headers],[crncy]])</f>
        <v>EUR</v>
      </c>
      <c r="M108" s="10" cm="1">
        <f t="array" ref="M108">_xll.BDP(bonds[[#This Row],[worksheet get]],bonds[[#Headers],[amt_outstanding]])</f>
        <v>500000000</v>
      </c>
      <c r="N108" s="9" t="str" cm="1">
        <f t="array" ref="N108">_xll.BDP(bonds[[#This Row],[worksheet get]],bonds[[#Headers],[industry_sector]])</f>
        <v>Utilities</v>
      </c>
      <c r="O108" s="9" t="str">
        <f>bonds[[#This Row],[security name]]&amp;" nc-"&amp;RIGHT(YEAR(bonds[[#This Row],[nxt_call_dt]]),2)</f>
        <v>ENBW 1 7/8 06/29/80 nc-26</v>
      </c>
    </row>
    <row r="109" spans="5:15">
      <c r="E109" s="5" t="s">
        <v>345</v>
      </c>
      <c r="F109" s="5" t="str" cm="1">
        <f t="array" ref="F109">_xll.BDP(bonds[[#This Row],[worksheet get]],bonds[[#Headers],[ID_ISIN]])</f>
        <v>XS2035564629</v>
      </c>
      <c r="G109" s="5" t="str" cm="1">
        <f t="array" ref="G109">_xll.BDP(bonds[[#This Row],[worksheet get]],bonds[[#Headers],[security name]])</f>
        <v>ENBW 1 5/8 08/05/79</v>
      </c>
      <c r="H109" s="5" t="str" cm="1">
        <f t="array" ref="H109">_xll.BDP(bonds[[#This Row],[worksheet get]],bonds[[#Headers],[ticker]])</f>
        <v>ENBW</v>
      </c>
      <c r="I109" s="5" cm="1">
        <f t="array" ref="I109">_xll.BDP(bonds[[#This Row],[worksheet get]],bonds[[#Headers],[coupon]])</f>
        <v>1.625</v>
      </c>
      <c r="J109" s="25" cm="1">
        <f t="array" ref="J109">_xll.BDP(bonds[[#This Row],[worksheet get]],bonds[[#Headers],[nxt_call_dt]])*1</f>
        <v>46512</v>
      </c>
      <c r="K109" s="9" t="str" cm="1">
        <f t="array" ref="K109">_xll.BDP(bonds[[#This Row],[worksheet get]],bonds[[#Headers],[mty_typ]])</f>
        <v>CALLABLE</v>
      </c>
      <c r="L109" s="9" t="str" cm="1">
        <f t="array" ref="L109">_xll.BDP(bonds[[#This Row],[worksheet get]],bonds[[#Headers],[crncy]])</f>
        <v>EUR</v>
      </c>
      <c r="M109" s="10" cm="1">
        <f t="array" ref="M109">_xll.BDP(bonds[[#This Row],[worksheet get]],bonds[[#Headers],[amt_outstanding]])</f>
        <v>500000000</v>
      </c>
      <c r="N109" s="9" t="str" cm="1">
        <f t="array" ref="N109">_xll.BDP(bonds[[#This Row],[worksheet get]],bonds[[#Headers],[industry_sector]])</f>
        <v>Utilities</v>
      </c>
      <c r="O109" s="9" t="str">
        <f>bonds[[#This Row],[security name]]&amp;" nc-"&amp;RIGHT(YEAR(bonds[[#This Row],[nxt_call_dt]]),2)</f>
        <v>ENBW 1 5/8 08/05/79 nc-27</v>
      </c>
    </row>
    <row r="110" spans="5:15">
      <c r="E110" s="5" t="s">
        <v>346</v>
      </c>
      <c r="F110" s="5" t="str" cm="1">
        <f t="array" ref="F110">_xll.BDP(bonds[[#This Row],[worksheet get]],bonds[[#Headers],[ID_ISIN]])</f>
        <v>XS1498442521</v>
      </c>
      <c r="G110" s="5" t="str" cm="1">
        <f t="array" ref="G110">_xll.BDP(bonds[[#This Row],[worksheet get]],bonds[[#Headers],[security name]])</f>
        <v>ENBW 5 1/8 04/05/77</v>
      </c>
      <c r="H110" s="5" t="str" cm="1">
        <f t="array" ref="H110">_xll.BDP(bonds[[#This Row],[worksheet get]],bonds[[#Headers],[ticker]])</f>
        <v>ENBW</v>
      </c>
      <c r="I110" s="5" cm="1">
        <f t="array" ref="I110">_xll.BDP(bonds[[#This Row],[worksheet get]],bonds[[#Headers],[coupon]])</f>
        <v>5.125</v>
      </c>
      <c r="J110" s="25" cm="1">
        <f t="array" ref="J110">_xll.BDP(bonds[[#This Row],[worksheet get]],bonds[[#Headers],[nxt_call_dt]])*1</f>
        <v>44566</v>
      </c>
      <c r="K110" s="9" t="str" cm="1">
        <f t="array" ref="K110">_xll.BDP(bonds[[#This Row],[worksheet get]],bonds[[#Headers],[mty_typ]])</f>
        <v>CALLABLE</v>
      </c>
      <c r="L110" s="9" t="str" cm="1">
        <f t="array" ref="L110">_xll.BDP(bonds[[#This Row],[worksheet get]],bonds[[#Headers],[crncy]])</f>
        <v>USD</v>
      </c>
      <c r="M110" s="10" cm="1">
        <f t="array" ref="M110">_xll.BDP(bonds[[#This Row],[worksheet get]],bonds[[#Headers],[amt_outstanding]])</f>
        <v>300000000</v>
      </c>
      <c r="N110" s="9" t="str" cm="1">
        <f t="array" ref="N110">_xll.BDP(bonds[[#This Row],[worksheet get]],bonds[[#Headers],[industry_sector]])</f>
        <v>Utilities</v>
      </c>
      <c r="O110" s="9" t="str">
        <f>bonds[[#This Row],[security name]]&amp;" nc-"&amp;RIGHT(YEAR(bonds[[#This Row],[nxt_call_dt]]),2)</f>
        <v>ENBW 5 1/8 04/05/77 nc-22</v>
      </c>
    </row>
    <row r="111" spans="5:15">
      <c r="E111" s="5" t="s">
        <v>347</v>
      </c>
      <c r="F111" s="5" t="str" cm="1">
        <f t="array" ref="F111">_xll.BDP(bonds[[#This Row],[worksheet get]],bonds[[#Headers],[ID_ISIN]])</f>
        <v>XS1219498141</v>
      </c>
      <c r="G111" s="5" t="str" cm="1">
        <f t="array" ref="G111">_xll.BDP(bonds[[#This Row],[worksheet get]],bonds[[#Headers],[security name]])</f>
        <v>RWE 2 3/4 04/21/75</v>
      </c>
      <c r="H111" s="5" t="str" cm="1">
        <f t="array" ref="H111">_xll.BDP(bonds[[#This Row],[worksheet get]],bonds[[#Headers],[ticker]])</f>
        <v>RWE</v>
      </c>
      <c r="I111" s="5" cm="1">
        <f t="array" ref="I111">_xll.BDP(bonds[[#This Row],[worksheet get]],bonds[[#Headers],[coupon]])</f>
        <v>2.75</v>
      </c>
      <c r="J111" s="25" cm="1">
        <f t="array" ref="J111">_xll.BDP(bonds[[#This Row],[worksheet get]],bonds[[#Headers],[nxt_call_dt]])*1</f>
        <v>44125</v>
      </c>
      <c r="K111" s="9" t="str" cm="1">
        <f t="array" ref="K111">_xll.BDP(bonds[[#This Row],[worksheet get]],bonds[[#Headers],[mty_typ]])</f>
        <v>CALLABLE</v>
      </c>
      <c r="L111" s="9" t="str" cm="1">
        <f t="array" ref="L111">_xll.BDP(bonds[[#This Row],[worksheet get]],bonds[[#Headers],[crncy]])</f>
        <v>EUR</v>
      </c>
      <c r="M111" s="10" cm="1">
        <f t="array" ref="M111">_xll.BDP(bonds[[#This Row],[worksheet get]],bonds[[#Headers],[amt_outstanding]])</f>
        <v>538951000</v>
      </c>
      <c r="N111" s="9" t="str" cm="1">
        <f t="array" ref="N111">_xll.BDP(bonds[[#This Row],[worksheet get]],bonds[[#Headers],[industry_sector]])</f>
        <v>Utilities</v>
      </c>
      <c r="O111" s="9" t="str">
        <f>bonds[[#This Row],[security name]]&amp;" nc-"&amp;RIGHT(YEAR(bonds[[#This Row],[nxt_call_dt]]),2)</f>
        <v>RWE 2 3/4 04/21/75 nc-20</v>
      </c>
    </row>
    <row r="112" spans="5:15">
      <c r="E112" s="5" t="s">
        <v>348</v>
      </c>
      <c r="F112" s="5" t="str" cm="1">
        <f t="array" ref="F112">_xll.BDP(bonds[[#This Row],[worksheet get]],bonds[[#Headers],[ID_ISIN]])</f>
        <v>XS1219499032</v>
      </c>
      <c r="G112" s="5" t="str" cm="1">
        <f t="array" ref="G112">_xll.BDP(bonds[[#This Row],[worksheet get]],bonds[[#Headers],[security name]])</f>
        <v>RWE 3 1/2 04/21/75</v>
      </c>
      <c r="H112" s="5" t="str" cm="1">
        <f t="array" ref="H112">_xll.BDP(bonds[[#This Row],[worksheet get]],bonds[[#Headers],[ticker]])</f>
        <v>RWE</v>
      </c>
      <c r="I112" s="5" cm="1">
        <f t="array" ref="I112">_xll.BDP(bonds[[#This Row],[worksheet get]],bonds[[#Headers],[coupon]])</f>
        <v>3.5</v>
      </c>
      <c r="J112" s="25" cm="1">
        <f t="array" ref="J112">_xll.BDP(bonds[[#This Row],[worksheet get]],bonds[[#Headers],[nxt_call_dt]])*1</f>
        <v>45768</v>
      </c>
      <c r="K112" s="9" t="str" cm="1">
        <f t="array" ref="K112">_xll.BDP(bonds[[#This Row],[worksheet get]],bonds[[#Headers],[mty_typ]])</f>
        <v>CALLABLE</v>
      </c>
      <c r="L112" s="9" t="str" cm="1">
        <f t="array" ref="L112">_xll.BDP(bonds[[#This Row],[worksheet get]],bonds[[#Headers],[crncy]])</f>
        <v>EUR</v>
      </c>
      <c r="M112" s="10" cm="1">
        <f t="array" ref="M112">_xll.BDP(bonds[[#This Row],[worksheet get]],bonds[[#Headers],[amt_outstanding]])</f>
        <v>281680000</v>
      </c>
      <c r="N112" s="9" t="str" cm="1">
        <f t="array" ref="N112">_xll.BDP(bonds[[#This Row],[worksheet get]],bonds[[#Headers],[industry_sector]])</f>
        <v>Utilities</v>
      </c>
      <c r="O112" s="9" t="str">
        <f>bonds[[#This Row],[security name]]&amp;" nc-"&amp;RIGHT(YEAR(bonds[[#This Row],[nxt_call_dt]]),2)</f>
        <v>RWE 3 1/2 04/21/75 nc-25</v>
      </c>
    </row>
    <row r="113" spans="5:15">
      <c r="E113" s="5" t="s">
        <v>349</v>
      </c>
      <c r="F113" s="5" t="str" cm="1">
        <f t="array" ref="F113">_xll.BDP(bonds[[#This Row],[worksheet get]],bonds[[#Headers],[ID_ISIN]])</f>
        <v>XS1254119750</v>
      </c>
      <c r="G113" s="5" t="str" cm="1">
        <f t="array" ref="G113">_xll.BDP(bonds[[#This Row],[worksheet get]],bonds[[#Headers],[security name]])</f>
        <v>RWE 6 5/8 07/30/75</v>
      </c>
      <c r="H113" s="5" t="str" cm="1">
        <f t="array" ref="H113">_xll.BDP(bonds[[#This Row],[worksheet get]],bonds[[#Headers],[ticker]])</f>
        <v>RWE</v>
      </c>
      <c r="I113" s="5" cm="1">
        <f t="array" ref="I113">_xll.BDP(bonds[[#This Row],[worksheet get]],bonds[[#Headers],[coupon]])</f>
        <v>6.625</v>
      </c>
      <c r="J113" s="25" cm="1">
        <f t="array" ref="J113">_xll.BDP(bonds[[#This Row],[worksheet get]],bonds[[#Headers],[nxt_call_dt]])*1</f>
        <v>46111</v>
      </c>
      <c r="K113" s="9" t="str" cm="1">
        <f t="array" ref="K113">_xll.BDP(bonds[[#This Row],[worksheet get]],bonds[[#Headers],[mty_typ]])</f>
        <v>CALLABLE</v>
      </c>
      <c r="L113" s="9" t="str" cm="1">
        <f t="array" ref="L113">_xll.BDP(bonds[[#This Row],[worksheet get]],bonds[[#Headers],[crncy]])</f>
        <v>USD</v>
      </c>
      <c r="M113" s="10" cm="1">
        <f t="array" ref="M113">_xll.BDP(bonds[[#This Row],[worksheet get]],bonds[[#Headers],[amt_outstanding]])</f>
        <v>317360000</v>
      </c>
      <c r="N113" s="9" t="str" cm="1">
        <f t="array" ref="N113">_xll.BDP(bonds[[#This Row],[worksheet get]],bonds[[#Headers],[industry_sector]])</f>
        <v>Utilities</v>
      </c>
      <c r="O113" s="9" t="str">
        <f>bonds[[#This Row],[security name]]&amp;" nc-"&amp;RIGHT(YEAR(bonds[[#This Row],[nxt_call_dt]]),2)</f>
        <v>RWE 6 5/8 07/30/75 nc-26</v>
      </c>
    </row>
    <row r="114" spans="5:15">
      <c r="E114" s="5" t="s">
        <v>350</v>
      </c>
      <c r="F114" s="5" t="str" cm="1">
        <f t="array" ref="F114">_xll.BDP(bonds[[#This Row],[worksheet get]],bonds[[#Headers],[ID_ISIN]])</f>
        <v>XS1591694481</v>
      </c>
      <c r="G114" s="5" t="str" cm="1">
        <f t="array" ref="G114">_xll.BDP(bonds[[#This Row],[worksheet get]],bonds[[#Headers],[security name]])</f>
        <v>TENN 2.995 PERP</v>
      </c>
      <c r="H114" s="5" t="str" cm="1">
        <f t="array" ref="H114">_xll.BDP(bonds[[#This Row],[worksheet get]],bonds[[#Headers],[ticker]])</f>
        <v>TENN</v>
      </c>
      <c r="I114" s="5" cm="1">
        <f t="array" ref="I114">_xll.BDP(bonds[[#This Row],[worksheet get]],bonds[[#Headers],[coupon]])</f>
        <v>2.9950000000000001</v>
      </c>
      <c r="J114" s="25" cm="1">
        <f t="array" ref="J114">_xll.BDP(bonds[[#This Row],[worksheet get]],bonds[[#Headers],[nxt_call_dt]])*1</f>
        <v>45352</v>
      </c>
      <c r="K114" s="9" t="str" cm="1">
        <f t="array" ref="K114">_xll.BDP(bonds[[#This Row],[worksheet get]],bonds[[#Headers],[mty_typ]])</f>
        <v>PERP/CALL</v>
      </c>
      <c r="L114" s="9" t="str" cm="1">
        <f t="array" ref="L114">_xll.BDP(bonds[[#This Row],[worksheet get]],bonds[[#Headers],[crncy]])</f>
        <v>EUR</v>
      </c>
      <c r="M114" s="10" cm="1">
        <f t="array" ref="M114">_xll.BDP(bonds[[#This Row],[worksheet get]],bonds[[#Headers],[amt_outstanding]])</f>
        <v>1100000000</v>
      </c>
      <c r="N114" s="9" t="str" cm="1">
        <f t="array" ref="N114">_xll.BDP(bonds[[#This Row],[worksheet get]],bonds[[#Headers],[industry_sector]])</f>
        <v>Utilities</v>
      </c>
      <c r="O114" s="9" t="str">
        <f>bonds[[#This Row],[security name]]&amp;" nc-"&amp;RIGHT(YEAR(bonds[[#This Row],[nxt_call_dt]]),2)</f>
        <v>TENN 2.995 PERP nc-24</v>
      </c>
    </row>
    <row r="115" spans="5:15">
      <c r="E115" s="5" t="s">
        <v>351</v>
      </c>
      <c r="F115" s="5" t="str" cm="1">
        <f t="array" ref="F115">_xll.BDP(bonds[[#This Row],[worksheet get]],bonds[[#Headers],[ID_ISIN]])</f>
        <v>XS1205618470</v>
      </c>
      <c r="G115" s="5" t="str" cm="1">
        <f t="array" ref="G115">_xll.BDP(bonds[[#This Row],[worksheet get]],bonds[[#Headers],[security name]])</f>
        <v>VATFAL 3 03/19/77</v>
      </c>
      <c r="H115" s="5" t="str" cm="1">
        <f t="array" ref="H115">_xll.BDP(bonds[[#This Row],[worksheet get]],bonds[[#Headers],[ticker]])</f>
        <v>VATFAL</v>
      </c>
      <c r="I115" s="5" cm="1">
        <f t="array" ref="I115">_xll.BDP(bonds[[#This Row],[worksheet get]],bonds[[#Headers],[coupon]])</f>
        <v>3</v>
      </c>
      <c r="J115" s="25" cm="1">
        <f t="array" ref="J115">_xll.BDP(bonds[[#This Row],[worksheet get]],bonds[[#Headers],[nxt_call_dt]])*1</f>
        <v>46465</v>
      </c>
      <c r="K115" s="9" t="str" cm="1">
        <f t="array" ref="K115">_xll.BDP(bonds[[#This Row],[worksheet get]],bonds[[#Headers],[mty_typ]])</f>
        <v>CALLABLE</v>
      </c>
      <c r="L115" s="9" t="str" cm="1">
        <f t="array" ref="L115">_xll.BDP(bonds[[#This Row],[worksheet get]],bonds[[#Headers],[crncy]])</f>
        <v>EUR</v>
      </c>
      <c r="M115" s="10" cm="1">
        <f t="array" ref="M115">_xll.BDP(bonds[[#This Row],[worksheet get]],bonds[[#Headers],[amt_outstanding]])</f>
        <v>1000000000</v>
      </c>
      <c r="N115" s="9" t="str" cm="1">
        <f t="array" ref="N115">_xll.BDP(bonds[[#This Row],[worksheet get]],bonds[[#Headers],[industry_sector]])</f>
        <v>Utilities</v>
      </c>
      <c r="O115" s="9" t="str">
        <f>bonds[[#This Row],[security name]]&amp;" nc-"&amp;RIGHT(YEAR(bonds[[#This Row],[nxt_call_dt]]),2)</f>
        <v>VATFAL 3 03/19/77 nc-27</v>
      </c>
    </row>
    <row r="116" spans="5:15">
      <c r="E116" s="5" t="s">
        <v>352</v>
      </c>
      <c r="F116" s="5" t="str" cm="1">
        <f t="array" ref="F116">_xll.BDP(bonds[[#This Row],[worksheet get]],bonds[[#Headers],[ID_ISIN]])</f>
        <v>XS1322373017</v>
      </c>
      <c r="G116" s="5" t="str" cm="1">
        <f t="array" ref="G116">_xll.BDP(bonds[[#This Row],[worksheet get]],bonds[[#Headers],[security name]])</f>
        <v>VATFAL 6.1 11/19/78</v>
      </c>
      <c r="H116" s="5" t="str" cm="1">
        <f t="array" ref="H116">_xll.BDP(bonds[[#This Row],[worksheet get]],bonds[[#Headers],[ticker]])</f>
        <v>VATFAL</v>
      </c>
      <c r="I116" s="5" cm="1">
        <f t="array" ref="I116">_xll.BDP(bonds[[#This Row],[worksheet get]],bonds[[#Headers],[coupon]])</f>
        <v>6.1</v>
      </c>
      <c r="J116" s="25" cm="1">
        <f t="array" ref="J116">_xll.BDP(bonds[[#This Row],[worksheet get]],bonds[[#Headers],[nxt_call_dt]])*1</f>
        <v>45249</v>
      </c>
      <c r="K116" s="9" t="str" cm="1">
        <f t="array" ref="K116">_xll.BDP(bonds[[#This Row],[worksheet get]],bonds[[#Headers],[mty_typ]])</f>
        <v>CALLABLE</v>
      </c>
      <c r="L116" s="9" t="str" cm="1">
        <f t="array" ref="L116">_xll.BDP(bonds[[#This Row],[worksheet get]],bonds[[#Headers],[crncy]])</f>
        <v>USD</v>
      </c>
      <c r="M116" s="10" cm="1">
        <f t="array" ref="M116">_xll.BDP(bonds[[#This Row],[worksheet get]],bonds[[#Headers],[amt_outstanding]])</f>
        <v>400000000</v>
      </c>
      <c r="N116" s="9" t="str" cm="1">
        <f t="array" ref="N116">_xll.BDP(bonds[[#This Row],[worksheet get]],bonds[[#Headers],[industry_sector]])</f>
        <v>Utilities</v>
      </c>
      <c r="O116" s="9" t="str">
        <f>bonds[[#This Row],[security name]]&amp;" nc-"&amp;RIGHT(YEAR(bonds[[#This Row],[nxt_call_dt]]),2)</f>
        <v>VATFAL 6.1 11/19/78 nc-23</v>
      </c>
    </row>
    <row r="117" spans="5:15">
      <c r="E117" s="5" t="s">
        <v>353</v>
      </c>
      <c r="F117" s="5" t="str" cm="1">
        <f t="array" ref="F117">_xll.BDP(bonds[[#This Row],[worksheet get]],bonds[[#Headers],[ID_ISIN]])</f>
        <v>XS1713463716</v>
      </c>
      <c r="G117" s="5" t="str" cm="1">
        <f t="array" ref="G117">_xll.BDP(bonds[[#This Row],[worksheet get]],bonds[[#Headers],[security name]])</f>
        <v>ENELIM 2 1/2 11/24/78</v>
      </c>
      <c r="H117" s="5" t="str" cm="1">
        <f t="array" ref="H117">_xll.BDP(bonds[[#This Row],[worksheet get]],bonds[[#Headers],[ticker]])</f>
        <v>ENELIM</v>
      </c>
      <c r="I117" s="5" cm="1">
        <f t="array" ref="I117">_xll.BDP(bonds[[#This Row],[worksheet get]],bonds[[#Headers],[coupon]])</f>
        <v>2.5</v>
      </c>
      <c r="J117" s="25" cm="1">
        <f t="array" ref="J117">_xll.BDP(bonds[[#This Row],[worksheet get]],bonds[[#Headers],[nxt_call_dt]])*1</f>
        <v>45162</v>
      </c>
      <c r="K117" s="9" t="str" cm="1">
        <f t="array" ref="K117">_xll.BDP(bonds[[#This Row],[worksheet get]],bonds[[#Headers],[mty_typ]])</f>
        <v>CALLABLE</v>
      </c>
      <c r="L117" s="9" t="str" cm="1">
        <f t="array" ref="L117">_xll.BDP(bonds[[#This Row],[worksheet get]],bonds[[#Headers],[crncy]])</f>
        <v>EUR</v>
      </c>
      <c r="M117" s="10" cm="1">
        <f t="array" ref="M117">_xll.BDP(bonds[[#This Row],[worksheet get]],bonds[[#Headers],[amt_outstanding]])</f>
        <v>750019000</v>
      </c>
      <c r="N117" s="9" t="str" cm="1">
        <f t="array" ref="N117">_xll.BDP(bonds[[#This Row],[worksheet get]],bonds[[#Headers],[industry_sector]])</f>
        <v>Utilities</v>
      </c>
      <c r="O117" s="9" t="str">
        <f>bonds[[#This Row],[security name]]&amp;" nc-"&amp;RIGHT(YEAR(bonds[[#This Row],[nxt_call_dt]]),2)</f>
        <v>ENELIM 2 1/2 11/24/78 nc-23</v>
      </c>
    </row>
    <row r="118" spans="5:15">
      <c r="E118" s="5" t="s">
        <v>354</v>
      </c>
      <c r="F118" s="5" t="str" cm="1">
        <f t="array" ref="F118">_xll.BDP(bonds[[#This Row],[worksheet get]],bonds[[#Headers],[ID_ISIN]])</f>
        <v>XS0954675129</v>
      </c>
      <c r="G118" s="5" t="str" cm="1">
        <f t="array" ref="G118">_xll.BDP(bonds[[#This Row],[worksheet get]],bonds[[#Headers],[security name]])</f>
        <v>ENELIM 5.451 01/10/74</v>
      </c>
      <c r="H118" s="5" t="str" cm="1">
        <f t="array" ref="H118">_xll.BDP(bonds[[#This Row],[worksheet get]],bonds[[#Headers],[ticker]])</f>
        <v>ENELIM</v>
      </c>
      <c r="I118" s="5" cm="1">
        <f t="array" ref="I118">_xll.BDP(bonds[[#This Row],[worksheet get]],bonds[[#Headers],[coupon]])</f>
        <v>5.4509999999999996</v>
      </c>
      <c r="J118" s="25" cm="1">
        <f t="array" ref="J118">_xll.BDP(bonds[[#This Row],[worksheet get]],bonds[[#Headers],[nxt_call_dt]])*1</f>
        <v>45301</v>
      </c>
      <c r="K118" s="9" t="str" cm="1">
        <f t="array" ref="K118">_xll.BDP(bonds[[#This Row],[worksheet get]],bonds[[#Headers],[mty_typ]])</f>
        <v>CALLABLE</v>
      </c>
      <c r="L118" s="9" t="str" cm="1">
        <f t="array" ref="L118">_xll.BDP(bonds[[#This Row],[worksheet get]],bonds[[#Headers],[crncy]])</f>
        <v>EUR</v>
      </c>
      <c r="M118" s="10" cm="1">
        <f t="array" ref="M118">_xll.BDP(bonds[[#This Row],[worksheet get]],bonds[[#Headers],[amt_outstanding]])</f>
        <v>297423999.99999988</v>
      </c>
      <c r="N118" s="9" t="str" cm="1">
        <f t="array" ref="N118">_xll.BDP(bonds[[#This Row],[worksheet get]],bonds[[#Headers],[industry_sector]])</f>
        <v>Utilities</v>
      </c>
      <c r="O118" s="9" t="str">
        <f>bonds[[#This Row],[security name]]&amp;" nc-"&amp;RIGHT(YEAR(bonds[[#This Row],[nxt_call_dt]]),2)</f>
        <v>ENELIM 5.451 01/10/74 nc-24</v>
      </c>
    </row>
    <row r="119" spans="5:15">
      <c r="E119" s="5" t="s">
        <v>355</v>
      </c>
      <c r="F119" s="5" t="str" cm="1">
        <f t="array" ref="F119">_xll.BDP(bonds[[#This Row],[worksheet get]],bonds[[#Headers],[ID_ISIN]])</f>
        <v>XS2000719992</v>
      </c>
      <c r="G119" s="5" t="str" cm="1">
        <f t="array" ref="G119">_xll.BDP(bonds[[#This Row],[worksheet get]],bonds[[#Headers],[security name]])</f>
        <v>ENELIM 3 1/2 05/24/80</v>
      </c>
      <c r="H119" s="5" t="str" cm="1">
        <f t="array" ref="H119">_xll.BDP(bonds[[#This Row],[worksheet get]],bonds[[#Headers],[ticker]])</f>
        <v>ENELIM</v>
      </c>
      <c r="I119" s="5" cm="1">
        <f t="array" ref="I119">_xll.BDP(bonds[[#This Row],[worksheet get]],bonds[[#Headers],[coupon]])</f>
        <v>3.5</v>
      </c>
      <c r="J119" s="25" cm="1">
        <f t="array" ref="J119">_xll.BDP(bonds[[#This Row],[worksheet get]],bonds[[#Headers],[nxt_call_dt]])*1</f>
        <v>45712</v>
      </c>
      <c r="K119" s="9" t="str" cm="1">
        <f t="array" ref="K119">_xll.BDP(bonds[[#This Row],[worksheet get]],bonds[[#Headers],[mty_typ]])</f>
        <v>CALLABLE</v>
      </c>
      <c r="L119" s="9" t="str" cm="1">
        <f t="array" ref="L119">_xll.BDP(bonds[[#This Row],[worksheet get]],bonds[[#Headers],[crncy]])</f>
        <v>EUR</v>
      </c>
      <c r="M119" s="10" cm="1">
        <f t="array" ref="M119">_xll.BDP(bonds[[#This Row],[worksheet get]],bonds[[#Headers],[amt_outstanding]])</f>
        <v>900001000</v>
      </c>
      <c r="N119" s="9" t="str" cm="1">
        <f t="array" ref="N119">_xll.BDP(bonds[[#This Row],[worksheet get]],bonds[[#Headers],[industry_sector]])</f>
        <v>Utilities</v>
      </c>
      <c r="O119" s="9" t="str">
        <f>bonds[[#This Row],[security name]]&amp;" nc-"&amp;RIGHT(YEAR(bonds[[#This Row],[nxt_call_dt]]),2)</f>
        <v>ENELIM 3 1/2 05/24/80 nc-25</v>
      </c>
    </row>
    <row r="120" spans="5:15">
      <c r="E120" s="5" t="s">
        <v>356</v>
      </c>
      <c r="F120" s="5" t="str" cm="1">
        <f t="array" ref="F120">_xll.BDP(bonds[[#This Row],[worksheet get]],bonds[[#Headers],[ID_ISIN]])</f>
        <v>XS1713463559</v>
      </c>
      <c r="G120" s="5" t="str" cm="1">
        <f t="array" ref="G120">_xll.BDP(bonds[[#This Row],[worksheet get]],bonds[[#Headers],[security name]])</f>
        <v>ENELIM 3 3/8 11/24/81</v>
      </c>
      <c r="H120" s="5" t="str" cm="1">
        <f t="array" ref="H120">_xll.BDP(bonds[[#This Row],[worksheet get]],bonds[[#Headers],[ticker]])</f>
        <v>ENELIM</v>
      </c>
      <c r="I120" s="5" cm="1">
        <f t="array" ref="I120">_xll.BDP(bonds[[#This Row],[worksheet get]],bonds[[#Headers],[coupon]])</f>
        <v>3.375</v>
      </c>
      <c r="J120" s="25" cm="1">
        <f t="array" ref="J120">_xll.BDP(bonds[[#This Row],[worksheet get]],bonds[[#Headers],[nxt_call_dt]])*1</f>
        <v>46258</v>
      </c>
      <c r="K120" s="9" t="str" cm="1">
        <f t="array" ref="K120">_xll.BDP(bonds[[#This Row],[worksheet get]],bonds[[#Headers],[mty_typ]])</f>
        <v>CALLABLE</v>
      </c>
      <c r="L120" s="9" t="str" cm="1">
        <f t="array" ref="L120">_xll.BDP(bonds[[#This Row],[worksheet get]],bonds[[#Headers],[crncy]])</f>
        <v>EUR</v>
      </c>
      <c r="M120" s="10" cm="1">
        <f t="array" ref="M120">_xll.BDP(bonds[[#This Row],[worksheet get]],bonds[[#Headers],[amt_outstanding]])</f>
        <v>750000000</v>
      </c>
      <c r="N120" s="9" t="str" cm="1">
        <f t="array" ref="N120">_xll.BDP(bonds[[#This Row],[worksheet get]],bonds[[#Headers],[industry_sector]])</f>
        <v>Utilities</v>
      </c>
      <c r="O120" s="9" t="str">
        <f>bonds[[#This Row],[security name]]&amp;" nc-"&amp;RIGHT(YEAR(bonds[[#This Row],[nxt_call_dt]]),2)</f>
        <v>ENELIM 3 3/8 11/24/81 nc-26</v>
      </c>
    </row>
    <row r="121" spans="5:15">
      <c r="E121" s="5" t="s">
        <v>357</v>
      </c>
      <c r="F121" s="5" t="str" cm="1">
        <f t="array" ref="F121">_xll.BDP(bonds[[#This Row],[worksheet get]],bonds[[#Headers],[ID_ISIN]])</f>
        <v>XS0954674825</v>
      </c>
      <c r="G121" s="5" t="str" cm="1">
        <f t="array" ref="G121">_xll.BDP(bonds[[#This Row],[worksheet get]],bonds[[#Headers],[security name]])</f>
        <v>ENELIM 7 3/4 09/10/75</v>
      </c>
      <c r="H121" s="5" t="str" cm="1">
        <f t="array" ref="H121">_xll.BDP(bonds[[#This Row],[worksheet get]],bonds[[#Headers],[ticker]])</f>
        <v>ENELIM</v>
      </c>
      <c r="I121" s="5" cm="1">
        <f t="array" ref="I121">_xll.BDP(bonds[[#This Row],[worksheet get]],bonds[[#Headers],[coupon]])</f>
        <v>7.75</v>
      </c>
      <c r="J121" s="25" cm="1">
        <f t="array" ref="J121">_xll.BDP(bonds[[#This Row],[worksheet get]],bonds[[#Headers],[nxt_call_dt]])*1</f>
        <v>44084</v>
      </c>
      <c r="K121" s="9" t="str" cm="1">
        <f t="array" ref="K121">_xll.BDP(bonds[[#This Row],[worksheet get]],bonds[[#Headers],[mty_typ]])</f>
        <v>CALLABLE</v>
      </c>
      <c r="L121" s="9" t="str" cm="1">
        <f t="array" ref="L121">_xll.BDP(bonds[[#This Row],[worksheet get]],bonds[[#Headers],[crncy]])</f>
        <v>GBP</v>
      </c>
      <c r="M121" s="10" cm="1">
        <f t="array" ref="M121">_xll.BDP(bonds[[#This Row],[worksheet get]],bonds[[#Headers],[amt_outstanding]])</f>
        <v>400000000</v>
      </c>
      <c r="N121" s="9" t="str" cm="1">
        <f t="array" ref="N121">_xll.BDP(bonds[[#This Row],[worksheet get]],bonds[[#Headers],[industry_sector]])</f>
        <v>Utilities</v>
      </c>
      <c r="O121" s="9" t="str">
        <f>bonds[[#This Row],[security name]]&amp;" nc-"&amp;RIGHT(YEAR(bonds[[#This Row],[nxt_call_dt]]),2)</f>
        <v>ENELIM 7 3/4 09/10/75 nc-20</v>
      </c>
    </row>
    <row r="122" spans="5:15">
      <c r="E122" s="5" t="s">
        <v>358</v>
      </c>
      <c r="F122" s="5" t="str" cm="1">
        <f t="array" ref="F122">_xll.BDP(bonds[[#This Row],[worksheet get]],bonds[[#Headers],[ID_ISIN]])</f>
        <v>XS1014987355</v>
      </c>
      <c r="G122" s="5" t="str" cm="1">
        <f t="array" ref="G122">_xll.BDP(bonds[[#This Row],[worksheet get]],bonds[[#Headers],[security name]])</f>
        <v>ENELIM 6 5/8 09/15/76</v>
      </c>
      <c r="H122" s="5" t="str" cm="1">
        <f t="array" ref="H122">_xll.BDP(bonds[[#This Row],[worksheet get]],bonds[[#Headers],[ticker]])</f>
        <v>ENELIM</v>
      </c>
      <c r="I122" s="5" cm="1">
        <f t="array" ref="I122">_xll.BDP(bonds[[#This Row],[worksheet get]],bonds[[#Headers],[coupon]])</f>
        <v>6.625</v>
      </c>
      <c r="J122" s="25" cm="1">
        <f t="array" ref="J122">_xll.BDP(bonds[[#This Row],[worksheet get]],bonds[[#Headers],[nxt_call_dt]])*1</f>
        <v>44454</v>
      </c>
      <c r="K122" s="9" t="str" cm="1">
        <f t="array" ref="K122">_xll.BDP(bonds[[#This Row],[worksheet get]],bonds[[#Headers],[mty_typ]])</f>
        <v>CALLABLE</v>
      </c>
      <c r="L122" s="9" t="str" cm="1">
        <f t="array" ref="L122">_xll.BDP(bonds[[#This Row],[worksheet get]],bonds[[#Headers],[crncy]])</f>
        <v>GBP</v>
      </c>
      <c r="M122" s="10" cm="1">
        <f t="array" ref="M122">_xll.BDP(bonds[[#This Row],[worksheet get]],bonds[[#Headers],[amt_outstanding]])</f>
        <v>500000000</v>
      </c>
      <c r="N122" s="9" t="str" cm="1">
        <f t="array" ref="N122">_xll.BDP(bonds[[#This Row],[worksheet get]],bonds[[#Headers],[industry_sector]])</f>
        <v>Utilities</v>
      </c>
      <c r="O122" s="9" t="str">
        <f>bonds[[#This Row],[security name]]&amp;" nc-"&amp;RIGHT(YEAR(bonds[[#This Row],[nxt_call_dt]]),2)</f>
        <v>ENELIM 6 5/8 09/15/76 nc-21</v>
      </c>
    </row>
    <row r="123" spans="5:15">
      <c r="E123" s="5" t="s">
        <v>359</v>
      </c>
      <c r="F123" s="5" t="str" cm="1">
        <f t="array" ref="F123">_xll.BDP(bonds[[#This Row],[worksheet get]],bonds[[#Headers],[ID_ISIN]])</f>
        <v>US29265WAA62</v>
      </c>
      <c r="G123" s="5" t="str" cm="1">
        <f t="array" ref="G123">_xll.BDP(bonds[[#This Row],[worksheet get]],bonds[[#Headers],[security name]])</f>
        <v>ENELIM 8 3/4 09/24/73</v>
      </c>
      <c r="H123" s="5" t="str" cm="1">
        <f t="array" ref="H123">_xll.BDP(bonds[[#This Row],[worksheet get]],bonds[[#Headers],[ticker]])</f>
        <v>ENELIM</v>
      </c>
      <c r="I123" s="5" cm="1">
        <f t="array" ref="I123">_xll.BDP(bonds[[#This Row],[worksheet get]],bonds[[#Headers],[coupon]])</f>
        <v>8.75</v>
      </c>
      <c r="J123" s="25" cm="1">
        <f t="array" ref="J123">_xll.BDP(bonds[[#This Row],[worksheet get]],bonds[[#Headers],[nxt_call_dt]])*1</f>
        <v>45193</v>
      </c>
      <c r="K123" s="9" t="str" cm="1">
        <f t="array" ref="K123">_xll.BDP(bonds[[#This Row],[worksheet get]],bonds[[#Headers],[mty_typ]])</f>
        <v>CALLABLE</v>
      </c>
      <c r="L123" s="9" t="str" cm="1">
        <f t="array" ref="L123">_xll.BDP(bonds[[#This Row],[worksheet get]],bonds[[#Headers],[crncy]])</f>
        <v>USD</v>
      </c>
      <c r="M123" s="10" cm="1">
        <f t="array" ref="M123">_xll.BDP(bonds[[#This Row],[worksheet get]],bonds[[#Headers],[amt_outstanding]])</f>
        <v>1250000000</v>
      </c>
      <c r="N123" s="9" t="str" cm="1">
        <f t="array" ref="N123">_xll.BDP(bonds[[#This Row],[worksheet get]],bonds[[#Headers],[industry_sector]])</f>
        <v>Utilities</v>
      </c>
      <c r="O123" s="9" t="str">
        <f>bonds[[#This Row],[security name]]&amp;" nc-"&amp;RIGHT(YEAR(bonds[[#This Row],[nxt_call_dt]]),2)</f>
        <v>ENELIM 8 3/4 09/24/73 nc-23</v>
      </c>
    </row>
    <row r="124" spans="5:15">
      <c r="E124" s="5" t="s">
        <v>360</v>
      </c>
      <c r="F124" s="5" t="str" cm="1">
        <f t="array" ref="F124">_xll.BDP(bonds[[#This Row],[worksheet get]],bonds[[#Headers],[ID_ISIN]])</f>
        <v>XS1721244371</v>
      </c>
      <c r="G124" s="5" t="str" cm="1">
        <f t="array" ref="G124">_xll.BDP(bonds[[#This Row],[worksheet get]],bonds[[#Headers],[security name]])</f>
        <v>IBESM 1 7/8 PERP</v>
      </c>
      <c r="H124" s="5" t="str" cm="1">
        <f t="array" ref="H124">_xll.BDP(bonds[[#This Row],[worksheet get]],bonds[[#Headers],[ticker]])</f>
        <v>IBESM</v>
      </c>
      <c r="I124" s="5" cm="1">
        <f t="array" ref="I124">_xll.BDP(bonds[[#This Row],[worksheet get]],bonds[[#Headers],[coupon]])</f>
        <v>1.875</v>
      </c>
      <c r="J124" s="25" cm="1">
        <f t="array" ref="J124">_xll.BDP(bonds[[#This Row],[worksheet get]],bonds[[#Headers],[nxt_call_dt]])*1</f>
        <v>44979</v>
      </c>
      <c r="K124" s="9" t="str" cm="1">
        <f t="array" ref="K124">_xll.BDP(bonds[[#This Row],[worksheet get]],bonds[[#Headers],[mty_typ]])</f>
        <v>PERP/CALL</v>
      </c>
      <c r="L124" s="9" t="str" cm="1">
        <f t="array" ref="L124">_xll.BDP(bonds[[#This Row],[worksheet get]],bonds[[#Headers],[crncy]])</f>
        <v>EUR</v>
      </c>
      <c r="M124" s="10" cm="1">
        <f t="array" ref="M124">_xll.BDP(bonds[[#This Row],[worksheet get]],bonds[[#Headers],[amt_outstanding]])</f>
        <v>1000000000</v>
      </c>
      <c r="N124" s="9" t="str" cm="1">
        <f t="array" ref="N124">_xll.BDP(bonds[[#This Row],[worksheet get]],bonds[[#Headers],[industry_sector]])</f>
        <v>Utilities</v>
      </c>
      <c r="O124" s="9" t="str">
        <f>bonds[[#This Row],[security name]]&amp;" nc-"&amp;RIGHT(YEAR(bonds[[#This Row],[nxt_call_dt]]),2)</f>
        <v>IBESM 1 7/8 PERP nc-23</v>
      </c>
    </row>
    <row r="125" spans="5:15">
      <c r="E125" s="5" t="s">
        <v>361</v>
      </c>
      <c r="F125" s="5" t="str" cm="1">
        <f t="array" ref="F125">_xll.BDP(bonds[[#This Row],[worksheet get]],bonds[[#Headers],[ID_ISIN]])</f>
        <v>XS1797138960</v>
      </c>
      <c r="G125" s="5" t="str" cm="1">
        <f t="array" ref="G125">_xll.BDP(bonds[[#This Row],[worksheet get]],bonds[[#Headers],[security name]])</f>
        <v>IBESM 2 5/8 PERP</v>
      </c>
      <c r="H125" s="5" t="str" cm="1">
        <f t="array" ref="H125">_xll.BDP(bonds[[#This Row],[worksheet get]],bonds[[#Headers],[ticker]])</f>
        <v>IBESM</v>
      </c>
      <c r="I125" s="5" cm="1">
        <f t="array" ref="I125">_xll.BDP(bonds[[#This Row],[worksheet get]],bonds[[#Headers],[coupon]])</f>
        <v>2.625</v>
      </c>
      <c r="J125" s="25" cm="1">
        <f t="array" ref="J125">_xll.BDP(bonds[[#This Row],[worksheet get]],bonds[[#Headers],[nxt_call_dt]])*1</f>
        <v>45377</v>
      </c>
      <c r="K125" s="9" t="str" cm="1">
        <f t="array" ref="K125">_xll.BDP(bonds[[#This Row],[worksheet get]],bonds[[#Headers],[mty_typ]])</f>
        <v>PERP/CALL</v>
      </c>
      <c r="L125" s="9" t="str" cm="1">
        <f t="array" ref="L125">_xll.BDP(bonds[[#This Row],[worksheet get]],bonds[[#Headers],[crncy]])</f>
        <v>EUR</v>
      </c>
      <c r="M125" s="10" cm="1">
        <f t="array" ref="M125">_xll.BDP(bonds[[#This Row],[worksheet get]],bonds[[#Headers],[amt_outstanding]])</f>
        <v>700000000</v>
      </c>
      <c r="N125" s="9" t="str" cm="1">
        <f t="array" ref="N125">_xll.BDP(bonds[[#This Row],[worksheet get]],bonds[[#Headers],[industry_sector]])</f>
        <v>Utilities</v>
      </c>
      <c r="O125" s="9" t="str">
        <f>bonds[[#This Row],[security name]]&amp;" nc-"&amp;RIGHT(YEAR(bonds[[#This Row],[nxt_call_dt]]),2)</f>
        <v>IBESM 2 5/8 PERP nc-24</v>
      </c>
    </row>
    <row r="126" spans="5:15">
      <c r="E126" s="5" t="s">
        <v>362</v>
      </c>
      <c r="F126" s="5" t="str" cm="1">
        <f t="array" ref="F126">_xll.BDP(bonds[[#This Row],[worksheet get]],bonds[[#Headers],[ID_ISIN]])</f>
        <v>XS1890845875</v>
      </c>
      <c r="G126" s="5" t="str" cm="1">
        <f t="array" ref="G126">_xll.BDP(bonds[[#This Row],[worksheet get]],bonds[[#Headers],[security name]])</f>
        <v>IBESM 3 1/4 PERP</v>
      </c>
      <c r="H126" s="5" t="str" cm="1">
        <f t="array" ref="H126">_xll.BDP(bonds[[#This Row],[worksheet get]],bonds[[#Headers],[ticker]])</f>
        <v>IBESM</v>
      </c>
      <c r="I126" s="5" cm="1">
        <f t="array" ref="I126">_xll.BDP(bonds[[#This Row],[worksheet get]],bonds[[#Headers],[coupon]])</f>
        <v>3.25</v>
      </c>
      <c r="J126" s="25" cm="1">
        <f t="array" ref="J126">_xll.BDP(bonds[[#This Row],[worksheet get]],bonds[[#Headers],[nxt_call_dt]])*1</f>
        <v>45608</v>
      </c>
      <c r="K126" s="9" t="str" cm="1">
        <f t="array" ref="K126">_xll.BDP(bonds[[#This Row],[worksheet get]],bonds[[#Headers],[mty_typ]])</f>
        <v>PERP/CALL</v>
      </c>
      <c r="L126" s="9" t="str" cm="1">
        <f t="array" ref="L126">_xll.BDP(bonds[[#This Row],[worksheet get]],bonds[[#Headers],[crncy]])</f>
        <v>EUR</v>
      </c>
      <c r="M126" s="10" cm="1">
        <f t="array" ref="M126">_xll.BDP(bonds[[#This Row],[worksheet get]],bonds[[#Headers],[amt_outstanding]])</f>
        <v>800000000</v>
      </c>
      <c r="N126" s="9" t="str" cm="1">
        <f t="array" ref="N126">_xll.BDP(bonds[[#This Row],[worksheet get]],bonds[[#Headers],[industry_sector]])</f>
        <v>Utilities</v>
      </c>
      <c r="O126" s="9" t="str">
        <f>bonds[[#This Row],[security name]]&amp;" nc-"&amp;RIGHT(YEAR(bonds[[#This Row],[nxt_call_dt]]),2)</f>
        <v>IBESM 3 1/4 PERP nc-24</v>
      </c>
    </row>
    <row r="127" spans="5:15">
      <c r="E127" s="5" t="s">
        <v>89</v>
      </c>
      <c r="F127" s="5" t="str" cm="1">
        <f t="array" ref="F127">_xll.BDP(bonds[[#This Row],[worksheet get]],bonds[[#Headers],[ID_ISIN]])</f>
        <v>XS1139494493</v>
      </c>
      <c r="G127" s="5" t="str" cm="1">
        <f t="array" ref="G127">_xll.BDP(bonds[[#This Row],[worksheet get]],bonds[[#Headers],[security name]])</f>
        <v>NTGYSM 4 1/8 PERP</v>
      </c>
      <c r="H127" s="5" t="str" cm="1">
        <f t="array" ref="H127">_xll.BDP(bonds[[#This Row],[worksheet get]],bonds[[#Headers],[ticker]])</f>
        <v>NTGYSM</v>
      </c>
      <c r="I127" s="5" cm="1">
        <f t="array" ref="I127">_xll.BDP(bonds[[#This Row],[worksheet get]],bonds[[#Headers],[coupon]])</f>
        <v>4.125</v>
      </c>
      <c r="J127" s="25" cm="1">
        <f t="array" ref="J127">_xll.BDP(bonds[[#This Row],[worksheet get]],bonds[[#Headers],[nxt_call_dt]])*1</f>
        <v>44883</v>
      </c>
      <c r="K127" s="9" t="str" cm="1">
        <f t="array" ref="K127">_xll.BDP(bonds[[#This Row],[worksheet get]],bonds[[#Headers],[mty_typ]])</f>
        <v>PERP/CALL</v>
      </c>
      <c r="L127" s="9" t="str" cm="1">
        <f t="array" ref="L127">_xll.BDP(bonds[[#This Row],[worksheet get]],bonds[[#Headers],[crncy]])</f>
        <v>EUR</v>
      </c>
      <c r="M127" s="10" cm="1">
        <f t="array" ref="M127">_xll.BDP(bonds[[#This Row],[worksheet get]],bonds[[#Headers],[amt_outstanding]])</f>
        <v>1000000000</v>
      </c>
      <c r="N127" s="9" t="str" cm="1">
        <f t="array" ref="N127">_xll.BDP(bonds[[#This Row],[worksheet get]],bonds[[#Headers],[industry_sector]])</f>
        <v>Utilities</v>
      </c>
      <c r="O127" s="9" t="str">
        <f>bonds[[#This Row],[security name]]&amp;" nc-"&amp;RIGHT(YEAR(bonds[[#This Row],[nxt_call_dt]]),2)</f>
        <v>NTGYSM 4 1/8 PERP nc-22</v>
      </c>
    </row>
    <row r="128" spans="5:15">
      <c r="E128" s="5" t="s">
        <v>90</v>
      </c>
      <c r="F128" s="5" t="str" cm="1">
        <f t="array" ref="F128">_xll.BDP(bonds[[#This Row],[worksheet get]],bonds[[#Headers],[ID_ISIN]])</f>
        <v>XS1224710399</v>
      </c>
      <c r="G128" s="5" t="str" cm="1">
        <f t="array" ref="G128">_xll.BDP(bonds[[#This Row],[worksheet get]],bonds[[#Headers],[security name]])</f>
        <v>NTGYSM 3 3/8 PERP</v>
      </c>
      <c r="H128" s="5" t="str" cm="1">
        <f t="array" ref="H128">_xll.BDP(bonds[[#This Row],[worksheet get]],bonds[[#Headers],[ticker]])</f>
        <v>NTGYSM</v>
      </c>
      <c r="I128" s="5" cm="1">
        <f t="array" ref="I128">_xll.BDP(bonds[[#This Row],[worksheet get]],bonds[[#Headers],[coupon]])</f>
        <v>3.375</v>
      </c>
      <c r="J128" s="25" cm="1">
        <f t="array" ref="J128">_xll.BDP(bonds[[#This Row],[worksheet get]],bonds[[#Headers],[nxt_call_dt]])*1</f>
        <v>45406</v>
      </c>
      <c r="K128" s="9" t="str" cm="1">
        <f t="array" ref="K128">_xll.BDP(bonds[[#This Row],[worksheet get]],bonds[[#Headers],[mty_typ]])</f>
        <v>PERP/CALL</v>
      </c>
      <c r="L128" s="9" t="str" cm="1">
        <f t="array" ref="L128">_xll.BDP(bonds[[#This Row],[worksheet get]],bonds[[#Headers],[crncy]])</f>
        <v>EUR</v>
      </c>
      <c r="M128" s="10" cm="1">
        <f t="array" ref="M128">_xll.BDP(bonds[[#This Row],[worksheet get]],bonds[[#Headers],[amt_outstanding]])</f>
        <v>500000000</v>
      </c>
      <c r="N128" s="9" t="str" cm="1">
        <f t="array" ref="N128">_xll.BDP(bonds[[#This Row],[worksheet get]],bonds[[#Headers],[industry_sector]])</f>
        <v>Utilities</v>
      </c>
      <c r="O128" s="9" t="str">
        <f>bonds[[#This Row],[security name]]&amp;" nc-"&amp;RIGHT(YEAR(bonds[[#This Row],[nxt_call_dt]]),2)</f>
        <v>NTGYSM 3 3/8 PERP nc-24</v>
      </c>
    </row>
    <row r="129" spans="5:15">
      <c r="E129" s="5" t="s">
        <v>363</v>
      </c>
      <c r="F129" s="5" t="str" cm="1">
        <f t="array" ref="F129">_xll.BDP(bonds[[#This Row],[worksheet get]],bonds[[#Headers],[ID_ISIN]])</f>
        <v>XS1216020161</v>
      </c>
      <c r="G129" s="5" t="str" cm="1">
        <f t="array" ref="G129">_xll.BDP(bonds[[#This Row],[worksheet get]],bonds[[#Headers],[security name]])</f>
        <v>CNALN 3 04/10/76</v>
      </c>
      <c r="H129" s="5" t="str" cm="1">
        <f t="array" ref="H129">_xll.BDP(bonds[[#This Row],[worksheet get]],bonds[[#Headers],[ticker]])</f>
        <v>CNALN</v>
      </c>
      <c r="I129" s="5" cm="1">
        <f t="array" ref="I129">_xll.BDP(bonds[[#This Row],[worksheet get]],bonds[[#Headers],[coupon]])</f>
        <v>3</v>
      </c>
      <c r="J129" s="25" cm="1">
        <f t="array" ref="J129">_xll.BDP(bonds[[#This Row],[worksheet get]],bonds[[#Headers],[nxt_call_dt]])*1</f>
        <v>44296</v>
      </c>
      <c r="K129" s="9" t="str" cm="1">
        <f t="array" ref="K129">_xll.BDP(bonds[[#This Row],[worksheet get]],bonds[[#Headers],[mty_typ]])</f>
        <v>CALLABLE</v>
      </c>
      <c r="L129" s="9" t="str" cm="1">
        <f t="array" ref="L129">_xll.BDP(bonds[[#This Row],[worksheet get]],bonds[[#Headers],[crncy]])</f>
        <v>EUR</v>
      </c>
      <c r="M129" s="10" cm="1">
        <f t="array" ref="M129">_xll.BDP(bonds[[#This Row],[worksheet get]],bonds[[#Headers],[amt_outstanding]])</f>
        <v>750000000</v>
      </c>
      <c r="N129" s="9" t="str" cm="1">
        <f t="array" ref="N129">_xll.BDP(bonds[[#This Row],[worksheet get]],bonds[[#Headers],[industry_sector]])</f>
        <v>Utilities</v>
      </c>
      <c r="O129" s="9" t="str">
        <f>bonds[[#This Row],[security name]]&amp;" nc-"&amp;RIGHT(YEAR(bonds[[#This Row],[nxt_call_dt]]),2)</f>
        <v>CNALN 3 04/10/76 nc-21</v>
      </c>
    </row>
    <row r="130" spans="5:15">
      <c r="E130" s="5" t="s">
        <v>364</v>
      </c>
      <c r="F130" s="5" t="str" cm="1">
        <f t="array" ref="F130">_xll.BDP(bonds[[#This Row],[worksheet get]],bonds[[#Headers],[ID_ISIN]])</f>
        <v>XS1216019585</v>
      </c>
      <c r="G130" s="5" t="str" cm="1">
        <f t="array" ref="G130">_xll.BDP(bonds[[#This Row],[worksheet get]],bonds[[#Headers],[security name]])</f>
        <v>CNALN 5 1/4 04/10/75</v>
      </c>
      <c r="H130" s="5" t="str" cm="1">
        <f t="array" ref="H130">_xll.BDP(bonds[[#This Row],[worksheet get]],bonds[[#Headers],[ticker]])</f>
        <v>CNALN</v>
      </c>
      <c r="I130" s="5" cm="1">
        <f t="array" ref="I130">_xll.BDP(bonds[[#This Row],[worksheet get]],bonds[[#Headers],[coupon]])</f>
        <v>5.25</v>
      </c>
      <c r="J130" s="25" cm="1">
        <f t="array" ref="J130">_xll.BDP(bonds[[#This Row],[worksheet get]],bonds[[#Headers],[nxt_call_dt]])*1</f>
        <v>45757</v>
      </c>
      <c r="K130" s="9" t="str" cm="1">
        <f t="array" ref="K130">_xll.BDP(bonds[[#This Row],[worksheet get]],bonds[[#Headers],[mty_typ]])</f>
        <v>CALLABLE</v>
      </c>
      <c r="L130" s="9" t="str" cm="1">
        <f t="array" ref="L130">_xll.BDP(bonds[[#This Row],[worksheet get]],bonds[[#Headers],[crncy]])</f>
        <v>GBP</v>
      </c>
      <c r="M130" s="10" cm="1">
        <f t="array" ref="M130">_xll.BDP(bonds[[#This Row],[worksheet get]],bonds[[#Headers],[amt_outstanding]])</f>
        <v>450000000</v>
      </c>
      <c r="N130" s="9" t="str" cm="1">
        <f t="array" ref="N130">_xll.BDP(bonds[[#This Row],[worksheet get]],bonds[[#Headers],[industry_sector]])</f>
        <v>Utilities</v>
      </c>
      <c r="O130" s="9" t="str">
        <f>bonds[[#This Row],[security name]]&amp;" nc-"&amp;RIGHT(YEAR(bonds[[#This Row],[nxt_call_dt]]),2)</f>
        <v>CNALN 5 1/4 04/10/75 nc-25</v>
      </c>
    </row>
    <row r="131" spans="5:15">
      <c r="E131" s="5" t="s">
        <v>116</v>
      </c>
      <c r="F131" s="5" t="str" cm="1">
        <f t="array" ref="F131">_xll.BDP(bonds[[#This Row],[worksheet get]],bonds[[#Headers],[ID_ISIN]])</f>
        <v>XS2010044977</v>
      </c>
      <c r="G131" s="5" t="str" cm="1">
        <f t="array" ref="G131">_xll.BDP(bonds[[#This Row],[worksheet get]],bonds[[#Headers],[security name]])</f>
        <v>NGGLN 1 5/8 12/05/79</v>
      </c>
      <c r="H131" s="5" t="str" cm="1">
        <f t="array" ref="H131">_xll.BDP(bonds[[#This Row],[worksheet get]],bonds[[#Headers],[ticker]])</f>
        <v>NGGLN</v>
      </c>
      <c r="I131" s="5" cm="1">
        <f t="array" ref="I131">_xll.BDP(bonds[[#This Row],[worksheet get]],bonds[[#Headers],[coupon]])</f>
        <v>1.625</v>
      </c>
      <c r="J131" s="25" cm="1">
        <f t="array" ref="J131">_xll.BDP(bonds[[#This Row],[worksheet get]],bonds[[#Headers],[nxt_call_dt]])*1</f>
        <v>45540</v>
      </c>
      <c r="K131" s="9" t="str" cm="1">
        <f t="array" ref="K131">_xll.BDP(bonds[[#This Row],[worksheet get]],bonds[[#Headers],[mty_typ]])</f>
        <v>CALLABLE</v>
      </c>
      <c r="L131" s="9" t="str" cm="1">
        <f t="array" ref="L131">_xll.BDP(bonds[[#This Row],[worksheet get]],bonds[[#Headers],[crncy]])</f>
        <v>EUR</v>
      </c>
      <c r="M131" s="10" cm="1">
        <f t="array" ref="M131">_xll.BDP(bonds[[#This Row],[worksheet get]],bonds[[#Headers],[amt_outstanding]])</f>
        <v>500000000</v>
      </c>
      <c r="N131" s="9" t="str" cm="1">
        <f t="array" ref="N131">_xll.BDP(bonds[[#This Row],[worksheet get]],bonds[[#Headers],[industry_sector]])</f>
        <v>Utilities</v>
      </c>
      <c r="O131" s="9" t="str">
        <f>bonds[[#This Row],[security name]]&amp;" nc-"&amp;RIGHT(YEAR(bonds[[#This Row],[nxt_call_dt]]),2)</f>
        <v>NGGLN 1 5/8 12/05/79 nc-24</v>
      </c>
    </row>
    <row r="132" spans="5:15">
      <c r="E132" s="5" t="s">
        <v>117</v>
      </c>
      <c r="F132" s="5" t="str" cm="1">
        <f t="array" ref="F132">_xll.BDP(bonds[[#This Row],[worksheet get]],bonds[[#Headers],[ID_ISIN]])</f>
        <v>XS2010045511</v>
      </c>
      <c r="G132" s="5" t="str" cm="1">
        <f t="array" ref="G132">_xll.BDP(bonds[[#This Row],[worksheet get]],bonds[[#Headers],[security name]])</f>
        <v>NGGLN 2 1/8 09/05/82</v>
      </c>
      <c r="H132" s="5" t="str" cm="1">
        <f t="array" ref="H132">_xll.BDP(bonds[[#This Row],[worksheet get]],bonds[[#Headers],[ticker]])</f>
        <v>NGGLN</v>
      </c>
      <c r="I132" s="5" cm="1">
        <f t="array" ref="I132">_xll.BDP(bonds[[#This Row],[worksheet get]],bonds[[#Headers],[coupon]])</f>
        <v>2.125</v>
      </c>
      <c r="J132" s="25" cm="1">
        <f t="array" ref="J132">_xll.BDP(bonds[[#This Row],[worksheet get]],bonds[[#Headers],[nxt_call_dt]])*1</f>
        <v>46543</v>
      </c>
      <c r="K132" s="9" t="str" cm="1">
        <f t="array" ref="K132">_xll.BDP(bonds[[#This Row],[worksheet get]],bonds[[#Headers],[mty_typ]])</f>
        <v>CALLABLE</v>
      </c>
      <c r="L132" s="9" t="str" cm="1">
        <f t="array" ref="L132">_xll.BDP(bonds[[#This Row],[worksheet get]],bonds[[#Headers],[crncy]])</f>
        <v>EUR</v>
      </c>
      <c r="M132" s="10" cm="1">
        <f t="array" ref="M132">_xll.BDP(bonds[[#This Row],[worksheet get]],bonds[[#Headers],[amt_outstanding]])</f>
        <v>750000000</v>
      </c>
      <c r="N132" s="9" t="str" cm="1">
        <f t="array" ref="N132">_xll.BDP(bonds[[#This Row],[worksheet get]],bonds[[#Headers],[industry_sector]])</f>
        <v>Utilities</v>
      </c>
      <c r="O132" s="9" t="str">
        <f>bonds[[#This Row],[security name]]&amp;" nc-"&amp;RIGHT(YEAR(bonds[[#This Row],[nxt_call_dt]]),2)</f>
        <v>NGGLN 2 1/8 09/05/82 nc-27</v>
      </c>
    </row>
    <row r="133" spans="5:15">
      <c r="E133" s="5" t="s">
        <v>365</v>
      </c>
      <c r="F133" s="5" t="str" cm="1">
        <f t="array" ref="F133">_xll.BDP(bonds[[#This Row],[worksheet get]],bonds[[#Headers],[ID_ISIN]])</f>
        <v>XS0903532090</v>
      </c>
      <c r="G133" s="5" t="str" cm="1">
        <f t="array" ref="G133">_xll.BDP(bonds[[#This Row],[worksheet get]],bonds[[#Headers],[security name]])</f>
        <v>NGGLN 5 5/8 06/18/73</v>
      </c>
      <c r="H133" s="5" t="str" cm="1">
        <f t="array" ref="H133">_xll.BDP(bonds[[#This Row],[worksheet get]],bonds[[#Headers],[ticker]])</f>
        <v>NGGLN</v>
      </c>
      <c r="I133" s="5" cm="1">
        <f t="array" ref="I133">_xll.BDP(bonds[[#This Row],[worksheet get]],bonds[[#Headers],[coupon]])</f>
        <v>5.625</v>
      </c>
      <c r="J133" s="25" cm="1">
        <f t="array" ref="J133">_xll.BDP(bonds[[#This Row],[worksheet get]],bonds[[#Headers],[nxt_call_dt]])*1</f>
        <v>45826</v>
      </c>
      <c r="K133" s="9" t="str" cm="1">
        <f t="array" ref="K133">_xll.BDP(bonds[[#This Row],[worksheet get]],bonds[[#Headers],[mty_typ]])</f>
        <v>CALLABLE</v>
      </c>
      <c r="L133" s="9" t="str" cm="1">
        <f t="array" ref="L133">_xll.BDP(bonds[[#This Row],[worksheet get]],bonds[[#Headers],[crncy]])</f>
        <v>GBP</v>
      </c>
      <c r="M133" s="10" cm="1">
        <f t="array" ref="M133">_xll.BDP(bonds[[#This Row],[worksheet get]],bonds[[#Headers],[amt_outstanding]])</f>
        <v>1000000000</v>
      </c>
      <c r="N133" s="9" t="str" cm="1">
        <f t="array" ref="N133">_xll.BDP(bonds[[#This Row],[worksheet get]],bonds[[#Headers],[industry_sector]])</f>
        <v>Utilities</v>
      </c>
      <c r="O133" s="9" t="str">
        <f>bonds[[#This Row],[security name]]&amp;" nc-"&amp;RIGHT(YEAR(bonds[[#This Row],[nxt_call_dt]]),2)</f>
        <v>NGGLN 5 5/8 06/18/73 nc-25</v>
      </c>
    </row>
    <row r="134" spans="5:15">
      <c r="E134" s="5" t="s">
        <v>366</v>
      </c>
      <c r="F134" s="5" t="str" cm="1">
        <f t="array" ref="F134">_xll.BDP(bonds[[#This Row],[worksheet get]],bonds[[#Headers],[ID_ISIN]])</f>
        <v>XS1196714429</v>
      </c>
      <c r="G134" s="5" t="str" cm="1">
        <f t="array" ref="G134">_xll.BDP(bonds[[#This Row],[worksheet get]],bonds[[#Headers],[security name]])</f>
        <v>SSELN 3 7/8 PERP</v>
      </c>
      <c r="H134" s="5" t="str" cm="1">
        <f t="array" ref="H134">_xll.BDP(bonds[[#This Row],[worksheet get]],bonds[[#Headers],[ticker]])</f>
        <v>SSELN</v>
      </c>
      <c r="I134" s="5" cm="1">
        <f t="array" ref="I134">_xll.BDP(bonds[[#This Row],[worksheet get]],bonds[[#Headers],[coupon]])</f>
        <v>3.875</v>
      </c>
      <c r="J134" s="25" cm="1">
        <f t="array" ref="J134">_xll.BDP(bonds[[#This Row],[worksheet get]],bonds[[#Headers],[nxt_call_dt]])*1</f>
        <v>44084</v>
      </c>
      <c r="K134" s="9" t="str" cm="1">
        <f t="array" ref="K134">_xll.BDP(bonds[[#This Row],[worksheet get]],bonds[[#Headers],[mty_typ]])</f>
        <v>PERP/CALL</v>
      </c>
      <c r="L134" s="9" t="str" cm="1">
        <f t="array" ref="L134">_xll.BDP(bonds[[#This Row],[worksheet get]],bonds[[#Headers],[crncy]])</f>
        <v>GBP</v>
      </c>
      <c r="M134" s="10" cm="1">
        <f t="array" ref="M134">_xll.BDP(bonds[[#This Row],[worksheet get]],bonds[[#Headers],[amt_outstanding]])</f>
        <v>750000000</v>
      </c>
      <c r="N134" s="9" t="str" cm="1">
        <f t="array" ref="N134">_xll.BDP(bonds[[#This Row],[worksheet get]],bonds[[#Headers],[industry_sector]])</f>
        <v>Utilities</v>
      </c>
      <c r="O134" s="9" t="str">
        <f>bonds[[#This Row],[security name]]&amp;" nc-"&amp;RIGHT(YEAR(bonds[[#This Row],[nxt_call_dt]]),2)</f>
        <v>SSELN 3 7/8 PERP nc-20</v>
      </c>
    </row>
    <row r="135" spans="5:15">
      <c r="E135" s="5" t="s">
        <v>367</v>
      </c>
      <c r="F135" s="5" t="str" cm="1">
        <f t="array" ref="F135">_xll.BDP(bonds[[#This Row],[worksheet get]],bonds[[#Headers],[ID_ISIN]])</f>
        <v>XS1572349865</v>
      </c>
      <c r="G135" s="5" t="str" cm="1">
        <f t="array" ref="G135">_xll.BDP(bonds[[#This Row],[worksheet get]],bonds[[#Headers],[security name]])</f>
        <v>SSELN 3 5/8 09/16/77</v>
      </c>
      <c r="H135" s="5" t="str" cm="1">
        <f t="array" ref="H135">_xll.BDP(bonds[[#This Row],[worksheet get]],bonds[[#Headers],[ticker]])</f>
        <v>SSELN</v>
      </c>
      <c r="I135" s="5" cm="1">
        <f t="array" ref="I135">_xll.BDP(bonds[[#This Row],[worksheet get]],bonds[[#Headers],[coupon]])</f>
        <v>3.625</v>
      </c>
      <c r="J135" s="25" cm="1">
        <f t="array" ref="J135">_xll.BDP(bonds[[#This Row],[worksheet get]],bonds[[#Headers],[nxt_call_dt]])*1</f>
        <v>44728</v>
      </c>
      <c r="K135" s="9" t="str" cm="1">
        <f t="array" ref="K135">_xll.BDP(bonds[[#This Row],[worksheet get]],bonds[[#Headers],[mty_typ]])</f>
        <v>CALLABLE</v>
      </c>
      <c r="L135" s="9" t="str" cm="1">
        <f t="array" ref="L135">_xll.BDP(bonds[[#This Row],[worksheet get]],bonds[[#Headers],[crncy]])</f>
        <v>GBP</v>
      </c>
      <c r="M135" s="10" cm="1">
        <f t="array" ref="M135">_xll.BDP(bonds[[#This Row],[worksheet get]],bonds[[#Headers],[amt_outstanding]])</f>
        <v>300000000</v>
      </c>
      <c r="N135" s="9" t="str" cm="1">
        <f t="array" ref="N135">_xll.BDP(bonds[[#This Row],[worksheet get]],bonds[[#Headers],[industry_sector]])</f>
        <v>Utilities</v>
      </c>
      <c r="O135" s="9" t="str">
        <f>bonds[[#This Row],[security name]]&amp;" nc-"&amp;RIGHT(YEAR(bonds[[#This Row],[nxt_call_dt]]),2)</f>
        <v>SSELN 3 5/8 09/16/77 nc-22</v>
      </c>
    </row>
    <row r="136" spans="5:15">
      <c r="E136" s="5" t="s">
        <v>368</v>
      </c>
      <c r="F136" s="5" t="str" cm="1">
        <f t="array" ref="F136">_xll.BDP(bonds[[#This Row],[worksheet get]],bonds[[#Headers],[ID_ISIN]])</f>
        <v>XS2195190876</v>
      </c>
      <c r="G136" s="5" t="str" cm="1">
        <f t="array" ref="G136">_xll.BDP(bonds[[#This Row],[worksheet get]],bonds[[#Headers],[security name]])</f>
        <v>SSELN 3.74 PERP</v>
      </c>
      <c r="H136" s="5" t="str" cm="1">
        <f t="array" ref="H136">_xll.BDP(bonds[[#This Row],[worksheet get]],bonds[[#Headers],[ticker]])</f>
        <v>SSELN</v>
      </c>
      <c r="I136" s="5" cm="1">
        <f t="array" ref="I136">_xll.BDP(bonds[[#This Row],[worksheet get]],bonds[[#Headers],[coupon]])</f>
        <v>3.74</v>
      </c>
      <c r="J136" s="25" cm="1">
        <f t="array" ref="J136">_xll.BDP(bonds[[#This Row],[worksheet get]],bonds[[#Headers],[nxt_call_dt]])*1</f>
        <v>46036</v>
      </c>
      <c r="K136" s="9" t="str" cm="1">
        <f t="array" ref="K136">_xll.BDP(bonds[[#This Row],[worksheet get]],bonds[[#Headers],[mty_typ]])</f>
        <v>PERP/CALL</v>
      </c>
      <c r="L136" s="9" t="str" cm="1">
        <f t="array" ref="L136">_xll.BDP(bonds[[#This Row],[worksheet get]],bonds[[#Headers],[crncy]])</f>
        <v>GBP</v>
      </c>
      <c r="M136" s="10" cm="1">
        <f t="array" ref="M136">_xll.BDP(bonds[[#This Row],[worksheet get]],bonds[[#Headers],[amt_outstanding]])</f>
        <v>600000000</v>
      </c>
      <c r="N136" s="9" t="str" cm="1">
        <f t="array" ref="N136">_xll.BDP(bonds[[#This Row],[worksheet get]],bonds[[#Headers],[industry_sector]])</f>
        <v>Utilities</v>
      </c>
      <c r="O136" s="9" t="str">
        <f>bonds[[#This Row],[security name]]&amp;" nc-"&amp;RIGHT(YEAR(bonds[[#This Row],[nxt_call_dt]]),2)</f>
        <v>SSELN 3.74 PERP nc-26</v>
      </c>
    </row>
    <row r="137" spans="5:15">
      <c r="E137" s="5" t="s">
        <v>369</v>
      </c>
      <c r="F137" s="5" t="str" cm="1">
        <f t="array" ref="F137">_xll.BDP(bonds[[#This Row],[worksheet get]],bonds[[#Headers],[ID_ISIN]])</f>
        <v>XS1196713298</v>
      </c>
      <c r="G137" s="5" t="str" cm="1">
        <f t="array" ref="G137">_xll.BDP(bonds[[#This Row],[worksheet get]],bonds[[#Headers],[security name]])</f>
        <v>SSELN 2 3/8 PERP</v>
      </c>
      <c r="H137" s="5" t="str" cm="1">
        <f t="array" ref="H137">_xll.BDP(bonds[[#This Row],[worksheet get]],bonds[[#Headers],[ticker]])</f>
        <v>SSELN</v>
      </c>
      <c r="I137" s="5" cm="1">
        <f t="array" ref="I137">_xll.BDP(bonds[[#This Row],[worksheet get]],bonds[[#Headers],[coupon]])</f>
        <v>2.375</v>
      </c>
      <c r="J137" s="25" cm="1">
        <f t="array" ref="J137">_xll.BDP(bonds[[#This Row],[worksheet get]],bonds[[#Headers],[nxt_call_dt]])*1</f>
        <v>44287</v>
      </c>
      <c r="K137" s="9" t="str" cm="1">
        <f t="array" ref="K137">_xll.BDP(bonds[[#This Row],[worksheet get]],bonds[[#Headers],[mty_typ]])</f>
        <v>PERP/CALL</v>
      </c>
      <c r="L137" s="9" t="str" cm="1">
        <f t="array" ref="L137">_xll.BDP(bonds[[#This Row],[worksheet get]],bonds[[#Headers],[crncy]])</f>
        <v>EUR</v>
      </c>
      <c r="M137" s="10" cm="1">
        <f t="array" ref="M137">_xll.BDP(bonds[[#This Row],[worksheet get]],bonds[[#Headers],[amt_outstanding]])</f>
        <v>600000000</v>
      </c>
      <c r="N137" s="9" t="str" cm="1">
        <f t="array" ref="N137">_xll.BDP(bonds[[#This Row],[worksheet get]],bonds[[#Headers],[industry_sector]])</f>
        <v>Utilities</v>
      </c>
      <c r="O137" s="9" t="str">
        <f>bonds[[#This Row],[security name]]&amp;" nc-"&amp;RIGHT(YEAR(bonds[[#This Row],[nxt_call_dt]]),2)</f>
        <v>SSELN 2 3/8 PERP nc-21</v>
      </c>
    </row>
    <row r="138" spans="5:15">
      <c r="E138" s="5" t="s">
        <v>370</v>
      </c>
      <c r="F138" s="5" t="str" cm="1">
        <f t="array" ref="F138">_xll.BDP(bonds[[#This Row],[worksheet get]],bonds[[#Headers],[ID_ISIN]])</f>
        <v>XS2195190520</v>
      </c>
      <c r="G138" s="5" t="str" cm="1">
        <f t="array" ref="G138">_xll.BDP(bonds[[#This Row],[worksheet get]],bonds[[#Headers],[security name]])</f>
        <v>SSELN 3 1/8 PERP</v>
      </c>
      <c r="H138" s="5" t="str" cm="1">
        <f t="array" ref="H138">_xll.BDP(bonds[[#This Row],[worksheet get]],bonds[[#Headers],[ticker]])</f>
        <v>SSELN</v>
      </c>
      <c r="I138" s="5" cm="1">
        <f t="array" ref="I138">_xll.BDP(bonds[[#This Row],[worksheet get]],bonds[[#Headers],[coupon]])</f>
        <v>3.125</v>
      </c>
      <c r="J138" s="25" cm="1">
        <f t="array" ref="J138">_xll.BDP(bonds[[#This Row],[worksheet get]],bonds[[#Headers],[nxt_call_dt]])*1</f>
        <v>46491</v>
      </c>
      <c r="K138" s="9" t="str" cm="1">
        <f t="array" ref="K138">_xll.BDP(bonds[[#This Row],[worksheet get]],bonds[[#Headers],[mty_typ]])</f>
        <v>PERP/CALL</v>
      </c>
      <c r="L138" s="9" t="str" cm="1">
        <f t="array" ref="L138">_xll.BDP(bonds[[#This Row],[worksheet get]],bonds[[#Headers],[crncy]])</f>
        <v>EUR</v>
      </c>
      <c r="M138" s="10" cm="1">
        <f t="array" ref="M138">_xll.BDP(bonds[[#This Row],[worksheet get]],bonds[[#Headers],[amt_outstanding]])</f>
        <v>500000000</v>
      </c>
      <c r="N138" s="9" t="str" cm="1">
        <f t="array" ref="N138">_xll.BDP(bonds[[#This Row],[worksheet get]],bonds[[#Headers],[industry_sector]])</f>
        <v>Utilities</v>
      </c>
      <c r="O138" s="9" t="str">
        <f>bonds[[#This Row],[security name]]&amp;" nc-"&amp;RIGHT(YEAR(bonds[[#This Row],[nxt_call_dt]]),2)</f>
        <v>SSELN 3 1/8 PERP nc-27</v>
      </c>
    </row>
    <row r="139" spans="5:15">
      <c r="E139" s="5" t="s">
        <v>371</v>
      </c>
      <c r="F139" s="5" t="str" cm="1">
        <f t="array" ref="F139">_xll.BDP(bonds[[#This Row],[worksheet get]],bonds[[#Headers],[ID_ISIN]])</f>
        <v>XS1572343744</v>
      </c>
      <c r="G139" s="5" t="str" cm="1">
        <f t="array" ref="G139">_xll.BDP(bonds[[#This Row],[worksheet get]],bonds[[#Headers],[security name]])</f>
        <v>SSELN 4 3/4 09/16/77</v>
      </c>
      <c r="H139" s="5" t="str" cm="1">
        <f t="array" ref="H139">_xll.BDP(bonds[[#This Row],[worksheet get]],bonds[[#Headers],[ticker]])</f>
        <v>SSELN</v>
      </c>
      <c r="I139" s="5" cm="1">
        <f t="array" ref="I139">_xll.BDP(bonds[[#This Row],[worksheet get]],bonds[[#Headers],[coupon]])</f>
        <v>4.75</v>
      </c>
      <c r="J139" s="25" cm="1">
        <f t="array" ref="J139">_xll.BDP(bonds[[#This Row],[worksheet get]],bonds[[#Headers],[nxt_call_dt]])*1</f>
        <v>44728</v>
      </c>
      <c r="K139" s="9" t="str" cm="1">
        <f t="array" ref="K139">_xll.BDP(bonds[[#This Row],[worksheet get]],bonds[[#Headers],[mty_typ]])</f>
        <v>CALLABLE</v>
      </c>
      <c r="L139" s="9" t="str" cm="1">
        <f t="array" ref="L139">_xll.BDP(bonds[[#This Row],[worksheet get]],bonds[[#Headers],[crncy]])</f>
        <v>USD</v>
      </c>
      <c r="M139" s="10" cm="1">
        <f t="array" ref="M139">_xll.BDP(bonds[[#This Row],[worksheet get]],bonds[[#Headers],[amt_outstanding]])</f>
        <v>900000000</v>
      </c>
      <c r="N139" s="9" t="str" cm="1">
        <f t="array" ref="N139">_xll.BDP(bonds[[#This Row],[worksheet get]],bonds[[#Headers],[industry_sector]])</f>
        <v>Utilities</v>
      </c>
      <c r="O139" s="9" t="str">
        <f>bonds[[#This Row],[security name]]&amp;" nc-"&amp;RIGHT(YEAR(bonds[[#This Row],[nxt_call_dt]]),2)</f>
        <v>SSELN 4 3/4 09/16/77 nc-22</v>
      </c>
    </row>
    <row r="140" spans="5:15">
      <c r="E140" s="5" t="s">
        <v>372</v>
      </c>
      <c r="F140" s="5" t="str" cm="1">
        <f t="array" ref="F140">_xll.BDP(bonds[[#This Row],[worksheet get]],bonds[[#Headers],[ID_ISIN]])</f>
        <v>XS1757377400</v>
      </c>
      <c r="G140" s="5" t="str" cm="1">
        <f t="array" ref="G140">_xll.BDP(bonds[[#This Row],[worksheet get]],bonds[[#Headers],[security name]])</f>
        <v>ALLRNV 1 5/8 PERP</v>
      </c>
      <c r="H140" s="5" t="str" cm="1">
        <f t="array" ref="H140">_xll.BDP(bonds[[#This Row],[worksheet get]],bonds[[#Headers],[ticker]])</f>
        <v>ALLRNV</v>
      </c>
      <c r="I140" s="5" cm="1">
        <f t="array" ref="I140">_xll.BDP(bonds[[#This Row],[worksheet get]],bonds[[#Headers],[coupon]])</f>
        <v>1.625</v>
      </c>
      <c r="J140" s="25" cm="1">
        <f t="array" ref="J140">_xll.BDP(bonds[[#This Row],[worksheet get]],bonds[[#Headers],[nxt_call_dt]])*1</f>
        <v>45746</v>
      </c>
      <c r="K140" s="9" t="str" cm="1">
        <f t="array" ref="K140">_xll.BDP(bonds[[#This Row],[worksheet get]],bonds[[#Headers],[mty_typ]])</f>
        <v>PERP/CALL</v>
      </c>
      <c r="L140" s="9" t="str" cm="1">
        <f t="array" ref="L140">_xll.BDP(bonds[[#This Row],[worksheet get]],bonds[[#Headers],[crncy]])</f>
        <v>EUR</v>
      </c>
      <c r="M140" s="10" cm="1">
        <f t="array" ref="M140">_xll.BDP(bonds[[#This Row],[worksheet get]],bonds[[#Headers],[amt_outstanding]])</f>
        <v>500000000</v>
      </c>
      <c r="N140" s="9" t="str" cm="1">
        <f t="array" ref="N140">_xll.BDP(bonds[[#This Row],[worksheet get]],bonds[[#Headers],[industry_sector]])</f>
        <v>Utilities</v>
      </c>
      <c r="O140" s="9" t="str">
        <f>bonds[[#This Row],[security name]]&amp;" nc-"&amp;RIGHT(YEAR(bonds[[#This Row],[nxt_call_dt]]),2)</f>
        <v>ALLRNV 1 5/8 PERP nc-25</v>
      </c>
    </row>
    <row r="141" spans="5:15">
      <c r="E141" s="5" t="s">
        <v>373</v>
      </c>
      <c r="F141" s="5" t="str" cm="1">
        <f t="array" ref="F141">_xll.BDP(bonds[[#This Row],[worksheet get]],bonds[[#Headers],[ID_ISIN]])</f>
        <v>XS1227607402</v>
      </c>
      <c r="G141" s="5" t="str" cm="1">
        <f t="array" ref="G141">_xll.BDP(bonds[[#This Row],[worksheet get]],bonds[[#Headers],[security name]])</f>
        <v>ORSTED 3 11/06/15</v>
      </c>
      <c r="H141" s="5" t="str" cm="1">
        <f t="array" ref="H141">_xll.BDP(bonds[[#This Row],[worksheet get]],bonds[[#Headers],[ticker]])</f>
        <v>ORSTED</v>
      </c>
      <c r="I141" s="5" cm="1">
        <f t="array" ref="I141">_xll.BDP(bonds[[#This Row],[worksheet get]],bonds[[#Headers],[coupon]])</f>
        <v>3</v>
      </c>
      <c r="J141" s="25" t="e" cm="1">
        <f t="array" ref="J141">_xll.BDP(bonds[[#This Row],[worksheet get]],bonds[[#Headers],[nxt_call_dt]])*1</f>
        <v>#VALUE!</v>
      </c>
      <c r="K141" s="9" t="str" cm="1">
        <f t="array" ref="K141">_xll.BDP(bonds[[#This Row],[worksheet get]],bonds[[#Headers],[mty_typ]])</f>
        <v>CALLABLE</v>
      </c>
      <c r="L141" s="9" t="str" cm="1">
        <f t="array" ref="L141">_xll.BDP(bonds[[#This Row],[worksheet get]],bonds[[#Headers],[crncy]])</f>
        <v>EUR</v>
      </c>
      <c r="M141" s="10" cm="1">
        <f t="array" ref="M141">_xll.BDP(bonds[[#This Row],[worksheet get]],bonds[[#Headers],[amt_outstanding]])</f>
        <v>0</v>
      </c>
      <c r="N141" s="9" t="str" cm="1">
        <f t="array" ref="N141">_xll.BDP(bonds[[#This Row],[worksheet get]],bonds[[#Headers],[industry_sector]])</f>
        <v>Utilities</v>
      </c>
      <c r="O141" s="9" t="e">
        <f>bonds[[#This Row],[security name]]&amp;" nc-"&amp;RIGHT(YEAR(bonds[[#This Row],[nxt_call_dt]]),2)</f>
        <v>#VALUE!</v>
      </c>
    </row>
    <row r="142" spans="5:15">
      <c r="E142" s="5" t="s">
        <v>125</v>
      </c>
      <c r="F142" s="5" t="str" cm="1">
        <f t="array" ref="F142">_xll.BDP(bonds[[#This Row],[worksheet get]],bonds[[#Headers],[ID_ISIN]])</f>
        <v>XS0943370543</v>
      </c>
      <c r="G142" s="5" t="str" cm="1">
        <f t="array" ref="G142">_xll.BDP(bonds[[#This Row],[worksheet get]],bonds[[#Headers],[security name]])</f>
        <v>ORSTED 6 1/4 06/26/13</v>
      </c>
      <c r="H142" s="5" t="str" cm="1">
        <f t="array" ref="H142">_xll.BDP(bonds[[#This Row],[worksheet get]],bonds[[#Headers],[ticker]])</f>
        <v>ORSTED</v>
      </c>
      <c r="I142" s="5" cm="1">
        <f t="array" ref="I142">_xll.BDP(bonds[[#This Row],[worksheet get]],bonds[[#Headers],[coupon]])</f>
        <v>6.25</v>
      </c>
      <c r="J142" s="25" cm="1">
        <f t="array" ref="J142">_xll.BDP(bonds[[#This Row],[worksheet get]],bonds[[#Headers],[nxt_call_dt]])*1</f>
        <v>45103</v>
      </c>
      <c r="K142" s="9" t="str" cm="1">
        <f t="array" ref="K142">_xll.BDP(bonds[[#This Row],[worksheet get]],bonds[[#Headers],[mty_typ]])</f>
        <v>CALLABLE</v>
      </c>
      <c r="L142" s="9" t="str" cm="1">
        <f t="array" ref="L142">_xll.BDP(bonds[[#This Row],[worksheet get]],bonds[[#Headers],[crncy]])</f>
        <v>EUR</v>
      </c>
      <c r="M142" s="10" cm="1">
        <f t="array" ref="M142">_xll.BDP(bonds[[#This Row],[worksheet get]],bonds[[#Headers],[amt_outstanding]])</f>
        <v>700000000</v>
      </c>
      <c r="N142" s="9" t="str" cm="1">
        <f t="array" ref="N142">_xll.BDP(bonds[[#This Row],[worksheet get]],bonds[[#Headers],[industry_sector]])</f>
        <v>Utilities</v>
      </c>
      <c r="O142" s="9" t="str">
        <f>bonds[[#This Row],[security name]]&amp;" nc-"&amp;RIGHT(YEAR(bonds[[#This Row],[nxt_call_dt]]),2)</f>
        <v>ORSTED 6 1/4 06/26/13 nc-23</v>
      </c>
    </row>
    <row r="143" spans="5:15">
      <c r="E143" s="5" t="s">
        <v>374</v>
      </c>
      <c r="F143" s="5" t="str" cm="1">
        <f t="array" ref="F143">_xll.BDP(bonds[[#This Row],[worksheet get]],bonds[[#Headers],[ID_ISIN]])</f>
        <v>XS1720192696</v>
      </c>
      <c r="G143" s="5" t="str" cm="1">
        <f t="array" ref="G143">_xll.BDP(bonds[[#This Row],[worksheet get]],bonds[[#Headers],[security name]])</f>
        <v>ORSTED 2 1/4 11/24/17</v>
      </c>
      <c r="H143" s="5" t="str" cm="1">
        <f t="array" ref="H143">_xll.BDP(bonds[[#This Row],[worksheet get]],bonds[[#Headers],[ticker]])</f>
        <v>ORSTED</v>
      </c>
      <c r="I143" s="5" cm="1">
        <f t="array" ref="I143">_xll.BDP(bonds[[#This Row],[worksheet get]],bonds[[#Headers],[coupon]])</f>
        <v>2.25</v>
      </c>
      <c r="J143" s="25" cm="1">
        <f t="array" ref="J143">_xll.BDP(bonds[[#This Row],[worksheet get]],bonds[[#Headers],[nxt_call_dt]])*1</f>
        <v>45528</v>
      </c>
      <c r="K143" s="9" t="str" cm="1">
        <f t="array" ref="K143">_xll.BDP(bonds[[#This Row],[worksheet get]],bonds[[#Headers],[mty_typ]])</f>
        <v>CALLABLE</v>
      </c>
      <c r="L143" s="9" t="str" cm="1">
        <f t="array" ref="L143">_xll.BDP(bonds[[#This Row],[worksheet get]],bonds[[#Headers],[crncy]])</f>
        <v>EUR</v>
      </c>
      <c r="M143" s="10" cm="1">
        <f t="array" ref="M143">_xll.BDP(bonds[[#This Row],[worksheet get]],bonds[[#Headers],[amt_outstanding]])</f>
        <v>500000000</v>
      </c>
      <c r="N143" s="9" t="str" cm="1">
        <f t="array" ref="N143">_xll.BDP(bonds[[#This Row],[worksheet get]],bonds[[#Headers],[industry_sector]])</f>
        <v>Utilities</v>
      </c>
      <c r="O143" s="9" t="str">
        <f>bonds[[#This Row],[security name]]&amp;" nc-"&amp;RIGHT(YEAR(bonds[[#This Row],[nxt_call_dt]]),2)</f>
        <v>ORSTED 2 1/4 11/24/17 nc-24</v>
      </c>
    </row>
    <row r="144" spans="5:15">
      <c r="E144" s="5" t="s">
        <v>126</v>
      </c>
      <c r="F144" s="5" t="str" cm="1">
        <f t="array" ref="F144">_xll.BDP(bonds[[#This Row],[worksheet get]],bonds[[#Headers],[ID_ISIN]])</f>
        <v>XS2010036874</v>
      </c>
      <c r="G144" s="5" t="str" cm="1">
        <f t="array" ref="G144">_xll.BDP(bonds[[#This Row],[worksheet get]],bonds[[#Headers],[security name]])</f>
        <v>ORSTED 1 3/4 12/09/19</v>
      </c>
      <c r="H144" s="5" t="str" cm="1">
        <f t="array" ref="H144">_xll.BDP(bonds[[#This Row],[worksheet get]],bonds[[#Headers],[ticker]])</f>
        <v>ORSTED</v>
      </c>
      <c r="I144" s="5" cm="1">
        <f t="array" ref="I144">_xll.BDP(bonds[[#This Row],[worksheet get]],bonds[[#Headers],[coupon]])</f>
        <v>1.75</v>
      </c>
      <c r="J144" s="25" cm="1">
        <f t="array" ref="J144">_xll.BDP(bonds[[#This Row],[worksheet get]],bonds[[#Headers],[nxt_call_dt]])*1</f>
        <v>46639</v>
      </c>
      <c r="K144" s="9" t="str" cm="1">
        <f t="array" ref="K144">_xll.BDP(bonds[[#This Row],[worksheet get]],bonds[[#Headers],[mty_typ]])</f>
        <v>CALLABLE</v>
      </c>
      <c r="L144" s="9" t="str" cm="1">
        <f t="array" ref="L144">_xll.BDP(bonds[[#This Row],[worksheet get]],bonds[[#Headers],[crncy]])</f>
        <v>EUR</v>
      </c>
      <c r="M144" s="10" cm="1">
        <f t="array" ref="M144">_xll.BDP(bonds[[#This Row],[worksheet get]],bonds[[#Headers],[amt_outstanding]])</f>
        <v>600000000</v>
      </c>
      <c r="N144" s="9" t="str" cm="1">
        <f t="array" ref="N144">_xll.BDP(bonds[[#This Row],[worksheet get]],bonds[[#Headers],[industry_sector]])</f>
        <v>Utilities</v>
      </c>
      <c r="O144" s="9" t="str">
        <f>bonds[[#This Row],[security name]]&amp;" nc-"&amp;RIGHT(YEAR(bonds[[#This Row],[nxt_call_dt]]),2)</f>
        <v>ORSTED 1 3/4 12/09/19 nc-27</v>
      </c>
    </row>
    <row r="145" spans="5:15">
      <c r="E145" s="5" t="s">
        <v>375</v>
      </c>
      <c r="F145" s="5" t="str" cm="1">
        <f t="array" ref="F145">_xll.BDP(bonds[[#This Row],[worksheet get]],bonds[[#Headers],[ID_ISIN]])</f>
        <v>XS1141810991</v>
      </c>
      <c r="G145" s="5" t="str" cm="1">
        <f t="array" ref="G145">_xll.BDP(bonds[[#This Row],[worksheet get]],bonds[[#Headers],[security name]])</f>
        <v>STEDIN 3 1/4 PERP</v>
      </c>
      <c r="H145" s="5" t="str" cm="1">
        <f t="array" ref="H145">_xll.BDP(bonds[[#This Row],[worksheet get]],bonds[[#Headers],[ticker]])</f>
        <v>STEDIN</v>
      </c>
      <c r="I145" s="5" cm="1">
        <f t="array" ref="I145">_xll.BDP(bonds[[#This Row],[worksheet get]],bonds[[#Headers],[coupon]])</f>
        <v>3.25</v>
      </c>
      <c r="J145" s="25" cm="1">
        <f t="array" ref="J145">_xll.BDP(bonds[[#This Row],[worksheet get]],bonds[[#Headers],[nxt_call_dt]])*1</f>
        <v>44531</v>
      </c>
      <c r="K145" s="9" t="str" cm="1">
        <f t="array" ref="K145">_xll.BDP(bonds[[#This Row],[worksheet get]],bonds[[#Headers],[mty_typ]])</f>
        <v>PERP/CALL</v>
      </c>
      <c r="L145" s="9" t="str" cm="1">
        <f t="array" ref="L145">_xll.BDP(bonds[[#This Row],[worksheet get]],bonds[[#Headers],[crncy]])</f>
        <v>EUR</v>
      </c>
      <c r="M145" s="10" cm="1">
        <f t="array" ref="M145">_xll.BDP(bonds[[#This Row],[worksheet get]],bonds[[#Headers],[amt_outstanding]])</f>
        <v>500000000</v>
      </c>
      <c r="N145" s="9" t="str" cm="1">
        <f t="array" ref="N145">_xll.BDP(bonds[[#This Row],[worksheet get]],bonds[[#Headers],[industry_sector]])</f>
        <v>Utilities</v>
      </c>
      <c r="O145" s="9" t="str">
        <f>bonds[[#This Row],[security name]]&amp;" nc-"&amp;RIGHT(YEAR(bonds[[#This Row],[nxt_call_dt]]),2)</f>
        <v>STEDIN 3 1/4 PERP nc-21</v>
      </c>
    </row>
    <row r="146" spans="5:15">
      <c r="E146" s="5" t="s">
        <v>376</v>
      </c>
      <c r="F146" s="5" t="str" cm="1">
        <f t="array" ref="F146">_xll.BDP(bonds[[#This Row],[worksheet get]],bonds[[#Headers],[ID_ISIN]])</f>
        <v>PTEDPUOM0024</v>
      </c>
      <c r="G146" s="5" t="str" cm="1">
        <f t="array" ref="G146">_xll.BDP(bonds[[#This Row],[worksheet get]],bonds[[#Headers],[security name]])</f>
        <v>EDPPL 5 3/8 09/16/75</v>
      </c>
      <c r="H146" s="5" t="str" cm="1">
        <f t="array" ref="H146">_xll.BDP(bonds[[#This Row],[worksheet get]],bonds[[#Headers],[ticker]])</f>
        <v>EDPPL</v>
      </c>
      <c r="I146" s="5" cm="1">
        <f t="array" ref="I146">_xll.BDP(bonds[[#This Row],[worksheet get]],bonds[[#Headers],[coupon]])</f>
        <v>5.375</v>
      </c>
      <c r="J146" s="25" t="e" cm="1">
        <f t="array" ref="J146">_xll.BDP(bonds[[#This Row],[worksheet get]],bonds[[#Headers],[nxt_call_dt]])*1</f>
        <v>#VALUE!</v>
      </c>
      <c r="K146" s="9" t="str" cm="1">
        <f t="array" ref="K146">_xll.BDP(bonds[[#This Row],[worksheet get]],bonds[[#Headers],[mty_typ]])</f>
        <v>CALLABLE</v>
      </c>
      <c r="L146" s="9" t="str" cm="1">
        <f t="array" ref="L146">_xll.BDP(bonds[[#This Row],[worksheet get]],bonds[[#Headers],[crncy]])</f>
        <v>EUR</v>
      </c>
      <c r="M146" s="10" cm="1">
        <f t="array" ref="M146">_xll.BDP(bonds[[#This Row],[worksheet get]],bonds[[#Headers],[amt_outstanding]])</f>
        <v>0</v>
      </c>
      <c r="N146" s="9" t="str" cm="1">
        <f t="array" ref="N146">_xll.BDP(bonds[[#This Row],[worksheet get]],bonds[[#Headers],[industry_sector]])</f>
        <v>Utilities</v>
      </c>
      <c r="O146" s="9" t="e">
        <f>bonds[[#This Row],[security name]]&amp;" nc-"&amp;RIGHT(YEAR(bonds[[#This Row],[nxt_call_dt]]),2)</f>
        <v>#VALUE!</v>
      </c>
    </row>
    <row r="147" spans="5:15">
      <c r="E147" s="5" t="s">
        <v>86</v>
      </c>
      <c r="F147" s="5" t="str" cm="1">
        <f t="array" ref="F147">_xll.BDP(bonds[[#This Row],[worksheet get]],bonds[[#Headers],[ID_ISIN]])</f>
        <v>PTEDPKOM0034</v>
      </c>
      <c r="G147" s="5" t="str" cm="1">
        <f t="array" ref="G147">_xll.BDP(bonds[[#This Row],[worksheet get]],bonds[[#Headers],[security name]])</f>
        <v>EDPPL 4.496 04/30/79</v>
      </c>
      <c r="H147" s="5" t="str" cm="1">
        <f t="array" ref="H147">_xll.BDP(bonds[[#This Row],[worksheet get]],bonds[[#Headers],[ticker]])</f>
        <v>EDPPL</v>
      </c>
      <c r="I147" s="5" cm="1">
        <f t="array" ref="I147">_xll.BDP(bonds[[#This Row],[worksheet get]],bonds[[#Headers],[coupon]])</f>
        <v>4.4960000000000004</v>
      </c>
      <c r="J147" s="25" cm="1">
        <f t="array" ref="J147">_xll.BDP(bonds[[#This Row],[worksheet get]],bonds[[#Headers],[nxt_call_dt]])*1</f>
        <v>45321</v>
      </c>
      <c r="K147" s="9" t="str" cm="1">
        <f t="array" ref="K147">_xll.BDP(bonds[[#This Row],[worksheet get]],bonds[[#Headers],[mty_typ]])</f>
        <v>CALLABLE</v>
      </c>
      <c r="L147" s="9" t="str" cm="1">
        <f t="array" ref="L147">_xll.BDP(bonds[[#This Row],[worksheet get]],bonds[[#Headers],[crncy]])</f>
        <v>EUR</v>
      </c>
      <c r="M147" s="10" cm="1">
        <f t="array" ref="M147">_xll.BDP(bonds[[#This Row],[worksheet get]],bonds[[#Headers],[amt_outstanding]])</f>
        <v>1000000000</v>
      </c>
      <c r="N147" s="9" t="str" cm="1">
        <f t="array" ref="N147">_xll.BDP(bonds[[#This Row],[worksheet get]],bonds[[#Headers],[industry_sector]])</f>
        <v>Utilities</v>
      </c>
      <c r="O147" s="9" t="str">
        <f>bonds[[#This Row],[security name]]&amp;" nc-"&amp;RIGHT(YEAR(bonds[[#This Row],[nxt_call_dt]]),2)</f>
        <v>EDPPL 4.496 04/30/79 nc-24</v>
      </c>
    </row>
    <row r="148" spans="5:15">
      <c r="E148" s="5" t="s">
        <v>87</v>
      </c>
      <c r="F148" s="5" t="str" cm="1">
        <f t="array" ref="F148">_xll.BDP(bonds[[#This Row],[worksheet get]],bonds[[#Headers],[ID_ISIN]])</f>
        <v>PTEDPLOM0017</v>
      </c>
      <c r="G148" s="5" t="str" cm="1">
        <f t="array" ref="G148">_xll.BDP(bonds[[#This Row],[worksheet get]],bonds[[#Headers],[security name]])</f>
        <v>EDPPL 1.7 07/20/80</v>
      </c>
      <c r="H148" s="5" t="str" cm="1">
        <f t="array" ref="H148">_xll.BDP(bonds[[#This Row],[worksheet get]],bonds[[#Headers],[ticker]])</f>
        <v>EDPPL</v>
      </c>
      <c r="I148" s="5" cm="1">
        <f t="array" ref="I148">_xll.BDP(bonds[[#This Row],[worksheet get]],bonds[[#Headers],[coupon]])</f>
        <v>1.7</v>
      </c>
      <c r="J148" s="25" cm="1">
        <f t="array" ref="J148">_xll.BDP(bonds[[#This Row],[worksheet get]],bonds[[#Headers],[nxt_call_dt]])*1</f>
        <v>45767</v>
      </c>
      <c r="K148" s="9" t="str" cm="1">
        <f t="array" ref="K148">_xll.BDP(bonds[[#This Row],[worksheet get]],bonds[[#Headers],[mty_typ]])</f>
        <v>CALLABLE</v>
      </c>
      <c r="L148" s="9" t="str" cm="1">
        <f t="array" ref="L148">_xll.BDP(bonds[[#This Row],[worksheet get]],bonds[[#Headers],[crncy]])</f>
        <v>EUR</v>
      </c>
      <c r="M148" s="10" cm="1">
        <f t="array" ref="M148">_xll.BDP(bonds[[#This Row],[worksheet get]],bonds[[#Headers],[amt_outstanding]])</f>
        <v>750000000</v>
      </c>
      <c r="N148" s="9" t="str" cm="1">
        <f t="array" ref="N148">_xll.BDP(bonds[[#This Row],[worksheet get]],bonds[[#Headers],[industry_sector]])</f>
        <v>Utilities</v>
      </c>
      <c r="O148" s="9" t="str">
        <f>bonds[[#This Row],[security name]]&amp;" nc-"&amp;RIGHT(YEAR(bonds[[#This Row],[nxt_call_dt]]),2)</f>
        <v>EDPPL 1.7 07/20/80 nc-25</v>
      </c>
    </row>
    <row r="149" spans="5:15">
      <c r="E149" s="5" t="s">
        <v>377</v>
      </c>
      <c r="F149" s="5" t="str" cm="1">
        <f t="array" ref="F149">_xll.BDP(bonds[[#This Row],[worksheet get]],bonds[[#Headers],[ID_ISIN]])</f>
        <v>BE0002597756</v>
      </c>
      <c r="G149" s="5" t="str" cm="1">
        <f t="array" ref="G149">_xll.BDP(bonds[[#This Row],[worksheet get]],bonds[[#Headers],[security name]])</f>
        <v>ELIASO 2 3/4 PERP</v>
      </c>
      <c r="H149" s="5" t="str" cm="1">
        <f t="array" ref="H149">_xll.BDP(bonds[[#This Row],[worksheet get]],bonds[[#Headers],[ticker]])</f>
        <v>ELIASO</v>
      </c>
      <c r="I149" s="5" cm="1">
        <f t="array" ref="I149">_xll.BDP(bonds[[#This Row],[worksheet get]],bonds[[#Headers],[coupon]])</f>
        <v>2.75</v>
      </c>
      <c r="J149" s="25" cm="1">
        <f t="array" ref="J149">_xll.BDP(bonds[[#This Row],[worksheet get]],bonds[[#Headers],[nxt_call_dt]])*1</f>
        <v>45174</v>
      </c>
      <c r="K149" s="9" t="str" cm="1">
        <f t="array" ref="K149">_xll.BDP(bonds[[#This Row],[worksheet get]],bonds[[#Headers],[mty_typ]])</f>
        <v>PERP/CALL</v>
      </c>
      <c r="L149" s="9" t="str" cm="1">
        <f t="array" ref="L149">_xll.BDP(bonds[[#This Row],[worksheet get]],bonds[[#Headers],[crncy]])</f>
        <v>EUR</v>
      </c>
      <c r="M149" s="10" cm="1">
        <f t="array" ref="M149">_xll.BDP(bonds[[#This Row],[worksheet get]],bonds[[#Headers],[amt_outstanding]])</f>
        <v>700000000</v>
      </c>
      <c r="N149" s="9" t="str" cm="1">
        <f t="array" ref="N149">_xll.BDP(bonds[[#This Row],[worksheet get]],bonds[[#Headers],[industry_sector]])</f>
        <v>Utilities</v>
      </c>
      <c r="O149" s="9" t="str">
        <f>bonds[[#This Row],[security name]]&amp;" nc-"&amp;RIGHT(YEAR(bonds[[#This Row],[nxt_call_dt]]),2)</f>
        <v>ELIASO 2 3/4 PERP nc-23</v>
      </c>
    </row>
    <row r="150" spans="5:15">
      <c r="E150" s="5" t="s">
        <v>378</v>
      </c>
      <c r="F150" s="5" t="str" cm="1">
        <f t="array" ref="F150">_xll.BDP(bonds[[#This Row],[worksheet get]],bonds[[#Headers],[ID_ISIN]])</f>
        <v>XS1150695192</v>
      </c>
      <c r="G150" s="5" t="str" cm="1">
        <f t="array" ref="G150">_xll.BDP(bonds[[#This Row],[worksheet get]],bonds[[#Headers],[security name]])</f>
        <v>VLVY 4.85 03/10/78</v>
      </c>
      <c r="H150" s="5" t="str" cm="1">
        <f t="array" ref="H150">_xll.BDP(bonds[[#This Row],[worksheet get]],bonds[[#Headers],[ticker]])</f>
        <v>VLVY</v>
      </c>
      <c r="I150" s="5" cm="1">
        <f t="array" ref="I150">_xll.BDP(bonds[[#This Row],[worksheet get]],bonds[[#Headers],[coupon]])</f>
        <v>4.8499999999999996</v>
      </c>
      <c r="J150" s="25" cm="1">
        <f t="array" ref="J150">_xll.BDP(bonds[[#This Row],[worksheet get]],bonds[[#Headers],[nxt_call_dt]])*1</f>
        <v>44995</v>
      </c>
      <c r="K150" s="9" t="str" cm="1">
        <f t="array" ref="K150">_xll.BDP(bonds[[#This Row],[worksheet get]],bonds[[#Headers],[mty_typ]])</f>
        <v>CALLABLE</v>
      </c>
      <c r="L150" s="9" t="str" cm="1">
        <f t="array" ref="L150">_xll.BDP(bonds[[#This Row],[worksheet get]],bonds[[#Headers],[crncy]])</f>
        <v>EUR</v>
      </c>
      <c r="M150" s="10" cm="1">
        <f t="array" ref="M150">_xll.BDP(bonds[[#This Row],[worksheet get]],bonds[[#Headers],[amt_outstanding]])</f>
        <v>600000000</v>
      </c>
      <c r="N150" s="9" t="str" cm="1">
        <f t="array" ref="N150">_xll.BDP(bonds[[#This Row],[worksheet get]],bonds[[#Headers],[industry_sector]])</f>
        <v>Consumer, Cyclical</v>
      </c>
      <c r="O150" s="9" t="str">
        <f>bonds[[#This Row],[security name]]&amp;" nc-"&amp;RIGHT(YEAR(bonds[[#This Row],[nxt_call_dt]]),2)</f>
        <v>VLVY 4.85 03/10/78 nc-23</v>
      </c>
    </row>
    <row r="151" spans="5:15">
      <c r="E151" s="5" t="s">
        <v>379</v>
      </c>
      <c r="F151" s="5" t="str" cm="1">
        <f t="array" ref="F151">_xll.BDP(bonds[[#This Row],[worksheet get]],bonds[[#Headers],[ID_ISIN]])</f>
        <v>XS1048428012</v>
      </c>
      <c r="G151" s="5" t="str" cm="1">
        <f t="array" ref="G151">_xll.BDP(bonds[[#This Row],[worksheet get]],bonds[[#Headers],[security name]])</f>
        <v>VW 3 3/4 PERP</v>
      </c>
      <c r="H151" s="5" t="str" cm="1">
        <f t="array" ref="H151">_xll.BDP(bonds[[#This Row],[worksheet get]],bonds[[#Headers],[ticker]])</f>
        <v>VW</v>
      </c>
      <c r="I151" s="5" cm="1">
        <f t="array" ref="I151">_xll.BDP(bonds[[#This Row],[worksheet get]],bonds[[#Headers],[coupon]])</f>
        <v>3.75</v>
      </c>
      <c r="J151" s="25" cm="1">
        <f t="array" ref="J151">_xll.BDP(bonds[[#This Row],[worksheet get]],bonds[[#Headers],[nxt_call_dt]])*1</f>
        <v>44279</v>
      </c>
      <c r="K151" s="9" t="str" cm="1">
        <f t="array" ref="K151">_xll.BDP(bonds[[#This Row],[worksheet get]],bonds[[#Headers],[mty_typ]])</f>
        <v>PERP/CALL</v>
      </c>
      <c r="L151" s="9" t="str" cm="1">
        <f t="array" ref="L151">_xll.BDP(bonds[[#This Row],[worksheet get]],bonds[[#Headers],[crncy]])</f>
        <v>EUR</v>
      </c>
      <c r="M151" s="10" cm="1">
        <f t="array" ref="M151">_xll.BDP(bonds[[#This Row],[worksheet get]],bonds[[#Headers],[amt_outstanding]])</f>
        <v>1250000000</v>
      </c>
      <c r="N151" s="9" t="str" cm="1">
        <f t="array" ref="N151">_xll.BDP(bonds[[#This Row],[worksheet get]],bonds[[#Headers],[industry_sector]])</f>
        <v>Consumer, Cyclical</v>
      </c>
      <c r="O151" s="9" t="str">
        <f>bonds[[#This Row],[security name]]&amp;" nc-"&amp;RIGHT(YEAR(bonds[[#This Row],[nxt_call_dt]]),2)</f>
        <v>VW 3 3/4 PERP nc-21</v>
      </c>
    </row>
    <row r="152" spans="5:15">
      <c r="E152" s="5" t="s">
        <v>380</v>
      </c>
      <c r="F152" s="5" t="str" cm="1">
        <f t="array" ref="F152">_xll.BDP(bonds[[#This Row],[worksheet get]],bonds[[#Headers],[ID_ISIN]])</f>
        <v>XS1206540806</v>
      </c>
      <c r="G152" s="5" t="str" cm="1">
        <f t="array" ref="G152">_xll.BDP(bonds[[#This Row],[worksheet get]],bonds[[#Headers],[security name]])</f>
        <v>VW 2 1/2 PERP</v>
      </c>
      <c r="H152" s="5" t="str" cm="1">
        <f t="array" ref="H152">_xll.BDP(bonds[[#This Row],[worksheet get]],bonds[[#Headers],[ticker]])</f>
        <v>VW</v>
      </c>
      <c r="I152" s="5" cm="1">
        <f t="array" ref="I152">_xll.BDP(bonds[[#This Row],[worksheet get]],bonds[[#Headers],[coupon]])</f>
        <v>2.5</v>
      </c>
      <c r="J152" s="25" cm="1">
        <f t="array" ref="J152">_xll.BDP(bonds[[#This Row],[worksheet get]],bonds[[#Headers],[nxt_call_dt]])*1</f>
        <v>44640</v>
      </c>
      <c r="K152" s="9" t="str" cm="1">
        <f t="array" ref="K152">_xll.BDP(bonds[[#This Row],[worksheet get]],bonds[[#Headers],[mty_typ]])</f>
        <v>PERP/CALL</v>
      </c>
      <c r="L152" s="9" t="str" cm="1">
        <f t="array" ref="L152">_xll.BDP(bonds[[#This Row],[worksheet get]],bonds[[#Headers],[crncy]])</f>
        <v>EUR</v>
      </c>
      <c r="M152" s="10" cm="1">
        <f t="array" ref="M152">_xll.BDP(bonds[[#This Row],[worksheet get]],bonds[[#Headers],[amt_outstanding]])</f>
        <v>1100000000</v>
      </c>
      <c r="N152" s="9" t="str" cm="1">
        <f t="array" ref="N152">_xll.BDP(bonds[[#This Row],[worksheet get]],bonds[[#Headers],[industry_sector]])</f>
        <v>Consumer, Cyclical</v>
      </c>
      <c r="O152" s="9" t="str">
        <f>bonds[[#This Row],[security name]]&amp;" nc-"&amp;RIGHT(YEAR(bonds[[#This Row],[nxt_call_dt]]),2)</f>
        <v>VW 2 1/2 PERP nc-22</v>
      </c>
    </row>
    <row r="153" spans="5:15">
      <c r="E153" s="5" t="s">
        <v>149</v>
      </c>
      <c r="F153" s="5" t="str" cm="1">
        <f t="array" ref="F153">_xll.BDP(bonds[[#This Row],[worksheet get]],bonds[[#Headers],[ID_ISIN]])</f>
        <v>XS1629658755</v>
      </c>
      <c r="G153" s="5" t="str" cm="1">
        <f t="array" ref="G153">_xll.BDP(bonds[[#This Row],[worksheet get]],bonds[[#Headers],[security name]])</f>
        <v>VW 2.7 PERP</v>
      </c>
      <c r="H153" s="5" t="str" cm="1">
        <f t="array" ref="H153">_xll.BDP(bonds[[#This Row],[worksheet get]],bonds[[#Headers],[ticker]])</f>
        <v>VW</v>
      </c>
      <c r="I153" s="5" cm="1">
        <f t="array" ref="I153">_xll.BDP(bonds[[#This Row],[worksheet get]],bonds[[#Headers],[coupon]])</f>
        <v>2.7</v>
      </c>
      <c r="J153" s="25" cm="1">
        <f t="array" ref="J153">_xll.BDP(bonds[[#This Row],[worksheet get]],bonds[[#Headers],[nxt_call_dt]])*1</f>
        <v>44909</v>
      </c>
      <c r="K153" s="9" t="str" cm="1">
        <f t="array" ref="K153">_xll.BDP(bonds[[#This Row],[worksheet get]],bonds[[#Headers],[mty_typ]])</f>
        <v>PERP/CALL</v>
      </c>
      <c r="L153" s="9" t="str" cm="1">
        <f t="array" ref="L153">_xll.BDP(bonds[[#This Row],[worksheet get]],bonds[[#Headers],[crncy]])</f>
        <v>EUR</v>
      </c>
      <c r="M153" s="10" cm="1">
        <f t="array" ref="M153">_xll.BDP(bonds[[#This Row],[worksheet get]],bonds[[#Headers],[amt_outstanding]])</f>
        <v>1500000000</v>
      </c>
      <c r="N153" s="9" t="str" cm="1">
        <f t="array" ref="N153">_xll.BDP(bonds[[#This Row],[worksheet get]],bonds[[#Headers],[industry_sector]])</f>
        <v>Consumer, Cyclical</v>
      </c>
      <c r="O153" s="9" t="str">
        <f>bonds[[#This Row],[security name]]&amp;" nc-"&amp;RIGHT(YEAR(bonds[[#This Row],[nxt_call_dt]]),2)</f>
        <v>VW 2.7 PERP nc-22</v>
      </c>
    </row>
    <row r="154" spans="5:15">
      <c r="E154" s="5" t="s">
        <v>381</v>
      </c>
      <c r="F154" s="5" t="str" cm="1">
        <f t="array" ref="F154">_xll.BDP(bonds[[#This Row],[worksheet get]],bonds[[#Headers],[ID_ISIN]])</f>
        <v>XS0968913342</v>
      </c>
      <c r="G154" s="5" t="str" cm="1">
        <f t="array" ref="G154">_xll.BDP(bonds[[#This Row],[worksheet get]],bonds[[#Headers],[security name]])</f>
        <v>VW 5 1/8 PERP</v>
      </c>
      <c r="H154" s="5" t="str" cm="1">
        <f t="array" ref="H154">_xll.BDP(bonds[[#This Row],[worksheet get]],bonds[[#Headers],[ticker]])</f>
        <v>VW</v>
      </c>
      <c r="I154" s="5" cm="1">
        <f t="array" ref="I154">_xll.BDP(bonds[[#This Row],[worksheet get]],bonds[[#Headers],[coupon]])</f>
        <v>5.125</v>
      </c>
      <c r="J154" s="25" cm="1">
        <f t="array" ref="J154">_xll.BDP(bonds[[#This Row],[worksheet get]],bonds[[#Headers],[nxt_call_dt]])*1</f>
        <v>45173</v>
      </c>
      <c r="K154" s="9" t="str" cm="1">
        <f t="array" ref="K154">_xll.BDP(bonds[[#This Row],[worksheet get]],bonds[[#Headers],[mty_typ]])</f>
        <v>PERP/CALL</v>
      </c>
      <c r="L154" s="9" t="str" cm="1">
        <f t="array" ref="L154">_xll.BDP(bonds[[#This Row],[worksheet get]],bonds[[#Headers],[crncy]])</f>
        <v>EUR</v>
      </c>
      <c r="M154" s="10" cm="1">
        <f t="array" ref="M154">_xll.BDP(bonds[[#This Row],[worksheet get]],bonds[[#Headers],[amt_outstanding]])</f>
        <v>750000000</v>
      </c>
      <c r="N154" s="9" t="str" cm="1">
        <f t="array" ref="N154">_xll.BDP(bonds[[#This Row],[worksheet get]],bonds[[#Headers],[industry_sector]])</f>
        <v>Consumer, Cyclical</v>
      </c>
      <c r="O154" s="9" t="str">
        <f>bonds[[#This Row],[security name]]&amp;" nc-"&amp;RIGHT(YEAR(bonds[[#This Row],[nxt_call_dt]]),2)</f>
        <v>VW 5 1/8 PERP nc-23</v>
      </c>
    </row>
    <row r="155" spans="5:15">
      <c r="E155" s="5" t="s">
        <v>382</v>
      </c>
      <c r="F155" s="5" t="str" cm="1">
        <f t="array" ref="F155">_xll.BDP(bonds[[#This Row],[worksheet get]],bonds[[#Headers],[ID_ISIN]])</f>
        <v>XS1799938995</v>
      </c>
      <c r="G155" s="5" t="str" cm="1">
        <f t="array" ref="G155">_xll.BDP(bonds[[#This Row],[worksheet get]],bonds[[#Headers],[security name]])</f>
        <v>VW 3 3/8 PERP</v>
      </c>
      <c r="H155" s="5" t="str" cm="1">
        <f t="array" ref="H155">_xll.BDP(bonds[[#This Row],[worksheet get]],bonds[[#Headers],[ticker]])</f>
        <v>VW</v>
      </c>
      <c r="I155" s="5" cm="1">
        <f t="array" ref="I155">_xll.BDP(bonds[[#This Row],[worksheet get]],bonds[[#Headers],[coupon]])</f>
        <v>3.375</v>
      </c>
      <c r="J155" s="25" cm="1">
        <f t="array" ref="J155">_xll.BDP(bonds[[#This Row],[worksheet get]],bonds[[#Headers],[nxt_call_dt]])*1</f>
        <v>45470</v>
      </c>
      <c r="K155" s="9" t="str" cm="1">
        <f t="array" ref="K155">_xll.BDP(bonds[[#This Row],[worksheet get]],bonds[[#Headers],[mty_typ]])</f>
        <v>PERP/CALL</v>
      </c>
      <c r="L155" s="9" t="str" cm="1">
        <f t="array" ref="L155">_xll.BDP(bonds[[#This Row],[worksheet get]],bonds[[#Headers],[crncy]])</f>
        <v>EUR</v>
      </c>
      <c r="M155" s="10" cm="1">
        <f t="array" ref="M155">_xll.BDP(bonds[[#This Row],[worksheet get]],bonds[[#Headers],[amt_outstanding]])</f>
        <v>1250000000</v>
      </c>
      <c r="N155" s="9" t="str" cm="1">
        <f t="array" ref="N155">_xll.BDP(bonds[[#This Row],[worksheet get]],bonds[[#Headers],[industry_sector]])</f>
        <v>Consumer, Cyclical</v>
      </c>
      <c r="O155" s="9" t="str">
        <f>bonds[[#This Row],[security name]]&amp;" nc-"&amp;RIGHT(YEAR(bonds[[#This Row],[nxt_call_dt]]),2)</f>
        <v>VW 3 3/8 PERP nc-24</v>
      </c>
    </row>
    <row r="156" spans="5:15">
      <c r="E156" s="5" t="s">
        <v>383</v>
      </c>
      <c r="F156" s="5" t="str" cm="1">
        <f t="array" ref="F156">_xll.BDP(bonds[[#This Row],[worksheet get]],bonds[[#Headers],[ID_ISIN]])</f>
        <v>XS2187689034</v>
      </c>
      <c r="G156" s="5" t="str" cm="1">
        <f t="array" ref="G156">_xll.BDP(bonds[[#This Row],[worksheet get]],bonds[[#Headers],[security name]])</f>
        <v>VW 3 1/2 PERP</v>
      </c>
      <c r="H156" s="5" t="str" cm="1">
        <f t="array" ref="H156">_xll.BDP(bonds[[#This Row],[worksheet get]],bonds[[#Headers],[ticker]])</f>
        <v>VW</v>
      </c>
      <c r="I156" s="5" cm="1">
        <f t="array" ref="I156">_xll.BDP(bonds[[#This Row],[worksheet get]],bonds[[#Headers],[coupon]])</f>
        <v>3.5</v>
      </c>
      <c r="J156" s="25" cm="1">
        <f t="array" ref="J156">_xll.BDP(bonds[[#This Row],[worksheet get]],bonds[[#Headers],[nxt_call_dt]])*1</f>
        <v>45825</v>
      </c>
      <c r="K156" s="9" t="str" cm="1">
        <f t="array" ref="K156">_xll.BDP(bonds[[#This Row],[worksheet get]],bonds[[#Headers],[mty_typ]])</f>
        <v>PERP/CALL</v>
      </c>
      <c r="L156" s="9" t="str" cm="1">
        <f t="array" ref="L156">_xll.BDP(bonds[[#This Row],[worksheet get]],bonds[[#Headers],[crncy]])</f>
        <v>EUR</v>
      </c>
      <c r="M156" s="10" cm="1">
        <f t="array" ref="M156">_xll.BDP(bonds[[#This Row],[worksheet get]],bonds[[#Headers],[amt_outstanding]])</f>
        <v>1500000000</v>
      </c>
      <c r="N156" s="9" t="str" cm="1">
        <f t="array" ref="N156">_xll.BDP(bonds[[#This Row],[worksheet get]],bonds[[#Headers],[industry_sector]])</f>
        <v>Consumer, Cyclical</v>
      </c>
      <c r="O156" s="9" t="str">
        <f>bonds[[#This Row],[security name]]&amp;" nc-"&amp;RIGHT(YEAR(bonds[[#This Row],[nxt_call_dt]]),2)</f>
        <v>VW 3 1/2 PERP nc-25</v>
      </c>
    </row>
    <row r="157" spans="5:15">
      <c r="E157" s="5" t="s">
        <v>384</v>
      </c>
      <c r="F157" s="5" t="str" cm="1">
        <f t="array" ref="F157">_xll.BDP(bonds[[#This Row],[worksheet get]],bonds[[#Headers],[ID_ISIN]])</f>
        <v>XS1048428442</v>
      </c>
      <c r="G157" s="5" t="str" cm="1">
        <f t="array" ref="G157">_xll.BDP(bonds[[#This Row],[worksheet get]],bonds[[#Headers],[security name]])</f>
        <v>VW 4 5/8 PERP</v>
      </c>
      <c r="H157" s="5" t="str" cm="1">
        <f t="array" ref="H157">_xll.BDP(bonds[[#This Row],[worksheet get]],bonds[[#Headers],[ticker]])</f>
        <v>VW</v>
      </c>
      <c r="I157" s="5" cm="1">
        <f t="array" ref="I157">_xll.BDP(bonds[[#This Row],[worksheet get]],bonds[[#Headers],[coupon]])</f>
        <v>4.625</v>
      </c>
      <c r="J157" s="25" cm="1">
        <f t="array" ref="J157">_xll.BDP(bonds[[#This Row],[worksheet get]],bonds[[#Headers],[nxt_call_dt]])*1</f>
        <v>46105</v>
      </c>
      <c r="K157" s="9" t="str" cm="1">
        <f t="array" ref="K157">_xll.BDP(bonds[[#This Row],[worksheet get]],bonds[[#Headers],[mty_typ]])</f>
        <v>PERP/CALL</v>
      </c>
      <c r="L157" s="9" t="str" cm="1">
        <f t="array" ref="L157">_xll.BDP(bonds[[#This Row],[worksheet get]],bonds[[#Headers],[crncy]])</f>
        <v>EUR</v>
      </c>
      <c r="M157" s="10" cm="1">
        <f t="array" ref="M157">_xll.BDP(bonds[[#This Row],[worksheet get]],bonds[[#Headers],[amt_outstanding]])</f>
        <v>1750000000</v>
      </c>
      <c r="N157" s="9" t="str" cm="1">
        <f t="array" ref="N157">_xll.BDP(bonds[[#This Row],[worksheet get]],bonds[[#Headers],[industry_sector]])</f>
        <v>Consumer, Cyclical</v>
      </c>
      <c r="O157" s="9" t="str">
        <f>bonds[[#This Row],[security name]]&amp;" nc-"&amp;RIGHT(YEAR(bonds[[#This Row],[nxt_call_dt]]),2)</f>
        <v>VW 4 5/8 PERP nc-26</v>
      </c>
    </row>
    <row r="158" spans="5:15">
      <c r="E158" s="5" t="s">
        <v>385</v>
      </c>
      <c r="F158" s="5" t="str" cm="1">
        <f t="array" ref="F158">_xll.BDP(bonds[[#This Row],[worksheet get]],bonds[[#Headers],[ID_ISIN]])</f>
        <v>XS1629774230</v>
      </c>
      <c r="G158" s="5" t="str" cm="1">
        <f t="array" ref="G158">_xll.BDP(bonds[[#This Row],[worksheet get]],bonds[[#Headers],[security name]])</f>
        <v>VW 3 7/8 PERP</v>
      </c>
      <c r="H158" s="5" t="str" cm="1">
        <f t="array" ref="H158">_xll.BDP(bonds[[#This Row],[worksheet get]],bonds[[#Headers],[ticker]])</f>
        <v>VW</v>
      </c>
      <c r="I158" s="5" cm="1">
        <f t="array" ref="I158">_xll.BDP(bonds[[#This Row],[worksheet get]],bonds[[#Headers],[coupon]])</f>
        <v>3.875</v>
      </c>
      <c r="J158" s="25" cm="1">
        <f t="array" ref="J158">_xll.BDP(bonds[[#This Row],[worksheet get]],bonds[[#Headers],[nxt_call_dt]])*1</f>
        <v>46552</v>
      </c>
      <c r="K158" s="9" t="str" cm="1">
        <f t="array" ref="K158">_xll.BDP(bonds[[#This Row],[worksheet get]],bonds[[#Headers],[mty_typ]])</f>
        <v>PERP/CALL</v>
      </c>
      <c r="L158" s="9" t="str" cm="1">
        <f t="array" ref="L158">_xll.BDP(bonds[[#This Row],[worksheet get]],bonds[[#Headers],[crncy]])</f>
        <v>EUR</v>
      </c>
      <c r="M158" s="10" cm="1">
        <f t="array" ref="M158">_xll.BDP(bonds[[#This Row],[worksheet get]],bonds[[#Headers],[amt_outstanding]])</f>
        <v>2000000000</v>
      </c>
      <c r="N158" s="9" t="str" cm="1">
        <f t="array" ref="N158">_xll.BDP(bonds[[#This Row],[worksheet get]],bonds[[#Headers],[industry_sector]])</f>
        <v>Consumer, Cyclical</v>
      </c>
      <c r="O158" s="9" t="str">
        <f>bonds[[#This Row],[security name]]&amp;" nc-"&amp;RIGHT(YEAR(bonds[[#This Row],[nxt_call_dt]]),2)</f>
        <v>VW 3 7/8 PERP nc-27</v>
      </c>
    </row>
    <row r="159" spans="5:15">
      <c r="E159" s="5" t="s">
        <v>386</v>
      </c>
      <c r="F159" s="5" t="str" cm="1">
        <f t="array" ref="F159">_xll.BDP(bonds[[#This Row],[worksheet get]],bonds[[#Headers],[ID_ISIN]])</f>
        <v>XS1799939027</v>
      </c>
      <c r="G159" s="5" t="str" cm="1">
        <f t="array" ref="G159">_xll.BDP(bonds[[#This Row],[worksheet get]],bonds[[#Headers],[security name]])</f>
        <v>VW 4 5/8 PERP</v>
      </c>
      <c r="H159" s="5" t="str" cm="1">
        <f t="array" ref="H159">_xll.BDP(bonds[[#This Row],[worksheet get]],bonds[[#Headers],[ticker]])</f>
        <v>VW</v>
      </c>
      <c r="I159" s="5" cm="1">
        <f t="array" ref="I159">_xll.BDP(bonds[[#This Row],[worksheet get]],bonds[[#Headers],[coupon]])</f>
        <v>4.625</v>
      </c>
      <c r="J159" s="25" cm="1">
        <f t="array" ref="J159">_xll.BDP(bonds[[#This Row],[worksheet get]],bonds[[#Headers],[nxt_call_dt]])*1</f>
        <v>46931</v>
      </c>
      <c r="K159" s="9" t="str" cm="1">
        <f t="array" ref="K159">_xll.BDP(bonds[[#This Row],[worksheet get]],bonds[[#Headers],[mty_typ]])</f>
        <v>PERP/CALL</v>
      </c>
      <c r="L159" s="9" t="str" cm="1">
        <f t="array" ref="L159">_xll.BDP(bonds[[#This Row],[worksheet get]],bonds[[#Headers],[crncy]])</f>
        <v>EUR</v>
      </c>
      <c r="M159" s="10" cm="1">
        <f t="array" ref="M159">_xll.BDP(bonds[[#This Row],[worksheet get]],bonds[[#Headers],[amt_outstanding]])</f>
        <v>1500000000</v>
      </c>
      <c r="N159" s="9" t="str" cm="1">
        <f t="array" ref="N159">_xll.BDP(bonds[[#This Row],[worksheet get]],bonds[[#Headers],[industry_sector]])</f>
        <v>Consumer, Cyclical</v>
      </c>
      <c r="O159" s="9" t="str">
        <f>bonds[[#This Row],[security name]]&amp;" nc-"&amp;RIGHT(YEAR(bonds[[#This Row],[nxt_call_dt]]),2)</f>
        <v>VW 4 5/8 PERP nc-28</v>
      </c>
    </row>
    <row r="160" spans="5:15">
      <c r="E160" s="5" t="s">
        <v>387</v>
      </c>
      <c r="F160" s="5" t="str" cm="1">
        <f t="array" ref="F160">_xll.BDP(bonds[[#This Row],[worksheet get]],bonds[[#Headers],[ID_ISIN]])</f>
        <v>XS2187689380</v>
      </c>
      <c r="G160" s="5" t="str" cm="1">
        <f t="array" ref="G160">_xll.BDP(bonds[[#This Row],[worksheet get]],bonds[[#Headers],[security name]])</f>
        <v>VW 3 7/8 PERP</v>
      </c>
      <c r="H160" s="5" t="str" cm="1">
        <f t="array" ref="H160">_xll.BDP(bonds[[#This Row],[worksheet get]],bonds[[#Headers],[ticker]])</f>
        <v>VW</v>
      </c>
      <c r="I160" s="5" cm="1">
        <f t="array" ref="I160">_xll.BDP(bonds[[#This Row],[worksheet get]],bonds[[#Headers],[coupon]])</f>
        <v>3.875</v>
      </c>
      <c r="J160" s="25" cm="1">
        <f t="array" ref="J160">_xll.BDP(bonds[[#This Row],[worksheet get]],bonds[[#Headers],[nxt_call_dt]])*1</f>
        <v>47286</v>
      </c>
      <c r="K160" s="9" t="str" cm="1">
        <f t="array" ref="K160">_xll.BDP(bonds[[#This Row],[worksheet get]],bonds[[#Headers],[mty_typ]])</f>
        <v>PERP/CALL</v>
      </c>
      <c r="L160" s="9" t="str" cm="1">
        <f t="array" ref="L160">_xll.BDP(bonds[[#This Row],[worksheet get]],bonds[[#Headers],[crncy]])</f>
        <v>EUR</v>
      </c>
      <c r="M160" s="10" cm="1">
        <f t="array" ref="M160">_xll.BDP(bonds[[#This Row],[worksheet get]],bonds[[#Headers],[amt_outstanding]])</f>
        <v>1500000000</v>
      </c>
      <c r="N160" s="9" t="str" cm="1">
        <f t="array" ref="N160">_xll.BDP(bonds[[#This Row],[worksheet get]],bonds[[#Headers],[industry_sector]])</f>
        <v>Consumer, Cyclical</v>
      </c>
      <c r="O160" s="9" t="str">
        <f>bonds[[#This Row],[security name]]&amp;" nc-"&amp;RIGHT(YEAR(bonds[[#This Row],[nxt_call_dt]]),2)</f>
        <v>VW 3 7/8 PERP nc-29</v>
      </c>
    </row>
    <row r="161" spans="5:15">
      <c r="E161" s="5" t="s">
        <v>150</v>
      </c>
      <c r="F161" s="5" t="str" cm="1">
        <f t="array" ref="F161">_xll.BDP(bonds[[#This Row],[worksheet get]],bonds[[#Headers],[ID_ISIN]])</f>
        <v>XS1206541366</v>
      </c>
      <c r="G161" s="5" t="str" cm="1">
        <f t="array" ref="G161">_xll.BDP(bonds[[#This Row],[worksheet get]],bonds[[#Headers],[security name]])</f>
        <v>VW 3 1/2 PERP</v>
      </c>
      <c r="H161" s="5" t="str" cm="1">
        <f t="array" ref="H161">_xll.BDP(bonds[[#This Row],[worksheet get]],bonds[[#Headers],[ticker]])</f>
        <v>VW</v>
      </c>
      <c r="I161" s="5" cm="1">
        <f t="array" ref="I161">_xll.BDP(bonds[[#This Row],[worksheet get]],bonds[[#Headers],[coupon]])</f>
        <v>3.5</v>
      </c>
      <c r="J161" s="25" cm="1">
        <f t="array" ref="J161">_xll.BDP(bonds[[#This Row],[worksheet get]],bonds[[#Headers],[nxt_call_dt]])*1</f>
        <v>47562</v>
      </c>
      <c r="K161" s="9" t="str" cm="1">
        <f t="array" ref="K161">_xll.BDP(bonds[[#This Row],[worksheet get]],bonds[[#Headers],[mty_typ]])</f>
        <v>PERP/CALL</v>
      </c>
      <c r="L161" s="9" t="str" cm="1">
        <f t="array" ref="L161">_xll.BDP(bonds[[#This Row],[worksheet get]],bonds[[#Headers],[crncy]])</f>
        <v>EUR</v>
      </c>
      <c r="M161" s="10" cm="1">
        <f t="array" ref="M161">_xll.BDP(bonds[[#This Row],[worksheet get]],bonds[[#Headers],[amt_outstanding]])</f>
        <v>1400000000</v>
      </c>
      <c r="N161" s="9" t="str" cm="1">
        <f t="array" ref="N161">_xll.BDP(bonds[[#This Row],[worksheet get]],bonds[[#Headers],[industry_sector]])</f>
        <v>Consumer, Cyclical</v>
      </c>
      <c r="O161" s="9" t="str">
        <f>bonds[[#This Row],[security name]]&amp;" nc-"&amp;RIGHT(YEAR(bonds[[#This Row],[nxt_call_dt]]),2)</f>
        <v>VW 3 1/2 PERP nc-30</v>
      </c>
    </row>
    <row r="162" spans="5:15">
      <c r="E162" s="5" t="s">
        <v>388</v>
      </c>
      <c r="F162" s="5" t="str" cm="1">
        <f t="array" ref="F162">_xll.BDP(bonds[[#This Row],[worksheet get]],bonds[[#Headers],[ID_ISIN]])</f>
        <v>FR0012005924</v>
      </c>
      <c r="G162" s="5" t="str" cm="1">
        <f t="array" ref="G162">_xll.BDP(bonds[[#This Row],[worksheet get]],bonds[[#Headers],[security name]])</f>
        <v>ACFP 4 1/8 PERP</v>
      </c>
      <c r="H162" s="5" t="str" cm="1">
        <f t="array" ref="H162">_xll.BDP(bonds[[#This Row],[worksheet get]],bonds[[#Headers],[ticker]])</f>
        <v>ACFP</v>
      </c>
      <c r="I162" s="5" cm="1">
        <f t="array" ref="I162">_xll.BDP(bonds[[#This Row],[worksheet get]],bonds[[#Headers],[coupon]])</f>
        <v>4.125</v>
      </c>
      <c r="J162" s="25" t="e" cm="1">
        <f t="array" ref="J162">_xll.BDP(bonds[[#This Row],[worksheet get]],bonds[[#Headers],[nxt_call_dt]])*1</f>
        <v>#VALUE!</v>
      </c>
      <c r="K162" s="9" t="str" cm="1">
        <f t="array" ref="K162">_xll.BDP(bonds[[#This Row],[worksheet get]],bonds[[#Headers],[mty_typ]])</f>
        <v>PERP/CALL</v>
      </c>
      <c r="L162" s="9" t="str" cm="1">
        <f t="array" ref="L162">_xll.BDP(bonds[[#This Row],[worksheet get]],bonds[[#Headers],[crncy]])</f>
        <v>EUR</v>
      </c>
      <c r="M162" s="10" cm="1">
        <f t="array" ref="M162">_xll.BDP(bonds[[#This Row],[worksheet get]],bonds[[#Headers],[amt_outstanding]])</f>
        <v>0</v>
      </c>
      <c r="N162" s="9" t="str" cm="1">
        <f t="array" ref="N162">_xll.BDP(bonds[[#This Row],[worksheet get]],bonds[[#Headers],[industry_sector]])</f>
        <v>Consumer, Cyclical</v>
      </c>
      <c r="O162" s="9" t="e">
        <f>bonds[[#This Row],[security name]]&amp;" nc-"&amp;RIGHT(YEAR(bonds[[#This Row],[nxt_call_dt]]),2)</f>
        <v>#VALUE!</v>
      </c>
    </row>
    <row r="163" spans="5:15">
      <c r="E163" s="5" t="s">
        <v>389</v>
      </c>
      <c r="F163" s="5" t="str" cm="1">
        <f t="array" ref="F163">_xll.BDP(bonds[[#This Row],[worksheet get]],bonds[[#Headers],[ID_ISIN]])</f>
        <v>FR0013399177</v>
      </c>
      <c r="G163" s="5" t="str" cm="1">
        <f t="array" ref="G163">_xll.BDP(bonds[[#This Row],[worksheet get]],bonds[[#Headers],[security name]])</f>
        <v>ACFP 4 3/8 PERP</v>
      </c>
      <c r="H163" s="5" t="str" cm="1">
        <f t="array" ref="H163">_xll.BDP(bonds[[#This Row],[worksheet get]],bonds[[#Headers],[ticker]])</f>
        <v>ACFP</v>
      </c>
      <c r="I163" s="5" cm="1">
        <f t="array" ref="I163">_xll.BDP(bonds[[#This Row],[worksheet get]],bonds[[#Headers],[coupon]])</f>
        <v>4.375</v>
      </c>
      <c r="J163" s="25" cm="1">
        <f t="array" ref="J163">_xll.BDP(bonds[[#This Row],[worksheet get]],bonds[[#Headers],[nxt_call_dt]])*1</f>
        <v>45321</v>
      </c>
      <c r="K163" s="9" t="str" cm="1">
        <f t="array" ref="K163">_xll.BDP(bonds[[#This Row],[worksheet get]],bonds[[#Headers],[mty_typ]])</f>
        <v>PERP/CALL</v>
      </c>
      <c r="L163" s="9" t="str" cm="1">
        <f t="array" ref="L163">_xll.BDP(bonds[[#This Row],[worksheet get]],bonds[[#Headers],[crncy]])</f>
        <v>EUR</v>
      </c>
      <c r="M163" s="10" cm="1">
        <f t="array" ref="M163">_xll.BDP(bonds[[#This Row],[worksheet get]],bonds[[#Headers],[amt_outstanding]])</f>
        <v>500000000</v>
      </c>
      <c r="N163" s="9" t="str" cm="1">
        <f t="array" ref="N163">_xll.BDP(bonds[[#This Row],[worksheet get]],bonds[[#Headers],[industry_sector]])</f>
        <v>Consumer, Cyclical</v>
      </c>
      <c r="O163" s="9" t="str">
        <f>bonds[[#This Row],[security name]]&amp;" nc-"&amp;RIGHT(YEAR(bonds[[#This Row],[nxt_call_dt]]),2)</f>
        <v>ACFP 4 3/8 PERP nc-24</v>
      </c>
    </row>
    <row r="164" spans="5:15">
      <c r="E164" s="5" t="s">
        <v>390</v>
      </c>
      <c r="F164" s="5" t="str" cm="1">
        <f t="array" ref="F164">_xll.BDP(bonds[[#This Row],[worksheet get]],bonds[[#Headers],[ID_ISIN]])</f>
        <v>FR0013457157</v>
      </c>
      <c r="G164" s="5" t="str" cm="1">
        <f t="array" ref="G164">_xll.BDP(bonds[[#This Row],[worksheet get]],bonds[[#Headers],[security name]])</f>
        <v>ACFP 2 5/8 PERP</v>
      </c>
      <c r="H164" s="5" t="str" cm="1">
        <f t="array" ref="H164">_xll.BDP(bonds[[#This Row],[worksheet get]],bonds[[#Headers],[ticker]])</f>
        <v>ACFP</v>
      </c>
      <c r="I164" s="5" cm="1">
        <f t="array" ref="I164">_xll.BDP(bonds[[#This Row],[worksheet get]],bonds[[#Headers],[coupon]])</f>
        <v>2.625</v>
      </c>
      <c r="J164" s="25" cm="1">
        <f t="array" ref="J164">_xll.BDP(bonds[[#This Row],[worksheet get]],bonds[[#Headers],[nxt_call_dt]])*1</f>
        <v>45687</v>
      </c>
      <c r="K164" s="9" t="str" cm="1">
        <f t="array" ref="K164">_xll.BDP(bonds[[#This Row],[worksheet get]],bonds[[#Headers],[mty_typ]])</f>
        <v>PERP/CALL</v>
      </c>
      <c r="L164" s="9" t="str" cm="1">
        <f t="array" ref="L164">_xll.BDP(bonds[[#This Row],[worksheet get]],bonds[[#Headers],[crncy]])</f>
        <v>EUR</v>
      </c>
      <c r="M164" s="10" cm="1">
        <f t="array" ref="M164">_xll.BDP(bonds[[#This Row],[worksheet get]],bonds[[#Headers],[amt_outstanding]])</f>
        <v>500000000</v>
      </c>
      <c r="N164" s="9" t="str" cm="1">
        <f t="array" ref="N164">_xll.BDP(bonds[[#This Row],[worksheet get]],bonds[[#Headers],[industry_sector]])</f>
        <v>Consumer, Cyclical</v>
      </c>
      <c r="O164" s="9" t="str">
        <f>bonds[[#This Row],[security name]]&amp;" nc-"&amp;RIGHT(YEAR(bonds[[#This Row],[nxt_call_dt]]),2)</f>
        <v>ACFP 2 5/8 PERP nc-25</v>
      </c>
    </row>
    <row r="165" spans="5:15">
      <c r="E165" s="5" t="s">
        <v>391</v>
      </c>
      <c r="F165" s="5" t="str" cm="1">
        <f t="array" ref="F165">_xll.BDP(bonds[[#This Row],[worksheet get]],bonds[[#Headers],[ID_ISIN]])</f>
        <v>FR0012650281</v>
      </c>
      <c r="G165" s="5" t="str" cm="1">
        <f t="array" ref="G165">_xll.BDP(bonds[[#This Row],[worksheet get]],bonds[[#Headers],[security name]])</f>
        <v>AFFP 6 1/4 PERP</v>
      </c>
      <c r="H165" s="5" t="str" cm="1">
        <f t="array" ref="H165">_xll.BDP(bonds[[#This Row],[worksheet get]],bonds[[#Headers],[ticker]])</f>
        <v>AFFP</v>
      </c>
      <c r="I165" s="5" cm="1">
        <f t="array" ref="I165">_xll.BDP(bonds[[#This Row],[worksheet get]],bonds[[#Headers],[coupon]])</f>
        <v>6.25</v>
      </c>
      <c r="J165" s="25" cm="1">
        <f t="array" ref="J165">_xll.BDP(bonds[[#This Row],[worksheet get]],bonds[[#Headers],[nxt_call_dt]])*1</f>
        <v>44105</v>
      </c>
      <c r="K165" s="9" t="str" cm="1">
        <f t="array" ref="K165">_xll.BDP(bonds[[#This Row],[worksheet get]],bonds[[#Headers],[mty_typ]])</f>
        <v>PERP/CALL</v>
      </c>
      <c r="L165" s="9" t="str" cm="1">
        <f t="array" ref="L165">_xll.BDP(bonds[[#This Row],[worksheet get]],bonds[[#Headers],[crncy]])</f>
        <v>EUR</v>
      </c>
      <c r="M165" s="10" cm="1">
        <f t="array" ref="M165">_xll.BDP(bonds[[#This Row],[worksheet get]],bonds[[#Headers],[amt_outstanding]])</f>
        <v>405500000</v>
      </c>
      <c r="N165" s="9" t="str" cm="1">
        <f t="array" ref="N165">_xll.BDP(bonds[[#This Row],[worksheet get]],bonds[[#Headers],[industry_sector]])</f>
        <v>Consumer, Cyclical</v>
      </c>
      <c r="O165" s="9" t="str">
        <f>bonds[[#This Row],[security name]]&amp;" nc-"&amp;RIGHT(YEAR(bonds[[#This Row],[nxt_call_dt]]),2)</f>
        <v>AFFP 6 1/4 PERP nc-20</v>
      </c>
    </row>
    <row r="166" spans="5:15">
      <c r="E166" s="5" t="s">
        <v>392</v>
      </c>
      <c r="F166" s="5" t="str" cm="1">
        <f t="array" ref="F166">_xll.BDP(bonds[[#This Row],[worksheet get]],bonds[[#Headers],[ID_ISIN]])</f>
        <v>XS1271836600</v>
      </c>
      <c r="G166" s="5" t="str" cm="1">
        <f t="array" ref="G166">_xll.BDP(bonds[[#This Row],[worksheet get]],bonds[[#Headers],[security name]])</f>
        <v>LHAGR 5 1/8 08/12/75</v>
      </c>
      <c r="H166" s="5" t="str" cm="1">
        <f t="array" ref="H166">_xll.BDP(bonds[[#This Row],[worksheet get]],bonds[[#Headers],[ticker]])</f>
        <v>LHAGR</v>
      </c>
      <c r="I166" s="5" cm="1">
        <f t="array" ref="I166">_xll.BDP(bonds[[#This Row],[worksheet get]],bonds[[#Headers],[coupon]])</f>
        <v>5.125</v>
      </c>
      <c r="J166" s="25" cm="1">
        <f t="array" ref="J166">_xll.BDP(bonds[[#This Row],[worksheet get]],bonds[[#Headers],[nxt_call_dt]])*1</f>
        <v>44239</v>
      </c>
      <c r="K166" s="9" t="str" cm="1">
        <f t="array" ref="K166">_xll.BDP(bonds[[#This Row],[worksheet get]],bonds[[#Headers],[mty_typ]])</f>
        <v>CALLABLE</v>
      </c>
      <c r="L166" s="9" t="str" cm="1">
        <f t="array" ref="L166">_xll.BDP(bonds[[#This Row],[worksheet get]],bonds[[#Headers],[crncy]])</f>
        <v>EUR</v>
      </c>
      <c r="M166" s="10" cm="1">
        <f t="array" ref="M166">_xll.BDP(bonds[[#This Row],[worksheet get]],bonds[[#Headers],[amt_outstanding]])</f>
        <v>500000000</v>
      </c>
      <c r="N166" s="9" t="str" cm="1">
        <f t="array" ref="N166">_xll.BDP(bonds[[#This Row],[worksheet get]],bonds[[#Headers],[industry_sector]])</f>
        <v>Consumer, Cyclical</v>
      </c>
      <c r="O166" s="9" t="str">
        <f>bonds[[#This Row],[security name]]&amp;" nc-"&amp;RIGHT(YEAR(bonds[[#This Row],[nxt_call_dt]]),2)</f>
        <v>LHAGR 5 1/8 08/12/75 nc-21</v>
      </c>
    </row>
    <row r="167" spans="5:15">
      <c r="E167" s="5" t="s">
        <v>393</v>
      </c>
      <c r="F167" s="5" t="str" cm="1">
        <f t="array" ref="F167">_xll.BDP(bonds[[#This Row],[worksheet get]],bonds[[#Headers],[ID_ISIN]])</f>
        <v>XS1716927766</v>
      </c>
      <c r="G167" s="5" t="str" cm="1">
        <f t="array" ref="G167">_xll.BDP(bonds[[#This Row],[worksheet get]],bonds[[#Headers],[security name]])</f>
        <v>FERSM 2.124 PERP</v>
      </c>
      <c r="H167" s="5" t="str" cm="1">
        <f t="array" ref="H167">_xll.BDP(bonds[[#This Row],[worksheet get]],bonds[[#Headers],[ticker]])</f>
        <v>FERSM</v>
      </c>
      <c r="I167" s="5" cm="1">
        <f t="array" ref="I167">_xll.BDP(bonds[[#This Row],[worksheet get]],bonds[[#Headers],[coupon]])</f>
        <v>2.1240000000000001</v>
      </c>
      <c r="J167" s="25" cm="1">
        <f t="array" ref="J167">_xll.BDP(bonds[[#This Row],[worksheet get]],bonds[[#Headers],[nxt_call_dt]])*1</f>
        <v>44971</v>
      </c>
      <c r="K167" s="9" t="str" cm="1">
        <f t="array" ref="K167">_xll.BDP(bonds[[#This Row],[worksheet get]],bonds[[#Headers],[mty_typ]])</f>
        <v>PERP/CALL</v>
      </c>
      <c r="L167" s="9" t="str" cm="1">
        <f t="array" ref="L167">_xll.BDP(bonds[[#This Row],[worksheet get]],bonds[[#Headers],[crncy]])</f>
        <v>EUR</v>
      </c>
      <c r="M167" s="10" cm="1">
        <f t="array" ref="M167">_xll.BDP(bonds[[#This Row],[worksheet get]],bonds[[#Headers],[amt_outstanding]])</f>
        <v>500000000</v>
      </c>
      <c r="N167" s="9" t="str" cm="1">
        <f t="array" ref="N167">_xll.BDP(bonds[[#This Row],[worksheet get]],bonds[[#Headers],[industry_sector]])</f>
        <v>Industrial</v>
      </c>
      <c r="O167" s="9" t="str">
        <f>bonds[[#This Row],[security name]]&amp;" nc-"&amp;RIGHT(YEAR(bonds[[#This Row],[nxt_call_dt]]),2)</f>
        <v>FERSM 2.124 PERP nc-23</v>
      </c>
    </row>
    <row r="168" spans="5:15">
      <c r="E168" s="5" t="s">
        <v>394</v>
      </c>
      <c r="F168" s="5" t="str" cm="1">
        <f t="array" ref="F168">_xll.BDP(bonds[[#This Row],[worksheet get]],bonds[[#Headers],[ID_ISIN]])</f>
        <v>XS1117300837</v>
      </c>
      <c r="G168" s="5" t="str" cm="1">
        <f t="array" ref="G168">_xll.BDP(bonds[[#This Row],[worksheet get]],bonds[[#Headers],[security name]])</f>
        <v>ANNGR 4 PERP</v>
      </c>
      <c r="H168" s="5" t="str" cm="1">
        <f t="array" ref="H168">_xll.BDP(bonds[[#This Row],[worksheet get]],bonds[[#Headers],[ticker]])</f>
        <v>ANNGR</v>
      </c>
      <c r="I168" s="5" cm="1">
        <f t="array" ref="I168">_xll.BDP(bonds[[#This Row],[worksheet get]],bonds[[#Headers],[coupon]])</f>
        <v>4</v>
      </c>
      <c r="J168" s="25" cm="1">
        <f t="array" ref="J168">_xll.BDP(bonds[[#This Row],[worksheet get]],bonds[[#Headers],[nxt_call_dt]])*1</f>
        <v>44547</v>
      </c>
      <c r="K168" s="9" t="str" cm="1">
        <f t="array" ref="K168">_xll.BDP(bonds[[#This Row],[worksheet get]],bonds[[#Headers],[mty_typ]])</f>
        <v>PERP/CALL</v>
      </c>
      <c r="L168" s="9" t="str" cm="1">
        <f t="array" ref="L168">_xll.BDP(bonds[[#This Row],[worksheet get]],bonds[[#Headers],[crncy]])</f>
        <v>EUR</v>
      </c>
      <c r="M168" s="10" cm="1">
        <f t="array" ref="M168">_xll.BDP(bonds[[#This Row],[worksheet get]],bonds[[#Headers],[amt_outstanding]])</f>
        <v>1000000000</v>
      </c>
      <c r="N168" s="9" t="str" cm="1">
        <f t="array" ref="N168">_xll.BDP(bonds[[#This Row],[worksheet get]],bonds[[#Headers],[industry_sector]])</f>
        <v>Financial</v>
      </c>
      <c r="O168" s="9" t="str">
        <f>bonds[[#This Row],[security name]]&amp;" nc-"&amp;RIGHT(YEAR(bonds[[#This Row],[nxt_call_dt]]),2)</f>
        <v>ANNGR 4 PERP nc-21</v>
      </c>
    </row>
    <row r="169" spans="5:15">
      <c r="E169" s="5" t="s">
        <v>176</v>
      </c>
      <c r="F169" s="5" t="str" cm="1">
        <f t="array" ref="F169">_xll.BDP(bonds[[#This Row],[worksheet get]],bonds[[#Headers],[ID_ISIN]])</f>
        <v>FR0013330529</v>
      </c>
      <c r="G169" s="5" t="str" cm="1">
        <f t="array" ref="G169">_xll.BDP(bonds[[#This Row],[worksheet get]],bonds[[#Headers],[security name]])</f>
        <v>ULFP 2 1/8 PERP</v>
      </c>
      <c r="H169" s="5" t="str" cm="1">
        <f t="array" ref="H169">_xll.BDP(bonds[[#This Row],[worksheet get]],bonds[[#Headers],[ticker]])</f>
        <v>ULFP</v>
      </c>
      <c r="I169" s="5" cm="1">
        <f t="array" ref="I169">_xll.BDP(bonds[[#This Row],[worksheet get]],bonds[[#Headers],[coupon]])</f>
        <v>2.125</v>
      </c>
      <c r="J169" s="25" cm="1">
        <f t="array" ref="J169">_xll.BDP(bonds[[#This Row],[worksheet get]],bonds[[#Headers],[nxt_call_dt]])*1</f>
        <v>45132</v>
      </c>
      <c r="K169" s="9" t="str" cm="1">
        <f t="array" ref="K169">_xll.BDP(bonds[[#This Row],[worksheet get]],bonds[[#Headers],[mty_typ]])</f>
        <v>PERP/CALL</v>
      </c>
      <c r="L169" s="9" t="str" cm="1">
        <f t="array" ref="L169">_xll.BDP(bonds[[#This Row],[worksheet get]],bonds[[#Headers],[crncy]])</f>
        <v>EUR</v>
      </c>
      <c r="M169" s="10" cm="1">
        <f t="array" ref="M169">_xll.BDP(bonds[[#This Row],[worksheet get]],bonds[[#Headers],[amt_outstanding]])</f>
        <v>1250000000</v>
      </c>
      <c r="N169" s="9" t="str" cm="1">
        <f t="array" ref="N169">_xll.BDP(bonds[[#This Row],[worksheet get]],bonds[[#Headers],[industry_sector]])</f>
        <v>Financial</v>
      </c>
      <c r="O169" s="9" t="str">
        <f>bonds[[#This Row],[security name]]&amp;" nc-"&amp;RIGHT(YEAR(bonds[[#This Row],[nxt_call_dt]]),2)</f>
        <v>ULFP 2 1/8 PERP nc-23</v>
      </c>
    </row>
    <row r="170" spans="5:15">
      <c r="E170" s="5" t="s">
        <v>177</v>
      </c>
      <c r="F170" s="5" t="str" cm="1">
        <f t="array" ref="F170">_xll.BDP(bonds[[#This Row],[worksheet get]],bonds[[#Headers],[ID_ISIN]])</f>
        <v>FR0013330537</v>
      </c>
      <c r="G170" s="5" t="str" cm="1">
        <f t="array" ref="G170">_xll.BDP(bonds[[#This Row],[worksheet get]],bonds[[#Headers],[security name]])</f>
        <v>ULFP 2 7/8 PERP</v>
      </c>
      <c r="H170" s="5" t="str" cm="1">
        <f t="array" ref="H170">_xll.BDP(bonds[[#This Row],[worksheet get]],bonds[[#Headers],[ticker]])</f>
        <v>ULFP</v>
      </c>
      <c r="I170" s="5" cm="1">
        <f t="array" ref="I170">_xll.BDP(bonds[[#This Row],[worksheet get]],bonds[[#Headers],[coupon]])</f>
        <v>2.875</v>
      </c>
      <c r="J170" s="25" cm="1">
        <f t="array" ref="J170">_xll.BDP(bonds[[#This Row],[worksheet get]],bonds[[#Headers],[nxt_call_dt]])*1</f>
        <v>46047</v>
      </c>
      <c r="K170" s="9" t="str" cm="1">
        <f t="array" ref="K170">_xll.BDP(bonds[[#This Row],[worksheet get]],bonds[[#Headers],[mty_typ]])</f>
        <v>PERP/CALL</v>
      </c>
      <c r="L170" s="9" t="str" cm="1">
        <f t="array" ref="L170">_xll.BDP(bonds[[#This Row],[worksheet get]],bonds[[#Headers],[crncy]])</f>
        <v>EUR</v>
      </c>
      <c r="M170" s="10" cm="1">
        <f t="array" ref="M170">_xll.BDP(bonds[[#This Row],[worksheet get]],bonds[[#Headers],[amt_outstanding]])</f>
        <v>750000000</v>
      </c>
      <c r="N170" s="9" t="str" cm="1">
        <f t="array" ref="N170">_xll.BDP(bonds[[#This Row],[worksheet get]],bonds[[#Headers],[industry_sector]])</f>
        <v>Financial</v>
      </c>
      <c r="O170" s="9" t="str">
        <f>bonds[[#This Row],[security name]]&amp;" nc-"&amp;RIGHT(YEAR(bonds[[#This Row],[nxt_call_dt]]),2)</f>
        <v>ULFP 2 7/8 PERP nc-26</v>
      </c>
    </row>
    <row r="171" spans="5:15">
      <c r="E171" s="5" t="s">
        <v>107</v>
      </c>
      <c r="F171" s="5" t="str" cm="1">
        <f t="array" ref="F171">_xll.BDP(bonds[[#This Row],[worksheet get]],bonds[[#Headers],[ID_ISIN]])</f>
        <v>XS1788973573</v>
      </c>
      <c r="G171" s="5" t="str" cm="1">
        <f t="array" ref="G171">_xll.BDP(bonds[[#This Row],[worksheet get]],bonds[[#Headers],[security name]])</f>
        <v>AKFAST 3 7/8 10/05/78</v>
      </c>
      <c r="H171" s="5" t="str" cm="1">
        <f t="array" ref="H171">_xll.BDP(bonds[[#This Row],[worksheet get]],bonds[[#Headers],[ticker]])</f>
        <v>AKFAST</v>
      </c>
      <c r="I171" s="5" cm="1">
        <f t="array" ref="I171">_xll.BDP(bonds[[#This Row],[worksheet get]],bonds[[#Headers],[coupon]])</f>
        <v>3.875</v>
      </c>
      <c r="J171" s="25" cm="1">
        <f t="array" ref="J171">_xll.BDP(bonds[[#This Row],[worksheet get]],bonds[[#Headers],[nxt_call_dt]])*1</f>
        <v>45115</v>
      </c>
      <c r="K171" s="9" t="str" cm="1">
        <f t="array" ref="K171">_xll.BDP(bonds[[#This Row],[worksheet get]],bonds[[#Headers],[mty_typ]])</f>
        <v>CALLABLE</v>
      </c>
      <c r="L171" s="9" t="str" cm="1">
        <f t="array" ref="L171">_xll.BDP(bonds[[#This Row],[worksheet get]],bonds[[#Headers],[crncy]])</f>
        <v>EUR</v>
      </c>
      <c r="M171" s="10" cm="1">
        <f t="array" ref="M171">_xll.BDP(bonds[[#This Row],[worksheet get]],bonds[[#Headers],[amt_outstanding]])</f>
        <v>500000000</v>
      </c>
      <c r="N171" s="9" t="str" cm="1">
        <f t="array" ref="N171">_xll.BDP(bonds[[#This Row],[worksheet get]],bonds[[#Headers],[industry_sector]])</f>
        <v>Financial</v>
      </c>
      <c r="O171" s="9" t="str">
        <f>bonds[[#This Row],[security name]]&amp;" nc-"&amp;RIGHT(YEAR(bonds[[#This Row],[nxt_call_dt]]),2)</f>
        <v>AKFAST 3 7/8 10/05/78 nc-23</v>
      </c>
    </row>
    <row r="172" spans="5:15">
      <c r="E172" s="5" t="s">
        <v>108</v>
      </c>
      <c r="F172" s="5" t="str" cm="1">
        <f t="array" ref="F172">_xll.BDP(bonds[[#This Row],[worksheet get]],bonds[[#Headers],[ID_ISIN]])</f>
        <v>XS2110077299</v>
      </c>
      <c r="G172" s="5" t="str" cm="1">
        <f t="array" ref="G172">_xll.BDP(bonds[[#This Row],[worksheet get]],bonds[[#Headers],[security name]])</f>
        <v>AKFAST 2.249 05/17/81</v>
      </c>
      <c r="H172" s="5" t="str" cm="1">
        <f t="array" ref="H172">_xll.BDP(bonds[[#This Row],[worksheet get]],bonds[[#Headers],[ticker]])</f>
        <v>AKFAST</v>
      </c>
      <c r="I172" s="5" cm="1">
        <f t="array" ref="I172">_xll.BDP(bonds[[#This Row],[worksheet get]],bonds[[#Headers],[coupon]])</f>
        <v>2.2490000000000001</v>
      </c>
      <c r="J172" s="25" cm="1">
        <f t="array" ref="J172">_xll.BDP(bonds[[#This Row],[worksheet get]],bonds[[#Headers],[nxt_call_dt]])*1</f>
        <v>46070</v>
      </c>
      <c r="K172" s="9" t="str" cm="1">
        <f t="array" ref="K172">_xll.BDP(bonds[[#This Row],[worksheet get]],bonds[[#Headers],[mty_typ]])</f>
        <v>CALLABLE</v>
      </c>
      <c r="L172" s="9" t="str" cm="1">
        <f t="array" ref="L172">_xll.BDP(bonds[[#This Row],[worksheet get]],bonds[[#Headers],[crncy]])</f>
        <v>EUR</v>
      </c>
      <c r="M172" s="10" cm="1">
        <f t="array" ref="M172">_xll.BDP(bonds[[#This Row],[worksheet get]],bonds[[#Headers],[amt_outstanding]])</f>
        <v>500000000</v>
      </c>
      <c r="N172" s="9" t="str" cm="1">
        <f t="array" ref="N172">_xll.BDP(bonds[[#This Row],[worksheet get]],bonds[[#Headers],[industry_sector]])</f>
        <v>Financial</v>
      </c>
      <c r="O172" s="9" t="str">
        <f>bonds[[#This Row],[security name]]&amp;" nc-"&amp;RIGHT(YEAR(bonds[[#This Row],[nxt_call_dt]]),2)</f>
        <v>AKFAST 2.249 05/17/81 nc-26</v>
      </c>
    </row>
    <row r="173" spans="5:15">
      <c r="E173" s="5" t="s">
        <v>395</v>
      </c>
      <c r="F173" s="5" t="str" cm="1">
        <f t="array" ref="F173">_xll.BDP(bonds[[#This Row],[worksheet get]],bonds[[#Headers],[ID_ISIN]])</f>
        <v>XS1677911825</v>
      </c>
      <c r="G173" s="5" t="str" cm="1">
        <f t="array" ref="G173">_xll.BDP(bonds[[#This Row],[worksheet get]],bonds[[#Headers],[security name]])</f>
        <v>BALDER 3 03/07/78</v>
      </c>
      <c r="H173" s="5" t="str" cm="1">
        <f t="array" ref="H173">_xll.BDP(bonds[[#This Row],[worksheet get]],bonds[[#Headers],[ticker]])</f>
        <v>BALDER</v>
      </c>
      <c r="I173" s="5" cm="1">
        <f t="array" ref="I173">_xll.BDP(bonds[[#This Row],[worksheet get]],bonds[[#Headers],[coupon]])</f>
        <v>3</v>
      </c>
      <c r="J173" s="25" cm="1">
        <f t="array" ref="J173">_xll.BDP(bonds[[#This Row],[worksheet get]],bonds[[#Headers],[nxt_call_dt]])*1</f>
        <v>44992</v>
      </c>
      <c r="K173" s="9" t="str" cm="1">
        <f t="array" ref="K173">_xll.BDP(bonds[[#This Row],[worksheet get]],bonds[[#Headers],[mty_typ]])</f>
        <v>CALLABLE</v>
      </c>
      <c r="L173" s="9" t="str" cm="1">
        <f t="array" ref="L173">_xll.BDP(bonds[[#This Row],[worksheet get]],bonds[[#Headers],[crncy]])</f>
        <v>EUR</v>
      </c>
      <c r="M173" s="10" cm="1">
        <f t="array" ref="M173">_xll.BDP(bonds[[#This Row],[worksheet get]],bonds[[#Headers],[amt_outstanding]])</f>
        <v>350000000</v>
      </c>
      <c r="N173" s="9" t="str" cm="1">
        <f t="array" ref="N173">_xll.BDP(bonds[[#This Row],[worksheet get]],bonds[[#Headers],[industry_sector]])</f>
        <v>Financial</v>
      </c>
      <c r="O173" s="9" t="str">
        <f>bonds[[#This Row],[security name]]&amp;" nc-"&amp;RIGHT(YEAR(bonds[[#This Row],[nxt_call_dt]]),2)</f>
        <v>BALDER 3 03/07/78 nc-23</v>
      </c>
    </row>
    <row r="174" spans="5:15">
      <c r="E174" s="5" t="s">
        <v>396</v>
      </c>
      <c r="F174" s="5" t="str" cm="1">
        <f t="array" ref="F174">_xll.BDP(bonds[[#This Row],[worksheet get]],bonds[[#Headers],[ID_ISIN]])</f>
        <v>XS2055106210</v>
      </c>
      <c r="G174" s="5" t="str" cm="1">
        <f t="array" ref="G174">_xll.BDP(bonds[[#This Row],[worksheet get]],bonds[[#Headers],[security name]])</f>
        <v>TLGGR 3 3/8 PERP</v>
      </c>
      <c r="H174" s="5" t="str" cm="1">
        <f t="array" ref="H174">_xll.BDP(bonds[[#This Row],[worksheet get]],bonds[[#Headers],[ticker]])</f>
        <v>TLGGR</v>
      </c>
      <c r="I174" s="5" cm="1">
        <f t="array" ref="I174">_xll.BDP(bonds[[#This Row],[worksheet get]],bonds[[#Headers],[coupon]])</f>
        <v>3.375</v>
      </c>
      <c r="J174" s="25" cm="1">
        <f t="array" ref="J174">_xll.BDP(bonds[[#This Row],[worksheet get]],bonds[[#Headers],[nxt_call_dt]])*1</f>
        <v>45558</v>
      </c>
      <c r="K174" s="9" t="str" cm="1">
        <f t="array" ref="K174">_xll.BDP(bonds[[#This Row],[worksheet get]],bonds[[#Headers],[mty_typ]])</f>
        <v>PERP/CALL</v>
      </c>
      <c r="L174" s="9" t="str" cm="1">
        <f t="array" ref="L174">_xll.BDP(bonds[[#This Row],[worksheet get]],bonds[[#Headers],[crncy]])</f>
        <v>EUR</v>
      </c>
      <c r="M174" s="10" cm="1">
        <f t="array" ref="M174">_xll.BDP(bonds[[#This Row],[worksheet get]],bonds[[#Headers],[amt_outstanding]])</f>
        <v>600000000</v>
      </c>
      <c r="N174" s="9" t="str" cm="1">
        <f t="array" ref="N174">_xll.BDP(bonds[[#This Row],[worksheet get]],bonds[[#Headers],[industry_sector]])</f>
        <v>Financial</v>
      </c>
      <c r="O174" s="9" t="str">
        <f>bonds[[#This Row],[security name]]&amp;" nc-"&amp;RIGHT(YEAR(bonds[[#This Row],[nxt_call_dt]]),2)</f>
        <v>TLGGR 3 3/8 PERP nc-24</v>
      </c>
    </row>
    <row r="175" spans="5:15">
      <c r="E175" s="5" t="s">
        <v>397</v>
      </c>
      <c r="F175" s="5" t="str" cm="1">
        <f t="array" ref="F175">_xll.BDP(bonds[[#This Row],[worksheet get]],bonds[[#Headers],[ID_ISIN]])</f>
        <v>XS2010037765</v>
      </c>
      <c r="G175" s="5" t="str" cm="1">
        <f t="array" ref="G175">_xll.BDP(bonds[[#This Row],[worksheet get]],bonds[[#Headers],[security name]])</f>
        <v>HEIBOS 3.248 PERP</v>
      </c>
      <c r="H175" s="5" t="str" cm="1">
        <f t="array" ref="H175">_xll.BDP(bonds[[#This Row],[worksheet get]],bonds[[#Headers],[ticker]])</f>
        <v>HEIBOS</v>
      </c>
      <c r="I175" s="5" cm="1">
        <f t="array" ref="I175">_xll.BDP(bonds[[#This Row],[worksheet get]],bonds[[#Headers],[coupon]])</f>
        <v>3.2480000000000002</v>
      </c>
      <c r="J175" s="25" cm="1">
        <f t="array" ref="J175">_xll.BDP(bonds[[#This Row],[worksheet get]],bonds[[#Headers],[nxt_call_dt]])*1</f>
        <v>45615</v>
      </c>
      <c r="K175" s="9" t="str" cm="1">
        <f t="array" ref="K175">_xll.BDP(bonds[[#This Row],[worksheet get]],bonds[[#Headers],[mty_typ]])</f>
        <v>PERP/CALL</v>
      </c>
      <c r="L175" s="9" t="str" cm="1">
        <f t="array" ref="L175">_xll.BDP(bonds[[#This Row],[worksheet get]],bonds[[#Headers],[crncy]])</f>
        <v>EUR</v>
      </c>
      <c r="M175" s="10" cm="1">
        <f t="array" ref="M175">_xll.BDP(bonds[[#This Row],[worksheet get]],bonds[[#Headers],[amt_outstanding]])</f>
        <v>800000000</v>
      </c>
      <c r="N175" s="9" t="str" cm="1">
        <f t="array" ref="N175">_xll.BDP(bonds[[#This Row],[worksheet get]],bonds[[#Headers],[industry_sector]])</f>
        <v>Financial</v>
      </c>
      <c r="O175" s="9" t="str">
        <f>bonds[[#This Row],[security name]]&amp;" nc-"&amp;RIGHT(YEAR(bonds[[#This Row],[nxt_call_dt]]),2)</f>
        <v>HEIBOS 3.248 PERP nc-24</v>
      </c>
    </row>
    <row r="176" spans="5:15">
      <c r="E176" s="5" t="s">
        <v>122</v>
      </c>
      <c r="F176" s="5" t="str" cm="1">
        <f t="array" ref="F176">_xll.BDP(bonds[[#This Row],[worksheet get]],bonds[[#Headers],[ID_ISIN]])</f>
        <v>XS1974894138</v>
      </c>
      <c r="G176" s="5" t="str" cm="1">
        <f t="array" ref="G176">_xll.BDP(bonds[[#This Row],[worksheet get]],bonds[[#Headers],[security name]])</f>
        <v>SBBBSS 4 5/8 PERP</v>
      </c>
      <c r="H176" s="5" t="str" cm="1">
        <f t="array" ref="H176">_xll.BDP(bonds[[#This Row],[worksheet get]],bonds[[#Headers],[ticker]])</f>
        <v>SBBBSS</v>
      </c>
      <c r="I176" s="5" cm="1">
        <f t="array" ref="I176">_xll.BDP(bonds[[#This Row],[worksheet get]],bonds[[#Headers],[coupon]])</f>
        <v>4.625</v>
      </c>
      <c r="J176" s="25" cm="1">
        <f t="array" ref="J176">_xll.BDP(bonds[[#This Row],[worksheet get]],bonds[[#Headers],[nxt_call_dt]])*1</f>
        <v>45409</v>
      </c>
      <c r="K176" s="9" t="str" cm="1">
        <f t="array" ref="K176">_xll.BDP(bonds[[#This Row],[worksheet get]],bonds[[#Headers],[mty_typ]])</f>
        <v>PERP/CALL</v>
      </c>
      <c r="L176" s="9" t="str" cm="1">
        <f t="array" ref="L176">_xll.BDP(bonds[[#This Row],[worksheet get]],bonds[[#Headers],[crncy]])</f>
        <v>EUR</v>
      </c>
      <c r="M176" s="10" cm="1">
        <f t="array" ref="M176">_xll.BDP(bonds[[#This Row],[worksheet get]],bonds[[#Headers],[amt_outstanding]])</f>
        <v>300000000</v>
      </c>
      <c r="N176" s="9" t="str" cm="1">
        <f t="array" ref="N176">_xll.BDP(bonds[[#This Row],[worksheet get]],bonds[[#Headers],[industry_sector]])</f>
        <v>Financial</v>
      </c>
      <c r="O176" s="9" t="str">
        <f>bonds[[#This Row],[security name]]&amp;" nc-"&amp;RIGHT(YEAR(bonds[[#This Row],[nxt_call_dt]]),2)</f>
        <v>SBBBSS 4 5/8 PERP nc-24</v>
      </c>
    </row>
    <row r="177" spans="5:15">
      <c r="E177" s="5" t="s">
        <v>123</v>
      </c>
      <c r="F177" s="5" t="str" cm="1">
        <f t="array" ref="F177">_xll.BDP(bonds[[#This Row],[worksheet get]],bonds[[#Headers],[ID_ISIN]])</f>
        <v>XS2010032618</v>
      </c>
      <c r="G177" s="5" t="str" cm="1">
        <f t="array" ref="G177">_xll.BDP(bonds[[#This Row],[worksheet get]],bonds[[#Headers],[security name]])</f>
        <v>SBBBSS 2.624 PERP</v>
      </c>
      <c r="H177" s="5" t="str" cm="1">
        <f t="array" ref="H177">_xll.BDP(bonds[[#This Row],[worksheet get]],bonds[[#Headers],[ticker]])</f>
        <v>SBBBSS</v>
      </c>
      <c r="I177" s="5" cm="1">
        <f t="array" ref="I177">_xll.BDP(bonds[[#This Row],[worksheet get]],bonds[[#Headers],[coupon]])</f>
        <v>2.6240000000000001</v>
      </c>
      <c r="J177" s="25" cm="1">
        <f t="array" ref="J177">_xll.BDP(bonds[[#This Row],[worksheet get]],bonds[[#Headers],[nxt_call_dt]])*1</f>
        <v>45687</v>
      </c>
      <c r="K177" s="9" t="str" cm="1">
        <f t="array" ref="K177">_xll.BDP(bonds[[#This Row],[worksheet get]],bonds[[#Headers],[mty_typ]])</f>
        <v>PERP/CALL</v>
      </c>
      <c r="L177" s="9" t="str" cm="1">
        <f t="array" ref="L177">_xll.BDP(bonds[[#This Row],[worksheet get]],bonds[[#Headers],[crncy]])</f>
        <v>EUR</v>
      </c>
      <c r="M177" s="10" cm="1">
        <f t="array" ref="M177">_xll.BDP(bonds[[#This Row],[worksheet get]],bonds[[#Headers],[amt_outstanding]])</f>
        <v>500000000</v>
      </c>
      <c r="N177" s="9" t="str" cm="1">
        <f t="array" ref="N177">_xll.BDP(bonds[[#This Row],[worksheet get]],bonds[[#Headers],[industry_sector]])</f>
        <v>Financial</v>
      </c>
      <c r="O177" s="9" t="str">
        <f>bonds[[#This Row],[security name]]&amp;" nc-"&amp;RIGHT(YEAR(bonds[[#This Row],[nxt_call_dt]]),2)</f>
        <v>SBBBSS 2.624 PERP nc-25</v>
      </c>
    </row>
    <row r="178" spans="5:15">
      <c r="E178" s="5" t="s">
        <v>398</v>
      </c>
      <c r="F178" s="5" t="str" cm="1">
        <f t="array" ref="F178">_xll.BDP(bonds[[#This Row],[worksheet get]],bonds[[#Headers],[ID_ISIN]])</f>
        <v>XS1508392625</v>
      </c>
      <c r="G178" s="5" t="str" cm="1">
        <f t="array" ref="G178">_xll.BDP(bonds[[#This Row],[worksheet get]],bonds[[#Headers],[security name]])</f>
        <v>ARNDTN 3 3/4 PERP</v>
      </c>
      <c r="H178" s="5" t="str" cm="1">
        <f t="array" ref="H178">_xll.BDP(bonds[[#This Row],[worksheet get]],bonds[[#Headers],[ticker]])</f>
        <v>ARNDTN</v>
      </c>
      <c r="I178" s="5" cm="1">
        <f t="array" ref="I178">_xll.BDP(bonds[[#This Row],[worksheet get]],bonds[[#Headers],[coupon]])</f>
        <v>3.75</v>
      </c>
      <c r="J178" s="25" cm="1">
        <f t="array" ref="J178">_xll.BDP(bonds[[#This Row],[worksheet get]],bonds[[#Headers],[nxt_call_dt]])*1</f>
        <v>44946</v>
      </c>
      <c r="K178" s="9" t="str" cm="1">
        <f t="array" ref="K178">_xll.BDP(bonds[[#This Row],[worksheet get]],bonds[[#Headers],[mty_typ]])</f>
        <v>PERP/CALL</v>
      </c>
      <c r="L178" s="9" t="str" cm="1">
        <f t="array" ref="L178">_xll.BDP(bonds[[#This Row],[worksheet get]],bonds[[#Headers],[crncy]])</f>
        <v>EUR</v>
      </c>
      <c r="M178" s="10" cm="1">
        <f t="array" ref="M178">_xll.BDP(bonds[[#This Row],[worksheet get]],bonds[[#Headers],[amt_outstanding]])</f>
        <v>600000000</v>
      </c>
      <c r="N178" s="9" t="str" cm="1">
        <f t="array" ref="N178">_xll.BDP(bonds[[#This Row],[worksheet get]],bonds[[#Headers],[industry_sector]])</f>
        <v>Financial</v>
      </c>
      <c r="O178" s="9" t="str">
        <f>bonds[[#This Row],[security name]]&amp;" nc-"&amp;RIGHT(YEAR(bonds[[#This Row],[nxt_call_dt]]),2)</f>
        <v>ARNDTN 3 3/4 PERP nc-23</v>
      </c>
    </row>
    <row r="179" spans="5:15">
      <c r="E179" s="5" t="s">
        <v>399</v>
      </c>
      <c r="F179" s="5" t="str" cm="1">
        <f t="array" ref="F179">_xll.BDP(bonds[[#This Row],[worksheet get]],bonds[[#Headers],[ID_ISIN]])</f>
        <v>XS1752984440</v>
      </c>
      <c r="G179" s="5" t="str" cm="1">
        <f t="array" ref="G179">_xll.BDP(bonds[[#This Row],[worksheet get]],bonds[[#Headers],[security name]])</f>
        <v>ARNDTN 2 1/8 PERP</v>
      </c>
      <c r="H179" s="5" t="str" cm="1">
        <f t="array" ref="H179">_xll.BDP(bonds[[#This Row],[worksheet get]],bonds[[#Headers],[ticker]])</f>
        <v>ARNDTN</v>
      </c>
      <c r="I179" s="5" cm="1">
        <f t="array" ref="I179">_xll.BDP(bonds[[#This Row],[worksheet get]],bonds[[#Headers],[coupon]])</f>
        <v>2.125</v>
      </c>
      <c r="J179" s="25" cm="1">
        <f t="array" ref="J179">_xll.BDP(bonds[[#This Row],[worksheet get]],bonds[[#Headers],[nxt_call_dt]])*1</f>
        <v>45308</v>
      </c>
      <c r="K179" s="9" t="str" cm="1">
        <f t="array" ref="K179">_xll.BDP(bonds[[#This Row],[worksheet get]],bonds[[#Headers],[mty_typ]])</f>
        <v>PERP/CALL</v>
      </c>
      <c r="L179" s="9" t="str" cm="1">
        <f t="array" ref="L179">_xll.BDP(bonds[[#This Row],[worksheet get]],bonds[[#Headers],[crncy]])</f>
        <v>EUR</v>
      </c>
      <c r="M179" s="10" cm="1">
        <f t="array" ref="M179">_xll.BDP(bonds[[#This Row],[worksheet get]],bonds[[#Headers],[amt_outstanding]])</f>
        <v>400000000</v>
      </c>
      <c r="N179" s="9" t="str" cm="1">
        <f t="array" ref="N179">_xll.BDP(bonds[[#This Row],[worksheet get]],bonds[[#Headers],[industry_sector]])</f>
        <v>Financial</v>
      </c>
      <c r="O179" s="9" t="str">
        <f>bonds[[#This Row],[security name]]&amp;" nc-"&amp;RIGHT(YEAR(bonds[[#This Row],[nxt_call_dt]]),2)</f>
        <v>ARNDTN 2 1/8 PERP nc-24</v>
      </c>
    </row>
    <row r="180" spans="5:15">
      <c r="E180" s="5" t="s">
        <v>400</v>
      </c>
      <c r="F180" s="5" t="str" cm="1">
        <f t="array" ref="F180">_xll.BDP(bonds[[#This Row],[worksheet get]],bonds[[#Headers],[ID_ISIN]])</f>
        <v>XS2027946610</v>
      </c>
      <c r="G180" s="5" t="str" cm="1">
        <f t="array" ref="G180">_xll.BDP(bonds[[#This Row],[worksheet get]],bonds[[#Headers],[security name]])</f>
        <v>ARNDTN 2 7/8 PERP</v>
      </c>
      <c r="H180" s="5" t="str" cm="1">
        <f t="array" ref="H180">_xll.BDP(bonds[[#This Row],[worksheet get]],bonds[[#Headers],[ticker]])</f>
        <v>ARNDTN</v>
      </c>
      <c r="I180" s="5" cm="1">
        <f t="array" ref="I180">_xll.BDP(bonds[[#This Row],[worksheet get]],bonds[[#Headers],[coupon]])</f>
        <v>2.875</v>
      </c>
      <c r="J180" s="25" cm="1">
        <f t="array" ref="J180">_xll.BDP(bonds[[#This Row],[worksheet get]],bonds[[#Headers],[nxt_call_dt]])*1</f>
        <v>45669</v>
      </c>
      <c r="K180" s="9" t="str" cm="1">
        <f t="array" ref="K180">_xll.BDP(bonds[[#This Row],[worksheet get]],bonds[[#Headers],[mty_typ]])</f>
        <v>PERP/CALL</v>
      </c>
      <c r="L180" s="9" t="str" cm="1">
        <f t="array" ref="L180">_xll.BDP(bonds[[#This Row],[worksheet get]],bonds[[#Headers],[crncy]])</f>
        <v>EUR</v>
      </c>
      <c r="M180" s="10" cm="1">
        <f t="array" ref="M180">_xll.BDP(bonds[[#This Row],[worksheet get]],bonds[[#Headers],[amt_outstanding]])</f>
        <v>500000000</v>
      </c>
      <c r="N180" s="9" t="str" cm="1">
        <f t="array" ref="N180">_xll.BDP(bonds[[#This Row],[worksheet get]],bonds[[#Headers],[industry_sector]])</f>
        <v>Financial</v>
      </c>
      <c r="O180" s="9" t="str">
        <f>bonds[[#This Row],[security name]]&amp;" nc-"&amp;RIGHT(YEAR(bonds[[#This Row],[nxt_call_dt]]),2)</f>
        <v>ARNDTN 2 7/8 PERP nc-25</v>
      </c>
    </row>
    <row r="181" spans="5:15">
      <c r="E181" s="5" t="s">
        <v>401</v>
      </c>
      <c r="F181" s="5" t="str" cm="1">
        <f t="array" ref="F181">_xll.BDP(bonds[[#This Row],[worksheet get]],bonds[[#Headers],[ID_ISIN]])</f>
        <v>XS1634523754</v>
      </c>
      <c r="G181" s="5" t="str" cm="1">
        <f t="array" ref="G181">_xll.BDP(bonds[[#This Row],[worksheet get]],bonds[[#Headers],[security name]])</f>
        <v>ARNDTN 5 1/4 PERP</v>
      </c>
      <c r="H181" s="5" t="str" cm="1">
        <f t="array" ref="H181">_xll.BDP(bonds[[#This Row],[worksheet get]],bonds[[#Headers],[ticker]])</f>
        <v>ARNDTN</v>
      </c>
      <c r="I181" s="5" cm="1">
        <f t="array" ref="I181">_xll.BDP(bonds[[#This Row],[worksheet get]],bonds[[#Headers],[coupon]])</f>
        <v>5.25</v>
      </c>
      <c r="J181" s="25" cm="1">
        <f t="array" ref="J181">_xll.BDP(bonds[[#This Row],[worksheet get]],bonds[[#Headers],[nxt_call_dt]])*1</f>
        <v>45128</v>
      </c>
      <c r="K181" s="9" t="str" cm="1">
        <f t="array" ref="K181">_xll.BDP(bonds[[#This Row],[worksheet get]],bonds[[#Headers],[mty_typ]])</f>
        <v>PERP/CALL</v>
      </c>
      <c r="L181" s="9" t="str" cm="1">
        <f t="array" ref="L181">_xll.BDP(bonds[[#This Row],[worksheet get]],bonds[[#Headers],[crncy]])</f>
        <v>USD</v>
      </c>
      <c r="M181" s="10" cm="1">
        <f t="array" ref="M181">_xll.BDP(bonds[[#This Row],[worksheet get]],bonds[[#Headers],[amt_outstanding]])</f>
        <v>641500000</v>
      </c>
      <c r="N181" s="9" t="str" cm="1">
        <f t="array" ref="N181">_xll.BDP(bonds[[#This Row],[worksheet get]],bonds[[#Headers],[industry_sector]])</f>
        <v>Financial</v>
      </c>
      <c r="O181" s="9" t="str">
        <f>bonds[[#This Row],[security name]]&amp;" nc-"&amp;RIGHT(YEAR(bonds[[#This Row],[nxt_call_dt]]),2)</f>
        <v>ARNDTN 5 1/4 PERP nc-23</v>
      </c>
    </row>
    <row r="182" spans="5:15">
      <c r="E182" s="5" t="s">
        <v>402</v>
      </c>
      <c r="F182" s="5" t="str" cm="1">
        <f t="array" ref="F182">_xll.BDP(bonds[[#This Row],[worksheet get]],bonds[[#Headers],[ID_ISIN]])</f>
        <v>XS2017788592</v>
      </c>
      <c r="G182" s="5" t="str" cm="1">
        <f t="array" ref="G182">_xll.BDP(bonds[[#This Row],[worksheet get]],bonds[[#Headers],[security name]])</f>
        <v>ARNDTN 4 3/4 PERP</v>
      </c>
      <c r="H182" s="5" t="str" cm="1">
        <f t="array" ref="H182">_xll.BDP(bonds[[#This Row],[worksheet get]],bonds[[#Headers],[ticker]])</f>
        <v>ARNDTN</v>
      </c>
      <c r="I182" s="5" cm="1">
        <f t="array" ref="I182">_xll.BDP(bonds[[#This Row],[worksheet get]],bonds[[#Headers],[coupon]])</f>
        <v>4.75</v>
      </c>
      <c r="J182" s="25" cm="1">
        <f t="array" ref="J182">_xll.BDP(bonds[[#This Row],[worksheet get]],bonds[[#Headers],[nxt_call_dt]])*1</f>
        <v>45468</v>
      </c>
      <c r="K182" s="9" t="str" cm="1">
        <f t="array" ref="K182">_xll.BDP(bonds[[#This Row],[worksheet get]],bonds[[#Headers],[mty_typ]])</f>
        <v>PERP/CALL</v>
      </c>
      <c r="L182" s="9" t="str" cm="1">
        <f t="array" ref="L182">_xll.BDP(bonds[[#This Row],[worksheet get]],bonds[[#Headers],[crncy]])</f>
        <v>GBP</v>
      </c>
      <c r="M182" s="10" cm="1">
        <f t="array" ref="M182">_xll.BDP(bonds[[#This Row],[worksheet get]],bonds[[#Headers],[amt_outstanding]])</f>
        <v>400000000</v>
      </c>
      <c r="N182" s="9" t="str" cm="1">
        <f t="array" ref="N182">_xll.BDP(bonds[[#This Row],[worksheet get]],bonds[[#Headers],[industry_sector]])</f>
        <v>Financial</v>
      </c>
      <c r="O182" s="9" t="str">
        <f>bonds[[#This Row],[security name]]&amp;" nc-"&amp;RIGHT(YEAR(bonds[[#This Row],[nxt_call_dt]]),2)</f>
        <v>ARNDTN 4 3/4 PERP nc-24</v>
      </c>
    </row>
    <row r="183" spans="5:15">
      <c r="E183" s="5" t="s">
        <v>403</v>
      </c>
      <c r="F183" s="5" t="str" cm="1">
        <f t="array" ref="F183">_xll.BDP(bonds[[#This Row],[worksheet get]],bonds[[#Headers],[ID_ISIN]])</f>
        <v>XS1191320297</v>
      </c>
      <c r="G183" s="5" t="str" cm="1">
        <f t="array" ref="G183">_xll.BDP(bonds[[#This Row],[worksheet get]],bonds[[#Headers],[security name]])</f>
        <v>GYCGR 3 3/4 PERP</v>
      </c>
      <c r="H183" s="5" t="str" cm="1">
        <f t="array" ref="H183">_xll.BDP(bonds[[#This Row],[worksheet get]],bonds[[#Headers],[ticker]])</f>
        <v>GYCGR</v>
      </c>
      <c r="I183" s="5" cm="1">
        <f t="array" ref="I183">_xll.BDP(bonds[[#This Row],[worksheet get]],bonds[[#Headers],[coupon]])</f>
        <v>3.75</v>
      </c>
      <c r="J183" s="25" cm="1">
        <f t="array" ref="J183">_xll.BDP(bonds[[#This Row],[worksheet get]],bonds[[#Headers],[nxt_call_dt]])*1</f>
        <v>44610</v>
      </c>
      <c r="K183" s="9" t="str" cm="1">
        <f t="array" ref="K183">_xll.BDP(bonds[[#This Row],[worksheet get]],bonds[[#Headers],[mty_typ]])</f>
        <v>PERP/CALL</v>
      </c>
      <c r="L183" s="9" t="str" cm="1">
        <f t="array" ref="L183">_xll.BDP(bonds[[#This Row],[worksheet get]],bonds[[#Headers],[crncy]])</f>
        <v>EUR</v>
      </c>
      <c r="M183" s="10" cm="1">
        <f t="array" ref="M183">_xll.BDP(bonds[[#This Row],[worksheet get]],bonds[[#Headers],[amt_outstanding]])</f>
        <v>500000000</v>
      </c>
      <c r="N183" s="9" t="str" cm="1">
        <f t="array" ref="N183">_xll.BDP(bonds[[#This Row],[worksheet get]],bonds[[#Headers],[industry_sector]])</f>
        <v>Financial</v>
      </c>
      <c r="O183" s="9" t="str">
        <f>bonds[[#This Row],[security name]]&amp;" nc-"&amp;RIGHT(YEAR(bonds[[#This Row],[nxt_call_dt]]),2)</f>
        <v>GYCGR 3 3/4 PERP nc-22</v>
      </c>
    </row>
    <row r="184" spans="5:15">
      <c r="E184" s="5" t="s">
        <v>404</v>
      </c>
      <c r="F184" s="5" t="str" cm="1">
        <f t="array" ref="F184">_xll.BDP(bonds[[#This Row],[worksheet get]],bonds[[#Headers],[ID_ISIN]])</f>
        <v>XS1491364953</v>
      </c>
      <c r="G184" s="5" t="str" cm="1">
        <f t="array" ref="G184">_xll.BDP(bonds[[#This Row],[worksheet get]],bonds[[#Headers],[security name]])</f>
        <v>GYCGR 2 3/4 PERP</v>
      </c>
      <c r="H184" s="5" t="str" cm="1">
        <f t="array" ref="H184">_xll.BDP(bonds[[#This Row],[worksheet get]],bonds[[#Headers],[ticker]])</f>
        <v>GYCGR</v>
      </c>
      <c r="I184" s="5" cm="1">
        <f t="array" ref="I184">_xll.BDP(bonds[[#This Row],[worksheet get]],bonds[[#Headers],[coupon]])</f>
        <v>2.75</v>
      </c>
      <c r="J184" s="25" cm="1">
        <f t="array" ref="J184">_xll.BDP(bonds[[#This Row],[worksheet get]],bonds[[#Headers],[nxt_call_dt]])*1</f>
        <v>44948</v>
      </c>
      <c r="K184" s="9" t="str" cm="1">
        <f t="array" ref="K184">_xll.BDP(bonds[[#This Row],[worksheet get]],bonds[[#Headers],[mty_typ]])</f>
        <v>PERP/CALL</v>
      </c>
      <c r="L184" s="9" t="str" cm="1">
        <f t="array" ref="L184">_xll.BDP(bonds[[#This Row],[worksheet get]],bonds[[#Headers],[crncy]])</f>
        <v>EUR</v>
      </c>
      <c r="M184" s="10" cm="1">
        <f t="array" ref="M184">_xll.BDP(bonds[[#This Row],[worksheet get]],bonds[[#Headers],[amt_outstanding]])</f>
        <v>200000000</v>
      </c>
      <c r="N184" s="9" t="str" cm="1">
        <f t="array" ref="N184">_xll.BDP(bonds[[#This Row],[worksheet get]],bonds[[#Headers],[industry_sector]])</f>
        <v>Financial</v>
      </c>
      <c r="O184" s="9" t="str">
        <f>bonds[[#This Row],[security name]]&amp;" nc-"&amp;RIGHT(YEAR(bonds[[#This Row],[nxt_call_dt]]),2)</f>
        <v>GYCGR 2 3/4 PERP nc-23</v>
      </c>
    </row>
    <row r="185" spans="5:15">
      <c r="E185" s="5" t="s">
        <v>405</v>
      </c>
      <c r="F185" s="5" t="str" cm="1">
        <f t="array" ref="F185">_xll.BDP(bonds[[#This Row],[worksheet get]],bonds[[#Headers],[ID_ISIN]])</f>
        <v>XS1811181566</v>
      </c>
      <c r="G185" s="5" t="str" cm="1">
        <f t="array" ref="G185">_xll.BDP(bonds[[#This Row],[worksheet get]],bonds[[#Headers],[security name]])</f>
        <v>GYCGR 2 1/2 PERP</v>
      </c>
      <c r="H185" s="5" t="str" cm="1">
        <f t="array" ref="H185">_xll.BDP(bonds[[#This Row],[worksheet get]],bonds[[#Headers],[ticker]])</f>
        <v>GYCGR</v>
      </c>
      <c r="I185" s="5" cm="1">
        <f t="array" ref="I185">_xll.BDP(bonds[[#This Row],[worksheet get]],bonds[[#Headers],[coupon]])</f>
        <v>2.5</v>
      </c>
      <c r="J185" s="25" cm="1">
        <f t="array" ref="J185">_xll.BDP(bonds[[#This Row],[worksheet get]],bonds[[#Headers],[nxt_call_dt]])*1</f>
        <v>45131</v>
      </c>
      <c r="K185" s="9" t="str" cm="1">
        <f t="array" ref="K185">_xll.BDP(bonds[[#This Row],[worksheet get]],bonds[[#Headers],[mty_typ]])</f>
        <v>PERP/CALL</v>
      </c>
      <c r="L185" s="9" t="str" cm="1">
        <f t="array" ref="L185">_xll.BDP(bonds[[#This Row],[worksheet get]],bonds[[#Headers],[crncy]])</f>
        <v>EUR</v>
      </c>
      <c r="M185" s="10" cm="1">
        <f t="array" ref="M185">_xll.BDP(bonds[[#This Row],[worksheet get]],bonds[[#Headers],[amt_outstanding]])</f>
        <v>350000000</v>
      </c>
      <c r="N185" s="9" t="str" cm="1">
        <f t="array" ref="N185">_xll.BDP(bonds[[#This Row],[worksheet get]],bonds[[#Headers],[industry_sector]])</f>
        <v>Financial</v>
      </c>
      <c r="O185" s="9" t="str">
        <f>bonds[[#This Row],[security name]]&amp;" nc-"&amp;RIGHT(YEAR(bonds[[#This Row],[nxt_call_dt]]),2)</f>
        <v>GYCGR 2 1/2 PERP nc-23</v>
      </c>
    </row>
    <row r="186" spans="5:15">
      <c r="E186" s="5" t="s">
        <v>134</v>
      </c>
      <c r="F186" s="5" t="str" cm="1">
        <f t="array" ref="F186">_xll.BDP(bonds[[#This Row],[worksheet get]],bonds[[#Headers],[ID_ISIN]])</f>
        <v>XS1819537132</v>
      </c>
      <c r="G186" s="5" t="str" cm="1">
        <f t="array" ref="G186">_xll.BDP(bonds[[#This Row],[worksheet get]],bonds[[#Headers],[security name]])</f>
        <v>CPIPGR 4 3/8 PERP</v>
      </c>
      <c r="H186" s="5" t="str" cm="1">
        <f t="array" ref="H186">_xll.BDP(bonds[[#This Row],[worksheet get]],bonds[[#Headers],[ticker]])</f>
        <v>CPIPGR</v>
      </c>
      <c r="I186" s="5" cm="1">
        <f t="array" ref="I186">_xll.BDP(bonds[[#This Row],[worksheet get]],bonds[[#Headers],[coupon]])</f>
        <v>4.375</v>
      </c>
      <c r="J186" s="25" cm="1">
        <f t="array" ref="J186">_xll.BDP(bonds[[#This Row],[worksheet get]],bonds[[#Headers],[nxt_call_dt]])*1</f>
        <v>45147</v>
      </c>
      <c r="K186" s="9" t="str" cm="1">
        <f t="array" ref="K186">_xll.BDP(bonds[[#This Row],[worksheet get]],bonds[[#Headers],[mty_typ]])</f>
        <v>PERP/CALL</v>
      </c>
      <c r="L186" s="9" t="str" cm="1">
        <f t="array" ref="L186">_xll.BDP(bonds[[#This Row],[worksheet get]],bonds[[#Headers],[crncy]])</f>
        <v>EUR</v>
      </c>
      <c r="M186" s="10" cm="1">
        <f t="array" ref="M186">_xll.BDP(bonds[[#This Row],[worksheet get]],bonds[[#Headers],[amt_outstanding]])</f>
        <v>550000000</v>
      </c>
      <c r="N186" s="9" t="str" cm="1">
        <f t="array" ref="N186">_xll.BDP(bonds[[#This Row],[worksheet get]],bonds[[#Headers],[industry_sector]])</f>
        <v>Financial</v>
      </c>
      <c r="O186" s="9" t="str">
        <f>bonds[[#This Row],[security name]]&amp;" nc-"&amp;RIGHT(YEAR(bonds[[#This Row],[nxt_call_dt]]),2)</f>
        <v>CPIPGR 4 3/8 PERP nc-23</v>
      </c>
    </row>
    <row r="187" spans="5:15">
      <c r="E187" s="5" t="s">
        <v>135</v>
      </c>
      <c r="F187" s="5" t="str" cm="1">
        <f t="array" ref="F187">_xll.BDP(bonds[[#This Row],[worksheet get]],bonds[[#Headers],[ID_ISIN]])</f>
        <v>XS1982704824</v>
      </c>
      <c r="G187" s="5" t="str" cm="1">
        <f t="array" ref="G187">_xll.BDP(bonds[[#This Row],[worksheet get]],bonds[[#Headers],[security name]])</f>
        <v>CPIPGR 4 7/8 PERP</v>
      </c>
      <c r="H187" s="5" t="str" cm="1">
        <f t="array" ref="H187">_xll.BDP(bonds[[#This Row],[worksheet get]],bonds[[#Headers],[ticker]])</f>
        <v>CPIPGR</v>
      </c>
      <c r="I187" s="5" cm="1">
        <f t="array" ref="I187">_xll.BDP(bonds[[#This Row],[worksheet get]],bonds[[#Headers],[coupon]])</f>
        <v>4.875</v>
      </c>
      <c r="J187" s="25" cm="1">
        <f t="array" ref="J187">_xll.BDP(bonds[[#This Row],[worksheet get]],bonds[[#Headers],[nxt_call_dt]])*1</f>
        <v>45854</v>
      </c>
      <c r="K187" s="9" t="str" cm="1">
        <f t="array" ref="K187">_xll.BDP(bonds[[#This Row],[worksheet get]],bonds[[#Headers],[mty_typ]])</f>
        <v>PERP/CALL</v>
      </c>
      <c r="L187" s="9" t="str" cm="1">
        <f t="array" ref="L187">_xll.BDP(bonds[[#This Row],[worksheet get]],bonds[[#Headers],[crncy]])</f>
        <v>EUR</v>
      </c>
      <c r="M187" s="10" cm="1">
        <f t="array" ref="M187">_xll.BDP(bonds[[#This Row],[worksheet get]],bonds[[#Headers],[amt_outstanding]])</f>
        <v>550000000</v>
      </c>
      <c r="N187" s="9" t="str" cm="1">
        <f t="array" ref="N187">_xll.BDP(bonds[[#This Row],[worksheet get]],bonds[[#Headers],[industry_sector]])</f>
        <v>Financial</v>
      </c>
      <c r="O187" s="9" t="str">
        <f>bonds[[#This Row],[security name]]&amp;" nc-"&amp;RIGHT(YEAR(bonds[[#This Row],[nxt_call_dt]]),2)</f>
        <v>CPIPGR 4 7/8 PERP nc-25</v>
      </c>
    </row>
    <row r="188" spans="5:15">
      <c r="E188" s="5" t="s">
        <v>406</v>
      </c>
      <c r="F188" s="5" t="str" cm="1">
        <f t="array" ref="F188">_xll.BDP(bonds[[#This Row],[worksheet get]],bonds[[#Headers],[ID_ISIN]])</f>
        <v>XS1934875219</v>
      </c>
      <c r="G188" s="5" t="str" cm="1">
        <f t="array" ref="G188">_xll.BDP(bonds[[#This Row],[worksheet get]],bonds[[#Headers],[security name]])</f>
        <v>JUSTLN 9 3/8 PERP</v>
      </c>
      <c r="H188" s="5" t="str" cm="1">
        <f t="array" ref="H188">_xll.BDP(bonds[[#This Row],[worksheet get]],bonds[[#Headers],[ticker]])</f>
        <v>JUSTLN</v>
      </c>
      <c r="I188" s="5" cm="1">
        <f t="array" ref="I188">_xll.BDP(bonds[[#This Row],[worksheet get]],bonds[[#Headers],[coupon]])</f>
        <v>9.375</v>
      </c>
      <c r="J188" s="25" cm="1">
        <f t="array" ref="J188">_xll.BDP(bonds[[#This Row],[worksheet get]],bonds[[#Headers],[nxt_call_dt]])*1</f>
        <v>45408</v>
      </c>
      <c r="K188" s="9" t="str" cm="1">
        <f t="array" ref="K188">_xll.BDP(bonds[[#This Row],[worksheet get]],bonds[[#Headers],[mty_typ]])</f>
        <v>PERP/CALL</v>
      </c>
      <c r="L188" s="9" t="str" cm="1">
        <f t="array" ref="L188">_xll.BDP(bonds[[#This Row],[worksheet get]],bonds[[#Headers],[crncy]])</f>
        <v>GBP</v>
      </c>
      <c r="M188" s="10" cm="1">
        <f t="array" ref="M188">_xll.BDP(bonds[[#This Row],[worksheet get]],bonds[[#Headers],[amt_outstanding]])</f>
        <v>300000000</v>
      </c>
      <c r="N188" s="9" t="str" cm="1">
        <f t="array" ref="N188">_xll.BDP(bonds[[#This Row],[worksheet get]],bonds[[#Headers],[industry_sector]])</f>
        <v>Financial</v>
      </c>
      <c r="O188" s="9" t="str">
        <f>bonds[[#This Row],[security name]]&amp;" nc-"&amp;RIGHT(YEAR(bonds[[#This Row],[nxt_call_dt]]),2)</f>
        <v>JUSTLN 9 3/8 PERP nc-24</v>
      </c>
    </row>
    <row r="189" spans="5:15">
      <c r="E189" s="5" t="s">
        <v>407</v>
      </c>
      <c r="F189" s="5" t="str" cm="1">
        <f t="array" ref="F189">_xll.BDP(bonds[[#This Row],[worksheet get]],bonds[[#Headers],[ID_ISIN]])</f>
        <v>XS0222524372</v>
      </c>
      <c r="G189" s="5" t="str" cm="1">
        <f t="array" ref="G189">_xll.BDP(bonds[[#This Row],[worksheet get]],bonds[[#Headers],[security name]])</f>
        <v>SZUGR Float PERP</v>
      </c>
      <c r="H189" s="5" t="str" cm="1">
        <f t="array" ref="H189">_xll.BDP(bonds[[#This Row],[worksheet get]],bonds[[#Headers],[ticker]])</f>
        <v>SZUGR</v>
      </c>
      <c r="I189" s="5" cm="1">
        <f t="array" ref="I189">_xll.BDP(bonds[[#This Row],[worksheet get]],bonds[[#Headers],[coupon]])</f>
        <v>2.6970000000000001</v>
      </c>
      <c r="J189" s="25" cm="1">
        <f t="array" ref="J189">_xll.BDP(bonds[[#This Row],[worksheet get]],bonds[[#Headers],[nxt_call_dt]])*1</f>
        <v>44104</v>
      </c>
      <c r="K189" s="9" t="str" cm="1">
        <f t="array" ref="K189">_xll.BDP(bonds[[#This Row],[worksheet get]],bonds[[#Headers],[mty_typ]])</f>
        <v>PERP/CALL</v>
      </c>
      <c r="L189" s="9" t="str" cm="1">
        <f t="array" ref="L189">_xll.BDP(bonds[[#This Row],[worksheet get]],bonds[[#Headers],[crncy]])</f>
        <v>EUR</v>
      </c>
      <c r="M189" s="10" cm="1">
        <f t="array" ref="M189">_xll.BDP(bonds[[#This Row],[worksheet get]],bonds[[#Headers],[amt_outstanding]])</f>
        <v>700000000</v>
      </c>
      <c r="N189" s="9" t="str" cm="1">
        <f t="array" ref="N189">_xll.BDP(bonds[[#This Row],[worksheet get]],bonds[[#Headers],[industry_sector]])</f>
        <v>Consumer, Non-cyclical</v>
      </c>
      <c r="O189" s="9" t="str">
        <f>bonds[[#This Row],[security name]]&amp;" nc-"&amp;RIGHT(YEAR(bonds[[#This Row],[nxt_call_dt]]),2)</f>
        <v>SZUGR Float PERP nc-20</v>
      </c>
    </row>
    <row r="190" spans="5:15">
      <c r="E190" s="5" t="s">
        <v>408</v>
      </c>
      <c r="F190" s="5" t="str" cm="1">
        <f t="array" ref="F190">_xll.BDP(bonds[[#This Row],[worksheet get]],bonds[[#Headers],[ID_ISIN]])</f>
        <v>FR0011606169</v>
      </c>
      <c r="G190" s="5" t="str" cm="1">
        <f t="array" ref="G190">_xll.BDP(bonds[[#This Row],[worksheet get]],bonds[[#Headers],[security name]])</f>
        <v>COFP 3.992 PERP</v>
      </c>
      <c r="H190" s="5" t="str" cm="1">
        <f t="array" ref="H190">_xll.BDP(bonds[[#This Row],[worksheet get]],bonds[[#Headers],[ticker]])</f>
        <v>COFP</v>
      </c>
      <c r="I190" s="5" cm="1">
        <f t="array" ref="I190">_xll.BDP(bonds[[#This Row],[worksheet get]],bonds[[#Headers],[coupon]])</f>
        <v>3.992</v>
      </c>
      <c r="J190" s="25" cm="1">
        <f t="array" ref="J190">_xll.BDP(bonds[[#This Row],[worksheet get]],bonds[[#Headers],[nxt_call_dt]])*1</f>
        <v>45322</v>
      </c>
      <c r="K190" s="9" t="str" cm="1">
        <f t="array" ref="K190">_xll.BDP(bonds[[#This Row],[worksheet get]],bonds[[#Headers],[mty_typ]])</f>
        <v>PERP/CALL</v>
      </c>
      <c r="L190" s="9" t="str" cm="1">
        <f t="array" ref="L190">_xll.BDP(bonds[[#This Row],[worksheet get]],bonds[[#Headers],[crncy]])</f>
        <v>EUR</v>
      </c>
      <c r="M190" s="10" cm="1">
        <f t="array" ref="M190">_xll.BDP(bonds[[#This Row],[worksheet get]],bonds[[#Headers],[amt_outstanding]])</f>
        <v>750000000</v>
      </c>
      <c r="N190" s="9" t="str" cm="1">
        <f t="array" ref="N190">_xll.BDP(bonds[[#This Row],[worksheet get]],bonds[[#Headers],[industry_sector]])</f>
        <v>Consumer, Non-cyclical</v>
      </c>
      <c r="O190" s="9" t="str">
        <f>bonds[[#This Row],[security name]]&amp;" nc-"&amp;RIGHT(YEAR(bonds[[#This Row],[nxt_call_dt]]),2)</f>
        <v>COFP 3.992 PERP nc-24</v>
      </c>
    </row>
    <row r="191" spans="5:15">
      <c r="E191" s="5" t="s">
        <v>409</v>
      </c>
      <c r="F191" s="5" t="str" cm="1">
        <f t="array" ref="F191">_xll.BDP(bonds[[#This Row],[worksheet get]],bonds[[#Headers],[ID_ISIN]])</f>
        <v>XS1268050397</v>
      </c>
      <c r="G191" s="5" t="str" cm="1">
        <f t="array" ref="G191">_xll.BDP(bonds[[#This Row],[worksheet get]],bonds[[#Headers],[security name]])</f>
        <v>SBRYLN 6 1/2 PERP</v>
      </c>
      <c r="H191" s="5" t="str" cm="1">
        <f t="array" ref="H191">_xll.BDP(bonds[[#This Row],[worksheet get]],bonds[[#Headers],[ticker]])</f>
        <v>SBRYLN</v>
      </c>
      <c r="I191" s="5" cm="1">
        <f t="array" ref="I191">_xll.BDP(bonds[[#This Row],[worksheet get]],bonds[[#Headers],[coupon]])</f>
        <v>6.5</v>
      </c>
      <c r="J191" s="25" cm="1">
        <f t="array" ref="J191">_xll.BDP(bonds[[#This Row],[worksheet get]],bonds[[#Headers],[nxt_call_dt]])*1</f>
        <v>44042</v>
      </c>
      <c r="K191" s="9" t="str" cm="1">
        <f t="array" ref="K191">_xll.BDP(bonds[[#This Row],[worksheet get]],bonds[[#Headers],[mty_typ]])</f>
        <v>PERP/CALL</v>
      </c>
      <c r="L191" s="9" t="str" cm="1">
        <f t="array" ref="L191">_xll.BDP(bonds[[#This Row],[worksheet get]],bonds[[#Headers],[crncy]])</f>
        <v>GBP</v>
      </c>
      <c r="M191" s="10" cm="1">
        <f t="array" ref="M191">_xll.BDP(bonds[[#This Row],[worksheet get]],bonds[[#Headers],[amt_outstanding]])</f>
        <v>250000000</v>
      </c>
      <c r="N191" s="9" t="str" cm="1">
        <f t="array" ref="N191">_xll.BDP(bonds[[#This Row],[worksheet get]],bonds[[#Headers],[industry_sector]])</f>
        <v>Consumer, Non-cyclical</v>
      </c>
      <c r="O191" s="9" t="str">
        <f>bonds[[#This Row],[security name]]&amp;" nc-"&amp;RIGHT(YEAR(bonds[[#This Row],[nxt_call_dt]]),2)</f>
        <v>SBRYLN 6 1/2 PERP nc-20</v>
      </c>
    </row>
    <row r="192" spans="5:15">
      <c r="E192" s="5" t="s">
        <v>410</v>
      </c>
      <c r="F192" s="5" t="str" cm="1">
        <f t="array" ref="F192">_xll.BDP(bonds[[#This Row],[worksheet get]],bonds[[#Headers],[ID_ISIN]])</f>
        <v>DE000A1ZN206</v>
      </c>
      <c r="G192" s="5" t="str" cm="1">
        <f t="array" ref="G192">_xll.BDP(bonds[[#This Row],[worksheet get]],bonds[[#Headers],[security name]])</f>
        <v>WIEAV 5 PERP</v>
      </c>
      <c r="H192" s="5" t="str" cm="1">
        <f t="array" ref="H192">_xll.BDP(bonds[[#This Row],[worksheet get]],bonds[[#Headers],[ticker]])</f>
        <v>WIEAV</v>
      </c>
      <c r="I192" s="5" cm="1">
        <f t="array" ref="I192">_xll.BDP(bonds[[#This Row],[worksheet get]],bonds[[#Headers],[coupon]])</f>
        <v>5</v>
      </c>
      <c r="J192" s="25" cm="1">
        <f t="array" ref="J192">_xll.BDP(bonds[[#This Row],[worksheet get]],bonds[[#Headers],[nxt_call_dt]])*1</f>
        <v>44236</v>
      </c>
      <c r="K192" s="9" t="str" cm="1">
        <f t="array" ref="K192">_xll.BDP(bonds[[#This Row],[worksheet get]],bonds[[#Headers],[mty_typ]])</f>
        <v>PERP/CALL</v>
      </c>
      <c r="L192" s="9" t="str" cm="1">
        <f t="array" ref="L192">_xll.BDP(bonds[[#This Row],[worksheet get]],bonds[[#Headers],[crncy]])</f>
        <v>EUR</v>
      </c>
      <c r="M192" s="10" cm="1">
        <f t="array" ref="M192">_xll.BDP(bonds[[#This Row],[worksheet get]],bonds[[#Headers],[amt_outstanding]])</f>
        <v>222230000</v>
      </c>
      <c r="N192" s="9" t="str" cm="1">
        <f t="array" ref="N192">_xll.BDP(bonds[[#This Row],[worksheet get]],bonds[[#Headers],[industry_sector]])</f>
        <v>Industrial</v>
      </c>
      <c r="O192" s="9" t="str">
        <f>bonds[[#This Row],[security name]]&amp;" nc-"&amp;RIGHT(YEAR(bonds[[#This Row],[nxt_call_dt]]),2)</f>
        <v>WIEAV 5 PERP nc-21</v>
      </c>
    </row>
    <row r="193" spans="5:15">
      <c r="E193" s="5" t="s">
        <v>411</v>
      </c>
      <c r="F193" s="5" t="str" cm="1">
        <f t="array" ref="F193">_xll.BDP(bonds[[#This Row],[worksheet get]],bonds[[#Headers],[ID_ISIN]])</f>
        <v>XS1582433428</v>
      </c>
      <c r="G193" s="5" t="str" cm="1">
        <f t="array" ref="G193">_xll.BDP(bonds[[#This Row],[worksheet get]],bonds[[#Headers],[security name]])</f>
        <v>TRAFIG 6 7/8 PERP</v>
      </c>
      <c r="H193" s="5" t="str" cm="1">
        <f t="array" ref="H193">_xll.BDP(bonds[[#This Row],[worksheet get]],bonds[[#Headers],[ticker]])</f>
        <v>TRAFIG</v>
      </c>
      <c r="I193" s="5" cm="1">
        <f t="array" ref="I193">_xll.BDP(bonds[[#This Row],[worksheet get]],bonds[[#Headers],[coupon]])</f>
        <v>6.875</v>
      </c>
      <c r="J193" s="25" cm="1">
        <f t="array" ref="J193">_xll.BDP(bonds[[#This Row],[worksheet get]],bonds[[#Headers],[nxt_call_dt]])*1</f>
        <v>44552</v>
      </c>
      <c r="K193" s="9" t="str" cm="1">
        <f t="array" ref="K193">_xll.BDP(bonds[[#This Row],[worksheet get]],bonds[[#Headers],[mty_typ]])</f>
        <v>PERP/CALL</v>
      </c>
      <c r="L193" s="9" t="str" cm="1">
        <f t="array" ref="L193">_xll.BDP(bonds[[#This Row],[worksheet get]],bonds[[#Headers],[crncy]])</f>
        <v>USD</v>
      </c>
      <c r="M193" s="10" cm="1">
        <f t="array" ref="M193">_xll.BDP(bonds[[#This Row],[worksheet get]],bonds[[#Headers],[amt_outstanding]])</f>
        <v>800000000</v>
      </c>
      <c r="N193" s="9" t="str" cm="1">
        <f t="array" ref="N193">_xll.BDP(bonds[[#This Row],[worksheet get]],bonds[[#Headers],[industry_sector]])</f>
        <v>Energy</v>
      </c>
      <c r="O193" s="9" t="str">
        <f>bonds[[#This Row],[security name]]&amp;" nc-"&amp;RIGHT(YEAR(bonds[[#This Row],[nxt_call_dt]]),2)</f>
        <v>TRAFIG 6 7/8 PERP nc-21</v>
      </c>
    </row>
    <row r="194" spans="5:15">
      <c r="E194" s="5" t="s">
        <v>412</v>
      </c>
      <c r="F194" s="5" t="str" cm="1">
        <f t="array" ref="F194">_xll.BDP(bonds[[#This Row],[worksheet get]],bonds[[#Headers],[ID_ISIN]])</f>
        <v>XS2033327854</v>
      </c>
      <c r="G194" s="5" t="str" cm="1">
        <f t="array" ref="G194">_xll.BDP(bonds[[#This Row],[worksheet get]],bonds[[#Headers],[security name]])</f>
        <v>TRAFIG 7 1/2 PERP</v>
      </c>
      <c r="H194" s="5" t="str" cm="1">
        <f t="array" ref="H194">_xll.BDP(bonds[[#This Row],[worksheet get]],bonds[[#Headers],[ticker]])</f>
        <v>TRAFIG</v>
      </c>
      <c r="I194" s="5" cm="1">
        <f t="array" ref="I194">_xll.BDP(bonds[[#This Row],[worksheet get]],bonds[[#Headers],[coupon]])</f>
        <v>7.5</v>
      </c>
      <c r="J194" s="25" cm="1">
        <f t="array" ref="J194">_xll.BDP(bonds[[#This Row],[worksheet get]],bonds[[#Headers],[nxt_call_dt]])*1</f>
        <v>45504</v>
      </c>
      <c r="K194" s="9" t="str" cm="1">
        <f t="array" ref="K194">_xll.BDP(bonds[[#This Row],[worksheet get]],bonds[[#Headers],[mty_typ]])</f>
        <v>PERP/CALL</v>
      </c>
      <c r="L194" s="9" t="str" cm="1">
        <f t="array" ref="L194">_xll.BDP(bonds[[#This Row],[worksheet get]],bonds[[#Headers],[crncy]])</f>
        <v>EUR</v>
      </c>
      <c r="M194" s="10" cm="1">
        <f t="array" ref="M194">_xll.BDP(bonds[[#This Row],[worksheet get]],bonds[[#Headers],[amt_outstanding]])</f>
        <v>232936000</v>
      </c>
      <c r="N194" s="9" t="str" cm="1">
        <f t="array" ref="N194">_xll.BDP(bonds[[#This Row],[worksheet get]],bonds[[#Headers],[industry_sector]])</f>
        <v>Energy</v>
      </c>
      <c r="O194" s="9" t="str">
        <f>bonds[[#This Row],[security name]]&amp;" nc-"&amp;RIGHT(YEAR(bonds[[#This Row],[nxt_call_dt]]),2)</f>
        <v>TRAFIG 7 1/2 PERP nc-24</v>
      </c>
    </row>
    <row r="195" spans="5:15">
      <c r="E195" s="5" t="s">
        <v>413</v>
      </c>
      <c r="F195" s="9" t="str" cm="1">
        <f t="array" ref="F195">_xll.BDP(bonds[[#This Row],[worksheet get]],bonds[[#Headers],[ID_ISIN]])</f>
        <v>XS1642682410</v>
      </c>
      <c r="G195" s="9" t="str" cm="1">
        <f t="array" ref="G195">_xll.BDP(bonds[[#This Row],[worksheet get]],bonds[[#Headers],[security name]])</f>
        <v>SOFTBK 6 PERP</v>
      </c>
      <c r="H195" s="9" t="str" cm="1">
        <f t="array" ref="H195">_xll.BDP(bonds[[#This Row],[worksheet get]],bonds[[#Headers],[ticker]])</f>
        <v>SOFTBK</v>
      </c>
      <c r="I195" s="9" cm="1">
        <f t="array" ref="I195">_xll.BDP(bonds[[#This Row],[worksheet get]],bonds[[#Headers],[coupon]])</f>
        <v>6</v>
      </c>
      <c r="J195" s="25" cm="1">
        <f t="array" ref="J195">_xll.BDP(bonds[[#This Row],[worksheet get]],bonds[[#Headers],[nxt_call_dt]])*1</f>
        <v>45126</v>
      </c>
      <c r="K195" s="9" t="str" cm="1">
        <f t="array" ref="K195">_xll.BDP(bonds[[#This Row],[worksheet get]],bonds[[#Headers],[mty_typ]])</f>
        <v>PERP/CALL</v>
      </c>
      <c r="L195" s="9" t="str" cm="1">
        <f t="array" ref="L195">_xll.BDP(bonds[[#This Row],[worksheet get]],bonds[[#Headers],[crncy]])</f>
        <v>USD</v>
      </c>
      <c r="M195" s="10" cm="1">
        <f t="array" ref="M195">_xll.BDP(bonds[[#This Row],[worksheet get]],bonds[[#Headers],[amt_outstanding]])</f>
        <v>2750000000</v>
      </c>
      <c r="N195" s="9" t="str" cm="1">
        <f t="array" ref="N195">_xll.BDP(bonds[[#This Row],[worksheet get]],bonds[[#Headers],[industry_sector]])</f>
        <v>Communications</v>
      </c>
      <c r="O195" s="9" t="str">
        <f>bonds[[#This Row],[security name]]&amp;" nc-"&amp;RIGHT(YEAR(bonds[[#This Row],[nxt_call_dt]]),2)</f>
        <v>SOFTBK 6 PERP nc-23</v>
      </c>
    </row>
    <row r="196" spans="5:15">
      <c r="E196" s="5" t="s">
        <v>414</v>
      </c>
      <c r="F196" s="9" t="str" cm="1">
        <f t="array" ref="F196">_xll.BDP(bonds[[#This Row],[worksheet get]],bonds[[#Headers],[ID_ISIN]])</f>
        <v>XS1642686676</v>
      </c>
      <c r="G196" s="9" t="str" cm="1">
        <f t="array" ref="G196">_xll.BDP(bonds[[#This Row],[worksheet get]],bonds[[#Headers],[security name]])</f>
        <v>SOFTBK 6 7/8 PERP</v>
      </c>
      <c r="H196" s="9" t="str" cm="1">
        <f t="array" ref="H196">_xll.BDP(bonds[[#This Row],[worksheet get]],bonds[[#Headers],[ticker]])</f>
        <v>SOFTBK</v>
      </c>
      <c r="I196" s="9" cm="1">
        <f t="array" ref="I196">_xll.BDP(bonds[[#This Row],[worksheet get]],bonds[[#Headers],[coupon]])</f>
        <v>6.875</v>
      </c>
      <c r="J196" s="25" cm="1">
        <f t="array" ref="J196">_xll.BDP(bonds[[#This Row],[worksheet get]],bonds[[#Headers],[nxt_call_dt]])*1</f>
        <v>46587</v>
      </c>
      <c r="K196" s="9" t="str" cm="1">
        <f t="array" ref="K196">_xll.BDP(bonds[[#This Row],[worksheet get]],bonds[[#Headers],[mty_typ]])</f>
        <v>PERP/CALL</v>
      </c>
      <c r="L196" s="9" t="str" cm="1">
        <f t="array" ref="L196">_xll.BDP(bonds[[#This Row],[worksheet get]],bonds[[#Headers],[crncy]])</f>
        <v>USD</v>
      </c>
      <c r="M196" s="10" cm="1">
        <f t="array" ref="M196">_xll.BDP(bonds[[#This Row],[worksheet get]],bonds[[#Headers],[amt_outstanding]])</f>
        <v>1750000000</v>
      </c>
      <c r="N196" s="9" t="str" cm="1">
        <f t="array" ref="N196">_xll.BDP(bonds[[#This Row],[worksheet get]],bonds[[#Headers],[industry_sector]])</f>
        <v>Communications</v>
      </c>
      <c r="O196" s="9" t="str">
        <f>bonds[[#This Row],[security name]]&amp;" nc-"&amp;RIGHT(YEAR(bonds[[#This Row],[nxt_call_dt]]),2)</f>
        <v>SOFTBK 6 7/8 PERP nc-27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6758-6757-4982-87BF-22ADDE3045EE}">
  <dimension ref="B2:J74"/>
  <sheetViews>
    <sheetView workbookViewId="0">
      <selection activeCell="L4" sqref="L4"/>
    </sheetView>
  </sheetViews>
  <sheetFormatPr defaultColWidth="8.7109375" defaultRowHeight="10.5"/>
  <cols>
    <col min="1" max="1" width="8.7109375" style="5"/>
    <col min="2" max="2" width="10.140625" style="5" customWidth="1"/>
    <col min="3" max="16384" width="8.7109375" style="5"/>
  </cols>
  <sheetData>
    <row r="2" spans="2:10">
      <c r="B2" s="5" t="s">
        <v>415</v>
      </c>
    </row>
    <row r="4" spans="2:10" ht="11.1">
      <c r="B4" s="4" t="s">
        <v>416</v>
      </c>
      <c r="C4" s="4" t="s">
        <v>417</v>
      </c>
      <c r="D4" s="4" t="s">
        <v>20</v>
      </c>
      <c r="F4" s="4" t="s">
        <v>418</v>
      </c>
      <c r="G4" s="4" t="s">
        <v>419</v>
      </c>
      <c r="I4" s="4" t="s">
        <v>418</v>
      </c>
      <c r="J4" s="4" t="s">
        <v>419</v>
      </c>
    </row>
    <row r="5" spans="2:10">
      <c r="B5" s="5" t="str" cm="1">
        <f t="array" ref="B5:B74">_xlfn.UNIQUE(bonds[ticker])</f>
        <v>SOLBBB</v>
      </c>
      <c r="C5" s="5" cm="1">
        <f t="array" ref="C5:C74">COUNTIFS(bonds[ticker],_xlfn.ANCHORARRAY(B5),bonds[crncy],"eur")</f>
        <v>4</v>
      </c>
      <c r="D5" s="5" t="str" cm="1">
        <f t="array" ref="D5:D74">IF(_xlfn.ANCHORARRAY(C5)&gt;=3,_xlfn.ANCHORARRAY(B5),"-")</f>
        <v>SOLBBB</v>
      </c>
      <c r="F5" s="5" t="str" cm="1">
        <f t="array" ref="F5:F26">_xlfn._xlws.FILTER(_xlfn.ANCHORARRAY(D5),_xlfn.ANCHORARRAY(D5)&lt;&gt;"-")</f>
        <v>SOLBBB</v>
      </c>
      <c r="G5" s="5" cm="1">
        <f t="array" ref="G5:G26">COUNTIFS(bonds[ticker],_xlfn.ANCHORARRAY(F5),bonds[crncy],"eur")</f>
        <v>4</v>
      </c>
      <c r="I5" s="5" t="str" cm="1">
        <f t="array" ref="I5:I26">_xlfn.SORTBY(_xlfn.ANCHORARRAY(F5),_xlfn.ANCHORARRAY(G5),-1)</f>
        <v>VW</v>
      </c>
      <c r="J5" s="5" cm="1">
        <f t="array" ref="J5:J26">COUNTIFS(bonds[ticker],_xlfn.ANCHORARRAY(I5),bonds[crncy],"eur")</f>
        <v>11</v>
      </c>
    </row>
    <row r="6" spans="2:10">
      <c r="B6" s="5" t="str">
        <v>BAYNGR</v>
      </c>
      <c r="C6" s="5">
        <v>4</v>
      </c>
      <c r="D6" s="5" t="str">
        <v>BAYNGR</v>
      </c>
      <c r="F6" s="5" t="str">
        <v>BAYNGR</v>
      </c>
      <c r="G6" s="5">
        <v>4</v>
      </c>
      <c r="I6" s="5" t="str">
        <v>TELEFO</v>
      </c>
      <c r="J6" s="5">
        <v>8</v>
      </c>
    </row>
    <row r="7" spans="2:10">
      <c r="B7" s="5" t="str">
        <v>FIRMEN</v>
      </c>
      <c r="C7" s="5">
        <v>1</v>
      </c>
      <c r="D7" s="5" t="str">
        <v>-</v>
      </c>
      <c r="F7" s="5" t="str">
        <v>MRKGR</v>
      </c>
      <c r="G7" s="5">
        <v>4</v>
      </c>
      <c r="I7" s="5" t="str">
        <v>TOTAL</v>
      </c>
      <c r="J7" s="5">
        <v>6</v>
      </c>
    </row>
    <row r="8" spans="2:10">
      <c r="B8" s="5" t="str">
        <v>MRKGR</v>
      </c>
      <c r="C8" s="5">
        <v>4</v>
      </c>
      <c r="D8" s="5" t="str">
        <v>MRKGR</v>
      </c>
      <c r="F8" s="5" t="str">
        <v>AKEFP</v>
      </c>
      <c r="G8" s="5">
        <v>3</v>
      </c>
      <c r="I8" s="5" t="str">
        <v>ENBW</v>
      </c>
      <c r="J8" s="5">
        <v>6</v>
      </c>
    </row>
    <row r="9" spans="2:10">
      <c r="B9" s="5" t="str">
        <v>AKEFP</v>
      </c>
      <c r="C9" s="5">
        <v>3</v>
      </c>
      <c r="D9" s="5" t="str">
        <v>AKEFP</v>
      </c>
      <c r="F9" s="5" t="str">
        <v>ERFFP</v>
      </c>
      <c r="G9" s="5">
        <v>3</v>
      </c>
      <c r="I9" s="5" t="str">
        <v>ORAFP</v>
      </c>
      <c r="J9" s="5">
        <v>5</v>
      </c>
    </row>
    <row r="10" spans="2:10">
      <c r="B10" s="5" t="str">
        <v>LXSGR</v>
      </c>
      <c r="C10" s="5">
        <v>1</v>
      </c>
      <c r="D10" s="5" t="str">
        <v>-</v>
      </c>
      <c r="F10" s="5" t="str">
        <v>OMVAV</v>
      </c>
      <c r="G10" s="5">
        <v>3</v>
      </c>
      <c r="I10" s="5" t="str">
        <v>ENGIFP</v>
      </c>
      <c r="J10" s="5">
        <v>5</v>
      </c>
    </row>
    <row r="11" spans="2:10">
      <c r="B11" s="5" t="str">
        <v>LHNVX</v>
      </c>
      <c r="C11" s="5">
        <v>1</v>
      </c>
      <c r="D11" s="5" t="str">
        <v>-</v>
      </c>
      <c r="F11" s="5" t="str">
        <v>REPSM</v>
      </c>
      <c r="G11" s="5">
        <v>4</v>
      </c>
      <c r="I11" s="5" t="str">
        <v>EDF</v>
      </c>
      <c r="J11" s="5">
        <v>5</v>
      </c>
    </row>
    <row r="12" spans="2:10">
      <c r="B12" s="5" t="str">
        <v>EVKGR</v>
      </c>
      <c r="C12" s="5">
        <v>1</v>
      </c>
      <c r="D12" s="5" t="str">
        <v>-</v>
      </c>
      <c r="F12" s="5" t="str">
        <v>TOTAL</v>
      </c>
      <c r="G12" s="5">
        <v>6</v>
      </c>
      <c r="I12" s="5" t="str">
        <v>SOLBBB</v>
      </c>
      <c r="J12" s="5">
        <v>4</v>
      </c>
    </row>
    <row r="13" spans="2:10">
      <c r="B13" s="5" t="str">
        <v>ERFFP</v>
      </c>
      <c r="C13" s="5">
        <v>3</v>
      </c>
      <c r="D13" s="5" t="str">
        <v>ERFFP</v>
      </c>
      <c r="F13" s="5" t="str">
        <v>ORAFP</v>
      </c>
      <c r="G13" s="5">
        <v>5</v>
      </c>
      <c r="I13" s="5" t="str">
        <v>BAYNGR</v>
      </c>
      <c r="J13" s="5">
        <v>4</v>
      </c>
    </row>
    <row r="14" spans="2:10">
      <c r="B14" s="5" t="str">
        <v>BNFP</v>
      </c>
      <c r="C14" s="5">
        <v>1</v>
      </c>
      <c r="D14" s="5" t="str">
        <v>-</v>
      </c>
      <c r="F14" s="5" t="str">
        <v>TELEFO</v>
      </c>
      <c r="G14" s="5">
        <v>8</v>
      </c>
      <c r="I14" s="5" t="str">
        <v>MRKGR</v>
      </c>
      <c r="J14" s="5">
        <v>4</v>
      </c>
    </row>
    <row r="15" spans="2:10">
      <c r="B15" s="5" t="str">
        <v>ECLEAR</v>
      </c>
      <c r="C15" s="5">
        <v>1</v>
      </c>
      <c r="D15" s="5" t="str">
        <v>-</v>
      </c>
      <c r="F15" s="5" t="str">
        <v>ENGIFP</v>
      </c>
      <c r="G15" s="5">
        <v>5</v>
      </c>
      <c r="I15" s="5" t="str">
        <v>REPSM</v>
      </c>
      <c r="J15" s="5">
        <v>4</v>
      </c>
    </row>
    <row r="16" spans="2:10">
      <c r="B16" s="5" t="str">
        <v>DBOERS</v>
      </c>
      <c r="C16" s="5">
        <v>2</v>
      </c>
      <c r="D16" s="5" t="str">
        <v>-</v>
      </c>
      <c r="F16" s="5" t="str">
        <v>SEVFP</v>
      </c>
      <c r="G16" s="5">
        <v>3</v>
      </c>
      <c r="I16" s="5" t="str">
        <v>ENELIM</v>
      </c>
      <c r="J16" s="5">
        <v>4</v>
      </c>
    </row>
    <row r="17" spans="2:10">
      <c r="B17" s="5" t="str">
        <v>DBHNGR</v>
      </c>
      <c r="C17" s="5">
        <v>2</v>
      </c>
      <c r="D17" s="5" t="str">
        <v>-</v>
      </c>
      <c r="F17" s="5" t="str">
        <v>EDF</v>
      </c>
      <c r="G17" s="5">
        <v>5</v>
      </c>
      <c r="I17" s="5" t="str">
        <v>ORSTED</v>
      </c>
      <c r="J17" s="5">
        <v>4</v>
      </c>
    </row>
    <row r="18" spans="2:10">
      <c r="B18" s="5" t="str">
        <v>OMVAV</v>
      </c>
      <c r="C18" s="5">
        <v>3</v>
      </c>
      <c r="D18" s="5" t="str">
        <v>OMVAV</v>
      </c>
      <c r="F18" s="5" t="str">
        <v>ENBW</v>
      </c>
      <c r="G18" s="5">
        <v>6</v>
      </c>
      <c r="I18" s="5" t="str">
        <v>AKEFP</v>
      </c>
      <c r="J18" s="5">
        <v>3</v>
      </c>
    </row>
    <row r="19" spans="2:10">
      <c r="B19" s="5" t="str">
        <v>REPSM</v>
      </c>
      <c r="C19" s="5">
        <v>4</v>
      </c>
      <c r="D19" s="5" t="str">
        <v>REPSM</v>
      </c>
      <c r="F19" s="5" t="str">
        <v>ENELIM</v>
      </c>
      <c r="G19" s="5">
        <v>4</v>
      </c>
      <c r="I19" s="5" t="str">
        <v>ERFFP</v>
      </c>
      <c r="J19" s="5">
        <v>3</v>
      </c>
    </row>
    <row r="20" spans="2:10">
      <c r="B20" s="5" t="str">
        <v>BPLN</v>
      </c>
      <c r="C20" s="5">
        <v>2</v>
      </c>
      <c r="D20" s="5" t="str">
        <v>-</v>
      </c>
      <c r="F20" s="5" t="str">
        <v>IBESM</v>
      </c>
      <c r="G20" s="5">
        <v>3</v>
      </c>
      <c r="I20" s="5" t="str">
        <v>OMVAV</v>
      </c>
      <c r="J20" s="5">
        <v>3</v>
      </c>
    </row>
    <row r="21" spans="2:10">
      <c r="B21" s="5" t="str">
        <v>TOTAL</v>
      </c>
      <c r="C21" s="5">
        <v>6</v>
      </c>
      <c r="D21" s="5" t="str">
        <v>TOTAL</v>
      </c>
      <c r="F21" s="5" t="str">
        <v>ORSTED</v>
      </c>
      <c r="G21" s="5">
        <v>4</v>
      </c>
      <c r="I21" s="5" t="str">
        <v>SEVFP</v>
      </c>
      <c r="J21" s="5">
        <v>3</v>
      </c>
    </row>
    <row r="22" spans="2:10">
      <c r="B22" s="5" t="str">
        <v>BHP</v>
      </c>
      <c r="C22" s="5">
        <v>2</v>
      </c>
      <c r="D22" s="5" t="str">
        <v>-</v>
      </c>
      <c r="F22" s="5" t="str">
        <v>EDPPL</v>
      </c>
      <c r="G22" s="5">
        <v>3</v>
      </c>
      <c r="I22" s="5" t="str">
        <v>IBESM</v>
      </c>
      <c r="J22" s="5">
        <v>3</v>
      </c>
    </row>
    <row r="23" spans="2:10">
      <c r="B23" s="5" t="str">
        <v>AMXLMM</v>
      </c>
      <c r="C23" s="5">
        <v>1</v>
      </c>
      <c r="D23" s="5" t="str">
        <v>-</v>
      </c>
      <c r="F23" s="5" t="str">
        <v>VW</v>
      </c>
      <c r="G23" s="5">
        <v>11</v>
      </c>
      <c r="I23" s="5" t="str">
        <v>EDPPL</v>
      </c>
      <c r="J23" s="5">
        <v>3</v>
      </c>
    </row>
    <row r="24" spans="2:10">
      <c r="B24" s="5" t="str">
        <v>BERTEL</v>
      </c>
      <c r="C24" s="5">
        <v>2</v>
      </c>
      <c r="D24" s="5" t="str">
        <v>-</v>
      </c>
      <c r="F24" s="5" t="str">
        <v>ACFP</v>
      </c>
      <c r="G24" s="5">
        <v>3</v>
      </c>
      <c r="I24" s="5" t="str">
        <v>ACFP</v>
      </c>
      <c r="J24" s="5">
        <v>3</v>
      </c>
    </row>
    <row r="25" spans="2:10">
      <c r="B25" s="5" t="str">
        <v>KPN</v>
      </c>
      <c r="C25" s="5">
        <v>1</v>
      </c>
      <c r="D25" s="5" t="str">
        <v>-</v>
      </c>
      <c r="F25" s="5" t="str">
        <v>ARNDTN</v>
      </c>
      <c r="G25" s="5">
        <v>3</v>
      </c>
      <c r="I25" s="5" t="str">
        <v>ARNDTN</v>
      </c>
      <c r="J25" s="5">
        <v>3</v>
      </c>
    </row>
    <row r="26" spans="2:10">
      <c r="B26" s="5" t="str">
        <v>TELIAS</v>
      </c>
      <c r="C26" s="5">
        <v>2</v>
      </c>
      <c r="D26" s="5" t="str">
        <v>-</v>
      </c>
      <c r="F26" s="5" t="str">
        <v>GYCGR</v>
      </c>
      <c r="G26" s="5">
        <v>3</v>
      </c>
      <c r="I26" s="5" t="str">
        <v>GYCGR</v>
      </c>
      <c r="J26" s="5">
        <v>3</v>
      </c>
    </row>
    <row r="27" spans="2:10">
      <c r="B27" s="5" t="str">
        <v>SESGFP</v>
      </c>
      <c r="C27" s="5">
        <v>2</v>
      </c>
      <c r="D27" s="5" t="str">
        <v>-</v>
      </c>
    </row>
    <row r="28" spans="2:10">
      <c r="B28" s="5" t="str">
        <v>ORAFP</v>
      </c>
      <c r="C28" s="5">
        <v>5</v>
      </c>
      <c r="D28" s="5" t="str">
        <v>ORAFP</v>
      </c>
    </row>
    <row r="29" spans="2:10">
      <c r="B29" s="5" t="str">
        <v>TELEFO</v>
      </c>
      <c r="C29" s="5">
        <v>8</v>
      </c>
      <c r="D29" s="5" t="str">
        <v>TELEFO</v>
      </c>
    </row>
    <row r="30" spans="2:10">
      <c r="B30" s="5" t="str">
        <v>VOD</v>
      </c>
      <c r="C30" s="5">
        <v>2</v>
      </c>
      <c r="D30" s="5" t="str">
        <v>-</v>
      </c>
    </row>
    <row r="31" spans="2:10">
      <c r="B31" s="5" t="str">
        <v>BRITEL</v>
      </c>
      <c r="C31" s="5">
        <v>1</v>
      </c>
      <c r="D31" s="5" t="str">
        <v>-</v>
      </c>
    </row>
    <row r="32" spans="2:10">
      <c r="B32" s="5" t="str">
        <v>IFXGR</v>
      </c>
      <c r="C32" s="5">
        <v>2</v>
      </c>
      <c r="D32" s="5" t="str">
        <v>-</v>
      </c>
    </row>
    <row r="33" spans="2:4">
      <c r="B33" s="5" t="str">
        <v>T</v>
      </c>
      <c r="C33" s="5">
        <v>1</v>
      </c>
      <c r="D33" s="5" t="str">
        <v>-</v>
      </c>
    </row>
    <row r="34" spans="2:4">
      <c r="B34" s="5" t="str">
        <v>ENGIFP</v>
      </c>
      <c r="C34" s="5">
        <v>5</v>
      </c>
      <c r="D34" s="5" t="str">
        <v>ENGIFP</v>
      </c>
    </row>
    <row r="35" spans="2:4">
      <c r="B35" s="5" t="str">
        <v>SEVFP</v>
      </c>
      <c r="C35" s="5">
        <v>3</v>
      </c>
      <c r="D35" s="5" t="str">
        <v>SEVFP</v>
      </c>
    </row>
    <row r="36" spans="2:4">
      <c r="B36" s="5" t="str">
        <v>EDF</v>
      </c>
      <c r="C36" s="5">
        <v>5</v>
      </c>
      <c r="D36" s="5" t="str">
        <v>EDF</v>
      </c>
    </row>
    <row r="37" spans="2:4">
      <c r="B37" s="5" t="str">
        <v>ENBW</v>
      </c>
      <c r="C37" s="5">
        <v>6</v>
      </c>
      <c r="D37" s="5" t="str">
        <v>ENBW</v>
      </c>
    </row>
    <row r="38" spans="2:4">
      <c r="B38" s="5" t="str">
        <v>RWE</v>
      </c>
      <c r="C38" s="5">
        <v>2</v>
      </c>
      <c r="D38" s="5" t="str">
        <v>-</v>
      </c>
    </row>
    <row r="39" spans="2:4">
      <c r="B39" s="5" t="str">
        <v>TENN</v>
      </c>
      <c r="C39" s="5">
        <v>1</v>
      </c>
      <c r="D39" s="5" t="str">
        <v>-</v>
      </c>
    </row>
    <row r="40" spans="2:4">
      <c r="B40" s="5" t="str">
        <v>VATFAL</v>
      </c>
      <c r="C40" s="5">
        <v>1</v>
      </c>
      <c r="D40" s="5" t="str">
        <v>-</v>
      </c>
    </row>
    <row r="41" spans="2:4">
      <c r="B41" s="5" t="str">
        <v>ENELIM</v>
      </c>
      <c r="C41" s="5">
        <v>4</v>
      </c>
      <c r="D41" s="5" t="str">
        <v>ENELIM</v>
      </c>
    </row>
    <row r="42" spans="2:4">
      <c r="B42" s="5" t="str">
        <v>IBESM</v>
      </c>
      <c r="C42" s="5">
        <v>3</v>
      </c>
      <c r="D42" s="5" t="str">
        <v>IBESM</v>
      </c>
    </row>
    <row r="43" spans="2:4">
      <c r="B43" s="5" t="str">
        <v>NTGYSM</v>
      </c>
      <c r="C43" s="5">
        <v>2</v>
      </c>
      <c r="D43" s="5" t="str">
        <v>-</v>
      </c>
    </row>
    <row r="44" spans="2:4">
      <c r="B44" s="5" t="str">
        <v>CNALN</v>
      </c>
      <c r="C44" s="5">
        <v>1</v>
      </c>
      <c r="D44" s="5" t="str">
        <v>-</v>
      </c>
    </row>
    <row r="45" spans="2:4">
      <c r="B45" s="5" t="str">
        <v>NGGLN</v>
      </c>
      <c r="C45" s="5">
        <v>2</v>
      </c>
      <c r="D45" s="5" t="str">
        <v>-</v>
      </c>
    </row>
    <row r="46" spans="2:4">
      <c r="B46" s="5" t="str">
        <v>SSELN</v>
      </c>
      <c r="C46" s="5">
        <v>2</v>
      </c>
      <c r="D46" s="5" t="str">
        <v>-</v>
      </c>
    </row>
    <row r="47" spans="2:4">
      <c r="B47" s="5" t="str">
        <v>ALLRNV</v>
      </c>
      <c r="C47" s="5">
        <v>1</v>
      </c>
      <c r="D47" s="5" t="str">
        <v>-</v>
      </c>
    </row>
    <row r="48" spans="2:4">
      <c r="B48" s="5" t="str">
        <v>ORSTED</v>
      </c>
      <c r="C48" s="5">
        <v>4</v>
      </c>
      <c r="D48" s="5" t="str">
        <v>ORSTED</v>
      </c>
    </row>
    <row r="49" spans="2:4">
      <c r="B49" s="5" t="str">
        <v>STEDIN</v>
      </c>
      <c r="C49" s="5">
        <v>1</v>
      </c>
      <c r="D49" s="5" t="str">
        <v>-</v>
      </c>
    </row>
    <row r="50" spans="2:4">
      <c r="B50" s="5" t="str">
        <v>EDPPL</v>
      </c>
      <c r="C50" s="5">
        <v>3</v>
      </c>
      <c r="D50" s="5" t="str">
        <v>EDPPL</v>
      </c>
    </row>
    <row r="51" spans="2:4">
      <c r="B51" s="5" t="str">
        <v>ELIASO</v>
      </c>
      <c r="C51" s="5">
        <v>1</v>
      </c>
      <c r="D51" s="5" t="str">
        <v>-</v>
      </c>
    </row>
    <row r="52" spans="2:4">
      <c r="B52" s="5" t="str">
        <v>VLVY</v>
      </c>
      <c r="C52" s="5">
        <v>1</v>
      </c>
      <c r="D52" s="5" t="str">
        <v>-</v>
      </c>
    </row>
    <row r="53" spans="2:4">
      <c r="B53" s="5" t="str">
        <v>VW</v>
      </c>
      <c r="C53" s="5">
        <v>11</v>
      </c>
      <c r="D53" s="5" t="str">
        <v>VW</v>
      </c>
    </row>
    <row r="54" spans="2:4">
      <c r="B54" s="5" t="str">
        <v>ACFP</v>
      </c>
      <c r="C54" s="5">
        <v>3</v>
      </c>
      <c r="D54" s="5" t="str">
        <v>ACFP</v>
      </c>
    </row>
    <row r="55" spans="2:4">
      <c r="B55" s="5" t="str">
        <v>AFFP</v>
      </c>
      <c r="C55" s="5">
        <v>1</v>
      </c>
      <c r="D55" s="5" t="str">
        <v>-</v>
      </c>
    </row>
    <row r="56" spans="2:4">
      <c r="B56" s="5" t="str">
        <v>LHAGR</v>
      </c>
      <c r="C56" s="5">
        <v>1</v>
      </c>
      <c r="D56" s="5" t="str">
        <v>-</v>
      </c>
    </row>
    <row r="57" spans="2:4">
      <c r="B57" s="5" t="str">
        <v>FERSM</v>
      </c>
      <c r="C57" s="5">
        <v>1</v>
      </c>
      <c r="D57" s="5" t="str">
        <v>-</v>
      </c>
    </row>
    <row r="58" spans="2:4">
      <c r="B58" s="5" t="str">
        <v>ANNGR</v>
      </c>
      <c r="C58" s="5">
        <v>1</v>
      </c>
      <c r="D58" s="5" t="str">
        <v>-</v>
      </c>
    </row>
    <row r="59" spans="2:4">
      <c r="B59" s="5" t="str">
        <v>ULFP</v>
      </c>
      <c r="C59" s="5">
        <v>2</v>
      </c>
      <c r="D59" s="5" t="str">
        <v>-</v>
      </c>
    </row>
    <row r="60" spans="2:4">
      <c r="B60" s="5" t="str">
        <v>AKFAST</v>
      </c>
      <c r="C60" s="5">
        <v>2</v>
      </c>
      <c r="D60" s="5" t="str">
        <v>-</v>
      </c>
    </row>
    <row r="61" spans="2:4">
      <c r="B61" s="5" t="str">
        <v>BALDER</v>
      </c>
      <c r="C61" s="5">
        <v>1</v>
      </c>
      <c r="D61" s="5" t="str">
        <v>-</v>
      </c>
    </row>
    <row r="62" spans="2:4">
      <c r="B62" s="5" t="str">
        <v>TLGGR</v>
      </c>
      <c r="C62" s="5">
        <v>1</v>
      </c>
      <c r="D62" s="5" t="str">
        <v>-</v>
      </c>
    </row>
    <row r="63" spans="2:4">
      <c r="B63" s="5" t="str">
        <v>HEIBOS</v>
      </c>
      <c r="C63" s="5">
        <v>1</v>
      </c>
      <c r="D63" s="5" t="str">
        <v>-</v>
      </c>
    </row>
    <row r="64" spans="2:4">
      <c r="B64" s="5" t="str">
        <v>SBBBSS</v>
      </c>
      <c r="C64" s="5">
        <v>2</v>
      </c>
      <c r="D64" s="5" t="str">
        <v>-</v>
      </c>
    </row>
    <row r="65" spans="2:4">
      <c r="B65" s="5" t="str">
        <v>ARNDTN</v>
      </c>
      <c r="C65" s="5">
        <v>3</v>
      </c>
      <c r="D65" s="5" t="str">
        <v>ARNDTN</v>
      </c>
    </row>
    <row r="66" spans="2:4">
      <c r="B66" s="5" t="str">
        <v>GYCGR</v>
      </c>
      <c r="C66" s="5">
        <v>3</v>
      </c>
      <c r="D66" s="5" t="str">
        <v>GYCGR</v>
      </c>
    </row>
    <row r="67" spans="2:4">
      <c r="B67" s="5" t="str">
        <v>CPIPGR</v>
      </c>
      <c r="C67" s="5">
        <v>2</v>
      </c>
      <c r="D67" s="5" t="str">
        <v>-</v>
      </c>
    </row>
    <row r="68" spans="2:4">
      <c r="B68" s="5" t="str">
        <v>JUSTLN</v>
      </c>
      <c r="C68" s="5">
        <v>0</v>
      </c>
      <c r="D68" s="5" t="str">
        <v>-</v>
      </c>
    </row>
    <row r="69" spans="2:4">
      <c r="B69" s="5" t="str">
        <v>SZUGR</v>
      </c>
      <c r="C69" s="5">
        <v>1</v>
      </c>
      <c r="D69" s="5" t="str">
        <v>-</v>
      </c>
    </row>
    <row r="70" spans="2:4">
      <c r="B70" s="5" t="str">
        <v>COFP</v>
      </c>
      <c r="C70" s="5">
        <v>1</v>
      </c>
      <c r="D70" s="5" t="str">
        <v>-</v>
      </c>
    </row>
    <row r="71" spans="2:4">
      <c r="B71" s="5" t="str">
        <v>SBRYLN</v>
      </c>
      <c r="C71" s="5">
        <v>0</v>
      </c>
      <c r="D71" s="5" t="str">
        <v>-</v>
      </c>
    </row>
    <row r="72" spans="2:4">
      <c r="B72" s="5" t="str">
        <v>WIEAV</v>
      </c>
      <c r="C72" s="5">
        <v>1</v>
      </c>
      <c r="D72" s="5" t="str">
        <v>-</v>
      </c>
    </row>
    <row r="73" spans="2:4">
      <c r="B73" s="5" t="str">
        <v>TRAFIG</v>
      </c>
      <c r="C73" s="5">
        <v>1</v>
      </c>
      <c r="D73" s="5" t="str">
        <v>-</v>
      </c>
    </row>
    <row r="74" spans="2:4">
      <c r="B74" s="5" t="str">
        <v>SOFTBK</v>
      </c>
      <c r="C74" s="5">
        <v>0</v>
      </c>
      <c r="D74" s="5" t="str">
        <v>-</v>
      </c>
    </row>
  </sheetData>
  <conditionalFormatting sqref="G5:G2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{464407FF-C33C-44B0-AD50-D9938A78685B}</x14:id>
        </ext>
      </extLst>
    </cfRule>
  </conditionalFormatting>
  <conditionalFormatting sqref="J5:J2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{8AC3D501-50C4-417A-96EF-B77AD36BFC0C}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4407FF-C33C-44B0-AD50-D9938A7868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G5:G26</xm:sqref>
        </x14:conditionalFormatting>
        <x14:conditionalFormatting xmlns:xm="http://schemas.microsoft.com/office/excel/2006/main">
          <x14:cfRule type="dataBar" id="{8AC3D501-50C4-417A-96EF-B77AD36BFC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J5:J26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EE74-F7E2-4414-8AF5-2FE9BA4CF327}">
  <sheetPr>
    <tabColor theme="8"/>
  </sheetPr>
  <dimension ref="A2:F198"/>
  <sheetViews>
    <sheetView zoomScaleNormal="100" workbookViewId="0">
      <selection activeCell="I6" sqref="I6"/>
    </sheetView>
  </sheetViews>
  <sheetFormatPr defaultColWidth="8.7109375" defaultRowHeight="10.5"/>
  <cols>
    <col min="1" max="1" width="27.28515625" style="5" bestFit="1" customWidth="1"/>
    <col min="2" max="2" width="12.85546875" style="5" bestFit="1" customWidth="1"/>
    <col min="3" max="3" width="10.5703125" style="5" bestFit="1" customWidth="1"/>
    <col min="4" max="4" width="11.7109375" style="5" bestFit="1" customWidth="1"/>
    <col min="5" max="16384" width="8.7109375" style="5"/>
  </cols>
  <sheetData>
    <row r="2" spans="1:6" ht="15.95">
      <c r="A2" s="24" t="s">
        <v>420</v>
      </c>
    </row>
    <row r="3" spans="1:6">
      <c r="A3" s="5" t="s">
        <v>421</v>
      </c>
      <c r="B3" s="25">
        <f ca="1">TODAY()</f>
        <v>44013</v>
      </c>
    </row>
    <row r="5" spans="1:6" ht="11.1">
      <c r="A5" s="4" t="s">
        <v>422</v>
      </c>
      <c r="B5" s="4" t="s">
        <v>16</v>
      </c>
      <c r="C5" s="4" t="s">
        <v>32</v>
      </c>
      <c r="D5" s="4" t="s">
        <v>14</v>
      </c>
      <c r="E5" s="4" t="s">
        <v>182</v>
      </c>
      <c r="F5" s="4" t="s">
        <v>423</v>
      </c>
    </row>
    <row r="6" spans="1:6">
      <c r="A6" s="5" t="str" cm="1">
        <f t="array" ref="A6:A55">INDEX(_xlfn.SORTBY(bonds[unique lookup],bonds[nxt_call_dt],1),_xlfn.SEQUENCE(50))</f>
        <v>SBRYLN 6 1/2 PERP nc-20</v>
      </c>
      <c r="B6" s="25" cm="1">
        <f t="array" ref="B6:B55">_xlfn.XLOOKUP(_xlfn.ANCHORARRAY(A6),bonds[unique lookup],bonds[nxt_call_dt])</f>
        <v>44042</v>
      </c>
      <c r="C6" s="17" cm="1">
        <f t="array" aca="1" ref="C6:C55" ca="1">(_xlfn.ANCHORARRAY(B6)-TODAY())/365</f>
        <v>7.9452054794520555E-2</v>
      </c>
      <c r="D6" s="5" t="str" cm="1">
        <f t="array" ref="D6:D55">_xlfn.XLOOKUP(_xlfn.ANCHORARRAY(A6),bonds[unique lookup],bonds[ID_ISIN])</f>
        <v>XS1268050397</v>
      </c>
      <c r="E6" s="18" t="str" cm="1">
        <f t="array" ref="E6:E55">_xll.BDP(_xlfn.ANCHORARRAY(D6)&amp;" Corp","bb_composite")</f>
        <v>#N/A N/A</v>
      </c>
      <c r="F6" s="18" cm="1">
        <f t="array" ref="F6:F55">_xll.BDP(_xlfn.ANCHORARRAY(D6)&amp;" Corp","yas_ispread")</f>
        <v>20.867568430504267</v>
      </c>
    </row>
    <row r="7" spans="1:6">
      <c r="A7" s="5" t="str">
        <v>AMXLMM 6 3/8 09/06/73 nc-20</v>
      </c>
      <c r="B7" s="25">
        <v>44080</v>
      </c>
      <c r="C7" s="17">
        <f ca="1"/>
        <v>0.18356164383561643</v>
      </c>
      <c r="D7" s="5" t="str">
        <v>XS0969342384</v>
      </c>
      <c r="E7" s="5" t="str">
        <v>BBB-</v>
      </c>
      <c r="F7" s="18">
        <v>351.15133879731889</v>
      </c>
    </row>
    <row r="8" spans="1:6">
      <c r="A8" s="5" t="str">
        <v>ENELIM 7 3/4 09/10/75 nc-20</v>
      </c>
      <c r="B8" s="25">
        <v>44084</v>
      </c>
      <c r="C8" s="17">
        <f ca="1"/>
        <v>0.19452054794520549</v>
      </c>
      <c r="D8" s="5" t="str">
        <v>XS0954674825</v>
      </c>
      <c r="E8" s="18" t="str">
        <v>BBB-</v>
      </c>
      <c r="F8" s="18">
        <v>161.54678656422945</v>
      </c>
    </row>
    <row r="9" spans="1:6">
      <c r="A9" s="5" t="str">
        <v>SSELN 3 7/8 PERP nc-20</v>
      </c>
      <c r="B9" s="25">
        <v>44084</v>
      </c>
      <c r="C9" s="17">
        <f ca="1"/>
        <v>0.19452054794520549</v>
      </c>
      <c r="D9" s="5" t="str">
        <v>XS1196714429</v>
      </c>
      <c r="E9" s="5" t="str">
        <v>BBB-</v>
      </c>
      <c r="F9" s="18">
        <v>218.11598609985015</v>
      </c>
    </row>
    <row r="10" spans="1:6">
      <c r="A10" s="5" t="str">
        <v>SZUGR Float PERP nc-20</v>
      </c>
      <c r="B10" s="25">
        <v>44104</v>
      </c>
      <c r="C10" s="17">
        <f ca="1"/>
        <v>0.24931506849315069</v>
      </c>
      <c r="D10" s="5" t="str">
        <v>XS0222524372</v>
      </c>
      <c r="E10" s="5" t="str">
        <v>B</v>
      </c>
      <c r="F10" s="18" t="str">
        <v>#N/A N/A</v>
      </c>
    </row>
    <row r="11" spans="1:6">
      <c r="A11" s="5" t="str">
        <v>AFFP 6 1/4 PERP nc-20</v>
      </c>
      <c r="B11" s="25">
        <v>44105</v>
      </c>
      <c r="C11" s="17">
        <f ca="1"/>
        <v>0.25205479452054796</v>
      </c>
      <c r="D11" s="5" t="str">
        <v>FR0012650281</v>
      </c>
      <c r="E11" s="5" t="str">
        <v>#N/A N/A</v>
      </c>
      <c r="F11" s="18">
        <v>1281.5710696005908</v>
      </c>
    </row>
    <row r="12" spans="1:6">
      <c r="A12" s="5" t="str">
        <v>BHP 6 1/4 10/19/75 nc-20</v>
      </c>
      <c r="B12" s="25">
        <v>44123</v>
      </c>
      <c r="C12" s="17">
        <f ca="1"/>
        <v>0.30136986301369861</v>
      </c>
      <c r="D12" s="5" t="str">
        <v>USQ12441AA19</v>
      </c>
      <c r="E12" s="5" t="str">
        <v>BBB+</v>
      </c>
      <c r="F12" s="18">
        <v>318.63122483195394</v>
      </c>
    </row>
    <row r="13" spans="1:6">
      <c r="A13" s="5" t="str">
        <v>RWE 2 3/4 04/21/75 nc-20</v>
      </c>
      <c r="B13" s="25">
        <v>44125</v>
      </c>
      <c r="C13" s="17">
        <f ca="1"/>
        <v>0.30684931506849317</v>
      </c>
      <c r="D13" s="5" t="str">
        <v>XS1219498141</v>
      </c>
      <c r="E13" s="5" t="str">
        <v>BB</v>
      </c>
      <c r="F13" s="18">
        <v>307.85186633142831</v>
      </c>
    </row>
    <row r="14" spans="1:6">
      <c r="A14" s="5" t="str">
        <v>AKEFP 4 3/4 PERP nc-20</v>
      </c>
      <c r="B14" s="25">
        <v>44133</v>
      </c>
      <c r="C14" s="17">
        <f ca="1"/>
        <v>0.32876712328767121</v>
      </c>
      <c r="D14" s="5" t="str">
        <v>FR0012278539</v>
      </c>
      <c r="E14" s="5" t="str">
        <v>BBB-</v>
      </c>
      <c r="F14" s="18">
        <v>187.76198626946353</v>
      </c>
    </row>
    <row r="15" spans="1:6">
      <c r="A15" s="5" t="str">
        <v>DBOERS 2 3/4 02/05/41 nc-20</v>
      </c>
      <c r="B15" s="25">
        <v>44140</v>
      </c>
      <c r="C15" s="17">
        <f ca="1"/>
        <v>0.34794520547945207</v>
      </c>
      <c r="D15" s="5" t="str">
        <v>DE000A161W62</v>
      </c>
      <c r="E15" s="5" t="str">
        <v>NR</v>
      </c>
      <c r="F15" s="18">
        <v>36.885603663795777</v>
      </c>
    </row>
    <row r="16" spans="1:6">
      <c r="A16" s="5" t="str">
        <v>WIEAV 5 PERP nc-21</v>
      </c>
      <c r="B16" s="25">
        <v>44236</v>
      </c>
      <c r="C16" s="17">
        <f ca="1"/>
        <v>0.61095890410958908</v>
      </c>
      <c r="D16" s="5" t="str">
        <v>DE000A1ZN206</v>
      </c>
      <c r="E16" s="5" t="str">
        <v>NR</v>
      </c>
      <c r="F16" s="18">
        <v>434.26699772463752</v>
      </c>
    </row>
    <row r="17" spans="1:6">
      <c r="A17" s="5" t="str">
        <v>LHAGR 5 1/8 08/12/75 nc-21</v>
      </c>
      <c r="B17" s="25">
        <v>44239</v>
      </c>
      <c r="C17" s="17">
        <f ca="1"/>
        <v>0.61917808219178083</v>
      </c>
      <c r="D17" s="5" t="str">
        <v>XS1271836600</v>
      </c>
      <c r="E17" s="5" t="str">
        <v>NR</v>
      </c>
      <c r="F17" s="18">
        <v>3682.5189460148381</v>
      </c>
    </row>
    <row r="18" spans="1:6">
      <c r="A18" s="5" t="str">
        <v>TOTAL 2 1/4 PERP nc-21</v>
      </c>
      <c r="B18" s="25">
        <v>44253</v>
      </c>
      <c r="C18" s="17">
        <f ca="1"/>
        <v>0.65753424657534243</v>
      </c>
      <c r="D18" s="5" t="str">
        <v>XS1195201931</v>
      </c>
      <c r="E18" s="5" t="str">
        <v>A-</v>
      </c>
      <c r="F18" s="18">
        <v>210.77593602417565</v>
      </c>
    </row>
    <row r="19" spans="1:6">
      <c r="A19" s="5" t="str">
        <v>VW 3 3/4 PERP nc-21</v>
      </c>
      <c r="B19" s="25">
        <v>44279</v>
      </c>
      <c r="C19" s="17">
        <f ca="1"/>
        <v>0.72876712328767124</v>
      </c>
      <c r="D19" s="5" t="str">
        <v>XS1048428012</v>
      </c>
      <c r="E19" s="5" t="str">
        <v>BBB-</v>
      </c>
      <c r="F19" s="18">
        <v>262.20667854021468</v>
      </c>
    </row>
    <row r="20" spans="1:6">
      <c r="A20" s="5" t="str">
        <v>REPSM 3 7/8 PERP nc-21</v>
      </c>
      <c r="B20" s="25">
        <v>44280</v>
      </c>
      <c r="C20" s="17">
        <f ca="1"/>
        <v>0.73150684931506849</v>
      </c>
      <c r="D20" s="5" t="str">
        <v>XS1207054666</v>
      </c>
      <c r="E20" s="5" t="str">
        <v>BB+</v>
      </c>
      <c r="F20" s="18">
        <v>272.94072468861089</v>
      </c>
    </row>
    <row r="21" spans="1:6">
      <c r="A21" s="5" t="str">
        <v>SSELN 2 3/8 PERP nc-21</v>
      </c>
      <c r="B21" s="25">
        <v>44287</v>
      </c>
      <c r="C21" s="17">
        <f ca="1"/>
        <v>0.75068493150684934</v>
      </c>
      <c r="D21" s="5" t="str">
        <v>XS1196713298</v>
      </c>
      <c r="E21" s="5" t="str">
        <v>BBB-</v>
      </c>
      <c r="F21" s="18">
        <v>282.87833594609981</v>
      </c>
    </row>
    <row r="22" spans="1:6">
      <c r="A22" s="5" t="str">
        <v>ENBW 3 5/8 04/02/76 nc-21</v>
      </c>
      <c r="B22" s="25">
        <v>44288</v>
      </c>
      <c r="C22" s="17">
        <f ca="1"/>
        <v>0.75342465753424659</v>
      </c>
      <c r="D22" s="5" t="str">
        <v>XS1044811591</v>
      </c>
      <c r="E22" s="5" t="str">
        <v>BBB-</v>
      </c>
      <c r="F22" s="18">
        <v>190.70882040372717</v>
      </c>
    </row>
    <row r="23" spans="1:6">
      <c r="A23" s="5" t="str">
        <v>ENBW 3 5/8 04/02/76 nc-21</v>
      </c>
      <c r="B23" s="25">
        <v>44288</v>
      </c>
      <c r="C23" s="17">
        <f ca="1"/>
        <v>0.75342465753424659</v>
      </c>
      <c r="D23" s="5" t="str">
        <v>XS1044811591</v>
      </c>
      <c r="E23" s="5" t="str">
        <v>BBB-</v>
      </c>
      <c r="F23" s="18">
        <v>190.70882040372717</v>
      </c>
    </row>
    <row r="24" spans="1:6">
      <c r="A24" s="5" t="str">
        <v>CNALN 3 04/10/76 nc-21</v>
      </c>
      <c r="B24" s="25">
        <v>44296</v>
      </c>
      <c r="C24" s="17">
        <f ca="1"/>
        <v>0.77534246575342469</v>
      </c>
      <c r="D24" s="5" t="str">
        <v>XS1216020161</v>
      </c>
      <c r="E24" s="5" t="str">
        <v>BB+</v>
      </c>
      <c r="F24" s="18">
        <v>523.37644002457353</v>
      </c>
    </row>
    <row r="25" spans="1:6">
      <c r="A25" s="5" t="str">
        <v>BHP 4 3/4 04/22/76 nc-21</v>
      </c>
      <c r="B25" s="25">
        <v>44308</v>
      </c>
      <c r="C25" s="17">
        <f ca="1"/>
        <v>0.80821917808219179</v>
      </c>
      <c r="D25" s="5" t="str">
        <v>XS1309436753</v>
      </c>
      <c r="E25" s="5" t="str">
        <v>BBB+</v>
      </c>
      <c r="F25" s="18">
        <v>250.18045387865507</v>
      </c>
    </row>
    <row r="26" spans="1:6">
      <c r="A26" s="5" t="str">
        <v>SOLBBB 5.118 PERP nc-21</v>
      </c>
      <c r="B26" s="25">
        <v>44349</v>
      </c>
      <c r="C26" s="17">
        <f ca="1"/>
        <v>0.92054794520547945</v>
      </c>
      <c r="D26" s="5" t="str">
        <v>XS1323897485</v>
      </c>
      <c r="E26" s="5" t="str">
        <v>BB+</v>
      </c>
      <c r="F26" s="18">
        <v>352.82412070568279</v>
      </c>
    </row>
    <row r="27" spans="1:6">
      <c r="A27" s="5" t="str">
        <v>MRKGR 2 5/8 12/12/74 nc-21</v>
      </c>
      <c r="B27" s="25">
        <v>44359</v>
      </c>
      <c r="C27" s="17">
        <f ca="1"/>
        <v>0.94794520547945205</v>
      </c>
      <c r="D27" s="5" t="str">
        <v>XS1152338072</v>
      </c>
      <c r="E27" s="5" t="str">
        <v>BBB</v>
      </c>
      <c r="F27" s="18">
        <v>224.8889603533874</v>
      </c>
    </row>
    <row r="28" spans="1:6">
      <c r="A28" s="5" t="str">
        <v>ENGIFP 4 3/4 PERP nc-21</v>
      </c>
      <c r="B28" s="25">
        <v>44387</v>
      </c>
      <c r="C28" s="17">
        <f ca="1"/>
        <v>1.0246575342465754</v>
      </c>
      <c r="D28" s="5" t="str">
        <v>FR0011531730</v>
      </c>
      <c r="E28" s="5" t="str">
        <v>BBB</v>
      </c>
      <c r="F28" s="18">
        <v>164.87854031301654</v>
      </c>
    </row>
    <row r="29" spans="1:6">
      <c r="A29" s="5" t="str">
        <v>ENELIM 6 5/8 09/15/76 nc-21</v>
      </c>
      <c r="B29" s="25">
        <v>44454</v>
      </c>
      <c r="C29" s="17">
        <f ca="1"/>
        <v>1.2082191780821918</v>
      </c>
      <c r="D29" s="5" t="str">
        <v>XS1014987355</v>
      </c>
      <c r="E29" s="5" t="str">
        <v>BBB-</v>
      </c>
      <c r="F29" s="18">
        <v>246.94626613869858</v>
      </c>
    </row>
    <row r="30" spans="1:6">
      <c r="A30" s="5" t="str">
        <v>ORAFP 4 PERP nc-21</v>
      </c>
      <c r="B30" s="25">
        <v>44470</v>
      </c>
      <c r="C30" s="17">
        <f ca="1"/>
        <v>1.252054794520548</v>
      </c>
      <c r="D30" s="5" t="str">
        <v>XS1115490523</v>
      </c>
      <c r="E30" s="5" t="str">
        <v>BBB-</v>
      </c>
      <c r="F30" s="18">
        <v>162.03994648143552</v>
      </c>
    </row>
    <row r="31" spans="1:6">
      <c r="A31" s="5" t="str">
        <v>STEDIN 3 1/4 PERP nc-21</v>
      </c>
      <c r="B31" s="25">
        <v>44531</v>
      </c>
      <c r="C31" s="17">
        <f ca="1"/>
        <v>1.4191780821917808</v>
      </c>
      <c r="D31" s="5" t="str">
        <v>XS1141810991</v>
      </c>
      <c r="E31" s="5" t="str">
        <v>NR</v>
      </c>
      <c r="F31" s="18">
        <v>259.01107560208499</v>
      </c>
    </row>
    <row r="32" spans="1:6">
      <c r="A32" s="5" t="str">
        <v>OMVAV 5 1/4 PERP nc-21</v>
      </c>
      <c r="B32" s="25">
        <v>44539</v>
      </c>
      <c r="C32" s="17">
        <f ca="1"/>
        <v>1.441095890410959</v>
      </c>
      <c r="D32" s="5" t="str">
        <v>XS1294342792</v>
      </c>
      <c r="E32" s="5" t="str">
        <v>BBB</v>
      </c>
      <c r="F32" s="18">
        <v>223.89361335620902</v>
      </c>
    </row>
    <row r="33" spans="1:6">
      <c r="A33" s="5" t="str">
        <v>ANNGR 4 PERP nc-21</v>
      </c>
      <c r="B33" s="25">
        <v>44547</v>
      </c>
      <c r="C33" s="17">
        <f ca="1"/>
        <v>1.463013698630137</v>
      </c>
      <c r="D33" s="5" t="str">
        <v>XS1117300837</v>
      </c>
      <c r="E33" s="5" t="str">
        <v>NR</v>
      </c>
      <c r="F33" s="18">
        <v>242.7043415415003</v>
      </c>
    </row>
    <row r="34" spans="1:6">
      <c r="A34" s="5" t="str">
        <v>TRAFIG 6 7/8 PERP nc-21</v>
      </c>
      <c r="B34" s="25">
        <v>44552</v>
      </c>
      <c r="C34" s="17">
        <f ca="1"/>
        <v>1.4767123287671233</v>
      </c>
      <c r="D34" s="5" t="str">
        <v>XS1582433428</v>
      </c>
      <c r="E34" s="5" t="str">
        <v>#N/A N/A</v>
      </c>
      <c r="F34" s="18">
        <v>1336.9628109406992</v>
      </c>
    </row>
    <row r="35" spans="1:6">
      <c r="A35" s="5" t="str">
        <v>SESGFP 4 5/8 PERP nc-22</v>
      </c>
      <c r="B35" s="25">
        <v>44563</v>
      </c>
      <c r="C35" s="17">
        <f ca="1"/>
        <v>1.5068493150684932</v>
      </c>
      <c r="D35" s="5" t="str">
        <v>XS1405777746</v>
      </c>
      <c r="E35" s="5" t="str">
        <v>BB</v>
      </c>
      <c r="F35" s="18">
        <v>383.17496263226667</v>
      </c>
    </row>
    <row r="36" spans="1:6">
      <c r="A36" s="5" t="str">
        <v>ENBW 3 3/8 04/05/77 nc-22</v>
      </c>
      <c r="B36" s="25">
        <v>44566</v>
      </c>
      <c r="C36" s="17">
        <f ca="1"/>
        <v>1.515068493150685</v>
      </c>
      <c r="D36" s="5" t="str">
        <v>XS1405770907</v>
      </c>
      <c r="E36" s="5" t="str">
        <v>BBB-</v>
      </c>
      <c r="F36" s="18">
        <v>193.81787218629401</v>
      </c>
    </row>
    <row r="37" spans="1:6">
      <c r="A37" s="5" t="str">
        <v>ENBW 5 1/8 04/05/77 nc-22</v>
      </c>
      <c r="B37" s="25">
        <v>44566</v>
      </c>
      <c r="C37" s="17">
        <f ca="1"/>
        <v>1.515068493150685</v>
      </c>
      <c r="D37" s="5" t="str">
        <v>XS1498442521</v>
      </c>
      <c r="E37" s="5" t="str">
        <v>BBB-</v>
      </c>
      <c r="F37" s="18">
        <v>299.17090128469596</v>
      </c>
    </row>
    <row r="38" spans="1:6">
      <c r="A38" s="5" t="str">
        <v>EDF 4 1/8 PERP nc-22</v>
      </c>
      <c r="B38" s="25">
        <v>44583</v>
      </c>
      <c r="C38" s="17">
        <f ca="1"/>
        <v>1.5616438356164384</v>
      </c>
      <c r="D38" s="5" t="str">
        <v>FR0011697010</v>
      </c>
      <c r="E38" s="5" t="str">
        <v>BB+</v>
      </c>
      <c r="F38" s="18">
        <v>272.53140262269307</v>
      </c>
    </row>
    <row r="39" spans="1:6">
      <c r="A39" s="5" t="str">
        <v>ORAFP 5 7/8 PERP nc-22</v>
      </c>
      <c r="B39" s="25">
        <v>44599</v>
      </c>
      <c r="C39" s="17">
        <f ca="1"/>
        <v>1.6054794520547946</v>
      </c>
      <c r="D39" s="5" t="str">
        <v>XS1028597315</v>
      </c>
      <c r="E39" s="5" t="str">
        <v>BBB-</v>
      </c>
      <c r="F39" s="18">
        <v>182.44773495799774</v>
      </c>
    </row>
    <row r="40" spans="1:6">
      <c r="A40" s="5" t="str">
        <v>GYCGR 3 3/4 PERP nc-22</v>
      </c>
      <c r="B40" s="25">
        <v>44610</v>
      </c>
      <c r="C40" s="17">
        <f ca="1"/>
        <v>1.6356164383561644</v>
      </c>
      <c r="D40" s="5" t="str">
        <v>XS1191320297</v>
      </c>
      <c r="E40" s="5" t="str">
        <v>BBB-</v>
      </c>
      <c r="F40" s="18">
        <v>265.93014234255486</v>
      </c>
    </row>
    <row r="41" spans="1:6">
      <c r="A41" s="5" t="str">
        <v>TELEFO 3 3/4 PERP nc-22</v>
      </c>
      <c r="B41" s="25">
        <v>44635</v>
      </c>
      <c r="C41" s="17">
        <f ca="1"/>
        <v>1.704109589041096</v>
      </c>
      <c r="D41" s="5" t="str">
        <v>XS1490960942</v>
      </c>
      <c r="E41" s="5" t="str">
        <v>BB</v>
      </c>
      <c r="F41" s="18">
        <v>369.80731951217501</v>
      </c>
    </row>
    <row r="42" spans="1:6">
      <c r="A42" s="5" t="str">
        <v>VW 2 1/2 PERP nc-22</v>
      </c>
      <c r="B42" s="25">
        <v>44640</v>
      </c>
      <c r="C42" s="17">
        <f ca="1"/>
        <v>1.7178082191780821</v>
      </c>
      <c r="D42" s="5" t="str">
        <v>XS1206540806</v>
      </c>
      <c r="E42" s="5" t="str">
        <v>BBB-</v>
      </c>
      <c r="F42" s="18">
        <v>382.66932800848991</v>
      </c>
    </row>
    <row r="43" spans="1:6">
      <c r="A43" s="5" t="str">
        <v>SEVFP 2 1/2 PERP nc-22</v>
      </c>
      <c r="B43" s="25">
        <v>44650</v>
      </c>
      <c r="C43" s="17">
        <f ca="1"/>
        <v>1.7452054794520548</v>
      </c>
      <c r="D43" s="5" t="str">
        <v>FR0012648590</v>
      </c>
      <c r="E43" s="5" t="str">
        <v>NR</v>
      </c>
      <c r="F43" s="18">
        <v>257.85234988962981</v>
      </c>
    </row>
    <row r="44" spans="1:6">
      <c r="A44" s="5" t="str">
        <v>TOTAL 3 7/8 PERP nc-22</v>
      </c>
      <c r="B44" s="25">
        <v>44699</v>
      </c>
      <c r="C44" s="17">
        <f ca="1"/>
        <v>1.8794520547945206</v>
      </c>
      <c r="D44" s="5" t="str">
        <v>XS1413581205</v>
      </c>
      <c r="E44" s="5" t="str">
        <v>A-</v>
      </c>
      <c r="F44" s="18">
        <v>225.04883416972805</v>
      </c>
    </row>
    <row r="45" spans="1:6">
      <c r="A45" s="5" t="str">
        <v>SSELN 3 5/8 09/16/77 nc-22</v>
      </c>
      <c r="B45" s="25">
        <v>44728</v>
      </c>
      <c r="C45" s="17">
        <f ca="1"/>
        <v>1.9589041095890412</v>
      </c>
      <c r="D45" s="5" t="str">
        <v>XS1572349865</v>
      </c>
      <c r="E45" s="5" t="str">
        <v>BBB-</v>
      </c>
      <c r="F45" s="18">
        <v>292.84078210177205</v>
      </c>
    </row>
    <row r="46" spans="1:6">
      <c r="A46" s="5" t="str">
        <v>SSELN 4 3/4 09/16/77 nc-22</v>
      </c>
      <c r="B46" s="25">
        <v>44728</v>
      </c>
      <c r="C46" s="17">
        <f ca="1"/>
        <v>1.9589041095890412</v>
      </c>
      <c r="D46" s="5" t="str">
        <v>XS1572343744</v>
      </c>
      <c r="E46" s="5" t="str">
        <v>BBB-</v>
      </c>
      <c r="F46" s="18">
        <v>383.5493024389703</v>
      </c>
    </row>
    <row r="47" spans="1:6">
      <c r="A47" s="5" t="str">
        <v>EVKGR 2 1/8 07/07/77 nc-22</v>
      </c>
      <c r="B47" s="25">
        <v>44780</v>
      </c>
      <c r="C47" s="17">
        <f ca="1"/>
        <v>2.1013698630136988</v>
      </c>
      <c r="D47" s="5" t="str">
        <v>DE000A2GSFF1</v>
      </c>
      <c r="E47" s="5" t="str">
        <v>BBB-</v>
      </c>
      <c r="F47" s="18">
        <v>310.23780512162574</v>
      </c>
    </row>
    <row r="48" spans="1:6">
      <c r="A48" s="5" t="str">
        <v>ERFFP 2 7/8 PERP nc-22</v>
      </c>
      <c r="B48" s="25">
        <v>44784</v>
      </c>
      <c r="C48" s="17">
        <f ca="1"/>
        <v>2.1123287671232878</v>
      </c>
      <c r="D48" s="5" t="str">
        <v>XS2051471105</v>
      </c>
      <c r="E48" s="5" t="str">
        <v>#N/A N/A</v>
      </c>
      <c r="F48" s="18">
        <v>429.10113856387778</v>
      </c>
    </row>
    <row r="49" spans="1:6">
      <c r="A49" s="5" t="str">
        <v>BAYNGR 2 3/8 04/02/75 nc-22</v>
      </c>
      <c r="B49" s="25">
        <v>44836</v>
      </c>
      <c r="C49" s="17">
        <f ca="1"/>
        <v>2.2547945205479452</v>
      </c>
      <c r="D49" s="5" t="str">
        <v>DE000A14J611</v>
      </c>
      <c r="E49" s="5" t="str">
        <v>BB+</v>
      </c>
      <c r="F49" s="18">
        <v>298.84951839325561</v>
      </c>
    </row>
    <row r="50" spans="1:6">
      <c r="A50" s="5" t="str">
        <v>BHP 6 1/2 10/22/77 nc-22</v>
      </c>
      <c r="B50" s="25">
        <v>44856</v>
      </c>
      <c r="C50" s="17">
        <f ca="1"/>
        <v>2.3095890410958906</v>
      </c>
      <c r="D50" s="5" t="str">
        <v>XS1309437215</v>
      </c>
      <c r="E50" s="5" t="str">
        <v>BBB+</v>
      </c>
      <c r="F50" s="18">
        <v>246.33980347268073</v>
      </c>
    </row>
    <row r="51" spans="1:6">
      <c r="A51" s="5" t="str">
        <v>NTGYSM 4 1/8 PERP nc-22</v>
      </c>
      <c r="B51" s="25">
        <v>44883</v>
      </c>
      <c r="C51" s="17">
        <f ca="1"/>
        <v>2.3835616438356166</v>
      </c>
      <c r="D51" s="5" t="str">
        <v>XS1139494493</v>
      </c>
      <c r="E51" s="5" t="str">
        <v>BB+</v>
      </c>
      <c r="F51" s="18">
        <v>321.07097048852944</v>
      </c>
    </row>
    <row r="52" spans="1:6">
      <c r="A52" s="5" t="str">
        <v>VW 2.7 PERP nc-22</v>
      </c>
      <c r="B52" s="25">
        <v>44909</v>
      </c>
      <c r="C52" s="17">
        <f ca="1"/>
        <v>2.4547945205479453</v>
      </c>
      <c r="D52" s="5" t="str">
        <v>XS1629658755</v>
      </c>
      <c r="E52" s="5" t="str">
        <v>BBB-</v>
      </c>
      <c r="F52" s="18">
        <v>383.53513235657351</v>
      </c>
    </row>
    <row r="53" spans="1:6">
      <c r="A53" s="5" t="str">
        <v>ENGIFP 1 3/8 PERP nc-23</v>
      </c>
      <c r="B53" s="25">
        <v>44942</v>
      </c>
      <c r="C53" s="17">
        <f ca="1"/>
        <v>2.5452054794520547</v>
      </c>
      <c r="D53" s="5" t="str">
        <v>FR0013310505</v>
      </c>
      <c r="E53" s="5" t="str">
        <v>BBB</v>
      </c>
      <c r="F53" s="18">
        <v>260.66702941605723</v>
      </c>
    </row>
    <row r="54" spans="1:6">
      <c r="A54" s="5" t="str">
        <v>ARNDTN 3 3/4 PERP nc-23</v>
      </c>
      <c r="B54" s="25">
        <v>44946</v>
      </c>
      <c r="C54" s="17">
        <f ca="1"/>
        <v>2.5561643835616437</v>
      </c>
      <c r="D54" s="5" t="str">
        <v>XS1508392625</v>
      </c>
      <c r="E54" s="5" t="str">
        <v>NR</v>
      </c>
      <c r="F54" s="18">
        <v>431.89353147084881</v>
      </c>
    </row>
    <row r="55" spans="1:6">
      <c r="A55" s="5" t="str">
        <v>GYCGR 2 3/4 PERP nc-23</v>
      </c>
      <c r="B55" s="25">
        <v>44948</v>
      </c>
      <c r="C55" s="17">
        <f ca="1"/>
        <v>2.5616438356164384</v>
      </c>
      <c r="D55" s="5" t="str">
        <v>XS1491364953</v>
      </c>
      <c r="E55" s="5" t="str">
        <v>BBB-</v>
      </c>
      <c r="F55" s="18">
        <v>321.01490110266508</v>
      </c>
    </row>
    <row r="56" spans="1:6">
      <c r="B56" s="25"/>
      <c r="C56" s="17"/>
      <c r="F56" s="18"/>
    </row>
    <row r="57" spans="1:6">
      <c r="B57" s="25"/>
      <c r="C57" s="17"/>
      <c r="F57" s="18"/>
    </row>
    <row r="58" spans="1:6">
      <c r="B58" s="25"/>
      <c r="C58" s="17"/>
      <c r="F58" s="18"/>
    </row>
    <row r="59" spans="1:6">
      <c r="B59" s="25"/>
      <c r="C59" s="17"/>
      <c r="F59" s="18"/>
    </row>
    <row r="60" spans="1:6">
      <c r="B60" s="25"/>
      <c r="C60" s="17"/>
      <c r="F60" s="18"/>
    </row>
    <row r="61" spans="1:6">
      <c r="B61" s="25"/>
      <c r="C61" s="17"/>
      <c r="F61" s="18"/>
    </row>
    <row r="62" spans="1:6">
      <c r="B62" s="25"/>
      <c r="C62" s="17"/>
      <c r="F62" s="18"/>
    </row>
    <row r="63" spans="1:6">
      <c r="B63" s="25"/>
      <c r="C63" s="17"/>
      <c r="F63" s="18"/>
    </row>
    <row r="64" spans="1:6">
      <c r="B64" s="25"/>
      <c r="C64" s="17"/>
      <c r="F64" s="18"/>
    </row>
    <row r="65" spans="2:6">
      <c r="B65" s="25"/>
      <c r="C65" s="17"/>
      <c r="F65" s="18"/>
    </row>
    <row r="66" spans="2:6">
      <c r="B66" s="25"/>
      <c r="C66" s="17"/>
      <c r="F66" s="18"/>
    </row>
    <row r="67" spans="2:6">
      <c r="B67" s="25"/>
      <c r="C67" s="17"/>
      <c r="F67" s="18"/>
    </row>
    <row r="68" spans="2:6">
      <c r="B68" s="25"/>
      <c r="C68" s="17"/>
      <c r="F68" s="18"/>
    </row>
    <row r="69" spans="2:6">
      <c r="B69" s="25"/>
      <c r="C69" s="17"/>
      <c r="F69" s="18"/>
    </row>
    <row r="70" spans="2:6">
      <c r="B70" s="25"/>
      <c r="C70" s="17"/>
      <c r="F70" s="18"/>
    </row>
    <row r="71" spans="2:6">
      <c r="B71" s="25"/>
      <c r="C71" s="17"/>
      <c r="F71" s="18"/>
    </row>
    <row r="72" spans="2:6">
      <c r="B72" s="25"/>
      <c r="C72" s="17"/>
      <c r="F72" s="18"/>
    </row>
    <row r="73" spans="2:6">
      <c r="B73" s="25"/>
      <c r="C73" s="17"/>
      <c r="F73" s="18"/>
    </row>
    <row r="74" spans="2:6">
      <c r="B74" s="25"/>
      <c r="C74" s="17"/>
      <c r="F74" s="18"/>
    </row>
    <row r="75" spans="2:6">
      <c r="B75" s="25"/>
      <c r="C75" s="17"/>
      <c r="F75" s="18"/>
    </row>
    <row r="76" spans="2:6">
      <c r="B76" s="25"/>
      <c r="C76" s="17"/>
      <c r="F76" s="18"/>
    </row>
    <row r="77" spans="2:6">
      <c r="B77" s="25"/>
      <c r="C77" s="17"/>
      <c r="F77" s="18"/>
    </row>
    <row r="78" spans="2:6">
      <c r="B78" s="25"/>
      <c r="C78" s="17"/>
      <c r="F78" s="18"/>
    </row>
    <row r="79" spans="2:6">
      <c r="B79" s="25"/>
      <c r="C79" s="17"/>
      <c r="F79" s="18"/>
    </row>
    <row r="80" spans="2:6">
      <c r="B80" s="25"/>
      <c r="C80" s="17"/>
      <c r="F80" s="18"/>
    </row>
    <row r="81" spans="2:6">
      <c r="B81" s="25"/>
      <c r="C81" s="17"/>
      <c r="F81" s="18"/>
    </row>
    <row r="82" spans="2:6">
      <c r="B82" s="25"/>
      <c r="C82" s="17"/>
      <c r="F82" s="18"/>
    </row>
    <row r="83" spans="2:6">
      <c r="B83" s="25"/>
      <c r="C83" s="17"/>
      <c r="F83" s="18"/>
    </row>
    <row r="84" spans="2:6">
      <c r="B84" s="25"/>
      <c r="C84" s="17"/>
      <c r="F84" s="18"/>
    </row>
    <row r="85" spans="2:6">
      <c r="B85" s="25"/>
      <c r="C85" s="17"/>
      <c r="F85" s="18"/>
    </row>
    <row r="86" spans="2:6">
      <c r="B86" s="25"/>
      <c r="C86" s="17"/>
      <c r="F86" s="18"/>
    </row>
    <row r="87" spans="2:6">
      <c r="B87" s="25"/>
      <c r="C87" s="17"/>
      <c r="F87" s="18"/>
    </row>
    <row r="88" spans="2:6">
      <c r="B88" s="25"/>
      <c r="C88" s="17"/>
      <c r="F88" s="18"/>
    </row>
    <row r="89" spans="2:6">
      <c r="B89" s="25"/>
      <c r="C89" s="17"/>
      <c r="F89" s="18"/>
    </row>
    <row r="90" spans="2:6">
      <c r="B90" s="25"/>
      <c r="C90" s="17"/>
      <c r="F90" s="18"/>
    </row>
    <row r="91" spans="2:6">
      <c r="B91" s="25"/>
      <c r="C91" s="17"/>
      <c r="F91" s="18"/>
    </row>
    <row r="92" spans="2:6">
      <c r="B92" s="25"/>
      <c r="C92" s="17"/>
      <c r="F92" s="18"/>
    </row>
    <row r="93" spans="2:6">
      <c r="B93" s="25"/>
      <c r="C93" s="17"/>
      <c r="F93" s="18"/>
    </row>
    <row r="94" spans="2:6">
      <c r="B94" s="25"/>
      <c r="C94" s="17"/>
      <c r="F94" s="18"/>
    </row>
    <row r="95" spans="2:6">
      <c r="B95" s="25"/>
      <c r="C95" s="17"/>
      <c r="F95" s="18"/>
    </row>
    <row r="96" spans="2:6">
      <c r="B96" s="25"/>
      <c r="C96" s="17"/>
      <c r="F96" s="18"/>
    </row>
    <row r="97" spans="2:6">
      <c r="B97" s="25"/>
      <c r="C97" s="17"/>
      <c r="F97" s="18"/>
    </row>
    <row r="98" spans="2:6">
      <c r="B98" s="25"/>
      <c r="C98" s="17"/>
      <c r="F98" s="18"/>
    </row>
    <row r="99" spans="2:6">
      <c r="B99" s="25"/>
      <c r="C99" s="17"/>
      <c r="F99" s="18"/>
    </row>
    <row r="100" spans="2:6">
      <c r="B100" s="25"/>
      <c r="C100" s="17"/>
      <c r="F100" s="18"/>
    </row>
    <row r="101" spans="2:6">
      <c r="B101" s="25"/>
      <c r="C101" s="17"/>
      <c r="F101" s="18"/>
    </row>
    <row r="102" spans="2:6">
      <c r="B102" s="25"/>
      <c r="C102" s="17"/>
      <c r="F102" s="18"/>
    </row>
    <row r="103" spans="2:6">
      <c r="B103" s="25"/>
      <c r="C103" s="17"/>
      <c r="F103" s="18"/>
    </row>
    <row r="104" spans="2:6">
      <c r="B104" s="25"/>
      <c r="C104" s="17"/>
      <c r="F104" s="18"/>
    </row>
    <row r="105" spans="2:6">
      <c r="B105" s="25"/>
      <c r="C105" s="17"/>
      <c r="F105" s="18"/>
    </row>
    <row r="106" spans="2:6">
      <c r="B106" s="25"/>
      <c r="C106" s="17"/>
      <c r="F106" s="18"/>
    </row>
    <row r="107" spans="2:6">
      <c r="B107" s="25"/>
      <c r="C107" s="17"/>
      <c r="F107" s="18"/>
    </row>
    <row r="108" spans="2:6">
      <c r="B108" s="25"/>
      <c r="C108" s="17"/>
      <c r="F108" s="18"/>
    </row>
    <row r="109" spans="2:6">
      <c r="B109" s="25"/>
      <c r="C109" s="17"/>
      <c r="F109" s="18"/>
    </row>
    <row r="110" spans="2:6">
      <c r="B110" s="25"/>
      <c r="C110" s="17"/>
      <c r="F110" s="18"/>
    </row>
    <row r="111" spans="2:6">
      <c r="B111" s="25"/>
      <c r="C111" s="17"/>
      <c r="F111" s="18"/>
    </row>
    <row r="112" spans="2:6">
      <c r="B112" s="25"/>
      <c r="C112" s="17"/>
      <c r="F112" s="18"/>
    </row>
    <row r="113" spans="2:6">
      <c r="B113" s="25"/>
      <c r="C113" s="17"/>
      <c r="F113" s="18"/>
    </row>
    <row r="114" spans="2:6">
      <c r="B114" s="25"/>
      <c r="C114" s="17"/>
      <c r="F114" s="18"/>
    </row>
    <row r="115" spans="2:6">
      <c r="B115" s="25"/>
      <c r="C115" s="17"/>
      <c r="F115" s="18"/>
    </row>
    <row r="116" spans="2:6">
      <c r="B116" s="25"/>
      <c r="C116" s="17"/>
      <c r="F116" s="18"/>
    </row>
    <row r="117" spans="2:6">
      <c r="B117" s="25"/>
      <c r="C117" s="17"/>
      <c r="F117" s="18"/>
    </row>
    <row r="118" spans="2:6">
      <c r="B118" s="25"/>
      <c r="C118" s="17"/>
      <c r="F118" s="18"/>
    </row>
    <row r="119" spans="2:6">
      <c r="B119" s="25"/>
      <c r="C119" s="17"/>
      <c r="F119" s="18"/>
    </row>
    <row r="120" spans="2:6">
      <c r="B120" s="25"/>
      <c r="C120" s="17"/>
      <c r="F120" s="18"/>
    </row>
    <row r="121" spans="2:6">
      <c r="B121" s="25"/>
      <c r="C121" s="17"/>
      <c r="F121" s="18"/>
    </row>
    <row r="122" spans="2:6">
      <c r="B122" s="25"/>
      <c r="C122" s="17"/>
      <c r="F122" s="18"/>
    </row>
    <row r="123" spans="2:6">
      <c r="B123" s="25"/>
      <c r="C123" s="17"/>
      <c r="F123" s="18"/>
    </row>
    <row r="124" spans="2:6">
      <c r="B124" s="25"/>
      <c r="C124" s="17"/>
      <c r="F124" s="18"/>
    </row>
    <row r="125" spans="2:6">
      <c r="B125" s="25"/>
      <c r="C125" s="17"/>
      <c r="F125" s="18"/>
    </row>
    <row r="126" spans="2:6">
      <c r="B126" s="25"/>
      <c r="C126" s="17"/>
      <c r="F126" s="18"/>
    </row>
    <row r="127" spans="2:6">
      <c r="B127" s="25"/>
      <c r="C127" s="17"/>
      <c r="F127" s="18"/>
    </row>
    <row r="128" spans="2:6">
      <c r="B128" s="25"/>
      <c r="C128" s="17"/>
      <c r="F128" s="18"/>
    </row>
    <row r="129" spans="2:6">
      <c r="B129" s="25"/>
      <c r="C129" s="17"/>
      <c r="F129" s="18"/>
    </row>
    <row r="130" spans="2:6">
      <c r="B130" s="25"/>
      <c r="C130" s="17"/>
      <c r="F130" s="18"/>
    </row>
    <row r="131" spans="2:6">
      <c r="B131" s="25"/>
      <c r="C131" s="17"/>
      <c r="F131" s="18"/>
    </row>
    <row r="132" spans="2:6">
      <c r="B132" s="25"/>
      <c r="C132" s="17"/>
      <c r="F132" s="18"/>
    </row>
    <row r="133" spans="2:6">
      <c r="B133" s="25"/>
      <c r="C133" s="17"/>
      <c r="F133" s="18"/>
    </row>
    <row r="134" spans="2:6">
      <c r="B134" s="25"/>
      <c r="C134" s="17"/>
      <c r="F134" s="18"/>
    </row>
    <row r="135" spans="2:6">
      <c r="B135" s="25"/>
      <c r="C135" s="17"/>
      <c r="F135" s="18"/>
    </row>
    <row r="136" spans="2:6">
      <c r="B136" s="25"/>
      <c r="C136" s="17"/>
      <c r="F136" s="18"/>
    </row>
    <row r="137" spans="2:6">
      <c r="B137" s="25"/>
      <c r="C137" s="17"/>
      <c r="F137" s="18"/>
    </row>
    <row r="138" spans="2:6">
      <c r="B138" s="25"/>
      <c r="C138" s="17"/>
      <c r="F138" s="18"/>
    </row>
    <row r="139" spans="2:6">
      <c r="B139" s="25"/>
      <c r="C139" s="17"/>
      <c r="F139" s="18"/>
    </row>
    <row r="140" spans="2:6">
      <c r="B140" s="25"/>
      <c r="C140" s="17"/>
      <c r="F140" s="18"/>
    </row>
    <row r="141" spans="2:6">
      <c r="B141" s="25"/>
      <c r="C141" s="17"/>
      <c r="F141" s="18"/>
    </row>
    <row r="142" spans="2:6">
      <c r="B142" s="25"/>
      <c r="C142" s="17"/>
      <c r="F142" s="18"/>
    </row>
    <row r="143" spans="2:6">
      <c r="B143" s="25"/>
      <c r="C143" s="17"/>
      <c r="F143" s="18"/>
    </row>
    <row r="144" spans="2:6">
      <c r="B144" s="25"/>
      <c r="C144" s="17"/>
      <c r="F144" s="18"/>
    </row>
    <row r="145" spans="2:6">
      <c r="B145" s="25"/>
      <c r="C145" s="17"/>
      <c r="F145" s="18"/>
    </row>
    <row r="146" spans="2:6">
      <c r="B146" s="25"/>
      <c r="C146" s="17"/>
      <c r="F146" s="18"/>
    </row>
    <row r="147" spans="2:6">
      <c r="B147" s="25"/>
      <c r="C147" s="17"/>
      <c r="F147" s="18"/>
    </row>
    <row r="148" spans="2:6">
      <c r="B148" s="25"/>
      <c r="C148" s="17"/>
      <c r="F148" s="18"/>
    </row>
    <row r="149" spans="2:6">
      <c r="B149" s="25"/>
      <c r="C149" s="17"/>
      <c r="F149" s="18"/>
    </row>
    <row r="150" spans="2:6">
      <c r="B150" s="25"/>
      <c r="C150" s="17"/>
      <c r="F150" s="18"/>
    </row>
    <row r="151" spans="2:6">
      <c r="B151" s="25"/>
      <c r="C151" s="17"/>
      <c r="F151" s="18"/>
    </row>
    <row r="152" spans="2:6">
      <c r="B152" s="25"/>
      <c r="C152" s="17"/>
      <c r="F152" s="18"/>
    </row>
    <row r="153" spans="2:6">
      <c r="B153" s="25"/>
      <c r="C153" s="17"/>
      <c r="F153" s="18"/>
    </row>
    <row r="154" spans="2:6">
      <c r="B154" s="25"/>
      <c r="C154" s="17"/>
      <c r="F154" s="18"/>
    </row>
    <row r="155" spans="2:6">
      <c r="B155" s="25"/>
      <c r="C155" s="17"/>
      <c r="F155" s="18"/>
    </row>
    <row r="156" spans="2:6">
      <c r="B156" s="25"/>
      <c r="C156" s="17"/>
      <c r="F156" s="18"/>
    </row>
    <row r="157" spans="2:6">
      <c r="B157" s="25"/>
      <c r="C157" s="17"/>
      <c r="F157" s="18"/>
    </row>
    <row r="158" spans="2:6">
      <c r="B158" s="25"/>
      <c r="C158" s="17"/>
      <c r="F158" s="18"/>
    </row>
    <row r="159" spans="2:6">
      <c r="B159" s="25"/>
      <c r="C159" s="17"/>
      <c r="F159" s="18"/>
    </row>
    <row r="160" spans="2:6">
      <c r="B160" s="25"/>
      <c r="C160" s="17"/>
      <c r="F160" s="18"/>
    </row>
    <row r="161" spans="2:6">
      <c r="B161" s="25"/>
      <c r="C161" s="17"/>
      <c r="F161" s="18"/>
    </row>
    <row r="162" spans="2:6">
      <c r="B162" s="25"/>
      <c r="C162" s="17"/>
      <c r="F162" s="18"/>
    </row>
    <row r="163" spans="2:6">
      <c r="B163" s="25"/>
      <c r="C163" s="17"/>
      <c r="F163" s="18"/>
    </row>
    <row r="164" spans="2:6">
      <c r="B164" s="25"/>
      <c r="C164" s="17"/>
      <c r="F164" s="18"/>
    </row>
    <row r="165" spans="2:6">
      <c r="B165" s="25"/>
      <c r="C165" s="17"/>
      <c r="F165" s="18"/>
    </row>
    <row r="166" spans="2:6">
      <c r="B166" s="25"/>
      <c r="C166" s="17"/>
      <c r="F166" s="18"/>
    </row>
    <row r="167" spans="2:6">
      <c r="B167" s="25"/>
      <c r="C167" s="17"/>
      <c r="F167" s="18"/>
    </row>
    <row r="168" spans="2:6">
      <c r="B168" s="25"/>
      <c r="C168" s="17"/>
      <c r="F168" s="18"/>
    </row>
    <row r="169" spans="2:6">
      <c r="B169" s="25"/>
      <c r="C169" s="17"/>
      <c r="F169" s="18"/>
    </row>
    <row r="170" spans="2:6">
      <c r="B170" s="25"/>
      <c r="C170" s="17"/>
      <c r="F170" s="18"/>
    </row>
    <row r="171" spans="2:6">
      <c r="B171" s="25"/>
      <c r="C171" s="17"/>
      <c r="F171" s="18"/>
    </row>
    <row r="172" spans="2:6">
      <c r="B172" s="25"/>
      <c r="C172" s="17"/>
      <c r="F172" s="18"/>
    </row>
    <row r="173" spans="2:6">
      <c r="B173" s="25"/>
      <c r="C173" s="17"/>
      <c r="F173" s="18"/>
    </row>
    <row r="174" spans="2:6">
      <c r="B174" s="25"/>
      <c r="C174" s="17"/>
      <c r="F174" s="18"/>
    </row>
    <row r="175" spans="2:6">
      <c r="B175" s="25"/>
      <c r="C175" s="17"/>
      <c r="F175" s="18"/>
    </row>
    <row r="176" spans="2:6">
      <c r="B176" s="25"/>
      <c r="C176" s="17"/>
      <c r="F176" s="18"/>
    </row>
    <row r="177" spans="2:6">
      <c r="B177" s="25"/>
      <c r="C177" s="17"/>
      <c r="F177" s="18"/>
    </row>
    <row r="178" spans="2:6">
      <c r="B178" s="25"/>
      <c r="C178" s="17"/>
      <c r="F178" s="18"/>
    </row>
    <row r="179" spans="2:6">
      <c r="B179" s="25"/>
      <c r="C179" s="17"/>
      <c r="F179" s="18"/>
    </row>
    <row r="180" spans="2:6">
      <c r="B180" s="25"/>
      <c r="C180" s="17"/>
      <c r="F180" s="18"/>
    </row>
    <row r="181" spans="2:6">
      <c r="B181" s="25"/>
      <c r="C181" s="17"/>
      <c r="F181" s="18"/>
    </row>
    <row r="182" spans="2:6">
      <c r="B182" s="25"/>
      <c r="C182" s="17"/>
      <c r="F182" s="18"/>
    </row>
    <row r="183" spans="2:6">
      <c r="B183" s="25"/>
      <c r="C183" s="17"/>
      <c r="F183" s="18"/>
    </row>
    <row r="184" spans="2:6">
      <c r="B184" s="25"/>
      <c r="C184" s="17"/>
      <c r="F184" s="18"/>
    </row>
    <row r="185" spans="2:6">
      <c r="B185" s="25"/>
      <c r="C185" s="17"/>
      <c r="F185" s="18"/>
    </row>
    <row r="186" spans="2:6">
      <c r="B186" s="25"/>
      <c r="C186" s="17"/>
      <c r="F186" s="18"/>
    </row>
    <row r="187" spans="2:6">
      <c r="B187" s="25"/>
      <c r="C187" s="17"/>
      <c r="F187" s="18"/>
    </row>
    <row r="188" spans="2:6">
      <c r="B188" s="25"/>
      <c r="C188" s="17"/>
      <c r="F188" s="18"/>
    </row>
    <row r="189" spans="2:6">
      <c r="B189" s="25"/>
      <c r="C189" s="17"/>
      <c r="F189" s="18"/>
    </row>
    <row r="190" spans="2:6">
      <c r="B190" s="25"/>
      <c r="C190" s="17"/>
      <c r="F190" s="18"/>
    </row>
    <row r="191" spans="2:6">
      <c r="B191" s="25"/>
      <c r="C191" s="17"/>
      <c r="F191" s="18"/>
    </row>
    <row r="192" spans="2:6">
      <c r="B192" s="25"/>
      <c r="C192" s="17"/>
      <c r="F192" s="18"/>
    </row>
    <row r="193" spans="2:6">
      <c r="B193" s="25"/>
      <c r="C193" s="17"/>
      <c r="F193" s="18"/>
    </row>
    <row r="194" spans="2:6">
      <c r="B194" s="25"/>
      <c r="C194" s="17"/>
      <c r="F194" s="18"/>
    </row>
    <row r="195" spans="2:6">
      <c r="B195" s="25"/>
      <c r="C195" s="17"/>
      <c r="F195" s="18"/>
    </row>
    <row r="196" spans="2:6">
      <c r="B196" s="25"/>
      <c r="C196" s="17"/>
      <c r="F196" s="18"/>
    </row>
    <row r="197" spans="2:6">
      <c r="B197" s="25"/>
      <c r="C197" s="17"/>
      <c r="F197" s="18"/>
    </row>
    <row r="198" spans="2:6">
      <c r="B198" s="25"/>
      <c r="C198" s="17"/>
      <c r="F198" s="18"/>
    </row>
  </sheetData>
  <conditionalFormatting sqref="C6:C198">
    <cfRule type="iconSet" priority="2">
      <iconSet>
        <cfvo type="percent" val="0"/>
        <cfvo type="num" val="1"/>
        <cfvo type="num" val="1.25"/>
      </iconSet>
    </cfRule>
  </conditionalFormatting>
  <conditionalFormatting sqref="F6:F19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{C87A6ACB-F511-4224-892F-259AA5C98B3D}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7A6ACB-F511-4224-892F-259AA5C98B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F6:F198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darren</dc:creator>
  <cp:keywords/>
  <dc:description/>
  <cp:lastModifiedBy>Guest User</cp:lastModifiedBy>
  <cp:revision/>
  <dcterms:created xsi:type="dcterms:W3CDTF">2015-06-05T18:17:20Z</dcterms:created>
  <dcterms:modified xsi:type="dcterms:W3CDTF">2020-07-01T15:56:11Z</dcterms:modified>
  <cp:category/>
  <cp:contentStatus/>
</cp:coreProperties>
</file>